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updateLinks="never" codeName="ThisWorkbook" defaultThemeVersion="166925"/>
  <mc:AlternateContent xmlns:mc="http://schemas.openxmlformats.org/markup-compatibility/2006">
    <mc:Choice Requires="x15">
      <x15ac:absPath xmlns:x15ac="http://schemas.microsoft.com/office/spreadsheetml/2010/11/ac" url="https://bancodebogota-my.sharepoint.com/personal/jbusto6_bancodebogota_com_co/Documents/Escritorio/IMPORTANTES/"/>
    </mc:Choice>
  </mc:AlternateContent>
  <xr:revisionPtr revIDLastSave="0" documentId="8_{50DC4A51-9475-4528-89A2-D83007F22A33}" xr6:coauthVersionLast="47" xr6:coauthVersionMax="47" xr10:uidLastSave="{00000000-0000-0000-0000-000000000000}"/>
  <workbookProtection workbookAlgorithmName="SHA-512" workbookHashValue="RGIb0BZaKadNm4tjI5A3GUE/qi41aesLAdTcHCt2a4ExbW0oGzN+UKKQ8svOuY6KSWgVael/1hxzBU57wrid5Q==" workbookSaltValue="tNe0EVutGIVPEdxdLaBC9Q==" workbookSpinCount="100000" lockStructure="1"/>
  <bookViews>
    <workbookView showSheetTabs="0" xWindow="-110" yWindow="-110" windowWidth="19420" windowHeight="11500" tabRatio="587" firstSheet="2" activeTab="2" xr2:uid="{2DD6661E-9335-4FC4-A027-96742044E78D}"/>
  </bookViews>
  <sheets>
    <sheet name="Tasas inteligentes" sheetId="16" state="hidden" r:id="rId1"/>
    <sheet name="TI CV-LHF" sheetId="46" state="hidden" r:id="rId2"/>
    <sheet name="Pantalla_Inicio" sheetId="27" r:id="rId3"/>
    <sheet name="Ciudades y SMMLV" sheetId="6" state="hidden" r:id="rId4"/>
    <sheet name="Simulador Avalúo y ET" sheetId="60" r:id="rId5"/>
    <sheet name="Tarifas avalúos y ET 2026" sheetId="58" state="hidden" r:id="rId6"/>
    <sheet name="Tarifas Av y ET 2026 (sin neg.)" sheetId="47" state="hidden" r:id="rId7"/>
    <sheet name="CV UVR" sheetId="52" r:id="rId8"/>
    <sheet name="Crédito de Vivienda UVR" sheetId="53" r:id="rId9"/>
    <sheet name="Plan de pagos CV UVR" sheetId="57" r:id="rId10"/>
    <sheet name="TI CV UVR" sheetId="54" r:id="rId11"/>
    <sheet name="ValoresUVR" sheetId="56" state="hidden" r:id="rId12"/>
    <sheet name="LHNF" sheetId="48" r:id="rId13"/>
    <sheet name="LeasingNOFam" sheetId="49" r:id="rId14"/>
    <sheet name="TI LHNF" sheetId="51" state="hidden" r:id="rId15"/>
    <sheet name="Plan de pagos LHNF" sheetId="50" r:id="rId16"/>
    <sheet name="CV" sheetId="26" r:id="rId17"/>
    <sheet name="Crédito de Vivienda" sheetId="1" r:id="rId18"/>
    <sheet name="Plan de pagos CV" sheetId="2" r:id="rId19"/>
    <sheet name="TI LHF" sheetId="35" state="hidden" r:id="rId20"/>
    <sheet name="Seguros_Oblig" sheetId="3" state="hidden" r:id="rId21"/>
    <sheet name="Comparativo" sheetId="45" state="hidden" r:id="rId22"/>
    <sheet name="LHF" sheetId="32" r:id="rId23"/>
    <sheet name="LeasingHab" sheetId="33" r:id="rId24"/>
    <sheet name="Plan de pagos LHF" sheetId="34" r:id="rId25"/>
    <sheet name="TI RM" sheetId="38" state="hidden" r:id="rId26"/>
    <sheet name="RM" sheetId="37" r:id="rId27"/>
    <sheet name="Remodelacion" sheetId="39" r:id="rId28"/>
    <sheet name="Plan de pagos RM" sheetId="40" r:id="rId29"/>
    <sheet name="Oferta_Seguros" sheetId="31" state="hidden" r:id="rId30"/>
    <sheet name="TI CC" sheetId="42" state="hidden" r:id="rId31"/>
    <sheet name="CC" sheetId="41" r:id="rId32"/>
    <sheet name="Compra cartera" sheetId="43" r:id="rId33"/>
    <sheet name="Plan de pagos CC" sheetId="44" r:id="rId34"/>
    <sheet name="Según sus ingresos" sheetId="4" r:id="rId35"/>
  </sheets>
  <definedNames>
    <definedName name="_xlnm._FilterDatabase" localSheetId="3" hidden="1">'Ciudades y SMMLV'!$H$1:$I$1384</definedName>
    <definedName name="_xlnm._FilterDatabase" localSheetId="29" hidden="1">Oferta_Seguros!$A$1:$H$70</definedName>
    <definedName name="_xlnm._FilterDatabase" localSheetId="0" hidden="1">'Tasas inteligentes'!$A$7:$AV$55</definedName>
    <definedName name="_xlnm._FilterDatabase" localSheetId="1" hidden="1">'TI CV-LHF'!$A$7:$U$55</definedName>
    <definedName name="_xlnm.Print_Area" localSheetId="18">'Plan de pagos CV'!$A$1:$P$377</definedName>
    <definedName name="_xlnm.Print_Area" localSheetId="24">'Plan de pagos LHF'!$A$1:$AP$380</definedName>
    <definedName name="_xlnm.Print_Area" localSheetId="15">'Plan de pagos LHNF'!$A$1:$AP$382</definedName>
    <definedName name="_xlnm.Print_Area" localSheetId="28">'Plan de pagos RM'!$A$1:$P$377</definedName>
    <definedName name="Portaf">'Simulador Avalúo y ET'!$G$9:$G$13</definedName>
    <definedName name="Portafolio">#REF!</definedName>
    <definedName name="Proyecto">#REF!</definedName>
    <definedName name="Tipo_proyecto">'Simulador Avalúo y ET'!$I$9:$I$10</definedName>
    <definedName name="Vivien">'Simulador Avalúo y ET'!$H$9:$H$10</definedName>
    <definedName name="Viviend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56" l="1"/>
  <c r="C7" i="4"/>
  <c r="R62" i="16" l="1"/>
  <c r="Q62" i="16"/>
  <c r="P60" i="16"/>
  <c r="P59" i="16"/>
  <c r="O64" i="16"/>
  <c r="O63" i="16"/>
  <c r="O62" i="16"/>
  <c r="O61" i="16"/>
  <c r="O60" i="16"/>
  <c r="O59" i="16"/>
  <c r="I65" i="16" l="1"/>
  <c r="H62" i="16"/>
  <c r="I66" i="16"/>
  <c r="H66" i="16"/>
  <c r="H65" i="16"/>
  <c r="I64" i="16"/>
  <c r="H64" i="16"/>
  <c r="I63" i="16"/>
  <c r="H63" i="16"/>
  <c r="I62" i="16"/>
  <c r="I61" i="16"/>
  <c r="H61" i="16"/>
  <c r="H60" i="16"/>
  <c r="H59" i="16"/>
  <c r="I59" i="16"/>
  <c r="R74" i="16"/>
  <c r="S74" i="16" s="1"/>
  <c r="R73" i="16"/>
  <c r="S73" i="16" s="1"/>
  <c r="R72" i="16"/>
  <c r="S72" i="16" s="1"/>
  <c r="P74" i="16"/>
  <c r="Q74" i="16" s="1"/>
  <c r="P73" i="16"/>
  <c r="Q73" i="16" s="1"/>
  <c r="P72" i="16"/>
  <c r="Q72" i="16" s="1"/>
  <c r="Q82" i="16"/>
  <c r="R82" i="16" s="1"/>
  <c r="Q81" i="16"/>
  <c r="R81" i="16" s="1"/>
  <c r="Q80" i="16"/>
  <c r="R80" i="16" s="1"/>
  <c r="I71" i="16" l="1"/>
  <c r="I70" i="16"/>
  <c r="H71" i="16"/>
  <c r="H70" i="16"/>
  <c r="H1" i="60"/>
  <c r="F13" i="60"/>
  <c r="G18" i="60" s="1"/>
  <c r="H18" i="60" s="1"/>
  <c r="B15" i="60"/>
  <c r="B11" i="60"/>
  <c r="B10" i="60"/>
  <c r="T2" i="6"/>
  <c r="E3" i="6"/>
  <c r="E4" i="6"/>
  <c r="E5" i="6"/>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3" i="6"/>
  <c r="E114" i="6"/>
  <c r="E115" i="6"/>
  <c r="E116" i="6"/>
  <c r="E117" i="6"/>
  <c r="E118" i="6"/>
  <c r="E119" i="6"/>
  <c r="E120" i="6"/>
  <c r="E121" i="6"/>
  <c r="E122" i="6"/>
  <c r="E123" i="6"/>
  <c r="E124" i="6"/>
  <c r="E125" i="6"/>
  <c r="E126" i="6"/>
  <c r="E127" i="6"/>
  <c r="E128" i="6"/>
  <c r="E129" i="6"/>
  <c r="E130" i="6"/>
  <c r="E131" i="6"/>
  <c r="E132" i="6"/>
  <c r="E133" i="6"/>
  <c r="E134" i="6"/>
  <c r="E135" i="6"/>
  <c r="E136" i="6"/>
  <c r="E137" i="6"/>
  <c r="E138" i="6"/>
  <c r="E139" i="6"/>
  <c r="E140" i="6"/>
  <c r="E141" i="6"/>
  <c r="E142" i="6"/>
  <c r="E143" i="6"/>
  <c r="E144" i="6"/>
  <c r="E145" i="6"/>
  <c r="E146" i="6"/>
  <c r="E147" i="6"/>
  <c r="E148" i="6"/>
  <c r="E149" i="6"/>
  <c r="E150" i="6"/>
  <c r="E151" i="6"/>
  <c r="E152" i="6"/>
  <c r="E153" i="6"/>
  <c r="E154" i="6"/>
  <c r="E155" i="6"/>
  <c r="E156" i="6"/>
  <c r="E157" i="6"/>
  <c r="E158" i="6"/>
  <c r="E159" i="6"/>
  <c r="E160" i="6"/>
  <c r="E161" i="6"/>
  <c r="E162" i="6"/>
  <c r="E163" i="6"/>
  <c r="E164" i="6"/>
  <c r="E165" i="6"/>
  <c r="E166" i="6"/>
  <c r="E167" i="6"/>
  <c r="E168" i="6"/>
  <c r="E169" i="6"/>
  <c r="E170" i="6"/>
  <c r="E171" i="6"/>
  <c r="E172" i="6"/>
  <c r="E173" i="6"/>
  <c r="E174" i="6"/>
  <c r="E175" i="6"/>
  <c r="E176" i="6"/>
  <c r="E177" i="6"/>
  <c r="E178" i="6"/>
  <c r="E179" i="6"/>
  <c r="E180" i="6"/>
  <c r="E181" i="6"/>
  <c r="E182" i="6"/>
  <c r="E183" i="6"/>
  <c r="E184" i="6"/>
  <c r="E185" i="6"/>
  <c r="E186" i="6"/>
  <c r="E187" i="6"/>
  <c r="E188" i="6"/>
  <c r="E189" i="6"/>
  <c r="E190" i="6"/>
  <c r="E191" i="6"/>
  <c r="E192" i="6"/>
  <c r="E193" i="6"/>
  <c r="E194" i="6"/>
  <c r="E195" i="6"/>
  <c r="E196" i="6"/>
  <c r="E197" i="6"/>
  <c r="E198" i="6"/>
  <c r="E199" i="6"/>
  <c r="E200" i="6"/>
  <c r="E201" i="6"/>
  <c r="E202" i="6"/>
  <c r="E203" i="6"/>
  <c r="E204" i="6"/>
  <c r="E205" i="6"/>
  <c r="E206" i="6"/>
  <c r="E207" i="6"/>
  <c r="E208" i="6"/>
  <c r="E209" i="6"/>
  <c r="E210" i="6"/>
  <c r="E211" i="6"/>
  <c r="E212" i="6"/>
  <c r="E213" i="6"/>
  <c r="E214" i="6"/>
  <c r="E215" i="6"/>
  <c r="E216" i="6"/>
  <c r="E217" i="6"/>
  <c r="E218" i="6"/>
  <c r="E219" i="6"/>
  <c r="E220" i="6"/>
  <c r="E221" i="6"/>
  <c r="E222" i="6"/>
  <c r="E223" i="6"/>
  <c r="E224" i="6"/>
  <c r="E225" i="6"/>
  <c r="E226" i="6"/>
  <c r="E227" i="6"/>
  <c r="E228" i="6"/>
  <c r="E229" i="6"/>
  <c r="E230" i="6"/>
  <c r="E231" i="6"/>
  <c r="E232" i="6"/>
  <c r="E233" i="6"/>
  <c r="E234" i="6"/>
  <c r="E235" i="6"/>
  <c r="E236" i="6"/>
  <c r="E237" i="6"/>
  <c r="E238" i="6"/>
  <c r="E239" i="6"/>
  <c r="E240" i="6"/>
  <c r="E241" i="6"/>
  <c r="E242" i="6"/>
  <c r="E243" i="6"/>
  <c r="E244" i="6"/>
  <c r="E245" i="6"/>
  <c r="E246" i="6"/>
  <c r="E247" i="6"/>
  <c r="E248" i="6"/>
  <c r="E249" i="6"/>
  <c r="E250" i="6"/>
  <c r="E251" i="6"/>
  <c r="E252" i="6"/>
  <c r="E253" i="6"/>
  <c r="E254" i="6"/>
  <c r="E255" i="6"/>
  <c r="E256" i="6"/>
  <c r="E257" i="6"/>
  <c r="E258" i="6"/>
  <c r="E259" i="6"/>
  <c r="E260" i="6"/>
  <c r="E261" i="6"/>
  <c r="E262" i="6"/>
  <c r="E263" i="6"/>
  <c r="E264" i="6"/>
  <c r="E265" i="6"/>
  <c r="E266" i="6"/>
  <c r="E267" i="6"/>
  <c r="E268" i="6"/>
  <c r="E269" i="6"/>
  <c r="E270" i="6"/>
  <c r="E271" i="6"/>
  <c r="E272" i="6"/>
  <c r="E273" i="6"/>
  <c r="E274" i="6"/>
  <c r="E275" i="6"/>
  <c r="E276" i="6"/>
  <c r="E277" i="6"/>
  <c r="E278" i="6"/>
  <c r="E279" i="6"/>
  <c r="E280" i="6"/>
  <c r="E281" i="6"/>
  <c r="E282" i="6"/>
  <c r="E283" i="6"/>
  <c r="E284" i="6"/>
  <c r="E285" i="6"/>
  <c r="E286" i="6"/>
  <c r="E287" i="6"/>
  <c r="E288" i="6"/>
  <c r="E289" i="6"/>
  <c r="E290" i="6"/>
  <c r="E291" i="6"/>
  <c r="E292" i="6"/>
  <c r="E293" i="6"/>
  <c r="E294" i="6"/>
  <c r="E295" i="6"/>
  <c r="E296" i="6"/>
  <c r="E297" i="6"/>
  <c r="E298" i="6"/>
  <c r="E299" i="6"/>
  <c r="E300" i="6"/>
  <c r="E301" i="6"/>
  <c r="E302" i="6"/>
  <c r="E303" i="6"/>
  <c r="E304" i="6"/>
  <c r="E305" i="6"/>
  <c r="E306" i="6"/>
  <c r="E307" i="6"/>
  <c r="E308" i="6"/>
  <c r="E309" i="6"/>
  <c r="E310" i="6"/>
  <c r="E311" i="6"/>
  <c r="E312" i="6"/>
  <c r="E313" i="6"/>
  <c r="E314" i="6"/>
  <c r="E315" i="6"/>
  <c r="E316" i="6"/>
  <c r="E317" i="6"/>
  <c r="E318" i="6"/>
  <c r="E319" i="6"/>
  <c r="E320" i="6"/>
  <c r="E321" i="6"/>
  <c r="E322" i="6"/>
  <c r="E323" i="6"/>
  <c r="E324" i="6"/>
  <c r="E325" i="6"/>
  <c r="E326" i="6"/>
  <c r="E327" i="6"/>
  <c r="E328" i="6"/>
  <c r="E329" i="6"/>
  <c r="E330" i="6"/>
  <c r="E331" i="6"/>
  <c r="E332" i="6"/>
  <c r="E333" i="6"/>
  <c r="E334" i="6"/>
  <c r="E335" i="6"/>
  <c r="E336" i="6"/>
  <c r="E337" i="6"/>
  <c r="E338" i="6"/>
  <c r="E339" i="6"/>
  <c r="E340" i="6"/>
  <c r="E341" i="6"/>
  <c r="E342" i="6"/>
  <c r="E343" i="6"/>
  <c r="E344" i="6"/>
  <c r="E345" i="6"/>
  <c r="E346" i="6"/>
  <c r="E347" i="6"/>
  <c r="E348" i="6"/>
  <c r="E349" i="6"/>
  <c r="E350" i="6"/>
  <c r="E351" i="6"/>
  <c r="E352" i="6"/>
  <c r="E353" i="6"/>
  <c r="E354" i="6"/>
  <c r="E355" i="6"/>
  <c r="E356" i="6"/>
  <c r="E357" i="6"/>
  <c r="E358" i="6"/>
  <c r="E359" i="6"/>
  <c r="E360" i="6"/>
  <c r="E361" i="6"/>
  <c r="E362" i="6"/>
  <c r="E363" i="6"/>
  <c r="E364" i="6"/>
  <c r="E365" i="6"/>
  <c r="E366" i="6"/>
  <c r="E367" i="6"/>
  <c r="E368" i="6"/>
  <c r="E369" i="6"/>
  <c r="E370" i="6"/>
  <c r="E371" i="6"/>
  <c r="E372" i="6"/>
  <c r="E373" i="6"/>
  <c r="E374" i="6"/>
  <c r="E375" i="6"/>
  <c r="E376" i="6"/>
  <c r="E377" i="6"/>
  <c r="E378" i="6"/>
  <c r="E379" i="6"/>
  <c r="E380" i="6"/>
  <c r="E381" i="6"/>
  <c r="E382" i="6"/>
  <c r="E383" i="6"/>
  <c r="E384" i="6"/>
  <c r="E385" i="6"/>
  <c r="E386" i="6"/>
  <c r="E387" i="6"/>
  <c r="E388" i="6"/>
  <c r="E389" i="6"/>
  <c r="E390" i="6"/>
  <c r="E391" i="6"/>
  <c r="E392" i="6"/>
  <c r="E393" i="6"/>
  <c r="E394" i="6"/>
  <c r="E395" i="6"/>
  <c r="E396" i="6"/>
  <c r="E397" i="6"/>
  <c r="E398" i="6"/>
  <c r="E399" i="6"/>
  <c r="E400" i="6"/>
  <c r="E401" i="6"/>
  <c r="E402" i="6"/>
  <c r="E403" i="6"/>
  <c r="E404" i="6"/>
  <c r="E405" i="6"/>
  <c r="E406" i="6"/>
  <c r="E407" i="6"/>
  <c r="E408" i="6"/>
  <c r="E409" i="6"/>
  <c r="E410" i="6"/>
  <c r="E411" i="6"/>
  <c r="E412" i="6"/>
  <c r="E413" i="6"/>
  <c r="E414" i="6"/>
  <c r="E415" i="6"/>
  <c r="E416" i="6"/>
  <c r="E417" i="6"/>
  <c r="E418" i="6"/>
  <c r="E419" i="6"/>
  <c r="E420" i="6"/>
  <c r="E421" i="6"/>
  <c r="E422" i="6"/>
  <c r="E423" i="6"/>
  <c r="E424" i="6"/>
  <c r="E425" i="6"/>
  <c r="E426" i="6"/>
  <c r="E427" i="6"/>
  <c r="E428" i="6"/>
  <c r="E429" i="6"/>
  <c r="E430" i="6"/>
  <c r="E431" i="6"/>
  <c r="E432" i="6"/>
  <c r="E433" i="6"/>
  <c r="E434" i="6"/>
  <c r="E435" i="6"/>
  <c r="E436" i="6"/>
  <c r="E437" i="6"/>
  <c r="E438" i="6"/>
  <c r="E439" i="6"/>
  <c r="E440" i="6"/>
  <c r="E441" i="6"/>
  <c r="E442" i="6"/>
  <c r="E443" i="6"/>
  <c r="E444" i="6"/>
  <c r="E445" i="6"/>
  <c r="E446" i="6"/>
  <c r="E447" i="6"/>
  <c r="E448" i="6"/>
  <c r="E449" i="6"/>
  <c r="E450" i="6"/>
  <c r="E451" i="6"/>
  <c r="E452" i="6"/>
  <c r="E453" i="6"/>
  <c r="E454" i="6"/>
  <c r="E455" i="6"/>
  <c r="E456" i="6"/>
  <c r="E457" i="6"/>
  <c r="E458" i="6"/>
  <c r="E459" i="6"/>
  <c r="E460" i="6"/>
  <c r="E461" i="6"/>
  <c r="E462" i="6"/>
  <c r="E463" i="6"/>
  <c r="E464" i="6"/>
  <c r="E465" i="6"/>
  <c r="E466" i="6"/>
  <c r="E467" i="6"/>
  <c r="E468" i="6"/>
  <c r="E469" i="6"/>
  <c r="E470" i="6"/>
  <c r="E471" i="6"/>
  <c r="E472" i="6"/>
  <c r="E473" i="6"/>
  <c r="E474" i="6"/>
  <c r="E475" i="6"/>
  <c r="E476" i="6"/>
  <c r="E477" i="6"/>
  <c r="E478" i="6"/>
  <c r="E479" i="6"/>
  <c r="E480" i="6"/>
  <c r="E481" i="6"/>
  <c r="E482" i="6"/>
  <c r="E483" i="6"/>
  <c r="E484" i="6"/>
  <c r="E485" i="6"/>
  <c r="E486" i="6"/>
  <c r="E487" i="6"/>
  <c r="E488" i="6"/>
  <c r="E489" i="6"/>
  <c r="E490" i="6"/>
  <c r="E491" i="6"/>
  <c r="E492" i="6"/>
  <c r="E493" i="6"/>
  <c r="E494" i="6"/>
  <c r="E495" i="6"/>
  <c r="E496" i="6"/>
  <c r="E497" i="6"/>
  <c r="E498" i="6"/>
  <c r="E499" i="6"/>
  <c r="E500" i="6"/>
  <c r="E501" i="6"/>
  <c r="E502" i="6"/>
  <c r="E503" i="6"/>
  <c r="E504" i="6"/>
  <c r="E505" i="6"/>
  <c r="E506" i="6"/>
  <c r="E507" i="6"/>
  <c r="E508" i="6"/>
  <c r="E509" i="6"/>
  <c r="E510" i="6"/>
  <c r="E511" i="6"/>
  <c r="E512" i="6"/>
  <c r="E513" i="6"/>
  <c r="E514" i="6"/>
  <c r="E515" i="6"/>
  <c r="E516" i="6"/>
  <c r="E517" i="6"/>
  <c r="E518" i="6"/>
  <c r="E519" i="6"/>
  <c r="E520" i="6"/>
  <c r="E521" i="6"/>
  <c r="E522" i="6"/>
  <c r="E523" i="6"/>
  <c r="E524" i="6"/>
  <c r="E525" i="6"/>
  <c r="E526" i="6"/>
  <c r="E527" i="6"/>
  <c r="E528" i="6"/>
  <c r="E529" i="6"/>
  <c r="E530" i="6"/>
  <c r="E531" i="6"/>
  <c r="E532" i="6"/>
  <c r="E533" i="6"/>
  <c r="E534" i="6"/>
  <c r="E535" i="6"/>
  <c r="E536" i="6"/>
  <c r="E537" i="6"/>
  <c r="E538" i="6"/>
  <c r="E539" i="6"/>
  <c r="E540" i="6"/>
  <c r="E541" i="6"/>
  <c r="E542" i="6"/>
  <c r="E543" i="6"/>
  <c r="E544" i="6"/>
  <c r="E545" i="6"/>
  <c r="E546" i="6"/>
  <c r="E547" i="6"/>
  <c r="E548" i="6"/>
  <c r="E549" i="6"/>
  <c r="E550" i="6"/>
  <c r="E551" i="6"/>
  <c r="E552" i="6"/>
  <c r="E553" i="6"/>
  <c r="E554" i="6"/>
  <c r="E555" i="6"/>
  <c r="E556" i="6"/>
  <c r="E557" i="6"/>
  <c r="E558" i="6"/>
  <c r="E559" i="6"/>
  <c r="E560" i="6"/>
  <c r="E561" i="6"/>
  <c r="E562" i="6"/>
  <c r="E563" i="6"/>
  <c r="E564" i="6"/>
  <c r="E565" i="6"/>
  <c r="E566" i="6"/>
  <c r="E567" i="6"/>
  <c r="E568" i="6"/>
  <c r="E569" i="6"/>
  <c r="E570" i="6"/>
  <c r="E571" i="6"/>
  <c r="E572" i="6"/>
  <c r="E573" i="6"/>
  <c r="E574" i="6"/>
  <c r="E575" i="6"/>
  <c r="E576" i="6"/>
  <c r="E577" i="6"/>
  <c r="E578" i="6"/>
  <c r="E579" i="6"/>
  <c r="E580" i="6"/>
  <c r="E581" i="6"/>
  <c r="E582" i="6"/>
  <c r="E583" i="6"/>
  <c r="E584" i="6"/>
  <c r="E585" i="6"/>
  <c r="E586" i="6"/>
  <c r="E587" i="6"/>
  <c r="E588" i="6"/>
  <c r="E589" i="6"/>
  <c r="E590" i="6"/>
  <c r="E591" i="6"/>
  <c r="E592" i="6"/>
  <c r="E593" i="6"/>
  <c r="E594" i="6"/>
  <c r="E595" i="6"/>
  <c r="E596" i="6"/>
  <c r="E597" i="6"/>
  <c r="E598" i="6"/>
  <c r="E599" i="6"/>
  <c r="E600" i="6"/>
  <c r="E601" i="6"/>
  <c r="E602" i="6"/>
  <c r="E603" i="6"/>
  <c r="E604" i="6"/>
  <c r="E605" i="6"/>
  <c r="E606" i="6"/>
  <c r="E607" i="6"/>
  <c r="E608" i="6"/>
  <c r="E609" i="6"/>
  <c r="E610" i="6"/>
  <c r="E611" i="6"/>
  <c r="E612" i="6"/>
  <c r="E613" i="6"/>
  <c r="E614" i="6"/>
  <c r="E615" i="6"/>
  <c r="E616" i="6"/>
  <c r="E617" i="6"/>
  <c r="E618" i="6"/>
  <c r="E619" i="6"/>
  <c r="E620" i="6"/>
  <c r="E621" i="6"/>
  <c r="E622" i="6"/>
  <c r="E623" i="6"/>
  <c r="E624" i="6"/>
  <c r="E625" i="6"/>
  <c r="E626" i="6"/>
  <c r="E627" i="6"/>
  <c r="E628" i="6"/>
  <c r="E629" i="6"/>
  <c r="E630" i="6"/>
  <c r="E631" i="6"/>
  <c r="E632" i="6"/>
  <c r="E633" i="6"/>
  <c r="E634" i="6"/>
  <c r="E635" i="6"/>
  <c r="E636" i="6"/>
  <c r="E637" i="6"/>
  <c r="E638" i="6"/>
  <c r="E639" i="6"/>
  <c r="E640" i="6"/>
  <c r="E641" i="6"/>
  <c r="E642" i="6"/>
  <c r="E643" i="6"/>
  <c r="E644" i="6"/>
  <c r="E645" i="6"/>
  <c r="E646" i="6"/>
  <c r="E647" i="6"/>
  <c r="E648" i="6"/>
  <c r="E649" i="6"/>
  <c r="E650" i="6"/>
  <c r="E651" i="6"/>
  <c r="E652" i="6"/>
  <c r="E653" i="6"/>
  <c r="E654" i="6"/>
  <c r="E655" i="6"/>
  <c r="E656" i="6"/>
  <c r="E657" i="6"/>
  <c r="E658" i="6"/>
  <c r="E659" i="6"/>
  <c r="E660" i="6"/>
  <c r="E661" i="6"/>
  <c r="E662" i="6"/>
  <c r="E663" i="6"/>
  <c r="E664" i="6"/>
  <c r="E665" i="6"/>
  <c r="E666" i="6"/>
  <c r="E667" i="6"/>
  <c r="E668" i="6"/>
  <c r="E669" i="6"/>
  <c r="E670" i="6"/>
  <c r="E671" i="6"/>
  <c r="E672" i="6"/>
  <c r="E673" i="6"/>
  <c r="E674" i="6"/>
  <c r="E675" i="6"/>
  <c r="E676" i="6"/>
  <c r="E677" i="6"/>
  <c r="E678" i="6"/>
  <c r="E679" i="6"/>
  <c r="E680" i="6"/>
  <c r="E681" i="6"/>
  <c r="E682" i="6"/>
  <c r="E683" i="6"/>
  <c r="E684" i="6"/>
  <c r="E685" i="6"/>
  <c r="E686" i="6"/>
  <c r="E687" i="6"/>
  <c r="E688" i="6"/>
  <c r="E689" i="6"/>
  <c r="E690" i="6"/>
  <c r="E691" i="6"/>
  <c r="E692" i="6"/>
  <c r="E693" i="6"/>
  <c r="E694" i="6"/>
  <c r="E695" i="6"/>
  <c r="E696" i="6"/>
  <c r="E697" i="6"/>
  <c r="E698" i="6"/>
  <c r="E699" i="6"/>
  <c r="E700" i="6"/>
  <c r="E701" i="6"/>
  <c r="E702" i="6"/>
  <c r="E703" i="6"/>
  <c r="E704" i="6"/>
  <c r="E705" i="6"/>
  <c r="E706" i="6"/>
  <c r="E707" i="6"/>
  <c r="E708" i="6"/>
  <c r="E709" i="6"/>
  <c r="E710" i="6"/>
  <c r="E711" i="6"/>
  <c r="E712" i="6"/>
  <c r="E713" i="6"/>
  <c r="E714" i="6"/>
  <c r="E715" i="6"/>
  <c r="E716" i="6"/>
  <c r="E717" i="6"/>
  <c r="E718" i="6"/>
  <c r="E719" i="6"/>
  <c r="E720" i="6"/>
  <c r="E721" i="6"/>
  <c r="E722" i="6"/>
  <c r="E723" i="6"/>
  <c r="E724" i="6"/>
  <c r="E725" i="6"/>
  <c r="E726" i="6"/>
  <c r="E727" i="6"/>
  <c r="E728" i="6"/>
  <c r="E729" i="6"/>
  <c r="E730" i="6"/>
  <c r="E731" i="6"/>
  <c r="E732" i="6"/>
  <c r="E733" i="6"/>
  <c r="E734" i="6"/>
  <c r="E735" i="6"/>
  <c r="E736" i="6"/>
  <c r="E737" i="6"/>
  <c r="E738" i="6"/>
  <c r="E739" i="6"/>
  <c r="E740" i="6"/>
  <c r="E741" i="6"/>
  <c r="E742" i="6"/>
  <c r="E743" i="6"/>
  <c r="E744" i="6"/>
  <c r="E745" i="6"/>
  <c r="E746" i="6"/>
  <c r="E747" i="6"/>
  <c r="E748" i="6"/>
  <c r="E749" i="6"/>
  <c r="E750" i="6"/>
  <c r="E751" i="6"/>
  <c r="E752" i="6"/>
  <c r="E753" i="6"/>
  <c r="E754" i="6"/>
  <c r="E755" i="6"/>
  <c r="E756" i="6"/>
  <c r="E757" i="6"/>
  <c r="E758" i="6"/>
  <c r="E759" i="6"/>
  <c r="E760" i="6"/>
  <c r="E761" i="6"/>
  <c r="E762" i="6"/>
  <c r="E763" i="6"/>
  <c r="E764" i="6"/>
  <c r="E765" i="6"/>
  <c r="E766" i="6"/>
  <c r="E767" i="6"/>
  <c r="E768" i="6"/>
  <c r="E769" i="6"/>
  <c r="E770" i="6"/>
  <c r="E771" i="6"/>
  <c r="E772" i="6"/>
  <c r="E773" i="6"/>
  <c r="E774" i="6"/>
  <c r="E775" i="6"/>
  <c r="E776" i="6"/>
  <c r="E777" i="6"/>
  <c r="E778" i="6"/>
  <c r="E779" i="6"/>
  <c r="E780" i="6"/>
  <c r="E781" i="6"/>
  <c r="E782" i="6"/>
  <c r="E783" i="6"/>
  <c r="E784" i="6"/>
  <c r="E785" i="6"/>
  <c r="E786" i="6"/>
  <c r="E787" i="6"/>
  <c r="E788" i="6"/>
  <c r="E789" i="6"/>
  <c r="E790" i="6"/>
  <c r="E791" i="6"/>
  <c r="E792" i="6"/>
  <c r="E793" i="6"/>
  <c r="E794" i="6"/>
  <c r="E795" i="6"/>
  <c r="E796" i="6"/>
  <c r="E797" i="6"/>
  <c r="E798" i="6"/>
  <c r="E799" i="6"/>
  <c r="E800" i="6"/>
  <c r="E801" i="6"/>
  <c r="E802" i="6"/>
  <c r="E803" i="6"/>
  <c r="E804" i="6"/>
  <c r="E805" i="6"/>
  <c r="E806" i="6"/>
  <c r="E807" i="6"/>
  <c r="E808" i="6"/>
  <c r="E809" i="6"/>
  <c r="E810" i="6"/>
  <c r="E811" i="6"/>
  <c r="E812" i="6"/>
  <c r="E813" i="6"/>
  <c r="E814" i="6"/>
  <c r="E815" i="6"/>
  <c r="E816" i="6"/>
  <c r="E817" i="6"/>
  <c r="E818" i="6"/>
  <c r="E819" i="6"/>
  <c r="E820" i="6"/>
  <c r="E821" i="6"/>
  <c r="E822" i="6"/>
  <c r="E823" i="6"/>
  <c r="E824" i="6"/>
  <c r="E825" i="6"/>
  <c r="E826" i="6"/>
  <c r="E827" i="6"/>
  <c r="E828" i="6"/>
  <c r="E829" i="6"/>
  <c r="E830" i="6"/>
  <c r="E831" i="6"/>
  <c r="E832" i="6"/>
  <c r="E833" i="6"/>
  <c r="E834" i="6"/>
  <c r="E835" i="6"/>
  <c r="E836" i="6"/>
  <c r="E837" i="6"/>
  <c r="E838" i="6"/>
  <c r="E839" i="6"/>
  <c r="E840" i="6"/>
  <c r="E841" i="6"/>
  <c r="E842" i="6"/>
  <c r="E843" i="6"/>
  <c r="E844" i="6"/>
  <c r="E845" i="6"/>
  <c r="E846" i="6"/>
  <c r="E847" i="6"/>
  <c r="E848" i="6"/>
  <c r="E849" i="6"/>
  <c r="E850" i="6"/>
  <c r="E851" i="6"/>
  <c r="E852" i="6"/>
  <c r="E853" i="6"/>
  <c r="E854" i="6"/>
  <c r="E855" i="6"/>
  <c r="E856" i="6"/>
  <c r="E857" i="6"/>
  <c r="E858" i="6"/>
  <c r="E859" i="6"/>
  <c r="E860" i="6"/>
  <c r="E861" i="6"/>
  <c r="E862" i="6"/>
  <c r="E863" i="6"/>
  <c r="E864" i="6"/>
  <c r="E865" i="6"/>
  <c r="E866" i="6"/>
  <c r="E867" i="6"/>
  <c r="E868" i="6"/>
  <c r="E869" i="6"/>
  <c r="E870" i="6"/>
  <c r="E871" i="6"/>
  <c r="E872" i="6"/>
  <c r="E873" i="6"/>
  <c r="E874" i="6"/>
  <c r="E875" i="6"/>
  <c r="E876" i="6"/>
  <c r="E877" i="6"/>
  <c r="E878" i="6"/>
  <c r="E879" i="6"/>
  <c r="E880" i="6"/>
  <c r="E881" i="6"/>
  <c r="E882" i="6"/>
  <c r="E883" i="6"/>
  <c r="E884" i="6"/>
  <c r="E885" i="6"/>
  <c r="E886" i="6"/>
  <c r="E887" i="6"/>
  <c r="E888" i="6"/>
  <c r="E889" i="6"/>
  <c r="E890" i="6"/>
  <c r="E891" i="6"/>
  <c r="E892" i="6"/>
  <c r="E893" i="6"/>
  <c r="E894" i="6"/>
  <c r="E895" i="6"/>
  <c r="E896" i="6"/>
  <c r="E897" i="6"/>
  <c r="E898" i="6"/>
  <c r="E899" i="6"/>
  <c r="E900" i="6"/>
  <c r="E901" i="6"/>
  <c r="E902" i="6"/>
  <c r="E903" i="6"/>
  <c r="E904" i="6"/>
  <c r="E905" i="6"/>
  <c r="E906" i="6"/>
  <c r="E907" i="6"/>
  <c r="E908" i="6"/>
  <c r="E909" i="6"/>
  <c r="E910" i="6"/>
  <c r="E911" i="6"/>
  <c r="E912" i="6"/>
  <c r="E913" i="6"/>
  <c r="E914" i="6"/>
  <c r="E915" i="6"/>
  <c r="E916" i="6"/>
  <c r="E917" i="6"/>
  <c r="E918" i="6"/>
  <c r="E919" i="6"/>
  <c r="E920" i="6"/>
  <c r="E921" i="6"/>
  <c r="E922" i="6"/>
  <c r="E923" i="6"/>
  <c r="E924" i="6"/>
  <c r="E925" i="6"/>
  <c r="E926" i="6"/>
  <c r="E927" i="6"/>
  <c r="E928" i="6"/>
  <c r="E929" i="6"/>
  <c r="E930" i="6"/>
  <c r="E931" i="6"/>
  <c r="E932" i="6"/>
  <c r="E933" i="6"/>
  <c r="E934" i="6"/>
  <c r="E935" i="6"/>
  <c r="E936" i="6"/>
  <c r="E937" i="6"/>
  <c r="E938" i="6"/>
  <c r="E939" i="6"/>
  <c r="E940" i="6"/>
  <c r="E941" i="6"/>
  <c r="E942" i="6"/>
  <c r="E943" i="6"/>
  <c r="E944" i="6"/>
  <c r="E945" i="6"/>
  <c r="E946" i="6"/>
  <c r="E947" i="6"/>
  <c r="E948" i="6"/>
  <c r="E949" i="6"/>
  <c r="E950" i="6"/>
  <c r="E951" i="6"/>
  <c r="E952" i="6"/>
  <c r="E953" i="6"/>
  <c r="E954" i="6"/>
  <c r="E955" i="6"/>
  <c r="E956" i="6"/>
  <c r="E957" i="6"/>
  <c r="E958" i="6"/>
  <c r="E959" i="6"/>
  <c r="E960" i="6"/>
  <c r="E961" i="6"/>
  <c r="E962" i="6"/>
  <c r="E963" i="6"/>
  <c r="E964" i="6"/>
  <c r="E965" i="6"/>
  <c r="E966" i="6"/>
  <c r="E967" i="6"/>
  <c r="E968" i="6"/>
  <c r="E969" i="6"/>
  <c r="E970" i="6"/>
  <c r="E971" i="6"/>
  <c r="E972" i="6"/>
  <c r="E973" i="6"/>
  <c r="E974" i="6"/>
  <c r="E975" i="6"/>
  <c r="E976" i="6"/>
  <c r="E977" i="6"/>
  <c r="E978" i="6"/>
  <c r="E979" i="6"/>
  <c r="E980" i="6"/>
  <c r="E981" i="6"/>
  <c r="E982" i="6"/>
  <c r="E983" i="6"/>
  <c r="E984" i="6"/>
  <c r="E985" i="6"/>
  <c r="E986" i="6"/>
  <c r="E987" i="6"/>
  <c r="E988" i="6"/>
  <c r="E989" i="6"/>
  <c r="E990" i="6"/>
  <c r="E991" i="6"/>
  <c r="E992" i="6"/>
  <c r="E993" i="6"/>
  <c r="E994" i="6"/>
  <c r="E995" i="6"/>
  <c r="E996" i="6"/>
  <c r="E997" i="6"/>
  <c r="E998" i="6"/>
  <c r="E999" i="6"/>
  <c r="E1000" i="6"/>
  <c r="E1001" i="6"/>
  <c r="E1002" i="6"/>
  <c r="E1003" i="6"/>
  <c r="E1004" i="6"/>
  <c r="E1005" i="6"/>
  <c r="E1006" i="6"/>
  <c r="E1007" i="6"/>
  <c r="E1008" i="6"/>
  <c r="E1009" i="6"/>
  <c r="E1010" i="6"/>
  <c r="E1011" i="6"/>
  <c r="E1012" i="6"/>
  <c r="E1013" i="6"/>
  <c r="E1014" i="6"/>
  <c r="E1015" i="6"/>
  <c r="E1016" i="6"/>
  <c r="E1017" i="6"/>
  <c r="E1018" i="6"/>
  <c r="E1019" i="6"/>
  <c r="E1020" i="6"/>
  <c r="E1021" i="6"/>
  <c r="E1022" i="6"/>
  <c r="E1023" i="6"/>
  <c r="E1024" i="6"/>
  <c r="E1025" i="6"/>
  <c r="E1026" i="6"/>
  <c r="E1027" i="6"/>
  <c r="E1028" i="6"/>
  <c r="E1029" i="6"/>
  <c r="E1030" i="6"/>
  <c r="E1031" i="6"/>
  <c r="E1032" i="6"/>
  <c r="E1033" i="6"/>
  <c r="E1034" i="6"/>
  <c r="E1035" i="6"/>
  <c r="E1036" i="6"/>
  <c r="E1037" i="6"/>
  <c r="E1038" i="6"/>
  <c r="E1039" i="6"/>
  <c r="E1040" i="6"/>
  <c r="E1041" i="6"/>
  <c r="E1042" i="6"/>
  <c r="E1043" i="6"/>
  <c r="E1044" i="6"/>
  <c r="E1045" i="6"/>
  <c r="E1046" i="6"/>
  <c r="E1047" i="6"/>
  <c r="E1048" i="6"/>
  <c r="E1049" i="6"/>
  <c r="E1050" i="6"/>
  <c r="E1051" i="6"/>
  <c r="E1052" i="6"/>
  <c r="E1053" i="6"/>
  <c r="E1054" i="6"/>
  <c r="E1055" i="6"/>
  <c r="E1056" i="6"/>
  <c r="E1057" i="6"/>
  <c r="E1058" i="6"/>
  <c r="E1059" i="6"/>
  <c r="E1060" i="6"/>
  <c r="E1061" i="6"/>
  <c r="E1062" i="6"/>
  <c r="E1063" i="6"/>
  <c r="E1064" i="6"/>
  <c r="E1065" i="6"/>
  <c r="E1066" i="6"/>
  <c r="E1067" i="6"/>
  <c r="E1068" i="6"/>
  <c r="E1069" i="6"/>
  <c r="E1070" i="6"/>
  <c r="E1071" i="6"/>
  <c r="E1072" i="6"/>
  <c r="E1073" i="6"/>
  <c r="E1074" i="6"/>
  <c r="E1075" i="6"/>
  <c r="E1076" i="6"/>
  <c r="E1077" i="6"/>
  <c r="E1078" i="6"/>
  <c r="E1079" i="6"/>
  <c r="E1080" i="6"/>
  <c r="E1081" i="6"/>
  <c r="E1082" i="6"/>
  <c r="E1083" i="6"/>
  <c r="E1084" i="6"/>
  <c r="E1085" i="6"/>
  <c r="E1086" i="6"/>
  <c r="E1087" i="6"/>
  <c r="E1088" i="6"/>
  <c r="E1089" i="6"/>
  <c r="E1090" i="6"/>
  <c r="E1091" i="6"/>
  <c r="E1092" i="6"/>
  <c r="E1093" i="6"/>
  <c r="E1094" i="6"/>
  <c r="E1095" i="6"/>
  <c r="E1096" i="6"/>
  <c r="E1097" i="6"/>
  <c r="E1098" i="6"/>
  <c r="E1099" i="6"/>
  <c r="E1100" i="6"/>
  <c r="E1101" i="6"/>
  <c r="E1102" i="6"/>
  <c r="E1103" i="6"/>
  <c r="E1104" i="6"/>
  <c r="E1105" i="6"/>
  <c r="E1106" i="6"/>
  <c r="E1107" i="6"/>
  <c r="E1108" i="6"/>
  <c r="E1109" i="6"/>
  <c r="E1110" i="6"/>
  <c r="E1111" i="6"/>
  <c r="E1112" i="6"/>
  <c r="E1113" i="6"/>
  <c r="E1114" i="6"/>
  <c r="E1115" i="6"/>
  <c r="E1116" i="6"/>
  <c r="E1117" i="6"/>
  <c r="E1118" i="6"/>
  <c r="E1119" i="6"/>
  <c r="E2" i="6"/>
  <c r="C15" i="60" s="1"/>
  <c r="I16" i="60" s="1"/>
  <c r="S4" i="6"/>
  <c r="S3" i="6"/>
  <c r="C18" i="60" l="1"/>
  <c r="K20" i="60"/>
  <c r="C20" i="60" s="1"/>
  <c r="R64" i="16"/>
  <c r="R63" i="16"/>
  <c r="Q64" i="16"/>
  <c r="Q63" i="16"/>
  <c r="P64" i="16"/>
  <c r="P63" i="16"/>
  <c r="P62" i="16"/>
  <c r="P61" i="16"/>
  <c r="I60" i="16" l="1"/>
  <c r="F14" i="40"/>
  <c r="F14" i="44"/>
  <c r="F15" i="34"/>
  <c r="F20" i="37" a="1"/>
  <c r="F20" i="37" s="1"/>
  <c r="H4" i="56"/>
  <c r="E17" i="57" l="1"/>
  <c r="O1" i="57"/>
  <c r="C19" i="53"/>
  <c r="C18" i="53" l="1"/>
  <c r="F20" i="52" a="1"/>
  <c r="F20" i="52" s="1"/>
  <c r="H9" i="54"/>
  <c r="I9" i="54"/>
  <c r="J9" i="54"/>
  <c r="K9" i="54"/>
  <c r="L9" i="54"/>
  <c r="M9" i="54"/>
  <c r="H10" i="54"/>
  <c r="I10" i="54"/>
  <c r="J10" i="54"/>
  <c r="K10" i="54"/>
  <c r="L10" i="54"/>
  <c r="M10" i="54"/>
  <c r="H11" i="54"/>
  <c r="I11" i="54"/>
  <c r="J11" i="54"/>
  <c r="K11" i="54"/>
  <c r="L11" i="54"/>
  <c r="M11" i="54"/>
  <c r="H12" i="54"/>
  <c r="I12" i="54"/>
  <c r="J12" i="54"/>
  <c r="K12" i="54"/>
  <c r="L12" i="54"/>
  <c r="M12" i="54"/>
  <c r="H13" i="54"/>
  <c r="I13" i="54"/>
  <c r="J13" i="54"/>
  <c r="K13" i="54"/>
  <c r="L13" i="54"/>
  <c r="M13" i="54"/>
  <c r="H14" i="54"/>
  <c r="I14" i="54"/>
  <c r="J14" i="54"/>
  <c r="K14" i="54"/>
  <c r="L14" i="54"/>
  <c r="M14" i="54"/>
  <c r="H15" i="54"/>
  <c r="I15" i="54"/>
  <c r="J15" i="54"/>
  <c r="K15" i="54"/>
  <c r="L15" i="54"/>
  <c r="M15" i="54"/>
  <c r="H16" i="54"/>
  <c r="I16" i="54"/>
  <c r="J16" i="54"/>
  <c r="K16" i="54"/>
  <c r="L16" i="54"/>
  <c r="M16" i="54"/>
  <c r="H17" i="54"/>
  <c r="I17" i="54"/>
  <c r="J17" i="54"/>
  <c r="K17" i="54"/>
  <c r="L17" i="54"/>
  <c r="M17" i="54"/>
  <c r="H18" i="54"/>
  <c r="I18" i="54"/>
  <c r="J18" i="54"/>
  <c r="K18" i="54"/>
  <c r="L18" i="54"/>
  <c r="M18" i="54"/>
  <c r="H19" i="54"/>
  <c r="I19" i="54"/>
  <c r="J19" i="54"/>
  <c r="K19" i="54"/>
  <c r="L19" i="54"/>
  <c r="M19" i="54"/>
  <c r="H20" i="54"/>
  <c r="I20" i="54"/>
  <c r="J20" i="54"/>
  <c r="K20" i="54"/>
  <c r="L20" i="54"/>
  <c r="M20" i="54"/>
  <c r="H21" i="54"/>
  <c r="I21" i="54"/>
  <c r="J21" i="54"/>
  <c r="K21" i="54"/>
  <c r="L21" i="54"/>
  <c r="M21" i="54"/>
  <c r="H22" i="54"/>
  <c r="I22" i="54"/>
  <c r="J22" i="54"/>
  <c r="K22" i="54"/>
  <c r="L22" i="54"/>
  <c r="M22" i="54"/>
  <c r="H23" i="54"/>
  <c r="I23" i="54"/>
  <c r="J23" i="54"/>
  <c r="K23" i="54"/>
  <c r="L23" i="54"/>
  <c r="M23" i="54"/>
  <c r="H24" i="54"/>
  <c r="I24" i="54"/>
  <c r="J24" i="54"/>
  <c r="K24" i="54"/>
  <c r="L24" i="54"/>
  <c r="M24" i="54"/>
  <c r="H25" i="54"/>
  <c r="I25" i="54"/>
  <c r="J25" i="54"/>
  <c r="K25" i="54"/>
  <c r="L25" i="54"/>
  <c r="M25" i="54"/>
  <c r="H26" i="54"/>
  <c r="I26" i="54"/>
  <c r="J26" i="54"/>
  <c r="K26" i="54"/>
  <c r="L26" i="54"/>
  <c r="M26" i="54"/>
  <c r="H27" i="54"/>
  <c r="I27" i="54"/>
  <c r="J27" i="54"/>
  <c r="K27" i="54"/>
  <c r="L27" i="54"/>
  <c r="M27" i="54"/>
  <c r="H28" i="54"/>
  <c r="I28" i="54"/>
  <c r="J28" i="54"/>
  <c r="K28" i="54"/>
  <c r="L28" i="54"/>
  <c r="M28" i="54"/>
  <c r="H29" i="54"/>
  <c r="I29" i="54"/>
  <c r="J29" i="54"/>
  <c r="K29" i="54"/>
  <c r="L29" i="54"/>
  <c r="M29" i="54"/>
  <c r="H30" i="54"/>
  <c r="I30" i="54"/>
  <c r="J30" i="54"/>
  <c r="K30" i="54"/>
  <c r="L30" i="54"/>
  <c r="M30" i="54"/>
  <c r="H31" i="54"/>
  <c r="I31" i="54"/>
  <c r="J31" i="54"/>
  <c r="K31" i="54"/>
  <c r="L31" i="54"/>
  <c r="M31" i="54"/>
  <c r="H32" i="54"/>
  <c r="I32" i="54"/>
  <c r="J32" i="54"/>
  <c r="K32" i="54"/>
  <c r="L32" i="54"/>
  <c r="M32" i="54"/>
  <c r="H33" i="54"/>
  <c r="I33" i="54"/>
  <c r="J33" i="54"/>
  <c r="K33" i="54"/>
  <c r="L33" i="54"/>
  <c r="M33" i="54"/>
  <c r="H34" i="54"/>
  <c r="I34" i="54"/>
  <c r="J34" i="54"/>
  <c r="K34" i="54"/>
  <c r="L34" i="54"/>
  <c r="M34" i="54"/>
  <c r="H35" i="54"/>
  <c r="I35" i="54"/>
  <c r="J35" i="54"/>
  <c r="K35" i="54"/>
  <c r="L35" i="54"/>
  <c r="M35" i="54"/>
  <c r="H36" i="54"/>
  <c r="I36" i="54"/>
  <c r="J36" i="54"/>
  <c r="K36" i="54"/>
  <c r="L36" i="54"/>
  <c r="M36" i="54"/>
  <c r="H37" i="54"/>
  <c r="I37" i="54"/>
  <c r="J37" i="54"/>
  <c r="K37" i="54"/>
  <c r="L37" i="54"/>
  <c r="M37" i="54"/>
  <c r="H38" i="54"/>
  <c r="I38" i="54"/>
  <c r="J38" i="54"/>
  <c r="K38" i="54"/>
  <c r="L38" i="54"/>
  <c r="M38" i="54"/>
  <c r="H39" i="54"/>
  <c r="I39" i="54"/>
  <c r="J39" i="54"/>
  <c r="K39" i="54"/>
  <c r="L39" i="54"/>
  <c r="M39" i="54"/>
  <c r="H40" i="54"/>
  <c r="I40" i="54"/>
  <c r="J40" i="54"/>
  <c r="K40" i="54"/>
  <c r="L40" i="54"/>
  <c r="M40" i="54"/>
  <c r="H41" i="54"/>
  <c r="I41" i="54"/>
  <c r="J41" i="54"/>
  <c r="K41" i="54"/>
  <c r="L41" i="54"/>
  <c r="M41" i="54"/>
  <c r="H42" i="54"/>
  <c r="I42" i="54"/>
  <c r="J42" i="54"/>
  <c r="K42" i="54"/>
  <c r="L42" i="54"/>
  <c r="M42" i="54"/>
  <c r="H43" i="54"/>
  <c r="I43" i="54"/>
  <c r="J43" i="54"/>
  <c r="K43" i="54"/>
  <c r="L43" i="54"/>
  <c r="M43" i="54"/>
  <c r="H44" i="54"/>
  <c r="I44" i="54"/>
  <c r="J44" i="54"/>
  <c r="K44" i="54"/>
  <c r="L44" i="54"/>
  <c r="M44" i="54"/>
  <c r="H45" i="54"/>
  <c r="I45" i="54"/>
  <c r="J45" i="54"/>
  <c r="K45" i="54"/>
  <c r="L45" i="54"/>
  <c r="M45" i="54"/>
  <c r="H46" i="54"/>
  <c r="I46" i="54"/>
  <c r="J46" i="54"/>
  <c r="K46" i="54"/>
  <c r="L46" i="54"/>
  <c r="M46" i="54"/>
  <c r="H47" i="54"/>
  <c r="I47" i="54"/>
  <c r="J47" i="54"/>
  <c r="K47" i="54"/>
  <c r="L47" i="54"/>
  <c r="M47" i="54"/>
  <c r="H48" i="54"/>
  <c r="I48" i="54"/>
  <c r="J48" i="54"/>
  <c r="K48" i="54"/>
  <c r="L48" i="54"/>
  <c r="M48" i="54"/>
  <c r="H49" i="54"/>
  <c r="I49" i="54"/>
  <c r="J49" i="54"/>
  <c r="K49" i="54"/>
  <c r="L49" i="54"/>
  <c r="M49" i="54"/>
  <c r="H50" i="54"/>
  <c r="I50" i="54"/>
  <c r="J50" i="54"/>
  <c r="K50" i="54"/>
  <c r="L50" i="54"/>
  <c r="M50" i="54"/>
  <c r="H51" i="54"/>
  <c r="I51" i="54"/>
  <c r="J51" i="54"/>
  <c r="K51" i="54"/>
  <c r="L51" i="54"/>
  <c r="M51" i="54"/>
  <c r="H52" i="54"/>
  <c r="I52" i="54"/>
  <c r="J52" i="54"/>
  <c r="K52" i="54"/>
  <c r="L52" i="54"/>
  <c r="M52" i="54"/>
  <c r="H53" i="54"/>
  <c r="I53" i="54"/>
  <c r="J53" i="54"/>
  <c r="K53" i="54"/>
  <c r="L53" i="54"/>
  <c r="M53" i="54"/>
  <c r="H54" i="54"/>
  <c r="I54" i="54"/>
  <c r="J54" i="54"/>
  <c r="K54" i="54"/>
  <c r="L54" i="54"/>
  <c r="M54" i="54"/>
  <c r="H55" i="54"/>
  <c r="I55" i="54"/>
  <c r="J55" i="54"/>
  <c r="K55" i="54"/>
  <c r="L55" i="54"/>
  <c r="M55" i="54"/>
  <c r="I8" i="54"/>
  <c r="J8" i="54"/>
  <c r="K8" i="54"/>
  <c r="L8" i="54"/>
  <c r="M8" i="54"/>
  <c r="H8" i="54"/>
  <c r="C14" i="53"/>
  <c r="C12" i="53"/>
  <c r="C11" i="53"/>
  <c r="C9" i="53"/>
  <c r="C8" i="53"/>
  <c r="L26" i="57" l="1"/>
  <c r="L27" i="57"/>
  <c r="L22" i="57"/>
  <c r="L24" i="57"/>
  <c r="L20" i="57"/>
  <c r="L28" i="57"/>
  <c r="L30" i="57"/>
  <c r="L19" i="57"/>
  <c r="C33" i="53" s="1"/>
  <c r="L21" i="57"/>
  <c r="L29" i="57"/>
  <c r="L23" i="57"/>
  <c r="L25" i="57"/>
  <c r="E26" i="53"/>
  <c r="A35" i="53"/>
  <c r="A17" i="53"/>
  <c r="D14" i="53"/>
  <c r="L25" i="52"/>
  <c r="L24" i="52"/>
  <c r="L23" i="52"/>
  <c r="C23" i="52" a="1"/>
  <c r="C23" i="52" s="1"/>
  <c r="D22" i="52"/>
  <c r="N21" i="52"/>
  <c r="N20" i="52"/>
  <c r="N19" i="52"/>
  <c r="F14" i="52" s="1" a="1"/>
  <c r="F14" i="52" s="1"/>
  <c r="A2" i="54" s="1"/>
  <c r="L19" i="52"/>
  <c r="L18" i="52"/>
  <c r="I19" i="52"/>
  <c r="L17" i="52"/>
  <c r="L16" i="52"/>
  <c r="D14" i="52"/>
  <c r="B12" i="53" s="1"/>
  <c r="F15" i="53" s="1" a="1"/>
  <c r="F15" i="53" s="1"/>
  <c r="L12" i="52"/>
  <c r="F12" i="52"/>
  <c r="L11" i="52"/>
  <c r="L10" i="52"/>
  <c r="H1" i="52"/>
  <c r="I7" i="4"/>
  <c r="E18" i="52" l="1"/>
  <c r="C13" i="53"/>
  <c r="A3" i="54"/>
  <c r="I18" i="52" s="1"/>
  <c r="H18" i="52" s="1"/>
  <c r="E19" i="52" a="1"/>
  <c r="E19" i="52" s="1"/>
  <c r="AA4" i="52"/>
  <c r="L13" i="52"/>
  <c r="I9" i="51"/>
  <c r="J9" i="51"/>
  <c r="K9" i="51"/>
  <c r="L9" i="51"/>
  <c r="M9" i="51"/>
  <c r="N9" i="51"/>
  <c r="I10" i="51"/>
  <c r="J10" i="51"/>
  <c r="K10" i="51"/>
  <c r="L10" i="51"/>
  <c r="M10" i="51"/>
  <c r="N10" i="51"/>
  <c r="I11" i="51"/>
  <c r="J11" i="51"/>
  <c r="K11" i="51"/>
  <c r="L11" i="51"/>
  <c r="M11" i="51"/>
  <c r="N11" i="51"/>
  <c r="I12" i="51"/>
  <c r="J12" i="51"/>
  <c r="K12" i="51"/>
  <c r="L12" i="51"/>
  <c r="M12" i="51"/>
  <c r="N12" i="51"/>
  <c r="I13" i="51"/>
  <c r="J13" i="51"/>
  <c r="K13" i="51"/>
  <c r="L13" i="51"/>
  <c r="M13" i="51"/>
  <c r="N13" i="51"/>
  <c r="I14" i="51"/>
  <c r="J14" i="51"/>
  <c r="K14" i="51"/>
  <c r="L14" i="51"/>
  <c r="M14" i="51"/>
  <c r="N14" i="51"/>
  <c r="I15" i="51"/>
  <c r="J15" i="51"/>
  <c r="K15" i="51"/>
  <c r="L15" i="51"/>
  <c r="M15" i="51"/>
  <c r="N15" i="51"/>
  <c r="I16" i="51"/>
  <c r="J16" i="51"/>
  <c r="K16" i="51"/>
  <c r="L16" i="51"/>
  <c r="M16" i="51"/>
  <c r="N16" i="51"/>
  <c r="I17" i="51"/>
  <c r="J17" i="51"/>
  <c r="K17" i="51"/>
  <c r="L17" i="51"/>
  <c r="M17" i="51"/>
  <c r="N17" i="51"/>
  <c r="I18" i="51"/>
  <c r="J18" i="51"/>
  <c r="K18" i="51"/>
  <c r="L18" i="51"/>
  <c r="M18" i="51"/>
  <c r="N18" i="51"/>
  <c r="I19" i="51"/>
  <c r="J19" i="51"/>
  <c r="K19" i="51"/>
  <c r="L19" i="51"/>
  <c r="M19" i="51"/>
  <c r="N19" i="51"/>
  <c r="I20" i="51"/>
  <c r="J20" i="51"/>
  <c r="K20" i="51"/>
  <c r="L20" i="51"/>
  <c r="M20" i="51"/>
  <c r="N20" i="51"/>
  <c r="I21" i="51"/>
  <c r="J21" i="51"/>
  <c r="K21" i="51"/>
  <c r="L21" i="51"/>
  <c r="M21" i="51"/>
  <c r="N21" i="51"/>
  <c r="I22" i="51"/>
  <c r="J22" i="51"/>
  <c r="K22" i="51"/>
  <c r="L22" i="51"/>
  <c r="M22" i="51"/>
  <c r="N22" i="51"/>
  <c r="I23" i="51"/>
  <c r="J23" i="51"/>
  <c r="K23" i="51"/>
  <c r="L23" i="51"/>
  <c r="M23" i="51"/>
  <c r="N23" i="51"/>
  <c r="I24" i="51"/>
  <c r="J24" i="51"/>
  <c r="K24" i="51"/>
  <c r="L24" i="51"/>
  <c r="M24" i="51"/>
  <c r="N24" i="51"/>
  <c r="I25" i="51"/>
  <c r="J25" i="51"/>
  <c r="K25" i="51"/>
  <c r="L25" i="51"/>
  <c r="M25" i="51"/>
  <c r="N25" i="51"/>
  <c r="I26" i="51"/>
  <c r="J26" i="51"/>
  <c r="K26" i="51"/>
  <c r="L26" i="51"/>
  <c r="M26" i="51"/>
  <c r="N26" i="51"/>
  <c r="I27" i="51"/>
  <c r="J27" i="51"/>
  <c r="K27" i="51"/>
  <c r="L27" i="51"/>
  <c r="M27" i="51"/>
  <c r="N27" i="51"/>
  <c r="I28" i="51"/>
  <c r="J28" i="51"/>
  <c r="K28" i="51"/>
  <c r="L28" i="51"/>
  <c r="M28" i="51"/>
  <c r="N28" i="51"/>
  <c r="I29" i="51"/>
  <c r="J29" i="51"/>
  <c r="K29" i="51"/>
  <c r="L29" i="51"/>
  <c r="M29" i="51"/>
  <c r="N29" i="51"/>
  <c r="I30" i="51"/>
  <c r="J30" i="51"/>
  <c r="K30" i="51"/>
  <c r="L30" i="51"/>
  <c r="M30" i="51"/>
  <c r="N30" i="51"/>
  <c r="I31" i="51"/>
  <c r="J31" i="51"/>
  <c r="K31" i="51"/>
  <c r="L31" i="51"/>
  <c r="M31" i="51"/>
  <c r="N31" i="51"/>
  <c r="I32" i="51"/>
  <c r="J32" i="51"/>
  <c r="K32" i="51"/>
  <c r="L32" i="51"/>
  <c r="M32" i="51"/>
  <c r="N32" i="51"/>
  <c r="I33" i="51"/>
  <c r="J33" i="51"/>
  <c r="K33" i="51"/>
  <c r="L33" i="51"/>
  <c r="M33" i="51"/>
  <c r="N33" i="51"/>
  <c r="I34" i="51"/>
  <c r="J34" i="51"/>
  <c r="K34" i="51"/>
  <c r="L34" i="51"/>
  <c r="M34" i="51"/>
  <c r="N34" i="51"/>
  <c r="I35" i="51"/>
  <c r="J35" i="51"/>
  <c r="K35" i="51"/>
  <c r="L35" i="51"/>
  <c r="M35" i="51"/>
  <c r="N35" i="51"/>
  <c r="I36" i="51"/>
  <c r="J36" i="51"/>
  <c r="K36" i="51"/>
  <c r="L36" i="51"/>
  <c r="M36" i="51"/>
  <c r="N36" i="51"/>
  <c r="I37" i="51"/>
  <c r="J37" i="51"/>
  <c r="K37" i="51"/>
  <c r="L37" i="51"/>
  <c r="M37" i="51"/>
  <c r="N37" i="51"/>
  <c r="I38" i="51"/>
  <c r="J38" i="51"/>
  <c r="K38" i="51"/>
  <c r="L38" i="51"/>
  <c r="M38" i="51"/>
  <c r="N38" i="51"/>
  <c r="I39" i="51"/>
  <c r="J39" i="51"/>
  <c r="K39" i="51"/>
  <c r="L39" i="51"/>
  <c r="M39" i="51"/>
  <c r="N39" i="51"/>
  <c r="I40" i="51"/>
  <c r="J40" i="51"/>
  <c r="K40" i="51"/>
  <c r="L40" i="51"/>
  <c r="M40" i="51"/>
  <c r="N40" i="51"/>
  <c r="I41" i="51"/>
  <c r="J41" i="51"/>
  <c r="K41" i="51"/>
  <c r="L41" i="51"/>
  <c r="M41" i="51"/>
  <c r="N41" i="51"/>
  <c r="I42" i="51"/>
  <c r="J42" i="51"/>
  <c r="K42" i="51"/>
  <c r="L42" i="51"/>
  <c r="M42" i="51"/>
  <c r="N42" i="51"/>
  <c r="I43" i="51"/>
  <c r="J43" i="51"/>
  <c r="K43" i="51"/>
  <c r="L43" i="51"/>
  <c r="M43" i="51"/>
  <c r="N43" i="51"/>
  <c r="I44" i="51"/>
  <c r="J44" i="51"/>
  <c r="K44" i="51"/>
  <c r="L44" i="51"/>
  <c r="M44" i="51"/>
  <c r="N44" i="51"/>
  <c r="I45" i="51"/>
  <c r="J45" i="51"/>
  <c r="K45" i="51"/>
  <c r="L45" i="51"/>
  <c r="M45" i="51"/>
  <c r="N45" i="51"/>
  <c r="I46" i="51"/>
  <c r="J46" i="51"/>
  <c r="K46" i="51"/>
  <c r="L46" i="51"/>
  <c r="M46" i="51"/>
  <c r="N46" i="51"/>
  <c r="I47" i="51"/>
  <c r="J47" i="51"/>
  <c r="K47" i="51"/>
  <c r="L47" i="51"/>
  <c r="M47" i="51"/>
  <c r="N47" i="51"/>
  <c r="I48" i="51"/>
  <c r="J48" i="51"/>
  <c r="K48" i="51"/>
  <c r="L48" i="51"/>
  <c r="M48" i="51"/>
  <c r="N48" i="51"/>
  <c r="I49" i="51"/>
  <c r="J49" i="51"/>
  <c r="K49" i="51"/>
  <c r="L49" i="51"/>
  <c r="M49" i="51"/>
  <c r="N49" i="51"/>
  <c r="I50" i="51"/>
  <c r="J50" i="51"/>
  <c r="K50" i="51"/>
  <c r="L50" i="51"/>
  <c r="M50" i="51"/>
  <c r="N50" i="51"/>
  <c r="I51" i="51"/>
  <c r="J51" i="51"/>
  <c r="K51" i="51"/>
  <c r="L51" i="51"/>
  <c r="M51" i="51"/>
  <c r="N51" i="51"/>
  <c r="I52" i="51"/>
  <c r="J52" i="51"/>
  <c r="K52" i="51"/>
  <c r="L52" i="51"/>
  <c r="M52" i="51"/>
  <c r="N52" i="51"/>
  <c r="I53" i="51"/>
  <c r="J53" i="51"/>
  <c r="K53" i="51"/>
  <c r="L53" i="51"/>
  <c r="M53" i="51"/>
  <c r="N53" i="51"/>
  <c r="I54" i="51"/>
  <c r="J54" i="51"/>
  <c r="K54" i="51"/>
  <c r="L54" i="51"/>
  <c r="M54" i="51"/>
  <c r="N54" i="51"/>
  <c r="I55" i="51"/>
  <c r="J55" i="51"/>
  <c r="K55" i="51"/>
  <c r="L55" i="51"/>
  <c r="M55" i="51"/>
  <c r="N55" i="51"/>
  <c r="J8" i="51"/>
  <c r="K8" i="51"/>
  <c r="L8" i="51"/>
  <c r="M8" i="51"/>
  <c r="N8" i="51"/>
  <c r="I8" i="51"/>
  <c r="C9" i="43"/>
  <c r="C11" i="33"/>
  <c r="C18" i="1"/>
  <c r="C17" i="53" l="1"/>
  <c r="E17" i="53" s="1"/>
  <c r="H19" i="52"/>
  <c r="F21" i="52"/>
  <c r="R4" i="6"/>
  <c r="T4" i="6" s="1"/>
  <c r="R3" i="6"/>
  <c r="T3" i="6" s="1"/>
  <c r="A26" i="43"/>
  <c r="C18" i="49" l="1"/>
  <c r="C14" i="49"/>
  <c r="D14" i="49" s="1"/>
  <c r="D37" i="49" s="1"/>
  <c r="C38" i="49" s="1"/>
  <c r="C12" i="49"/>
  <c r="K29" i="50" s="1"/>
  <c r="C11" i="49"/>
  <c r="C9" i="49"/>
  <c r="C8" i="49"/>
  <c r="E20" i="50"/>
  <c r="L1" i="50"/>
  <c r="A32" i="49"/>
  <c r="J29" i="49"/>
  <c r="E27" i="49"/>
  <c r="J30" i="49"/>
  <c r="A17" i="49"/>
  <c r="D30" i="48"/>
  <c r="D29" i="48"/>
  <c r="D28" i="48"/>
  <c r="D27" i="48"/>
  <c r="L25" i="48"/>
  <c r="L24" i="48"/>
  <c r="L23" i="48"/>
  <c r="C23" i="48" a="1"/>
  <c r="C23" i="48" s="1"/>
  <c r="D22" i="48"/>
  <c r="N21" i="48"/>
  <c r="N20" i="48"/>
  <c r="F14" i="48" s="1" a="1"/>
  <c r="F14" i="48" s="1"/>
  <c r="A2" i="51" s="1"/>
  <c r="N19" i="48"/>
  <c r="L19" i="48"/>
  <c r="L18" i="48"/>
  <c r="I18" i="48"/>
  <c r="I19" i="48" s="1"/>
  <c r="L17" i="48"/>
  <c r="D17" i="48"/>
  <c r="L16" i="48" s="1"/>
  <c r="D14" i="48"/>
  <c r="AA4" i="48" s="1"/>
  <c r="E13" i="48"/>
  <c r="L12" i="48"/>
  <c r="F12" i="48"/>
  <c r="O11" i="48"/>
  <c r="F20" i="48" s="1" a="1"/>
  <c r="F20" i="48" s="1"/>
  <c r="L11" i="48"/>
  <c r="L10" i="48"/>
  <c r="H1" i="48"/>
  <c r="Q3" i="6"/>
  <c r="K25" i="50" l="1"/>
  <c r="K33" i="50"/>
  <c r="K28" i="50"/>
  <c r="K27" i="50"/>
  <c r="K22" i="50"/>
  <c r="C30" i="49" s="1"/>
  <c r="K26" i="50"/>
  <c r="K23" i="50"/>
  <c r="K30" i="50"/>
  <c r="K32" i="50"/>
  <c r="K24" i="50"/>
  <c r="K31" i="50"/>
  <c r="C13" i="49"/>
  <c r="J15" i="49" s="1"/>
  <c r="A3" i="51"/>
  <c r="B12" i="49"/>
  <c r="F15" i="49" s="1" a="1"/>
  <c r="F15" i="49" s="1"/>
  <c r="D26" i="48"/>
  <c r="E18" i="48" s="1"/>
  <c r="D15" i="49" s="1"/>
  <c r="C15" i="49" s="1"/>
  <c r="L13" i="48"/>
  <c r="D14" i="32"/>
  <c r="B12" i="33" s="1"/>
  <c r="A27" i="33" s="1"/>
  <c r="C12" i="1"/>
  <c r="C8" i="1"/>
  <c r="H18" i="48" l="1"/>
  <c r="C17" i="49" s="1"/>
  <c r="E17" i="49" s="1"/>
  <c r="C21" i="50"/>
  <c r="M21" i="50" s="1"/>
  <c r="C22" i="49"/>
  <c r="F16" i="49" a="1"/>
  <c r="F16" i="49" s="1"/>
  <c r="C16" i="49"/>
  <c r="B16" i="49" s="1"/>
  <c r="J16" i="49"/>
  <c r="J14" i="49"/>
  <c r="G22" i="50" l="1"/>
  <c r="F21" i="48"/>
  <c r="H19" i="48"/>
  <c r="E22" i="50"/>
  <c r="I22" i="50"/>
  <c r="H22" i="50"/>
  <c r="L27" i="50"/>
  <c r="E19" i="50"/>
  <c r="L22" i="50"/>
  <c r="C31" i="49" s="1"/>
  <c r="L25" i="50"/>
  <c r="L31" i="50"/>
  <c r="L29" i="50"/>
  <c r="L26" i="50"/>
  <c r="L24" i="50"/>
  <c r="L28" i="50"/>
  <c r="L23" i="50"/>
  <c r="L30" i="50"/>
  <c r="L33" i="50"/>
  <c r="L32" i="50"/>
  <c r="O9" i="46"/>
  <c r="P9" i="46"/>
  <c r="Q9" i="46"/>
  <c r="R9" i="46"/>
  <c r="S9" i="46"/>
  <c r="T9" i="46"/>
  <c r="O10" i="46"/>
  <c r="P10" i="46"/>
  <c r="Q10" i="46"/>
  <c r="R10" i="46"/>
  <c r="S10" i="46"/>
  <c r="T10" i="46"/>
  <c r="O11" i="46"/>
  <c r="P11" i="46"/>
  <c r="Q11" i="46"/>
  <c r="R11" i="46"/>
  <c r="S11" i="46"/>
  <c r="T11" i="46"/>
  <c r="O12" i="46"/>
  <c r="P12" i="46"/>
  <c r="Q12" i="46"/>
  <c r="R12" i="46"/>
  <c r="S12" i="46"/>
  <c r="T12" i="46"/>
  <c r="O13" i="46"/>
  <c r="P13" i="46"/>
  <c r="Q13" i="46"/>
  <c r="R13" i="46"/>
  <c r="S13" i="46"/>
  <c r="T13" i="46"/>
  <c r="O14" i="46"/>
  <c r="P14" i="46"/>
  <c r="Q14" i="46"/>
  <c r="R14" i="46"/>
  <c r="S14" i="46"/>
  <c r="T14" i="46"/>
  <c r="O15" i="46"/>
  <c r="P15" i="46"/>
  <c r="Q15" i="46"/>
  <c r="R15" i="46"/>
  <c r="S15" i="46"/>
  <c r="T15" i="46"/>
  <c r="O16" i="46"/>
  <c r="P16" i="46"/>
  <c r="Q16" i="46"/>
  <c r="R16" i="46"/>
  <c r="S16" i="46"/>
  <c r="T16" i="46"/>
  <c r="O17" i="46"/>
  <c r="P17" i="46"/>
  <c r="Q17" i="46"/>
  <c r="R17" i="46"/>
  <c r="S17" i="46"/>
  <c r="T17" i="46"/>
  <c r="O18" i="46"/>
  <c r="P18" i="46"/>
  <c r="Q18" i="46"/>
  <c r="R18" i="46"/>
  <c r="S18" i="46"/>
  <c r="T18" i="46"/>
  <c r="O19" i="46"/>
  <c r="P19" i="46"/>
  <c r="Q19" i="46"/>
  <c r="R19" i="46"/>
  <c r="S19" i="46"/>
  <c r="T19" i="46"/>
  <c r="O20" i="46"/>
  <c r="P20" i="46"/>
  <c r="Q20" i="46"/>
  <c r="R20" i="46"/>
  <c r="S20" i="46"/>
  <c r="T20" i="46"/>
  <c r="O21" i="46"/>
  <c r="P21" i="46"/>
  <c r="Q21" i="46"/>
  <c r="R21" i="46"/>
  <c r="S21" i="46"/>
  <c r="T21" i="46"/>
  <c r="O22" i="46"/>
  <c r="P22" i="46"/>
  <c r="Q22" i="46"/>
  <c r="R22" i="46"/>
  <c r="S22" i="46"/>
  <c r="T22" i="46"/>
  <c r="O23" i="46"/>
  <c r="P23" i="46"/>
  <c r="Q23" i="46"/>
  <c r="R23" i="46"/>
  <c r="S23" i="46"/>
  <c r="T23" i="46"/>
  <c r="O24" i="46"/>
  <c r="P24" i="46"/>
  <c r="Q24" i="46"/>
  <c r="R24" i="46"/>
  <c r="S24" i="46"/>
  <c r="T24" i="46"/>
  <c r="O25" i="46"/>
  <c r="P25" i="46"/>
  <c r="Q25" i="46"/>
  <c r="R25" i="46"/>
  <c r="S25" i="46"/>
  <c r="T25" i="46"/>
  <c r="O26" i="46"/>
  <c r="P26" i="46"/>
  <c r="Q26" i="46"/>
  <c r="R26" i="46"/>
  <c r="S26" i="46"/>
  <c r="T26" i="46"/>
  <c r="O27" i="46"/>
  <c r="P27" i="46"/>
  <c r="Q27" i="46"/>
  <c r="R27" i="46"/>
  <c r="S27" i="46"/>
  <c r="T27" i="46"/>
  <c r="O28" i="46"/>
  <c r="P28" i="46"/>
  <c r="Q28" i="46"/>
  <c r="R28" i="46"/>
  <c r="S28" i="46"/>
  <c r="T28" i="46"/>
  <c r="O29" i="46"/>
  <c r="P29" i="46"/>
  <c r="Q29" i="46"/>
  <c r="R29" i="46"/>
  <c r="S29" i="46"/>
  <c r="T29" i="46"/>
  <c r="O30" i="46"/>
  <c r="P30" i="46"/>
  <c r="Q30" i="46"/>
  <c r="R30" i="46"/>
  <c r="S30" i="46"/>
  <c r="T30" i="46"/>
  <c r="O31" i="46"/>
  <c r="P31" i="46"/>
  <c r="Q31" i="46"/>
  <c r="R31" i="46"/>
  <c r="S31" i="46"/>
  <c r="T31" i="46"/>
  <c r="O32" i="46"/>
  <c r="P32" i="46"/>
  <c r="Q32" i="46"/>
  <c r="R32" i="46"/>
  <c r="S32" i="46"/>
  <c r="T32" i="46"/>
  <c r="O33" i="46"/>
  <c r="P33" i="46"/>
  <c r="Q33" i="46"/>
  <c r="R33" i="46"/>
  <c r="S33" i="46"/>
  <c r="T33" i="46"/>
  <c r="O34" i="46"/>
  <c r="P34" i="46"/>
  <c r="Q34" i="46"/>
  <c r="R34" i="46"/>
  <c r="S34" i="46"/>
  <c r="T34" i="46"/>
  <c r="O35" i="46"/>
  <c r="P35" i="46"/>
  <c r="Q35" i="46"/>
  <c r="R35" i="46"/>
  <c r="S35" i="46"/>
  <c r="T35" i="46"/>
  <c r="O36" i="46"/>
  <c r="P36" i="46"/>
  <c r="Q36" i="46"/>
  <c r="R36" i="46"/>
  <c r="S36" i="46"/>
  <c r="T36" i="46"/>
  <c r="O37" i="46"/>
  <c r="P37" i="46"/>
  <c r="Q37" i="46"/>
  <c r="R37" i="46"/>
  <c r="S37" i="46"/>
  <c r="T37" i="46"/>
  <c r="O38" i="46"/>
  <c r="P38" i="46"/>
  <c r="Q38" i="46"/>
  <c r="R38" i="46"/>
  <c r="S38" i="46"/>
  <c r="T38" i="46"/>
  <c r="O39" i="46"/>
  <c r="P39" i="46"/>
  <c r="Q39" i="46"/>
  <c r="R39" i="46"/>
  <c r="S39" i="46"/>
  <c r="T39" i="46"/>
  <c r="O40" i="46"/>
  <c r="P40" i="46"/>
  <c r="Q40" i="46"/>
  <c r="R40" i="46"/>
  <c r="S40" i="46"/>
  <c r="T40" i="46"/>
  <c r="O41" i="46"/>
  <c r="P41" i="46"/>
  <c r="Q41" i="46"/>
  <c r="R41" i="46"/>
  <c r="S41" i="46"/>
  <c r="T41" i="46"/>
  <c r="O42" i="46"/>
  <c r="P42" i="46"/>
  <c r="Q42" i="46"/>
  <c r="R42" i="46"/>
  <c r="S42" i="46"/>
  <c r="T42" i="46"/>
  <c r="O43" i="46"/>
  <c r="P43" i="46"/>
  <c r="Q43" i="46"/>
  <c r="R43" i="46"/>
  <c r="S43" i="46"/>
  <c r="T43" i="46"/>
  <c r="O44" i="46"/>
  <c r="P44" i="46"/>
  <c r="Q44" i="46"/>
  <c r="R44" i="46"/>
  <c r="S44" i="46"/>
  <c r="T44" i="46"/>
  <c r="O45" i="46"/>
  <c r="P45" i="46"/>
  <c r="Q45" i="46"/>
  <c r="R45" i="46"/>
  <c r="S45" i="46"/>
  <c r="T45" i="46"/>
  <c r="O46" i="46"/>
  <c r="P46" i="46"/>
  <c r="Q46" i="46"/>
  <c r="R46" i="46"/>
  <c r="S46" i="46"/>
  <c r="T46" i="46"/>
  <c r="O47" i="46"/>
  <c r="P47" i="46"/>
  <c r="Q47" i="46"/>
  <c r="R47" i="46"/>
  <c r="S47" i="46"/>
  <c r="T47" i="46"/>
  <c r="O48" i="46"/>
  <c r="P48" i="46"/>
  <c r="Q48" i="46"/>
  <c r="R48" i="46"/>
  <c r="S48" i="46"/>
  <c r="T48" i="46"/>
  <c r="O49" i="46"/>
  <c r="P49" i="46"/>
  <c r="Q49" i="46"/>
  <c r="R49" i="46"/>
  <c r="S49" i="46"/>
  <c r="T49" i="46"/>
  <c r="O50" i="46"/>
  <c r="P50" i="46"/>
  <c r="Q50" i="46"/>
  <c r="R50" i="46"/>
  <c r="S50" i="46"/>
  <c r="T50" i="46"/>
  <c r="O51" i="46"/>
  <c r="P51" i="46"/>
  <c r="Q51" i="46"/>
  <c r="R51" i="46"/>
  <c r="S51" i="46"/>
  <c r="T51" i="46"/>
  <c r="O52" i="46"/>
  <c r="P52" i="46"/>
  <c r="Q52" i="46"/>
  <c r="R52" i="46"/>
  <c r="S52" i="46"/>
  <c r="T52" i="46"/>
  <c r="O53" i="46"/>
  <c r="P53" i="46"/>
  <c r="Q53" i="46"/>
  <c r="R53" i="46"/>
  <c r="S53" i="46"/>
  <c r="T53" i="46"/>
  <c r="O54" i="46"/>
  <c r="P54" i="46"/>
  <c r="Q54" i="46"/>
  <c r="R54" i="46"/>
  <c r="S54" i="46"/>
  <c r="T54" i="46"/>
  <c r="O55" i="46"/>
  <c r="P55" i="46"/>
  <c r="Q55" i="46"/>
  <c r="R55" i="46"/>
  <c r="S55" i="46"/>
  <c r="T55" i="46"/>
  <c r="P8" i="46"/>
  <c r="Q8" i="46"/>
  <c r="R8" i="46"/>
  <c r="S8" i="46"/>
  <c r="T8" i="46"/>
  <c r="O8" i="46"/>
  <c r="H9" i="46"/>
  <c r="I9" i="46"/>
  <c r="J9" i="46"/>
  <c r="K9" i="46"/>
  <c r="L9" i="46"/>
  <c r="M9" i="46"/>
  <c r="H10" i="46"/>
  <c r="I10" i="46"/>
  <c r="J10" i="46"/>
  <c r="K10" i="46"/>
  <c r="L10" i="46"/>
  <c r="M10" i="46"/>
  <c r="H11" i="46"/>
  <c r="I11" i="46"/>
  <c r="J11" i="46"/>
  <c r="K11" i="46"/>
  <c r="L11" i="46"/>
  <c r="M11" i="46"/>
  <c r="H12" i="46"/>
  <c r="I12" i="46"/>
  <c r="J12" i="46"/>
  <c r="K12" i="46"/>
  <c r="L12" i="46"/>
  <c r="M12" i="46"/>
  <c r="H13" i="46"/>
  <c r="I13" i="46"/>
  <c r="J13" i="46"/>
  <c r="K13" i="46"/>
  <c r="L13" i="46"/>
  <c r="M13" i="46"/>
  <c r="H14" i="46"/>
  <c r="I14" i="46"/>
  <c r="J14" i="46"/>
  <c r="K14" i="46"/>
  <c r="L14" i="46"/>
  <c r="M14" i="46"/>
  <c r="H15" i="46"/>
  <c r="I15" i="46"/>
  <c r="J15" i="46"/>
  <c r="K15" i="46"/>
  <c r="L15" i="46"/>
  <c r="M15" i="46"/>
  <c r="H16" i="46"/>
  <c r="I16" i="46"/>
  <c r="J16" i="46"/>
  <c r="K16" i="46"/>
  <c r="L16" i="46"/>
  <c r="M16" i="46"/>
  <c r="H17" i="46"/>
  <c r="I17" i="46"/>
  <c r="J17" i="46"/>
  <c r="K17" i="46"/>
  <c r="L17" i="46"/>
  <c r="M17" i="46"/>
  <c r="H18" i="46"/>
  <c r="I18" i="46"/>
  <c r="J18" i="46"/>
  <c r="K18" i="46"/>
  <c r="L18" i="46"/>
  <c r="M18" i="46"/>
  <c r="H19" i="46"/>
  <c r="I19" i="46"/>
  <c r="J19" i="46"/>
  <c r="K19" i="46"/>
  <c r="L19" i="46"/>
  <c r="M19" i="46"/>
  <c r="H20" i="46"/>
  <c r="I20" i="46"/>
  <c r="J20" i="46"/>
  <c r="K20" i="46"/>
  <c r="L20" i="46"/>
  <c r="M20" i="46"/>
  <c r="H21" i="46"/>
  <c r="I21" i="46"/>
  <c r="J21" i="46"/>
  <c r="K21" i="46"/>
  <c r="L21" i="46"/>
  <c r="M21" i="46"/>
  <c r="H22" i="46"/>
  <c r="I22" i="46"/>
  <c r="J22" i="46"/>
  <c r="K22" i="46"/>
  <c r="L22" i="46"/>
  <c r="M22" i="46"/>
  <c r="H23" i="46"/>
  <c r="I23" i="46"/>
  <c r="J23" i="46"/>
  <c r="K23" i="46"/>
  <c r="L23" i="46"/>
  <c r="M23" i="46"/>
  <c r="H24" i="46"/>
  <c r="I24" i="46"/>
  <c r="J24" i="46"/>
  <c r="K24" i="46"/>
  <c r="L24" i="46"/>
  <c r="M24" i="46"/>
  <c r="H25" i="46"/>
  <c r="I25" i="46"/>
  <c r="J25" i="46"/>
  <c r="K25" i="46"/>
  <c r="L25" i="46"/>
  <c r="M25" i="46"/>
  <c r="H26" i="46"/>
  <c r="I26" i="46"/>
  <c r="J26" i="46"/>
  <c r="K26" i="46"/>
  <c r="L26" i="46"/>
  <c r="M26" i="46"/>
  <c r="H27" i="46"/>
  <c r="I27" i="46"/>
  <c r="J27" i="46"/>
  <c r="K27" i="46"/>
  <c r="L27" i="46"/>
  <c r="M27" i="46"/>
  <c r="H28" i="46"/>
  <c r="I28" i="46"/>
  <c r="J28" i="46"/>
  <c r="K28" i="46"/>
  <c r="L28" i="46"/>
  <c r="M28" i="46"/>
  <c r="H29" i="46"/>
  <c r="I29" i="46"/>
  <c r="J29" i="46"/>
  <c r="K29" i="46"/>
  <c r="L29" i="46"/>
  <c r="M29" i="46"/>
  <c r="H30" i="46"/>
  <c r="I30" i="46"/>
  <c r="J30" i="46"/>
  <c r="K30" i="46"/>
  <c r="L30" i="46"/>
  <c r="M30" i="46"/>
  <c r="H31" i="46"/>
  <c r="I31" i="46"/>
  <c r="J31" i="46"/>
  <c r="K31" i="46"/>
  <c r="L31" i="46"/>
  <c r="M31" i="46"/>
  <c r="H32" i="46"/>
  <c r="I32" i="46"/>
  <c r="J32" i="46"/>
  <c r="K32" i="46"/>
  <c r="L32" i="46"/>
  <c r="M32" i="46"/>
  <c r="H33" i="46"/>
  <c r="I33" i="46"/>
  <c r="J33" i="46"/>
  <c r="K33" i="46"/>
  <c r="L33" i="46"/>
  <c r="M33" i="46"/>
  <c r="H34" i="46"/>
  <c r="I34" i="46"/>
  <c r="J34" i="46"/>
  <c r="K34" i="46"/>
  <c r="L34" i="46"/>
  <c r="M34" i="46"/>
  <c r="H35" i="46"/>
  <c r="I35" i="46"/>
  <c r="J35" i="46"/>
  <c r="K35" i="46"/>
  <c r="L35" i="46"/>
  <c r="M35" i="46"/>
  <c r="H36" i="46"/>
  <c r="I36" i="46"/>
  <c r="J36" i="46"/>
  <c r="K36" i="46"/>
  <c r="L36" i="46"/>
  <c r="M36" i="46"/>
  <c r="H37" i="46"/>
  <c r="I37" i="46"/>
  <c r="J37" i="46"/>
  <c r="K37" i="46"/>
  <c r="L37" i="46"/>
  <c r="M37" i="46"/>
  <c r="H38" i="46"/>
  <c r="I38" i="46"/>
  <c r="J38" i="46"/>
  <c r="K38" i="46"/>
  <c r="L38" i="46"/>
  <c r="M38" i="46"/>
  <c r="H39" i="46"/>
  <c r="I39" i="46"/>
  <c r="J39" i="46"/>
  <c r="K39" i="46"/>
  <c r="L39" i="46"/>
  <c r="M39" i="46"/>
  <c r="H40" i="46"/>
  <c r="I40" i="46"/>
  <c r="J40" i="46"/>
  <c r="K40" i="46"/>
  <c r="L40" i="46"/>
  <c r="M40" i="46"/>
  <c r="H41" i="46"/>
  <c r="I41" i="46"/>
  <c r="J41" i="46"/>
  <c r="K41" i="46"/>
  <c r="L41" i="46"/>
  <c r="M41" i="46"/>
  <c r="H42" i="46"/>
  <c r="I42" i="46"/>
  <c r="J42" i="46"/>
  <c r="K42" i="46"/>
  <c r="L42" i="46"/>
  <c r="M42" i="46"/>
  <c r="H43" i="46"/>
  <c r="I43" i="46"/>
  <c r="J43" i="46"/>
  <c r="K43" i="46"/>
  <c r="L43" i="46"/>
  <c r="M43" i="46"/>
  <c r="H44" i="46"/>
  <c r="I44" i="46"/>
  <c r="J44" i="46"/>
  <c r="K44" i="46"/>
  <c r="L44" i="46"/>
  <c r="M44" i="46"/>
  <c r="H45" i="46"/>
  <c r="I45" i="46"/>
  <c r="J45" i="46"/>
  <c r="K45" i="46"/>
  <c r="L45" i="46"/>
  <c r="M45" i="46"/>
  <c r="H46" i="46"/>
  <c r="I46" i="46"/>
  <c r="J46" i="46"/>
  <c r="K46" i="46"/>
  <c r="L46" i="46"/>
  <c r="M46" i="46"/>
  <c r="H47" i="46"/>
  <c r="I47" i="46"/>
  <c r="J47" i="46"/>
  <c r="K47" i="46"/>
  <c r="L47" i="46"/>
  <c r="M47" i="46"/>
  <c r="H48" i="46"/>
  <c r="I48" i="46"/>
  <c r="J48" i="46"/>
  <c r="K48" i="46"/>
  <c r="L48" i="46"/>
  <c r="M48" i="46"/>
  <c r="H49" i="46"/>
  <c r="I49" i="46"/>
  <c r="J49" i="46"/>
  <c r="K49" i="46"/>
  <c r="L49" i="46"/>
  <c r="M49" i="46"/>
  <c r="H50" i="46"/>
  <c r="I50" i="46"/>
  <c r="J50" i="46"/>
  <c r="K50" i="46"/>
  <c r="L50" i="46"/>
  <c r="M50" i="46"/>
  <c r="H51" i="46"/>
  <c r="I51" i="46"/>
  <c r="J51" i="46"/>
  <c r="K51" i="46"/>
  <c r="L51" i="46"/>
  <c r="M51" i="46"/>
  <c r="H52" i="46"/>
  <c r="I52" i="46"/>
  <c r="J52" i="46"/>
  <c r="K52" i="46"/>
  <c r="L52" i="46"/>
  <c r="M52" i="46"/>
  <c r="H53" i="46"/>
  <c r="I53" i="46"/>
  <c r="J53" i="46"/>
  <c r="K53" i="46"/>
  <c r="L53" i="46"/>
  <c r="M53" i="46"/>
  <c r="H54" i="46"/>
  <c r="I54" i="46"/>
  <c r="J54" i="46"/>
  <c r="K54" i="46"/>
  <c r="L54" i="46"/>
  <c r="M54" i="46"/>
  <c r="H55" i="46"/>
  <c r="I55" i="46"/>
  <c r="J55" i="46"/>
  <c r="K55" i="46"/>
  <c r="L55" i="46"/>
  <c r="M55" i="46"/>
  <c r="I8" i="46"/>
  <c r="J8" i="46"/>
  <c r="K8" i="46"/>
  <c r="L8" i="46"/>
  <c r="M8" i="46"/>
  <c r="H8" i="46"/>
  <c r="D17" i="32"/>
  <c r="D22" i="50" l="1"/>
  <c r="C22" i="50" s="1"/>
  <c r="H1" i="45"/>
  <c r="D13" i="45"/>
  <c r="E13" i="45" s="1"/>
  <c r="L14" i="45"/>
  <c r="L13" i="45"/>
  <c r="L12" i="45"/>
  <c r="M4" i="45"/>
  <c r="E23" i="50" l="1"/>
  <c r="D23" i="50" s="1"/>
  <c r="C23" i="50" s="1"/>
  <c r="F23" i="50" s="1"/>
  <c r="F22" i="50"/>
  <c r="B23" i="50"/>
  <c r="G23" i="50"/>
  <c r="I23" i="50"/>
  <c r="H23" i="50"/>
  <c r="F13" i="41"/>
  <c r="A17" i="39"/>
  <c r="F12" i="37"/>
  <c r="A17" i="33"/>
  <c r="F12" i="32"/>
  <c r="L8" i="43"/>
  <c r="K12" i="43"/>
  <c r="L12" i="43"/>
  <c r="K13" i="43"/>
  <c r="G24" i="50" l="1"/>
  <c r="I24" i="50"/>
  <c r="H24" i="50"/>
  <c r="E24" i="50"/>
  <c r="D24" i="50" s="1"/>
  <c r="C24" i="50" s="1"/>
  <c r="F24" i="50" s="1"/>
  <c r="B24" i="50"/>
  <c r="A17" i="1"/>
  <c r="G25" i="50" l="1"/>
  <c r="B25" i="50"/>
  <c r="H25" i="50"/>
  <c r="I25" i="50"/>
  <c r="E25" i="50"/>
  <c r="D25" i="50" s="1"/>
  <c r="C25" i="50" s="1"/>
  <c r="H26" i="50" s="1"/>
  <c r="F12" i="26"/>
  <c r="E26" i="50" l="1"/>
  <c r="D26" i="50" s="1"/>
  <c r="C26" i="50" s="1"/>
  <c r="H27" i="50" s="1"/>
  <c r="F25" i="50"/>
  <c r="I26" i="50"/>
  <c r="B26" i="50"/>
  <c r="G26" i="50"/>
  <c r="Q4" i="6"/>
  <c r="H1" i="41"/>
  <c r="H1" i="37"/>
  <c r="H1" i="32"/>
  <c r="H1" i="26"/>
  <c r="G1" i="49" l="1"/>
  <c r="G1" i="53"/>
  <c r="G27" i="50"/>
  <c r="E27" i="50"/>
  <c r="D27" i="50" s="1"/>
  <c r="C27" i="50" s="1"/>
  <c r="I28" i="50" s="1"/>
  <c r="B27" i="50"/>
  <c r="F26" i="50"/>
  <c r="I27" i="50"/>
  <c r="E30" i="43"/>
  <c r="C17" i="43"/>
  <c r="E37" i="43" a="1"/>
  <c r="E37" i="43" s="1"/>
  <c r="E36" i="43" a="1"/>
  <c r="E36" i="43" s="1"/>
  <c r="E38" i="43"/>
  <c r="E35" i="43"/>
  <c r="H28" i="50" l="1"/>
  <c r="F27" i="50"/>
  <c r="E28" i="50"/>
  <c r="D28" i="50" s="1"/>
  <c r="C28" i="50" s="1"/>
  <c r="E29" i="50" s="1"/>
  <c r="D29" i="50" s="1"/>
  <c r="C29" i="50" s="1"/>
  <c r="G28" i="50"/>
  <c r="B28" i="50"/>
  <c r="E16" i="44"/>
  <c r="N1" i="44"/>
  <c r="A31" i="43"/>
  <c r="D14" i="41"/>
  <c r="C12" i="43" s="1"/>
  <c r="D14" i="26"/>
  <c r="E19" i="26" s="1" a="1"/>
  <c r="E19" i="26" s="1"/>
  <c r="C15" i="43"/>
  <c r="C18" i="43"/>
  <c r="D22" i="43" a="1"/>
  <c r="D22" i="43" s="1"/>
  <c r="C11" i="43"/>
  <c r="C16" i="43"/>
  <c r="C13" i="43"/>
  <c r="D13" i="43" s="1"/>
  <c r="C8" i="43"/>
  <c r="E23" i="43"/>
  <c r="C21" i="43"/>
  <c r="G1" i="43"/>
  <c r="B12" i="1" l="1"/>
  <c r="A28" i="1" s="1"/>
  <c r="D28" i="1" s="1"/>
  <c r="G29" i="50"/>
  <c r="H29" i="50"/>
  <c r="I29" i="50"/>
  <c r="F28" i="50"/>
  <c r="B29" i="50"/>
  <c r="B30" i="50" s="1"/>
  <c r="E30" i="50"/>
  <c r="D30" i="50" s="1"/>
  <c r="C30" i="50" s="1"/>
  <c r="F29" i="50"/>
  <c r="I30" i="50"/>
  <c r="G30" i="50"/>
  <c r="H30" i="50"/>
  <c r="D26" i="43"/>
  <c r="J30" i="43"/>
  <c r="J29" i="43"/>
  <c r="F14" i="43"/>
  <c r="K24" i="44"/>
  <c r="K22" i="44"/>
  <c r="K25" i="44"/>
  <c r="K26" i="44"/>
  <c r="K18" i="44"/>
  <c r="C35" i="43" s="1"/>
  <c r="K19" i="44"/>
  <c r="K27" i="44"/>
  <c r="K29" i="44"/>
  <c r="K23" i="44"/>
  <c r="K20" i="44"/>
  <c r="K28" i="44"/>
  <c r="K21" i="44"/>
  <c r="K11" i="43"/>
  <c r="L11" i="43"/>
  <c r="L43" i="43"/>
  <c r="J16" i="43"/>
  <c r="L13" i="43"/>
  <c r="J15" i="43"/>
  <c r="E19" i="41" a="1"/>
  <c r="E19" i="41" s="1"/>
  <c r="H38" i="43"/>
  <c r="D14" i="43"/>
  <c r="C14" i="43" s="1"/>
  <c r="D41" i="43"/>
  <c r="C44" i="43" s="1"/>
  <c r="J15" i="53" l="1"/>
  <c r="D15" i="53"/>
  <c r="C15" i="53" s="1"/>
  <c r="C20" i="53" s="1"/>
  <c r="J16" i="53"/>
  <c r="J14" i="53"/>
  <c r="C10" i="53"/>
  <c r="F16" i="53" a="1"/>
  <c r="F16" i="53" s="1"/>
  <c r="E31" i="50"/>
  <c r="D31" i="50" s="1"/>
  <c r="C31" i="50" s="1"/>
  <c r="F30" i="50"/>
  <c r="I31" i="50"/>
  <c r="B31" i="50"/>
  <c r="H31" i="50"/>
  <c r="G31" i="50"/>
  <c r="N24" i="44"/>
  <c r="N25" i="44"/>
  <c r="N26" i="44"/>
  <c r="N19" i="44"/>
  <c r="N27" i="44"/>
  <c r="N18" i="44"/>
  <c r="N20" i="44"/>
  <c r="N28" i="44"/>
  <c r="N21" i="44"/>
  <c r="N29" i="44"/>
  <c r="N22" i="44"/>
  <c r="N23" i="44"/>
  <c r="C17" i="44"/>
  <c r="N15" i="42"/>
  <c r="N14" i="42"/>
  <c r="N13" i="42"/>
  <c r="N12" i="42"/>
  <c r="N11" i="42"/>
  <c r="N10" i="42"/>
  <c r="N9" i="42"/>
  <c r="N8" i="42"/>
  <c r="I9" i="42"/>
  <c r="J9" i="42"/>
  <c r="K9" i="42"/>
  <c r="L9" i="42"/>
  <c r="M9" i="42"/>
  <c r="I10" i="42"/>
  <c r="J10" i="42"/>
  <c r="K10" i="42"/>
  <c r="L10" i="42"/>
  <c r="M10" i="42"/>
  <c r="I11" i="42"/>
  <c r="J11" i="42"/>
  <c r="K11" i="42"/>
  <c r="L11" i="42"/>
  <c r="M11" i="42"/>
  <c r="I12" i="42"/>
  <c r="J12" i="42"/>
  <c r="K12" i="42"/>
  <c r="L12" i="42"/>
  <c r="M12" i="42"/>
  <c r="I13" i="42"/>
  <c r="J13" i="42"/>
  <c r="K13" i="42"/>
  <c r="L13" i="42"/>
  <c r="M13" i="42"/>
  <c r="I14" i="42"/>
  <c r="J14" i="42"/>
  <c r="K14" i="42"/>
  <c r="L14" i="42"/>
  <c r="M14" i="42"/>
  <c r="I15" i="42"/>
  <c r="J15" i="42"/>
  <c r="K15" i="42"/>
  <c r="L15" i="42"/>
  <c r="M15" i="42"/>
  <c r="I16" i="42"/>
  <c r="J16" i="42"/>
  <c r="K16" i="42"/>
  <c r="L16" i="42"/>
  <c r="M16" i="42"/>
  <c r="N16" i="42"/>
  <c r="I17" i="42"/>
  <c r="J17" i="42"/>
  <c r="K17" i="42"/>
  <c r="L17" i="42"/>
  <c r="M17" i="42"/>
  <c r="N17" i="42"/>
  <c r="I18" i="42"/>
  <c r="J18" i="42"/>
  <c r="K18" i="42"/>
  <c r="L18" i="42"/>
  <c r="M18" i="42"/>
  <c r="N18" i="42"/>
  <c r="I19" i="42"/>
  <c r="J19" i="42"/>
  <c r="K19" i="42"/>
  <c r="L19" i="42"/>
  <c r="M19" i="42"/>
  <c r="N19" i="42"/>
  <c r="I20" i="42"/>
  <c r="J20" i="42"/>
  <c r="K20" i="42"/>
  <c r="L20" i="42"/>
  <c r="M20" i="42"/>
  <c r="N20" i="42"/>
  <c r="I21" i="42"/>
  <c r="J21" i="42"/>
  <c r="K21" i="42"/>
  <c r="L21" i="42"/>
  <c r="M21" i="42"/>
  <c r="N21" i="42"/>
  <c r="I22" i="42"/>
  <c r="J22" i="42"/>
  <c r="K22" i="42"/>
  <c r="L22" i="42"/>
  <c r="M22" i="42"/>
  <c r="N22" i="42"/>
  <c r="I23" i="42"/>
  <c r="J23" i="42"/>
  <c r="K23" i="42"/>
  <c r="L23" i="42"/>
  <c r="M23" i="42"/>
  <c r="N23" i="42"/>
  <c r="I24" i="42"/>
  <c r="J24" i="42"/>
  <c r="K24" i="42"/>
  <c r="L24" i="42"/>
  <c r="M24" i="42"/>
  <c r="N24" i="42"/>
  <c r="I25" i="42"/>
  <c r="J25" i="42"/>
  <c r="K25" i="42"/>
  <c r="L25" i="42"/>
  <c r="M25" i="42"/>
  <c r="N25" i="42"/>
  <c r="I26" i="42"/>
  <c r="J26" i="42"/>
  <c r="K26" i="42"/>
  <c r="L26" i="42"/>
  <c r="M26" i="42"/>
  <c r="N26" i="42"/>
  <c r="I27" i="42"/>
  <c r="J27" i="42"/>
  <c r="K27" i="42"/>
  <c r="L27" i="42"/>
  <c r="M27" i="42"/>
  <c r="N27" i="42"/>
  <c r="I28" i="42"/>
  <c r="J28" i="42"/>
  <c r="K28" i="42"/>
  <c r="L28" i="42"/>
  <c r="M28" i="42"/>
  <c r="N28" i="42"/>
  <c r="I29" i="42"/>
  <c r="J29" i="42"/>
  <c r="K29" i="42"/>
  <c r="L29" i="42"/>
  <c r="M29" i="42"/>
  <c r="N29" i="42"/>
  <c r="I30" i="42"/>
  <c r="J30" i="42"/>
  <c r="K30" i="42"/>
  <c r="L30" i="42"/>
  <c r="M30" i="42"/>
  <c r="N30" i="42"/>
  <c r="I31" i="42"/>
  <c r="J31" i="42"/>
  <c r="K31" i="42"/>
  <c r="L31" i="42"/>
  <c r="M31" i="42"/>
  <c r="N31" i="42"/>
  <c r="I32" i="42"/>
  <c r="J32" i="42"/>
  <c r="K32" i="42"/>
  <c r="L32" i="42"/>
  <c r="M32" i="42"/>
  <c r="N32" i="42"/>
  <c r="I33" i="42"/>
  <c r="J33" i="42"/>
  <c r="K33" i="42"/>
  <c r="L33" i="42"/>
  <c r="M33" i="42"/>
  <c r="N33" i="42"/>
  <c r="I34" i="42"/>
  <c r="J34" i="42"/>
  <c r="K34" i="42"/>
  <c r="L34" i="42"/>
  <c r="M34" i="42"/>
  <c r="N34" i="42"/>
  <c r="I35" i="42"/>
  <c r="J35" i="42"/>
  <c r="K35" i="42"/>
  <c r="L35" i="42"/>
  <c r="M35" i="42"/>
  <c r="N35" i="42"/>
  <c r="I36" i="42"/>
  <c r="J36" i="42"/>
  <c r="K36" i="42"/>
  <c r="L36" i="42"/>
  <c r="M36" i="42"/>
  <c r="N36" i="42"/>
  <c r="I37" i="42"/>
  <c r="J37" i="42"/>
  <c r="K37" i="42"/>
  <c r="L37" i="42"/>
  <c r="M37" i="42"/>
  <c r="N37" i="42"/>
  <c r="I38" i="42"/>
  <c r="J38" i="42"/>
  <c r="K38" i="42"/>
  <c r="L38" i="42"/>
  <c r="M38" i="42"/>
  <c r="N38" i="42"/>
  <c r="I39" i="42"/>
  <c r="J39" i="42"/>
  <c r="K39" i="42"/>
  <c r="L39" i="42"/>
  <c r="M39" i="42"/>
  <c r="N39" i="42"/>
  <c r="I40" i="42"/>
  <c r="J40" i="42"/>
  <c r="K40" i="42"/>
  <c r="L40" i="42"/>
  <c r="M40" i="42"/>
  <c r="N40" i="42"/>
  <c r="I41" i="42"/>
  <c r="J41" i="42"/>
  <c r="K41" i="42"/>
  <c r="L41" i="42"/>
  <c r="M41" i="42"/>
  <c r="N41" i="42"/>
  <c r="I42" i="42"/>
  <c r="J42" i="42"/>
  <c r="K42" i="42"/>
  <c r="L42" i="42"/>
  <c r="M42" i="42"/>
  <c r="N42" i="42"/>
  <c r="I43" i="42"/>
  <c r="J43" i="42"/>
  <c r="K43" i="42"/>
  <c r="L43" i="42"/>
  <c r="M43" i="42"/>
  <c r="N43" i="42"/>
  <c r="I44" i="42"/>
  <c r="J44" i="42"/>
  <c r="K44" i="42"/>
  <c r="L44" i="42"/>
  <c r="M44" i="42"/>
  <c r="N44" i="42"/>
  <c r="I45" i="42"/>
  <c r="J45" i="42"/>
  <c r="K45" i="42"/>
  <c r="L45" i="42"/>
  <c r="M45" i="42"/>
  <c r="N45" i="42"/>
  <c r="I46" i="42"/>
  <c r="J46" i="42"/>
  <c r="K46" i="42"/>
  <c r="L46" i="42"/>
  <c r="M46" i="42"/>
  <c r="N46" i="42"/>
  <c r="I47" i="42"/>
  <c r="J47" i="42"/>
  <c r="K47" i="42"/>
  <c r="L47" i="42"/>
  <c r="M47" i="42"/>
  <c r="N47" i="42"/>
  <c r="I48" i="42"/>
  <c r="J48" i="42"/>
  <c r="K48" i="42"/>
  <c r="L48" i="42"/>
  <c r="M48" i="42"/>
  <c r="N48" i="42"/>
  <c r="I49" i="42"/>
  <c r="J49" i="42"/>
  <c r="K49" i="42"/>
  <c r="L49" i="42"/>
  <c r="M49" i="42"/>
  <c r="N49" i="42"/>
  <c r="I50" i="42"/>
  <c r="J50" i="42"/>
  <c r="K50" i="42"/>
  <c r="L50" i="42"/>
  <c r="M50" i="42"/>
  <c r="N50" i="42"/>
  <c r="I51" i="42"/>
  <c r="J51" i="42"/>
  <c r="K51" i="42"/>
  <c r="L51" i="42"/>
  <c r="M51" i="42"/>
  <c r="N51" i="42"/>
  <c r="I52" i="42"/>
  <c r="J52" i="42"/>
  <c r="K52" i="42"/>
  <c r="L52" i="42"/>
  <c r="M52" i="42"/>
  <c r="N52" i="42"/>
  <c r="I53" i="42"/>
  <c r="J53" i="42"/>
  <c r="K53" i="42"/>
  <c r="L53" i="42"/>
  <c r="M53" i="42"/>
  <c r="N53" i="42"/>
  <c r="I54" i="42"/>
  <c r="J54" i="42"/>
  <c r="K54" i="42"/>
  <c r="L54" i="42"/>
  <c r="M54" i="42"/>
  <c r="N54" i="42"/>
  <c r="I55" i="42"/>
  <c r="J55" i="42"/>
  <c r="K55" i="42"/>
  <c r="L55" i="42"/>
  <c r="M55" i="42"/>
  <c r="N55" i="42"/>
  <c r="J8" i="42"/>
  <c r="K8" i="42"/>
  <c r="L8" i="42"/>
  <c r="M8" i="42"/>
  <c r="I8" i="42"/>
  <c r="E18" i="41"/>
  <c r="L25" i="41"/>
  <c r="L24" i="41"/>
  <c r="L23" i="41"/>
  <c r="C26" i="41" a="1"/>
  <c r="C26" i="41" s="1"/>
  <c r="D25" i="41"/>
  <c r="N21" i="41"/>
  <c r="N20" i="41"/>
  <c r="N19" i="41"/>
  <c r="L19" i="41"/>
  <c r="L18" i="41"/>
  <c r="I18" i="41"/>
  <c r="I19" i="41" s="1"/>
  <c r="L17" i="41"/>
  <c r="L16" i="41"/>
  <c r="L13" i="41"/>
  <c r="L12" i="41"/>
  <c r="O11" i="41"/>
  <c r="F20" i="41" s="1" a="1"/>
  <c r="F20" i="41" s="1"/>
  <c r="L11" i="41"/>
  <c r="L10" i="41"/>
  <c r="I9" i="38"/>
  <c r="J9" i="38"/>
  <c r="K9" i="38"/>
  <c r="L9" i="38"/>
  <c r="M9" i="38"/>
  <c r="N9" i="38"/>
  <c r="I10" i="38"/>
  <c r="J10" i="38"/>
  <c r="K10" i="38"/>
  <c r="L10" i="38"/>
  <c r="M10" i="38"/>
  <c r="N10" i="38"/>
  <c r="I11" i="38"/>
  <c r="J11" i="38"/>
  <c r="K11" i="38"/>
  <c r="L11" i="38"/>
  <c r="M11" i="38"/>
  <c r="N11" i="38"/>
  <c r="I12" i="38"/>
  <c r="J12" i="38"/>
  <c r="K12" i="38"/>
  <c r="L12" i="38"/>
  <c r="M12" i="38"/>
  <c r="N12" i="38"/>
  <c r="I13" i="38"/>
  <c r="J13" i="38"/>
  <c r="K13" i="38"/>
  <c r="L13" i="38"/>
  <c r="M13" i="38"/>
  <c r="N13" i="38"/>
  <c r="I14" i="38"/>
  <c r="J14" i="38"/>
  <c r="K14" i="38"/>
  <c r="L14" i="38"/>
  <c r="M14" i="38"/>
  <c r="N14" i="38"/>
  <c r="I15" i="38"/>
  <c r="J15" i="38"/>
  <c r="K15" i="38"/>
  <c r="L15" i="38"/>
  <c r="M15" i="38"/>
  <c r="N15" i="38"/>
  <c r="I16" i="38"/>
  <c r="J16" i="38"/>
  <c r="K16" i="38"/>
  <c r="L16" i="38"/>
  <c r="M16" i="38"/>
  <c r="N16" i="38"/>
  <c r="I17" i="38"/>
  <c r="J17" i="38"/>
  <c r="K17" i="38"/>
  <c r="L17" i="38"/>
  <c r="M17" i="38"/>
  <c r="N17" i="38"/>
  <c r="I18" i="38"/>
  <c r="J18" i="38"/>
  <c r="K18" i="38"/>
  <c r="L18" i="38"/>
  <c r="M18" i="38"/>
  <c r="N18" i="38"/>
  <c r="I19" i="38"/>
  <c r="J19" i="38"/>
  <c r="K19" i="38"/>
  <c r="L19" i="38"/>
  <c r="M19" i="38"/>
  <c r="N19" i="38"/>
  <c r="I20" i="38"/>
  <c r="J20" i="38"/>
  <c r="K20" i="38"/>
  <c r="L20" i="38"/>
  <c r="M20" i="38"/>
  <c r="N20" i="38"/>
  <c r="I21" i="38"/>
  <c r="J21" i="38"/>
  <c r="K21" i="38"/>
  <c r="L21" i="38"/>
  <c r="M21" i="38"/>
  <c r="N21" i="38"/>
  <c r="I22" i="38"/>
  <c r="J22" i="38"/>
  <c r="K22" i="38"/>
  <c r="L22" i="38"/>
  <c r="M22" i="38"/>
  <c r="N22" i="38"/>
  <c r="I23" i="38"/>
  <c r="J23" i="38"/>
  <c r="K23" i="38"/>
  <c r="L23" i="38"/>
  <c r="M23" i="38"/>
  <c r="N23" i="38"/>
  <c r="I24" i="38"/>
  <c r="J24" i="38"/>
  <c r="K24" i="38"/>
  <c r="L24" i="38"/>
  <c r="M24" i="38"/>
  <c r="N24" i="38"/>
  <c r="I25" i="38"/>
  <c r="J25" i="38"/>
  <c r="K25" i="38"/>
  <c r="L25" i="38"/>
  <c r="M25" i="38"/>
  <c r="N25" i="38"/>
  <c r="I26" i="38"/>
  <c r="J26" i="38"/>
  <c r="K26" i="38"/>
  <c r="L26" i="38"/>
  <c r="M26" i="38"/>
  <c r="N26" i="38"/>
  <c r="I27" i="38"/>
  <c r="J27" i="38"/>
  <c r="K27" i="38"/>
  <c r="L27" i="38"/>
  <c r="M27" i="38"/>
  <c r="N27" i="38"/>
  <c r="I28" i="38"/>
  <c r="J28" i="38"/>
  <c r="K28" i="38"/>
  <c r="L28" i="38"/>
  <c r="M28" i="38"/>
  <c r="N28" i="38"/>
  <c r="I29" i="38"/>
  <c r="J29" i="38"/>
  <c r="K29" i="38"/>
  <c r="L29" i="38"/>
  <c r="M29" i="38"/>
  <c r="N29" i="38"/>
  <c r="I30" i="38"/>
  <c r="J30" i="38"/>
  <c r="K30" i="38"/>
  <c r="L30" i="38"/>
  <c r="M30" i="38"/>
  <c r="N30" i="38"/>
  <c r="I31" i="38"/>
  <c r="J31" i="38"/>
  <c r="K31" i="38"/>
  <c r="L31" i="38"/>
  <c r="M31" i="38"/>
  <c r="N31" i="38"/>
  <c r="I32" i="38"/>
  <c r="J32" i="38"/>
  <c r="K32" i="38"/>
  <c r="L32" i="38"/>
  <c r="M32" i="38"/>
  <c r="N32" i="38"/>
  <c r="I33" i="38"/>
  <c r="J33" i="38"/>
  <c r="K33" i="38"/>
  <c r="L33" i="38"/>
  <c r="M33" i="38"/>
  <c r="N33" i="38"/>
  <c r="I34" i="38"/>
  <c r="J34" i="38"/>
  <c r="K34" i="38"/>
  <c r="L34" i="38"/>
  <c r="M34" i="38"/>
  <c r="N34" i="38"/>
  <c r="I35" i="38"/>
  <c r="J35" i="38"/>
  <c r="K35" i="38"/>
  <c r="L35" i="38"/>
  <c r="M35" i="38"/>
  <c r="N35" i="38"/>
  <c r="I36" i="38"/>
  <c r="J36" i="38"/>
  <c r="K36" i="38"/>
  <c r="L36" i="38"/>
  <c r="M36" i="38"/>
  <c r="N36" i="38"/>
  <c r="I37" i="38"/>
  <c r="J37" i="38"/>
  <c r="K37" i="38"/>
  <c r="L37" i="38"/>
  <c r="M37" i="38"/>
  <c r="N37" i="38"/>
  <c r="I38" i="38"/>
  <c r="J38" i="38"/>
  <c r="K38" i="38"/>
  <c r="L38" i="38"/>
  <c r="M38" i="38"/>
  <c r="N38" i="38"/>
  <c r="I39" i="38"/>
  <c r="J39" i="38"/>
  <c r="K39" i="38"/>
  <c r="L39" i="38"/>
  <c r="M39" i="38"/>
  <c r="N39" i="38"/>
  <c r="I40" i="38"/>
  <c r="J40" i="38"/>
  <c r="K40" i="38"/>
  <c r="L40" i="38"/>
  <c r="M40" i="38"/>
  <c r="N40" i="38"/>
  <c r="I41" i="38"/>
  <c r="J41" i="38"/>
  <c r="K41" i="38"/>
  <c r="L41" i="38"/>
  <c r="M41" i="38"/>
  <c r="N41" i="38"/>
  <c r="I42" i="38"/>
  <c r="J42" i="38"/>
  <c r="K42" i="38"/>
  <c r="L42" i="38"/>
  <c r="M42" i="38"/>
  <c r="N42" i="38"/>
  <c r="I43" i="38"/>
  <c r="J43" i="38"/>
  <c r="K43" i="38"/>
  <c r="L43" i="38"/>
  <c r="M43" i="38"/>
  <c r="N43" i="38"/>
  <c r="I44" i="38"/>
  <c r="J44" i="38"/>
  <c r="K44" i="38"/>
  <c r="L44" i="38"/>
  <c r="M44" i="38"/>
  <c r="N44" i="38"/>
  <c r="I45" i="38"/>
  <c r="J45" i="38"/>
  <c r="K45" i="38"/>
  <c r="L45" i="38"/>
  <c r="M45" i="38"/>
  <c r="N45" i="38"/>
  <c r="I46" i="38"/>
  <c r="J46" i="38"/>
  <c r="K46" i="38"/>
  <c r="L46" i="38"/>
  <c r="M46" i="38"/>
  <c r="N46" i="38"/>
  <c r="I47" i="38"/>
  <c r="J47" i="38"/>
  <c r="K47" i="38"/>
  <c r="L47" i="38"/>
  <c r="M47" i="38"/>
  <c r="N47" i="38"/>
  <c r="I48" i="38"/>
  <c r="J48" i="38"/>
  <c r="K48" i="38"/>
  <c r="L48" i="38"/>
  <c r="M48" i="38"/>
  <c r="N48" i="38"/>
  <c r="I49" i="38"/>
  <c r="J49" i="38"/>
  <c r="K49" i="38"/>
  <c r="L49" i="38"/>
  <c r="M49" i="38"/>
  <c r="N49" i="38"/>
  <c r="I50" i="38"/>
  <c r="J50" i="38"/>
  <c r="K50" i="38"/>
  <c r="L50" i="38"/>
  <c r="M50" i="38"/>
  <c r="N50" i="38"/>
  <c r="I51" i="38"/>
  <c r="J51" i="38"/>
  <c r="K51" i="38"/>
  <c r="L51" i="38"/>
  <c r="M51" i="38"/>
  <c r="N51" i="38"/>
  <c r="I52" i="38"/>
  <c r="J52" i="38"/>
  <c r="K52" i="38"/>
  <c r="L52" i="38"/>
  <c r="M52" i="38"/>
  <c r="N52" i="38"/>
  <c r="I53" i="38"/>
  <c r="J53" i="38"/>
  <c r="K53" i="38"/>
  <c r="L53" i="38"/>
  <c r="M53" i="38"/>
  <c r="N53" i="38"/>
  <c r="I54" i="38"/>
  <c r="J54" i="38"/>
  <c r="K54" i="38"/>
  <c r="L54" i="38"/>
  <c r="M54" i="38"/>
  <c r="N54" i="38"/>
  <c r="I55" i="38"/>
  <c r="J55" i="38"/>
  <c r="K55" i="38"/>
  <c r="L55" i="38"/>
  <c r="M55" i="38"/>
  <c r="N55" i="38"/>
  <c r="J8" i="38"/>
  <c r="K8" i="38"/>
  <c r="L8" i="38"/>
  <c r="M8" i="38"/>
  <c r="N8" i="38"/>
  <c r="I8" i="38"/>
  <c r="A33" i="33"/>
  <c r="F18" i="44" l="1"/>
  <c r="O17" i="44"/>
  <c r="C18" i="57"/>
  <c r="M18" i="57" s="1"/>
  <c r="F30" i="57"/>
  <c r="F23" i="57"/>
  <c r="F24" i="57"/>
  <c r="F27" i="57"/>
  <c r="F22" i="57"/>
  <c r="F21" i="57"/>
  <c r="F29" i="57"/>
  <c r="F25" i="57"/>
  <c r="F19" i="57"/>
  <c r="C30" i="53" s="1"/>
  <c r="F26" i="57"/>
  <c r="F28" i="57"/>
  <c r="F20" i="57"/>
  <c r="C16" i="53"/>
  <c r="B16" i="53" s="1"/>
  <c r="E32" i="50"/>
  <c r="D32" i="50" s="1"/>
  <c r="C32" i="50" s="1"/>
  <c r="F31" i="50"/>
  <c r="I32" i="50"/>
  <c r="G32" i="50"/>
  <c r="B32" i="50"/>
  <c r="H32" i="50"/>
  <c r="I18" i="44"/>
  <c r="H18" i="44"/>
  <c r="G18" i="44"/>
  <c r="F14" i="41" a="1"/>
  <c r="F14" i="41" s="1"/>
  <c r="A2" i="42" s="1"/>
  <c r="A3" i="42"/>
  <c r="AA4" i="41"/>
  <c r="E16" i="40"/>
  <c r="N1" i="40"/>
  <c r="C34" i="53" l="1"/>
  <c r="G19" i="57"/>
  <c r="H19" i="57"/>
  <c r="I19" i="57"/>
  <c r="J19" i="57"/>
  <c r="E19" i="57"/>
  <c r="D19" i="57" s="1"/>
  <c r="C19" i="57" s="1"/>
  <c r="E33" i="50"/>
  <c r="D33" i="50" s="1"/>
  <c r="C33" i="50" s="1"/>
  <c r="F33" i="50" s="1"/>
  <c r="F32" i="50"/>
  <c r="I33" i="50"/>
  <c r="H33" i="50"/>
  <c r="G33" i="50"/>
  <c r="B33" i="50"/>
  <c r="H18" i="41"/>
  <c r="D17" i="43" s="1"/>
  <c r="E17" i="43" s="1"/>
  <c r="J18" i="44"/>
  <c r="C18" i="39"/>
  <c r="C14" i="39"/>
  <c r="D14" i="39" s="1"/>
  <c r="D37" i="39" s="1"/>
  <c r="C38" i="39" s="1"/>
  <c r="C12" i="39"/>
  <c r="C11" i="39"/>
  <c r="C9" i="39"/>
  <c r="C8" i="39"/>
  <c r="E23" i="39"/>
  <c r="C21" i="39"/>
  <c r="G1" i="39"/>
  <c r="E18" i="37"/>
  <c r="F14" i="37" a="1"/>
  <c r="F14" i="37" s="1"/>
  <c r="A2" i="38" s="1"/>
  <c r="L25" i="37"/>
  <c r="L24" i="37"/>
  <c r="L23" i="37"/>
  <c r="C23" i="37" a="1"/>
  <c r="C23" i="37" s="1"/>
  <c r="D22" i="37"/>
  <c r="N21" i="37"/>
  <c r="N20" i="37"/>
  <c r="N19" i="37"/>
  <c r="L19" i="37"/>
  <c r="L18" i="37"/>
  <c r="I18" i="37"/>
  <c r="I19" i="37" s="1"/>
  <c r="L17" i="37"/>
  <c r="L16" i="37"/>
  <c r="D14" i="37"/>
  <c r="B12" i="39" s="1"/>
  <c r="L12" i="37"/>
  <c r="O11" i="37"/>
  <c r="L11" i="37"/>
  <c r="L10" i="37"/>
  <c r="I1" i="4"/>
  <c r="I9" i="35"/>
  <c r="J9" i="35"/>
  <c r="K9" i="35"/>
  <c r="L9" i="35"/>
  <c r="M9" i="35"/>
  <c r="N9" i="35"/>
  <c r="I10" i="35"/>
  <c r="J10" i="35"/>
  <c r="K10" i="35"/>
  <c r="L10" i="35"/>
  <c r="M10" i="35"/>
  <c r="N10" i="35"/>
  <c r="I11" i="35"/>
  <c r="J11" i="35"/>
  <c r="K11" i="35"/>
  <c r="L11" i="35"/>
  <c r="M11" i="35"/>
  <c r="N11" i="35"/>
  <c r="I12" i="35"/>
  <c r="J12" i="35"/>
  <c r="K12" i="35"/>
  <c r="L12" i="35"/>
  <c r="M12" i="35"/>
  <c r="N12" i="35"/>
  <c r="I13" i="35"/>
  <c r="J13" i="35"/>
  <c r="K13" i="35"/>
  <c r="L13" i="35"/>
  <c r="M13" i="35"/>
  <c r="N13" i="35"/>
  <c r="I14" i="35"/>
  <c r="J14" i="35"/>
  <c r="K14" i="35"/>
  <c r="L14" i="35"/>
  <c r="M14" i="35"/>
  <c r="N14" i="35"/>
  <c r="I15" i="35"/>
  <c r="J15" i="35"/>
  <c r="K15" i="35"/>
  <c r="L15" i="35"/>
  <c r="M15" i="35"/>
  <c r="N15" i="35"/>
  <c r="I16" i="35"/>
  <c r="J16" i="35"/>
  <c r="K16" i="35"/>
  <c r="L16" i="35"/>
  <c r="M16" i="35"/>
  <c r="N16" i="35"/>
  <c r="I17" i="35"/>
  <c r="J17" i="35"/>
  <c r="K17" i="35"/>
  <c r="L17" i="35"/>
  <c r="M17" i="35"/>
  <c r="N17" i="35"/>
  <c r="I18" i="35"/>
  <c r="J18" i="35"/>
  <c r="K18" i="35"/>
  <c r="L18" i="35"/>
  <c r="M18" i="35"/>
  <c r="N18" i="35"/>
  <c r="I19" i="35"/>
  <c r="J19" i="35"/>
  <c r="K19" i="35"/>
  <c r="L19" i="35"/>
  <c r="M19" i="35"/>
  <c r="N19" i="35"/>
  <c r="I20" i="35"/>
  <c r="J20" i="35"/>
  <c r="K20" i="35"/>
  <c r="L20" i="35"/>
  <c r="M20" i="35"/>
  <c r="N20" i="35"/>
  <c r="I21" i="35"/>
  <c r="J21" i="35"/>
  <c r="K21" i="35"/>
  <c r="L21" i="35"/>
  <c r="M21" i="35"/>
  <c r="N21" i="35"/>
  <c r="I22" i="35"/>
  <c r="J22" i="35"/>
  <c r="K22" i="35"/>
  <c r="L22" i="35"/>
  <c r="M22" i="35"/>
  <c r="N22" i="35"/>
  <c r="I23" i="35"/>
  <c r="J23" i="35"/>
  <c r="K23" i="35"/>
  <c r="L23" i="35"/>
  <c r="M23" i="35"/>
  <c r="N23" i="35"/>
  <c r="I24" i="35"/>
  <c r="J24" i="35"/>
  <c r="K24" i="35"/>
  <c r="L24" i="35"/>
  <c r="M24" i="35"/>
  <c r="N24" i="35"/>
  <c r="I25" i="35"/>
  <c r="J25" i="35"/>
  <c r="K25" i="35"/>
  <c r="L25" i="35"/>
  <c r="M25" i="35"/>
  <c r="N25" i="35"/>
  <c r="I26" i="35"/>
  <c r="J26" i="35"/>
  <c r="K26" i="35"/>
  <c r="L26" i="35"/>
  <c r="M26" i="35"/>
  <c r="N26" i="35"/>
  <c r="I27" i="35"/>
  <c r="J27" i="35"/>
  <c r="K27" i="35"/>
  <c r="L27" i="35"/>
  <c r="M27" i="35"/>
  <c r="N27" i="35"/>
  <c r="I28" i="35"/>
  <c r="J28" i="35"/>
  <c r="K28" i="35"/>
  <c r="L28" i="35"/>
  <c r="M28" i="35"/>
  <c r="N28" i="35"/>
  <c r="I29" i="35"/>
  <c r="J29" i="35"/>
  <c r="K29" i="35"/>
  <c r="L29" i="35"/>
  <c r="M29" i="35"/>
  <c r="N29" i="35"/>
  <c r="I30" i="35"/>
  <c r="J30" i="35"/>
  <c r="K30" i="35"/>
  <c r="L30" i="35"/>
  <c r="M30" i="35"/>
  <c r="N30" i="35"/>
  <c r="I31" i="35"/>
  <c r="J31" i="35"/>
  <c r="K31" i="35"/>
  <c r="L31" i="35"/>
  <c r="M31" i="35"/>
  <c r="N31" i="35"/>
  <c r="I32" i="35"/>
  <c r="J32" i="35"/>
  <c r="K32" i="35"/>
  <c r="L32" i="35"/>
  <c r="M32" i="35"/>
  <c r="N32" i="35"/>
  <c r="I33" i="35"/>
  <c r="J33" i="35"/>
  <c r="K33" i="35"/>
  <c r="L33" i="35"/>
  <c r="M33" i="35"/>
  <c r="N33" i="35"/>
  <c r="I34" i="35"/>
  <c r="J34" i="35"/>
  <c r="K34" i="35"/>
  <c r="L34" i="35"/>
  <c r="M34" i="35"/>
  <c r="N34" i="35"/>
  <c r="I35" i="35"/>
  <c r="J35" i="35"/>
  <c r="K35" i="35"/>
  <c r="L35" i="35"/>
  <c r="M35" i="35"/>
  <c r="N35" i="35"/>
  <c r="I36" i="35"/>
  <c r="J36" i="35"/>
  <c r="K36" i="35"/>
  <c r="L36" i="35"/>
  <c r="M36" i="35"/>
  <c r="N36" i="35"/>
  <c r="I37" i="35"/>
  <c r="J37" i="35"/>
  <c r="K37" i="35"/>
  <c r="L37" i="35"/>
  <c r="M37" i="35"/>
  <c r="N37" i="35"/>
  <c r="I38" i="35"/>
  <c r="J38" i="35"/>
  <c r="K38" i="35"/>
  <c r="L38" i="35"/>
  <c r="M38" i="35"/>
  <c r="N38" i="35"/>
  <c r="I39" i="35"/>
  <c r="J39" i="35"/>
  <c r="K39" i="35"/>
  <c r="L39" i="35"/>
  <c r="M39" i="35"/>
  <c r="N39" i="35"/>
  <c r="I40" i="35"/>
  <c r="J40" i="35"/>
  <c r="K40" i="35"/>
  <c r="L40" i="35"/>
  <c r="M40" i="35"/>
  <c r="N40" i="35"/>
  <c r="I41" i="35"/>
  <c r="J41" i="35"/>
  <c r="K41" i="35"/>
  <c r="L41" i="35"/>
  <c r="M41" i="35"/>
  <c r="N41" i="35"/>
  <c r="I42" i="35"/>
  <c r="J42" i="35"/>
  <c r="K42" i="35"/>
  <c r="L42" i="35"/>
  <c r="M42" i="35"/>
  <c r="N42" i="35"/>
  <c r="I43" i="35"/>
  <c r="J43" i="35"/>
  <c r="K43" i="35"/>
  <c r="L43" i="35"/>
  <c r="M43" i="35"/>
  <c r="N43" i="35"/>
  <c r="I44" i="35"/>
  <c r="J44" i="35"/>
  <c r="K44" i="35"/>
  <c r="L44" i="35"/>
  <c r="M44" i="35"/>
  <c r="N44" i="35"/>
  <c r="I45" i="35"/>
  <c r="J45" i="35"/>
  <c r="K45" i="35"/>
  <c r="L45" i="35"/>
  <c r="M45" i="35"/>
  <c r="N45" i="35"/>
  <c r="I46" i="35"/>
  <c r="J46" i="35"/>
  <c r="K46" i="35"/>
  <c r="L46" i="35"/>
  <c r="M46" i="35"/>
  <c r="N46" i="35"/>
  <c r="I47" i="35"/>
  <c r="J47" i="35"/>
  <c r="K47" i="35"/>
  <c r="L47" i="35"/>
  <c r="M47" i="35"/>
  <c r="N47" i="35"/>
  <c r="I48" i="35"/>
  <c r="J48" i="35"/>
  <c r="K48" i="35"/>
  <c r="L48" i="35"/>
  <c r="M48" i="35"/>
  <c r="N48" i="35"/>
  <c r="I49" i="35"/>
  <c r="J49" i="35"/>
  <c r="K49" i="35"/>
  <c r="L49" i="35"/>
  <c r="M49" i="35"/>
  <c r="N49" i="35"/>
  <c r="I50" i="35"/>
  <c r="J50" i="35"/>
  <c r="K50" i="35"/>
  <c r="L50" i="35"/>
  <c r="M50" i="35"/>
  <c r="N50" i="35"/>
  <c r="I51" i="35"/>
  <c r="J51" i="35"/>
  <c r="K51" i="35"/>
  <c r="L51" i="35"/>
  <c r="M51" i="35"/>
  <c r="N51" i="35"/>
  <c r="I52" i="35"/>
  <c r="J52" i="35"/>
  <c r="K52" i="35"/>
  <c r="L52" i="35"/>
  <c r="M52" i="35"/>
  <c r="N52" i="35"/>
  <c r="I53" i="35"/>
  <c r="J53" i="35"/>
  <c r="K53" i="35"/>
  <c r="L53" i="35"/>
  <c r="M53" i="35"/>
  <c r="N53" i="35"/>
  <c r="I54" i="35"/>
  <c r="J54" i="35"/>
  <c r="K54" i="35"/>
  <c r="L54" i="35"/>
  <c r="M54" i="35"/>
  <c r="N54" i="35"/>
  <c r="I55" i="35"/>
  <c r="J55" i="35"/>
  <c r="K55" i="35"/>
  <c r="L55" i="35"/>
  <c r="M55" i="35"/>
  <c r="N55" i="35"/>
  <c r="J8" i="35"/>
  <c r="K8" i="35"/>
  <c r="L8" i="35"/>
  <c r="M8" i="35"/>
  <c r="N8" i="35"/>
  <c r="I8" i="35"/>
  <c r="G20" i="57" l="1"/>
  <c r="H20" i="57"/>
  <c r="E20" i="57"/>
  <c r="D20" i="57" s="1"/>
  <c r="C20" i="57" s="1"/>
  <c r="B20" i="57"/>
  <c r="J20" i="57"/>
  <c r="I20" i="57"/>
  <c r="K19" i="57"/>
  <c r="M19" i="57" s="1"/>
  <c r="C10" i="39"/>
  <c r="A26" i="39"/>
  <c r="D26" i="39" s="1"/>
  <c r="K34" i="50"/>
  <c r="J22" i="50"/>
  <c r="E34" i="50"/>
  <c r="B34" i="50"/>
  <c r="H34" i="50"/>
  <c r="I34" i="50"/>
  <c r="G34" i="50"/>
  <c r="F26" i="41"/>
  <c r="D15" i="39"/>
  <c r="C15" i="39" s="1"/>
  <c r="C17" i="40" s="1"/>
  <c r="O17" i="40" s="1"/>
  <c r="K26" i="40"/>
  <c r="K19" i="40"/>
  <c r="K27" i="40"/>
  <c r="K24" i="40"/>
  <c r="K20" i="40"/>
  <c r="K28" i="40"/>
  <c r="K21" i="40"/>
  <c r="K29" i="40"/>
  <c r="K22" i="40"/>
  <c r="K18" i="40"/>
  <c r="C30" i="39" s="1"/>
  <c r="K23" i="40"/>
  <c r="K25" i="40"/>
  <c r="C34" i="43"/>
  <c r="H19" i="41"/>
  <c r="F21" i="41"/>
  <c r="N18" i="40"/>
  <c r="N19" i="40"/>
  <c r="N27" i="40"/>
  <c r="N20" i="40"/>
  <c r="N28" i="40"/>
  <c r="N21" i="40"/>
  <c r="N29" i="40"/>
  <c r="N22" i="40"/>
  <c r="N23" i="40"/>
  <c r="N24" i="40"/>
  <c r="N25" i="40"/>
  <c r="N26" i="40"/>
  <c r="L13" i="37"/>
  <c r="A3" i="38"/>
  <c r="C13" i="39"/>
  <c r="J15" i="39" s="1"/>
  <c r="D22" i="39" a="1"/>
  <c r="D22" i="39" s="1"/>
  <c r="AA4" i="37"/>
  <c r="D30" i="32"/>
  <c r="D29" i="32"/>
  <c r="D28" i="32"/>
  <c r="D27" i="32"/>
  <c r="E18" i="34"/>
  <c r="N1" i="34"/>
  <c r="C18" i="33"/>
  <c r="C14" i="33"/>
  <c r="D14" i="33" s="1"/>
  <c r="D37" i="33" s="1"/>
  <c r="C12" i="33"/>
  <c r="C9" i="33"/>
  <c r="C8" i="33"/>
  <c r="E27" i="33"/>
  <c r="G1" i="33"/>
  <c r="E13" i="32"/>
  <c r="L25" i="32"/>
  <c r="L24" i="32"/>
  <c r="L23" i="32"/>
  <c r="C23" i="32" a="1"/>
  <c r="C23" i="32" s="1"/>
  <c r="D22" i="32"/>
  <c r="N21" i="32"/>
  <c r="N20" i="32"/>
  <c r="N19" i="32"/>
  <c r="L19" i="32"/>
  <c r="L18" i="32"/>
  <c r="I18" i="32"/>
  <c r="I19" i="32" s="1"/>
  <c r="L17" i="32"/>
  <c r="L16" i="32"/>
  <c r="F14" i="32" a="1"/>
  <c r="F14" i="32" s="1"/>
  <c r="A2" i="35" s="1"/>
  <c r="AA4" i="32"/>
  <c r="L12" i="32"/>
  <c r="O11" i="32"/>
  <c r="F20" i="32" s="1" a="1"/>
  <c r="F20" i="32" s="1"/>
  <c r="L11" i="32"/>
  <c r="L10" i="32"/>
  <c r="D12" i="45"/>
  <c r="C14" i="1"/>
  <c r="C11" i="1"/>
  <c r="D8" i="45" s="1"/>
  <c r="C9" i="1"/>
  <c r="D7" i="45"/>
  <c r="F14" i="26" a="1"/>
  <c r="F14" i="26" s="1"/>
  <c r="A2" i="16" s="1"/>
  <c r="N1" i="2"/>
  <c r="F90" i="31"/>
  <c r="F89" i="31"/>
  <c r="F88" i="31"/>
  <c r="F87" i="31"/>
  <c r="F86" i="31"/>
  <c r="F85" i="31"/>
  <c r="F84" i="31"/>
  <c r="F83" i="31"/>
  <c r="F82" i="31"/>
  <c r="F81" i="31"/>
  <c r="F80" i="31"/>
  <c r="F79" i="31"/>
  <c r="F78" i="31"/>
  <c r="F77" i="31"/>
  <c r="F76" i="31"/>
  <c r="F75" i="31"/>
  <c r="F74" i="31"/>
  <c r="F73" i="31"/>
  <c r="F72" i="31"/>
  <c r="F71" i="31"/>
  <c r="C32" i="53" l="1"/>
  <c r="C35" i="53" s="1"/>
  <c r="I21" i="57"/>
  <c r="E21" i="57"/>
  <c r="D21" i="57" s="1"/>
  <c r="C21" i="57" s="1"/>
  <c r="J21" i="57"/>
  <c r="G21" i="57"/>
  <c r="H21" i="57"/>
  <c r="B21" i="57"/>
  <c r="K20" i="57"/>
  <c r="M20" i="57" s="1"/>
  <c r="F18" i="40"/>
  <c r="C29" i="49"/>
  <c r="C32" i="49" s="1"/>
  <c r="F31" i="49" s="1"/>
  <c r="M22" i="50"/>
  <c r="L34" i="50"/>
  <c r="D34" i="50" s="1"/>
  <c r="C34" i="50" s="1"/>
  <c r="F34" i="50" s="1"/>
  <c r="K27" i="34"/>
  <c r="K31" i="34"/>
  <c r="K28" i="34"/>
  <c r="K23" i="34"/>
  <c r="K25" i="34"/>
  <c r="K21" i="34"/>
  <c r="K29" i="34"/>
  <c r="K20" i="34"/>
  <c r="C31" i="33" s="1"/>
  <c r="K22" i="34"/>
  <c r="K30" i="34"/>
  <c r="K24" i="34"/>
  <c r="K26" i="34"/>
  <c r="D9" i="45"/>
  <c r="D26" i="45" s="1"/>
  <c r="K20" i="2"/>
  <c r="K28" i="2"/>
  <c r="K18" i="2"/>
  <c r="K21" i="2"/>
  <c r="K29" i="2"/>
  <c r="K22" i="2"/>
  <c r="K24" i="2"/>
  <c r="K19" i="2"/>
  <c r="K23" i="2"/>
  <c r="K25" i="2"/>
  <c r="K27" i="2"/>
  <c r="K26" i="2"/>
  <c r="D14" i="1"/>
  <c r="D11" i="45"/>
  <c r="E12" i="45" a="1"/>
  <c r="E12" i="45" s="1"/>
  <c r="H18" i="37"/>
  <c r="C17" i="39" s="1"/>
  <c r="E17" i="39" s="1"/>
  <c r="G18" i="40"/>
  <c r="C13" i="33"/>
  <c r="J15" i="33" s="1"/>
  <c r="C16" i="39"/>
  <c r="B16" i="39" s="1"/>
  <c r="J16" i="39"/>
  <c r="L70" i="44"/>
  <c r="L31" i="44"/>
  <c r="L39" i="44"/>
  <c r="L47" i="44"/>
  <c r="L55" i="44"/>
  <c r="L63" i="44"/>
  <c r="L20" i="44"/>
  <c r="L28" i="44"/>
  <c r="L37" i="44"/>
  <c r="L71" i="44"/>
  <c r="L32" i="44"/>
  <c r="L40" i="44"/>
  <c r="L48" i="44"/>
  <c r="L56" i="44"/>
  <c r="L64" i="44"/>
  <c r="L21" i="44"/>
  <c r="L29" i="44"/>
  <c r="L61" i="44"/>
  <c r="C36" i="43"/>
  <c r="L72" i="44"/>
  <c r="L33" i="44"/>
  <c r="L41" i="44"/>
  <c r="L49" i="44"/>
  <c r="L57" i="44"/>
  <c r="L65" i="44"/>
  <c r="L22" i="44"/>
  <c r="L18" i="44"/>
  <c r="M18" i="44" s="1"/>
  <c r="O18" i="44" s="1"/>
  <c r="L53" i="44"/>
  <c r="L73" i="44"/>
  <c r="L34" i="44"/>
  <c r="L42" i="44"/>
  <c r="L50" i="44"/>
  <c r="L58" i="44"/>
  <c r="L66" i="44"/>
  <c r="L23" i="44"/>
  <c r="L26" i="44"/>
  <c r="L74" i="44"/>
  <c r="L35" i="44"/>
  <c r="L43" i="44"/>
  <c r="L51" i="44"/>
  <c r="L59" i="44"/>
  <c r="L67" i="44"/>
  <c r="L24" i="44"/>
  <c r="L76" i="44"/>
  <c r="L75" i="44"/>
  <c r="L36" i="44"/>
  <c r="L44" i="44"/>
  <c r="L52" i="44"/>
  <c r="L60" i="44"/>
  <c r="L68" i="44"/>
  <c r="L25" i="44"/>
  <c r="L69" i="44"/>
  <c r="L77" i="44"/>
  <c r="L30" i="44"/>
  <c r="L38" i="44"/>
  <c r="L46" i="44"/>
  <c r="L54" i="44"/>
  <c r="L62" i="44"/>
  <c r="L19" i="44"/>
  <c r="L27" i="44"/>
  <c r="L45" i="44"/>
  <c r="E18" i="44"/>
  <c r="H18" i="40"/>
  <c r="I18" i="40"/>
  <c r="J14" i="39"/>
  <c r="A3" i="35"/>
  <c r="H18" i="32" s="1"/>
  <c r="C17" i="33" s="1"/>
  <c r="E17" i="33" s="1"/>
  <c r="D26" i="32"/>
  <c r="L13" i="32"/>
  <c r="F4" i="31"/>
  <c r="C39" i="33" s="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3" i="31"/>
  <c r="D22" i="26"/>
  <c r="G20" i="1"/>
  <c r="L11" i="26"/>
  <c r="J14" i="44" l="1"/>
  <c r="L14" i="44"/>
  <c r="K17" i="50"/>
  <c r="E17" i="50"/>
  <c r="K21" i="57"/>
  <c r="M21" i="57" s="1"/>
  <c r="G22" i="57"/>
  <c r="B22" i="57"/>
  <c r="J22" i="57"/>
  <c r="E22" i="57"/>
  <c r="D22" i="57" s="1"/>
  <c r="C22" i="57" s="1"/>
  <c r="I22" i="57"/>
  <c r="H22" i="57"/>
  <c r="N21" i="34"/>
  <c r="N31" i="50"/>
  <c r="N23" i="50"/>
  <c r="N26" i="50"/>
  <c r="N30" i="50"/>
  <c r="N22" i="50"/>
  <c r="O22" i="50" s="1"/>
  <c r="N25" i="50"/>
  <c r="N29" i="50"/>
  <c r="N28" i="50"/>
  <c r="N27" i="50"/>
  <c r="N32" i="50"/>
  <c r="N24" i="50"/>
  <c r="N33" i="50"/>
  <c r="N34" i="50"/>
  <c r="K35" i="50"/>
  <c r="J23" i="50"/>
  <c r="M23" i="50" s="1"/>
  <c r="C39" i="49"/>
  <c r="E35" i="50"/>
  <c r="B35" i="50"/>
  <c r="L35" i="50" s="1"/>
  <c r="I35" i="50"/>
  <c r="N35" i="50"/>
  <c r="H35" i="50"/>
  <c r="G35" i="50"/>
  <c r="I16" i="45"/>
  <c r="F15" i="45"/>
  <c r="K12" i="45"/>
  <c r="O2" i="46"/>
  <c r="A2" i="46"/>
  <c r="E11" i="45"/>
  <c r="D17" i="45"/>
  <c r="D18" i="45" s="1"/>
  <c r="E26" i="45" s="1"/>
  <c r="L35" i="40"/>
  <c r="L44" i="40"/>
  <c r="L29" i="40"/>
  <c r="L22" i="40"/>
  <c r="L40" i="40"/>
  <c r="L31" i="40"/>
  <c r="L48" i="40"/>
  <c r="L43" i="40"/>
  <c r="L52" i="40"/>
  <c r="L53" i="40"/>
  <c r="L30" i="40"/>
  <c r="L56" i="40"/>
  <c r="L39" i="40"/>
  <c r="L64" i="40"/>
  <c r="L32" i="40"/>
  <c r="L51" i="40"/>
  <c r="L60" i="40"/>
  <c r="L69" i="40"/>
  <c r="L38" i="40"/>
  <c r="L72" i="40"/>
  <c r="L47" i="40"/>
  <c r="L25" i="40"/>
  <c r="L67" i="40"/>
  <c r="L45" i="40"/>
  <c r="L54" i="40"/>
  <c r="L57" i="40"/>
  <c r="L70" i="40"/>
  <c r="L66" i="40"/>
  <c r="L36" i="40"/>
  <c r="L24" i="40"/>
  <c r="E18" i="40"/>
  <c r="L59" i="40"/>
  <c r="L76" i="40"/>
  <c r="L26" i="40"/>
  <c r="L46" i="40"/>
  <c r="L33" i="40"/>
  <c r="L55" i="40"/>
  <c r="L41" i="40"/>
  <c r="L42" i="40"/>
  <c r="L74" i="40"/>
  <c r="L49" i="40"/>
  <c r="L63" i="40"/>
  <c r="L58" i="40"/>
  <c r="L68" i="40"/>
  <c r="L23" i="40"/>
  <c r="C31" i="39"/>
  <c r="L50" i="40"/>
  <c r="L75" i="40"/>
  <c r="L34" i="40"/>
  <c r="L21" i="40"/>
  <c r="L62" i="40"/>
  <c r="L65" i="40"/>
  <c r="L71" i="40"/>
  <c r="L73" i="40"/>
  <c r="L19" i="40"/>
  <c r="L28" i="40"/>
  <c r="L20" i="40"/>
  <c r="L37" i="40"/>
  <c r="L18" i="40"/>
  <c r="L27" i="40"/>
  <c r="L61" i="40"/>
  <c r="F21" i="37"/>
  <c r="H19" i="37"/>
  <c r="J14" i="33"/>
  <c r="J16" i="33"/>
  <c r="J18" i="40"/>
  <c r="C29" i="39" s="1"/>
  <c r="D18" i="44"/>
  <c r="C18" i="44" s="1"/>
  <c r="F19" i="44" s="1"/>
  <c r="C37" i="43"/>
  <c r="F27" i="43" s="1"/>
  <c r="N24" i="34"/>
  <c r="N22" i="34"/>
  <c r="N26" i="34"/>
  <c r="N20" i="34"/>
  <c r="N29" i="34"/>
  <c r="N30" i="34"/>
  <c r="N28" i="34"/>
  <c r="N27" i="34"/>
  <c r="N25" i="34"/>
  <c r="N23" i="34"/>
  <c r="N31" i="34"/>
  <c r="E18" i="32"/>
  <c r="A23" i="1"/>
  <c r="G23" i="57" l="1"/>
  <c r="I23" i="57"/>
  <c r="E23" i="57"/>
  <c r="D23" i="57" s="1"/>
  <c r="C23" i="57" s="1"/>
  <c r="H23" i="57"/>
  <c r="B23" i="57"/>
  <c r="J23" i="57"/>
  <c r="K22" i="57"/>
  <c r="M22" i="57" s="1"/>
  <c r="O23" i="50"/>
  <c r="D35" i="50"/>
  <c r="C35" i="50" s="1"/>
  <c r="F8" i="45"/>
  <c r="I10" i="45"/>
  <c r="I9" i="45"/>
  <c r="D18" i="40"/>
  <c r="C18" i="40" s="1"/>
  <c r="C32" i="39"/>
  <c r="F28" i="39" s="1"/>
  <c r="L42" i="43"/>
  <c r="L45" i="43"/>
  <c r="L40" i="43"/>
  <c r="L41" i="43" s="1"/>
  <c r="L44" i="43"/>
  <c r="G19" i="44"/>
  <c r="H19" i="44"/>
  <c r="I19" i="44"/>
  <c r="E19" i="44"/>
  <c r="D19" i="44" s="1"/>
  <c r="C19" i="44" s="1"/>
  <c r="D15" i="33"/>
  <c r="C15" i="33" s="1"/>
  <c r="M18" i="40"/>
  <c r="O18" i="40" s="1"/>
  <c r="B19" i="44"/>
  <c r="C45" i="43"/>
  <c r="D37" i="1"/>
  <c r="C40" i="1" s="1"/>
  <c r="G1" i="1"/>
  <c r="I18" i="26"/>
  <c r="I19" i="26" s="1"/>
  <c r="D27" i="33"/>
  <c r="L25" i="26"/>
  <c r="L24" i="26"/>
  <c r="N21" i="26"/>
  <c r="L23" i="26"/>
  <c r="C23" i="26" a="1"/>
  <c r="C23" i="26" s="1"/>
  <c r="N20" i="26"/>
  <c r="N19" i="26"/>
  <c r="L19" i="26"/>
  <c r="L18" i="26"/>
  <c r="L17" i="26"/>
  <c r="L16" i="26"/>
  <c r="O11" i="26"/>
  <c r="F20" i="26" s="1" a="1"/>
  <c r="F20" i="26" s="1"/>
  <c r="A3" i="46" s="1"/>
  <c r="D27" i="45" s="1"/>
  <c r="L12" i="26"/>
  <c r="L10" i="26"/>
  <c r="U188" i="45" l="1"/>
  <c r="P235" i="45"/>
  <c r="U19" i="45"/>
  <c r="U205" i="45"/>
  <c r="P2" i="45"/>
  <c r="U9" i="45"/>
  <c r="U237" i="45"/>
  <c r="U27" i="45"/>
  <c r="P220" i="45"/>
  <c r="P13" i="45"/>
  <c r="U24" i="45"/>
  <c r="U8" i="45"/>
  <c r="P180" i="45"/>
  <c r="P188" i="45"/>
  <c r="U230" i="45"/>
  <c r="P233" i="45"/>
  <c r="U190" i="45"/>
  <c r="P19" i="45"/>
  <c r="U221" i="45"/>
  <c r="U30" i="45"/>
  <c r="P16" i="45"/>
  <c r="U17" i="45"/>
  <c r="U174" i="45"/>
  <c r="U11" i="45"/>
  <c r="P173" i="45"/>
  <c r="U15" i="45"/>
  <c r="U216" i="45"/>
  <c r="U29" i="45"/>
  <c r="P196" i="45"/>
  <c r="P7" i="45"/>
  <c r="P23" i="45"/>
  <c r="P4" i="45"/>
  <c r="P3" i="45"/>
  <c r="U197" i="45"/>
  <c r="U23" i="45"/>
  <c r="P227" i="45"/>
  <c r="P207" i="45"/>
  <c r="U212" i="45"/>
  <c r="P209" i="45"/>
  <c r="P177" i="45"/>
  <c r="U217" i="45"/>
  <c r="U191" i="45"/>
  <c r="P216" i="45"/>
  <c r="P178" i="45"/>
  <c r="P214" i="45"/>
  <c r="U224" i="45"/>
  <c r="U234" i="45"/>
  <c r="U12" i="45"/>
  <c r="P213" i="45"/>
  <c r="U204" i="45"/>
  <c r="U207" i="45"/>
  <c r="P225" i="45"/>
  <c r="P11" i="45"/>
  <c r="U173" i="45"/>
  <c r="P175" i="45"/>
  <c r="P27" i="45"/>
  <c r="P228" i="45"/>
  <c r="U210" i="45"/>
  <c r="U220" i="45"/>
  <c r="P210" i="45"/>
  <c r="U202" i="45"/>
  <c r="U178" i="45"/>
  <c r="P17" i="45"/>
  <c r="P187" i="45"/>
  <c r="P1" i="45"/>
  <c r="P186" i="45"/>
  <c r="P30" i="45"/>
  <c r="U240" i="45"/>
  <c r="P206" i="45"/>
  <c r="P215" i="45"/>
  <c r="U180" i="45"/>
  <c r="U195" i="45"/>
  <c r="U228" i="45"/>
  <c r="P230" i="45"/>
  <c r="U200" i="45"/>
  <c r="P9" i="45"/>
  <c r="D28" i="45"/>
  <c r="P222" i="45"/>
  <c r="U3" i="45"/>
  <c r="U196" i="45"/>
  <c r="P190" i="45"/>
  <c r="P6" i="45"/>
  <c r="P205" i="45"/>
  <c r="P202" i="45"/>
  <c r="U222" i="45"/>
  <c r="U13" i="45"/>
  <c r="U236" i="45"/>
  <c r="U223" i="45"/>
  <c r="P21" i="45"/>
  <c r="U227" i="45"/>
  <c r="P232" i="45"/>
  <c r="P203" i="45"/>
  <c r="P240" i="45"/>
  <c r="U208" i="45"/>
  <c r="U229" i="45"/>
  <c r="U14" i="45"/>
  <c r="P238" i="45"/>
  <c r="U184" i="45"/>
  <c r="U219" i="45"/>
  <c r="P217" i="45"/>
  <c r="P15" i="45"/>
  <c r="U179" i="45"/>
  <c r="U22" i="45"/>
  <c r="U238" i="45"/>
  <c r="U218" i="45"/>
  <c r="P237" i="45"/>
  <c r="U5" i="45"/>
  <c r="P182" i="45"/>
  <c r="P5" i="45"/>
  <c r="U6" i="45"/>
  <c r="P181" i="45"/>
  <c r="U175" i="45"/>
  <c r="P221" i="45"/>
  <c r="P199" i="45"/>
  <c r="P20" i="45"/>
  <c r="U209" i="45"/>
  <c r="P234" i="45"/>
  <c r="P18" i="45"/>
  <c r="P192" i="45"/>
  <c r="U203" i="45"/>
  <c r="P204" i="45"/>
  <c r="P179" i="45"/>
  <c r="P212" i="45"/>
  <c r="P239" i="45"/>
  <c r="P14" i="45"/>
  <c r="U21" i="45"/>
  <c r="U187" i="45"/>
  <c r="U185" i="45"/>
  <c r="U211" i="45"/>
  <c r="U10" i="45"/>
  <c r="P189" i="45"/>
  <c r="U28" i="45"/>
  <c r="P226" i="45"/>
  <c r="P191" i="45"/>
  <c r="U233" i="45"/>
  <c r="U18" i="45"/>
  <c r="U192" i="45"/>
  <c r="P219" i="45"/>
  <c r="U225" i="45"/>
  <c r="U215" i="45"/>
  <c r="U182" i="45"/>
  <c r="P201" i="45"/>
  <c r="P208" i="45"/>
  <c r="U181" i="45"/>
  <c r="U199" i="45"/>
  <c r="U7" i="45"/>
  <c r="P223" i="45"/>
  <c r="P172" i="45"/>
  <c r="U239" i="45"/>
  <c r="U189" i="45"/>
  <c r="U177" i="45"/>
  <c r="U213" i="45"/>
  <c r="P24" i="45"/>
  <c r="U194" i="45"/>
  <c r="U198" i="45"/>
  <c r="U231" i="45"/>
  <c r="U4" i="45"/>
  <c r="P193" i="45"/>
  <c r="P26" i="45"/>
  <c r="P200" i="45"/>
  <c r="P25" i="45"/>
  <c r="U206" i="45"/>
  <c r="P184" i="45"/>
  <c r="P224" i="45"/>
  <c r="P176" i="45"/>
  <c r="P8" i="45"/>
  <c r="U235" i="45"/>
  <c r="U226" i="45"/>
  <c r="U2" i="45"/>
  <c r="U1" i="45"/>
  <c r="U26" i="45"/>
  <c r="P211" i="45"/>
  <c r="P229" i="45"/>
  <c r="P174" i="45"/>
  <c r="U186" i="45"/>
  <c r="U232" i="45"/>
  <c r="P194" i="45"/>
  <c r="P195" i="45"/>
  <c r="U16" i="45"/>
  <c r="U20" i="45"/>
  <c r="P231" i="45"/>
  <c r="P183" i="45"/>
  <c r="P236" i="45"/>
  <c r="P185" i="45"/>
  <c r="U176" i="45"/>
  <c r="P29" i="45"/>
  <c r="U25" i="45"/>
  <c r="P10" i="45"/>
  <c r="P28" i="45"/>
  <c r="P198" i="45"/>
  <c r="P12" i="45"/>
  <c r="P197" i="45"/>
  <c r="U201" i="45"/>
  <c r="U193" i="45"/>
  <c r="P22" i="45"/>
  <c r="U172" i="45"/>
  <c r="U183" i="45"/>
  <c r="P218" i="45"/>
  <c r="U214" i="45"/>
  <c r="H24" i="57"/>
  <c r="G24" i="57"/>
  <c r="I24" i="57"/>
  <c r="E24" i="57"/>
  <c r="D24" i="57" s="1"/>
  <c r="C24" i="57" s="1"/>
  <c r="J24" i="57"/>
  <c r="B24" i="57"/>
  <c r="K23" i="57"/>
  <c r="M23" i="57" s="1"/>
  <c r="C39" i="39"/>
  <c r="I19" i="40"/>
  <c r="F19" i="40"/>
  <c r="I36" i="50"/>
  <c r="F35" i="50"/>
  <c r="C22" i="33"/>
  <c r="E17" i="34" s="1"/>
  <c r="C19" i="34"/>
  <c r="H36" i="50"/>
  <c r="B36" i="50"/>
  <c r="L36" i="50" s="1"/>
  <c r="N36" i="50"/>
  <c r="G36" i="50"/>
  <c r="K36" i="50"/>
  <c r="J24" i="50"/>
  <c r="M24" i="50" s="1"/>
  <c r="E36" i="50"/>
  <c r="E20" i="44"/>
  <c r="D20" i="44" s="1"/>
  <c r="C20" i="44" s="1"/>
  <c r="F21" i="44" s="1"/>
  <c r="F20" i="44"/>
  <c r="J30" i="33"/>
  <c r="J29" i="33"/>
  <c r="F16" i="33" a="1"/>
  <c r="F16" i="33" s="1"/>
  <c r="F15" i="33" a="1"/>
  <c r="F15" i="33" s="1"/>
  <c r="G19" i="40"/>
  <c r="B19" i="40"/>
  <c r="H19" i="40"/>
  <c r="E19" i="40"/>
  <c r="D19" i="40" s="1"/>
  <c r="C19" i="40" s="1"/>
  <c r="B20" i="44"/>
  <c r="G20" i="44"/>
  <c r="I20" i="44"/>
  <c r="H20" i="44"/>
  <c r="C16" i="33"/>
  <c r="B16" i="33" s="1"/>
  <c r="H37" i="43"/>
  <c r="H36" i="43"/>
  <c r="J19" i="44"/>
  <c r="M19" i="44" s="1"/>
  <c r="O19" i="44" s="1"/>
  <c r="D23" i="33" a="1"/>
  <c r="D23" i="33" s="1"/>
  <c r="E18" i="26"/>
  <c r="C13" i="1"/>
  <c r="A3" i="16"/>
  <c r="N23" i="2"/>
  <c r="N24" i="2"/>
  <c r="N28" i="2"/>
  <c r="N25" i="2"/>
  <c r="N21" i="2"/>
  <c r="N26" i="2"/>
  <c r="N22" i="2"/>
  <c r="N18" i="2"/>
  <c r="N19" i="2"/>
  <c r="N27" i="2"/>
  <c r="N20" i="2"/>
  <c r="N29" i="2"/>
  <c r="L13" i="26"/>
  <c r="AA4" i="26"/>
  <c r="C21" i="1"/>
  <c r="A34" i="1" s="1"/>
  <c r="P4" i="6"/>
  <c r="P3" i="6"/>
  <c r="N3" i="6"/>
  <c r="O3" i="6"/>
  <c r="E16" i="2"/>
  <c r="O24" i="50" l="1"/>
  <c r="F20" i="34"/>
  <c r="O19" i="34"/>
  <c r="U241" i="45"/>
  <c r="P241" i="45"/>
  <c r="G25" i="57"/>
  <c r="E25" i="57"/>
  <c r="D25" i="57" s="1"/>
  <c r="C25" i="57" s="1"/>
  <c r="B25" i="57"/>
  <c r="H25" i="57"/>
  <c r="J25" i="57"/>
  <c r="I25" i="57"/>
  <c r="K24" i="57"/>
  <c r="M24" i="57" s="1"/>
  <c r="H18" i="26"/>
  <c r="E20" i="40"/>
  <c r="D20" i="40" s="1"/>
  <c r="C20" i="40" s="1"/>
  <c r="F21" i="40" s="1"/>
  <c r="F20" i="40"/>
  <c r="D36" i="50"/>
  <c r="C36" i="50" s="1"/>
  <c r="C10" i="1"/>
  <c r="H21" i="44"/>
  <c r="I21" i="44"/>
  <c r="B21" i="44"/>
  <c r="G21" i="44"/>
  <c r="E21" i="44"/>
  <c r="D21" i="44" s="1"/>
  <c r="C21" i="44" s="1"/>
  <c r="F22" i="44" s="1"/>
  <c r="F16" i="1" a="1"/>
  <c r="F16" i="1" s="1"/>
  <c r="F15" i="1" a="1"/>
  <c r="F15" i="1" s="1"/>
  <c r="D15" i="1"/>
  <c r="C15" i="1" s="1"/>
  <c r="C16" i="1" s="1"/>
  <c r="D10" i="45"/>
  <c r="O3" i="46" s="1"/>
  <c r="D19" i="45" s="1"/>
  <c r="J19" i="40"/>
  <c r="M19" i="40" s="1"/>
  <c r="O19" i="40" s="1"/>
  <c r="I20" i="40"/>
  <c r="H20" i="40"/>
  <c r="G20" i="40"/>
  <c r="B20" i="40"/>
  <c r="J20" i="44"/>
  <c r="M20" i="44" s="1"/>
  <c r="O20" i="44" s="1"/>
  <c r="G20" i="34"/>
  <c r="H20" i="34"/>
  <c r="I20" i="34"/>
  <c r="J14" i="1"/>
  <c r="J26" i="57" l="1"/>
  <c r="E26" i="57"/>
  <c r="D26" i="57" s="1"/>
  <c r="C26" i="57" s="1"/>
  <c r="G26" i="57"/>
  <c r="I26" i="57"/>
  <c r="H26" i="57"/>
  <c r="B26" i="57"/>
  <c r="K25" i="57"/>
  <c r="M25" i="57" s="1"/>
  <c r="C17" i="1"/>
  <c r="B21" i="40"/>
  <c r="I21" i="40"/>
  <c r="E21" i="40"/>
  <c r="D21" i="40" s="1"/>
  <c r="C21" i="40" s="1"/>
  <c r="F22" i="40" s="1"/>
  <c r="G21" i="40"/>
  <c r="H21" i="40"/>
  <c r="K37" i="50"/>
  <c r="F36" i="50"/>
  <c r="G37" i="50"/>
  <c r="N37" i="50"/>
  <c r="H37" i="50"/>
  <c r="B37" i="50"/>
  <c r="L37" i="50" s="1"/>
  <c r="I37" i="50"/>
  <c r="E37" i="50"/>
  <c r="J25" i="50"/>
  <c r="M25" i="50" s="1"/>
  <c r="J21" i="44"/>
  <c r="M21" i="44" s="1"/>
  <c r="O21" i="44" s="1"/>
  <c r="E22" i="44"/>
  <c r="D22" i="44" s="1"/>
  <c r="C22" i="44" s="1"/>
  <c r="F23" i="44" s="1"/>
  <c r="I22" i="44"/>
  <c r="G22" i="44"/>
  <c r="B22" i="44"/>
  <c r="H22" i="44"/>
  <c r="J29" i="1"/>
  <c r="J30" i="1"/>
  <c r="I17" i="45"/>
  <c r="D20" i="45"/>
  <c r="I11" i="45" s="1"/>
  <c r="F11" i="45" s="1"/>
  <c r="I21" i="45"/>
  <c r="E27" i="45"/>
  <c r="Q20" i="45"/>
  <c r="R20" i="45" s="1"/>
  <c r="V20" i="45"/>
  <c r="W20" i="45" s="1"/>
  <c r="E21" i="45"/>
  <c r="I18" i="45" s="1"/>
  <c r="V198" i="45"/>
  <c r="W198" i="45" s="1"/>
  <c r="V205" i="45"/>
  <c r="W205" i="45" s="1"/>
  <c r="V25" i="45"/>
  <c r="W25" i="45" s="1"/>
  <c r="Q25" i="45"/>
  <c r="R25" i="45" s="1"/>
  <c r="Q14" i="45"/>
  <c r="R14" i="45" s="1"/>
  <c r="Q172" i="45"/>
  <c r="R172" i="45" s="1"/>
  <c r="V204" i="45"/>
  <c r="W204" i="45" s="1"/>
  <c r="Q30" i="45"/>
  <c r="R30" i="45" s="1"/>
  <c r="V190" i="45"/>
  <c r="W190" i="45" s="1"/>
  <c r="V203" i="45"/>
  <c r="W203" i="45" s="1"/>
  <c r="Q178" i="45"/>
  <c r="R178" i="45" s="1"/>
  <c r="V17" i="45"/>
  <c r="W17" i="45" s="1"/>
  <c r="Q222" i="45"/>
  <c r="R222" i="45" s="1"/>
  <c r="V173" i="45"/>
  <c r="W173" i="45" s="1"/>
  <c r="Q200" i="45"/>
  <c r="R200" i="45" s="1"/>
  <c r="V7" i="45"/>
  <c r="W7" i="45" s="1"/>
  <c r="Q173" i="45"/>
  <c r="R173" i="45" s="1"/>
  <c r="V22" i="45"/>
  <c r="W22" i="45" s="1"/>
  <c r="V236" i="45"/>
  <c r="W236" i="45" s="1"/>
  <c r="V27" i="45"/>
  <c r="W27" i="45" s="1"/>
  <c r="Q176" i="45"/>
  <c r="R176" i="45" s="1"/>
  <c r="V215" i="45"/>
  <c r="W215" i="45" s="1"/>
  <c r="Q191" i="45"/>
  <c r="R191" i="45" s="1"/>
  <c r="Q235" i="45"/>
  <c r="R235" i="45" s="1"/>
  <c r="Q186" i="45"/>
  <c r="R186" i="45" s="1"/>
  <c r="Q18" i="45"/>
  <c r="R18" i="45" s="1"/>
  <c r="V183" i="45"/>
  <c r="W183" i="45" s="1"/>
  <c r="Q217" i="45"/>
  <c r="R217" i="45" s="1"/>
  <c r="Q213" i="45"/>
  <c r="R213" i="45" s="1"/>
  <c r="Q206" i="45"/>
  <c r="R206" i="45" s="1"/>
  <c r="Q185" i="45"/>
  <c r="R185" i="45" s="1"/>
  <c r="V174" i="45"/>
  <c r="W174" i="45" s="1"/>
  <c r="Q229" i="45"/>
  <c r="R229" i="45" s="1"/>
  <c r="Q22" i="45"/>
  <c r="R22" i="45" s="1"/>
  <c r="Q215" i="45"/>
  <c r="R215" i="45" s="1"/>
  <c r="Q220" i="45"/>
  <c r="R220" i="45" s="1"/>
  <c r="Q29" i="45"/>
  <c r="R29" i="45" s="1"/>
  <c r="V12" i="45"/>
  <c r="W12" i="45" s="1"/>
  <c r="Q15" i="45"/>
  <c r="R15" i="45" s="1"/>
  <c r="Q204" i="45"/>
  <c r="R204" i="45" s="1"/>
  <c r="V227" i="45"/>
  <c r="W227" i="45" s="1"/>
  <c r="V234" i="45"/>
  <c r="W234" i="45" s="1"/>
  <c r="Q175" i="45"/>
  <c r="R175" i="45" s="1"/>
  <c r="Q223" i="45"/>
  <c r="R223" i="45" s="1"/>
  <c r="Q181" i="45"/>
  <c r="R181" i="45" s="1"/>
  <c r="Q202" i="45"/>
  <c r="R202" i="45" s="1"/>
  <c r="V212" i="45"/>
  <c r="W212" i="45" s="1"/>
  <c r="Q197" i="45"/>
  <c r="R197" i="45" s="1"/>
  <c r="V202" i="45"/>
  <c r="W202" i="45" s="1"/>
  <c r="V8" i="45"/>
  <c r="W8" i="45" s="1"/>
  <c r="V195" i="45"/>
  <c r="W195" i="45" s="1"/>
  <c r="Q188" i="45"/>
  <c r="R188" i="45" s="1"/>
  <c r="Q11" i="45"/>
  <c r="R11" i="45" s="1"/>
  <c r="Q177" i="45"/>
  <c r="R177" i="45" s="1"/>
  <c r="V210" i="45"/>
  <c r="W210" i="45" s="1"/>
  <c r="Q196" i="45"/>
  <c r="R196" i="45" s="1"/>
  <c r="V238" i="45"/>
  <c r="W238" i="45" s="1"/>
  <c r="V228" i="45"/>
  <c r="W228" i="45" s="1"/>
  <c r="V3" i="45"/>
  <c r="W3" i="45" s="1"/>
  <c r="V187" i="45"/>
  <c r="W187" i="45" s="1"/>
  <c r="V13" i="45"/>
  <c r="W13" i="45" s="1"/>
  <c r="V179" i="45"/>
  <c r="W179" i="45" s="1"/>
  <c r="V5" i="45"/>
  <c r="W5" i="45" s="1"/>
  <c r="V19" i="45"/>
  <c r="W19" i="45" s="1"/>
  <c r="V188" i="45"/>
  <c r="W188" i="45" s="1"/>
  <c r="Q210" i="45"/>
  <c r="R210" i="45" s="1"/>
  <c r="V184" i="45"/>
  <c r="W184" i="45" s="1"/>
  <c r="Q28" i="45"/>
  <c r="R28" i="45" s="1"/>
  <c r="V213" i="45"/>
  <c r="W213" i="45" s="1"/>
  <c r="V14" i="45"/>
  <c r="W14" i="45" s="1"/>
  <c r="V222" i="45"/>
  <c r="W222" i="45" s="1"/>
  <c r="V193" i="45"/>
  <c r="W193" i="45" s="1"/>
  <c r="Q240" i="45"/>
  <c r="R240" i="45" s="1"/>
  <c r="V237" i="45"/>
  <c r="W237" i="45" s="1"/>
  <c r="V189" i="45"/>
  <c r="W189" i="45" s="1"/>
  <c r="Q221" i="45"/>
  <c r="R221" i="45" s="1"/>
  <c r="Q238" i="45"/>
  <c r="R238" i="45" s="1"/>
  <c r="V241" i="45"/>
  <c r="W241" i="45" s="1"/>
  <c r="V192" i="45"/>
  <c r="W192" i="45" s="1"/>
  <c r="Q231" i="45"/>
  <c r="R231" i="45" s="1"/>
  <c r="Q225" i="45"/>
  <c r="R225" i="45" s="1"/>
  <c r="V16" i="45"/>
  <c r="W16" i="45" s="1"/>
  <c r="V10" i="45"/>
  <c r="W10" i="45" s="1"/>
  <c r="Q195" i="45"/>
  <c r="R195" i="45" s="1"/>
  <c r="V239" i="45"/>
  <c r="W239" i="45" s="1"/>
  <c r="V218" i="45"/>
  <c r="W218" i="45" s="1"/>
  <c r="V1" i="45"/>
  <c r="W1" i="45" s="1"/>
  <c r="V6" i="45"/>
  <c r="W6" i="45" s="1"/>
  <c r="Q234" i="45"/>
  <c r="R234" i="45" s="1"/>
  <c r="Q2" i="45"/>
  <c r="R2" i="45" s="1"/>
  <c r="V219" i="45"/>
  <c r="W219" i="45" s="1"/>
  <c r="Q23" i="45"/>
  <c r="R23" i="45" s="1"/>
  <c r="Q232" i="45"/>
  <c r="R232" i="45" s="1"/>
  <c r="Q9" i="45"/>
  <c r="R9" i="45" s="1"/>
  <c r="V185" i="45"/>
  <c r="W185" i="45" s="1"/>
  <c r="V29" i="45"/>
  <c r="W29" i="45" s="1"/>
  <c r="Q1" i="45"/>
  <c r="V223" i="45"/>
  <c r="W223" i="45" s="1"/>
  <c r="Q5" i="45"/>
  <c r="R5" i="45" s="1"/>
  <c r="Q27" i="45"/>
  <c r="R27" i="45" s="1"/>
  <c r="Q209" i="45"/>
  <c r="R209" i="45" s="1"/>
  <c r="Q26" i="45"/>
  <c r="R26" i="45" s="1"/>
  <c r="Q180" i="45"/>
  <c r="R180" i="45" s="1"/>
  <c r="Q211" i="45"/>
  <c r="R211" i="45" s="1"/>
  <c r="Q10" i="45"/>
  <c r="R10" i="45" s="1"/>
  <c r="V172" i="45"/>
  <c r="W172" i="45" s="1"/>
  <c r="V180" i="45"/>
  <c r="W180" i="45" s="1"/>
  <c r="Q3" i="45"/>
  <c r="R3" i="45" s="1"/>
  <c r="V226" i="45"/>
  <c r="W226" i="45" s="1"/>
  <c r="V177" i="45"/>
  <c r="W177" i="45" s="1"/>
  <c r="V235" i="45"/>
  <c r="W235" i="45" s="1"/>
  <c r="V4" i="45"/>
  <c r="W4" i="45" s="1"/>
  <c r="Q4" i="45"/>
  <c r="R4" i="45" s="1"/>
  <c r="Q230" i="45"/>
  <c r="R230" i="45" s="1"/>
  <c r="V11" i="45"/>
  <c r="W11" i="45" s="1"/>
  <c r="Q208" i="45"/>
  <c r="R208" i="45" s="1"/>
  <c r="V181" i="45"/>
  <c r="W181" i="45" s="1"/>
  <c r="V15" i="45"/>
  <c r="W15" i="45" s="1"/>
  <c r="V211" i="45"/>
  <c r="W211" i="45" s="1"/>
  <c r="Q7" i="45"/>
  <c r="R7" i="45" s="1"/>
  <c r="V9" i="45"/>
  <c r="W9" i="45" s="1"/>
  <c r="V18" i="45"/>
  <c r="W18" i="45" s="1"/>
  <c r="V231" i="45"/>
  <c r="W231" i="45" s="1"/>
  <c r="V201" i="45"/>
  <c r="W201" i="45" s="1"/>
  <c r="V232" i="45"/>
  <c r="W232" i="45" s="1"/>
  <c r="V23" i="45"/>
  <c r="W23" i="45" s="1"/>
  <c r="Q182" i="45"/>
  <c r="R182" i="45" s="1"/>
  <c r="V208" i="45"/>
  <c r="W208" i="45" s="1"/>
  <c r="V196" i="45"/>
  <c r="W196" i="45" s="1"/>
  <c r="Q183" i="45"/>
  <c r="R183" i="45" s="1"/>
  <c r="V216" i="45"/>
  <c r="W216" i="45" s="1"/>
  <c r="Q184" i="45"/>
  <c r="R184" i="45" s="1"/>
  <c r="V176" i="45"/>
  <c r="W176" i="45" s="1"/>
  <c r="V229" i="45"/>
  <c r="W229" i="45" s="1"/>
  <c r="V194" i="45"/>
  <c r="W194" i="45" s="1"/>
  <c r="Q237" i="45"/>
  <c r="R237" i="45" s="1"/>
  <c r="Q224" i="45"/>
  <c r="R224" i="45" s="1"/>
  <c r="V200" i="45"/>
  <c r="W200" i="45" s="1"/>
  <c r="Q194" i="45"/>
  <c r="R194" i="45" s="1"/>
  <c r="Q199" i="45"/>
  <c r="R199" i="45" s="1"/>
  <c r="V225" i="45"/>
  <c r="W225" i="45" s="1"/>
  <c r="Q212" i="45"/>
  <c r="R212" i="45" s="1"/>
  <c r="V224" i="45"/>
  <c r="W224" i="45" s="1"/>
  <c r="V21" i="45"/>
  <c r="W21" i="45" s="1"/>
  <c r="V186" i="45"/>
  <c r="W186" i="45" s="1"/>
  <c r="V217" i="45"/>
  <c r="W217" i="45" s="1"/>
  <c r="V197" i="45"/>
  <c r="W197" i="45" s="1"/>
  <c r="V207" i="45"/>
  <c r="W207" i="45" s="1"/>
  <c r="V221" i="45"/>
  <c r="W221" i="45" s="1"/>
  <c r="Q201" i="45"/>
  <c r="R201" i="45" s="1"/>
  <c r="V30" i="45"/>
  <c r="W30" i="45" s="1"/>
  <c r="Q207" i="45"/>
  <c r="R207" i="45" s="1"/>
  <c r="Q174" i="45"/>
  <c r="R174" i="45" s="1"/>
  <c r="Q189" i="45"/>
  <c r="R189" i="45" s="1"/>
  <c r="Q21" i="45"/>
  <c r="R21" i="45" s="1"/>
  <c r="Q187" i="45"/>
  <c r="R187" i="45" s="1"/>
  <c r="Q193" i="45"/>
  <c r="R193" i="45" s="1"/>
  <c r="Q6" i="45"/>
  <c r="R6" i="45" s="1"/>
  <c r="Q17" i="45"/>
  <c r="R17" i="45" s="1"/>
  <c r="Q214" i="45"/>
  <c r="R214" i="45" s="1"/>
  <c r="V26" i="45"/>
  <c r="W26" i="45" s="1"/>
  <c r="Q227" i="45"/>
  <c r="R227" i="45" s="1"/>
  <c r="V214" i="45"/>
  <c r="W214" i="45" s="1"/>
  <c r="Q12" i="45"/>
  <c r="R12" i="45" s="1"/>
  <c r="Q228" i="45"/>
  <c r="R228" i="45" s="1"/>
  <c r="V209" i="45"/>
  <c r="W209" i="45" s="1"/>
  <c r="V191" i="45"/>
  <c r="W191" i="45" s="1"/>
  <c r="V2" i="45"/>
  <c r="W2" i="45" s="1"/>
  <c r="Q239" i="45"/>
  <c r="R239" i="45" s="1"/>
  <c r="V230" i="45"/>
  <c r="W230" i="45" s="1"/>
  <c r="Q216" i="45"/>
  <c r="R216" i="45" s="1"/>
  <c r="V175" i="45"/>
  <c r="W175" i="45" s="1"/>
  <c r="Q16" i="45"/>
  <c r="R16" i="45" s="1"/>
  <c r="V220" i="45"/>
  <c r="W220" i="45" s="1"/>
  <c r="V240" i="45"/>
  <c r="W240" i="45" s="1"/>
  <c r="Q236" i="45"/>
  <c r="R236" i="45" s="1"/>
  <c r="V199" i="45"/>
  <c r="W199" i="45" s="1"/>
  <c r="Q218" i="45"/>
  <c r="R218" i="45" s="1"/>
  <c r="Q203" i="45"/>
  <c r="R203" i="45" s="1"/>
  <c r="Q8" i="45"/>
  <c r="R8" i="45" s="1"/>
  <c r="V178" i="45"/>
  <c r="W178" i="45" s="1"/>
  <c r="V206" i="45"/>
  <c r="W206" i="45" s="1"/>
  <c r="Q190" i="45"/>
  <c r="R190" i="45" s="1"/>
  <c r="Q205" i="45"/>
  <c r="R205" i="45" s="1"/>
  <c r="V24" i="45"/>
  <c r="W24" i="45" s="1"/>
  <c r="Q24" i="45"/>
  <c r="R24" i="45" s="1"/>
  <c r="Q13" i="45"/>
  <c r="R13" i="45" s="1"/>
  <c r="V233" i="45"/>
  <c r="W233" i="45" s="1"/>
  <c r="Q198" i="45"/>
  <c r="R198" i="45" s="1"/>
  <c r="V182" i="45"/>
  <c r="W182" i="45" s="1"/>
  <c r="Q179" i="45"/>
  <c r="R179" i="45" s="1"/>
  <c r="Q233" i="45"/>
  <c r="R233" i="45" s="1"/>
  <c r="Q226" i="45"/>
  <c r="R226" i="45" s="1"/>
  <c r="V28" i="45"/>
  <c r="W28" i="45" s="1"/>
  <c r="Q19" i="45"/>
  <c r="R19" i="45" s="1"/>
  <c r="Q219" i="45"/>
  <c r="R219" i="45" s="1"/>
  <c r="Q192" i="45"/>
  <c r="R192" i="45" s="1"/>
  <c r="J20" i="40"/>
  <c r="M20" i="40" s="1"/>
  <c r="O20" i="40" s="1"/>
  <c r="F21" i="26"/>
  <c r="F21" i="32"/>
  <c r="H19" i="32"/>
  <c r="H19" i="26"/>
  <c r="E26" i="1"/>
  <c r="C23" i="1" l="1"/>
  <c r="E17" i="1"/>
  <c r="O25" i="50"/>
  <c r="K26" i="57"/>
  <c r="M26" i="57" s="1"/>
  <c r="G27" i="57"/>
  <c r="E27" i="57"/>
  <c r="D27" i="57" s="1"/>
  <c r="C27" i="57" s="1"/>
  <c r="J27" i="57"/>
  <c r="B27" i="57"/>
  <c r="I27" i="57"/>
  <c r="H27" i="57"/>
  <c r="G22" i="40"/>
  <c r="J21" i="40"/>
  <c r="M21" i="40" s="1"/>
  <c r="O21" i="40" s="1"/>
  <c r="B22" i="40"/>
  <c r="I22" i="40"/>
  <c r="H22" i="40"/>
  <c r="E22" i="40"/>
  <c r="D22" i="40" s="1"/>
  <c r="C22" i="40" s="1"/>
  <c r="F23" i="40" s="1"/>
  <c r="D37" i="50"/>
  <c r="C37" i="50" s="1"/>
  <c r="B23" i="44"/>
  <c r="E23" i="44"/>
  <c r="D23" i="44" s="1"/>
  <c r="C23" i="44" s="1"/>
  <c r="F24" i="44" s="1"/>
  <c r="I23" i="44"/>
  <c r="H23" i="44"/>
  <c r="G23" i="44"/>
  <c r="J22" i="44"/>
  <c r="M22" i="44" s="1"/>
  <c r="O22" i="44" s="1"/>
  <c r="Q241" i="45"/>
  <c r="R241" i="45" s="1"/>
  <c r="R1" i="45"/>
  <c r="I12" i="45" s="1"/>
  <c r="F12" i="45" s="1"/>
  <c r="I19" i="45"/>
  <c r="L20" i="34"/>
  <c r="C32" i="33" s="1"/>
  <c r="L23" i="34"/>
  <c r="L31" i="34"/>
  <c r="L22" i="34"/>
  <c r="L26" i="34"/>
  <c r="L24" i="34"/>
  <c r="L28" i="34"/>
  <c r="L25" i="34"/>
  <c r="L29" i="34"/>
  <c r="L27" i="34"/>
  <c r="L30" i="34"/>
  <c r="L21" i="34"/>
  <c r="E20" i="34"/>
  <c r="L18" i="2" l="1"/>
  <c r="C33" i="1"/>
  <c r="G28" i="57"/>
  <c r="H28" i="57"/>
  <c r="B28" i="57"/>
  <c r="E28" i="57"/>
  <c r="D28" i="57" s="1"/>
  <c r="C28" i="57" s="1"/>
  <c r="J28" i="57"/>
  <c r="I28" i="57"/>
  <c r="K27" i="57"/>
  <c r="M27" i="57" s="1"/>
  <c r="J22" i="40"/>
  <c r="M22" i="40" s="1"/>
  <c r="O22" i="40" s="1"/>
  <c r="G23" i="40"/>
  <c r="B23" i="40"/>
  <c r="I23" i="40"/>
  <c r="H23" i="40"/>
  <c r="E23" i="40"/>
  <c r="D23" i="40" s="1"/>
  <c r="C23" i="40" s="1"/>
  <c r="F24" i="40" s="1"/>
  <c r="J26" i="50"/>
  <c r="M26" i="50" s="1"/>
  <c r="F37" i="50"/>
  <c r="G38" i="50"/>
  <c r="E38" i="50"/>
  <c r="I38" i="50"/>
  <c r="B38" i="50"/>
  <c r="L38" i="50" s="1"/>
  <c r="K38" i="50"/>
  <c r="H38" i="50"/>
  <c r="N38" i="50"/>
  <c r="I24" i="44"/>
  <c r="E24" i="44"/>
  <c r="D24" i="44" s="1"/>
  <c r="C24" i="44" s="1"/>
  <c r="F25" i="44" s="1"/>
  <c r="B24" i="44"/>
  <c r="H24" i="44"/>
  <c r="J23" i="44"/>
  <c r="M23" i="44" s="1"/>
  <c r="O23" i="44" s="1"/>
  <c r="G24" i="44"/>
  <c r="D20" i="34"/>
  <c r="C20" i="34" s="1"/>
  <c r="F21" i="34" s="1"/>
  <c r="O26" i="50" l="1"/>
  <c r="E29" i="57"/>
  <c r="D29" i="57" s="1"/>
  <c r="C29" i="57" s="1"/>
  <c r="I29" i="57"/>
  <c r="H29" i="57"/>
  <c r="J29" i="57"/>
  <c r="B29" i="57"/>
  <c r="G29" i="57"/>
  <c r="K28" i="57"/>
  <c r="M28" i="57" s="1"/>
  <c r="J23" i="40"/>
  <c r="M23" i="40" s="1"/>
  <c r="O23" i="40" s="1"/>
  <c r="H24" i="40"/>
  <c r="I24" i="40"/>
  <c r="B24" i="40"/>
  <c r="E24" i="40"/>
  <c r="D24" i="40" s="1"/>
  <c r="C24" i="40" s="1"/>
  <c r="F25" i="40" s="1"/>
  <c r="G24" i="40"/>
  <c r="D38" i="50"/>
  <c r="C38" i="50" s="1"/>
  <c r="F38" i="50" s="1"/>
  <c r="J27" i="50"/>
  <c r="M27" i="50" s="1"/>
  <c r="O27" i="50" s="1"/>
  <c r="G25" i="44"/>
  <c r="H25" i="44"/>
  <c r="E25" i="44"/>
  <c r="D25" i="44" s="1"/>
  <c r="C25" i="44" s="1"/>
  <c r="F26" i="44" s="1"/>
  <c r="B25" i="44"/>
  <c r="I25" i="44"/>
  <c r="J24" i="44"/>
  <c r="M24" i="44" s="1"/>
  <c r="O24" i="44" s="1"/>
  <c r="I21" i="34"/>
  <c r="E21" i="34"/>
  <c r="D21" i="34" s="1"/>
  <c r="C21" i="34" s="1"/>
  <c r="F22" i="34" s="1"/>
  <c r="G21" i="34"/>
  <c r="H21" i="34"/>
  <c r="B21" i="34"/>
  <c r="J16" i="1"/>
  <c r="J15" i="1"/>
  <c r="K29" i="57" l="1"/>
  <c r="M29" i="57" s="1"/>
  <c r="I30" i="57"/>
  <c r="B30" i="57"/>
  <c r="J30" i="57"/>
  <c r="E30" i="57"/>
  <c r="D30" i="57" s="1"/>
  <c r="C30" i="57" s="1"/>
  <c r="G30" i="57"/>
  <c r="H30" i="57"/>
  <c r="E39" i="50"/>
  <c r="G25" i="40"/>
  <c r="E25" i="40"/>
  <c r="D25" i="40" s="1"/>
  <c r="C25" i="40" s="1"/>
  <c r="F26" i="40" s="1"/>
  <c r="I25" i="40"/>
  <c r="B25" i="40"/>
  <c r="J24" i="40"/>
  <c r="M24" i="40" s="1"/>
  <c r="O24" i="40" s="1"/>
  <c r="H25" i="40"/>
  <c r="B39" i="50"/>
  <c r="L39" i="50" s="1"/>
  <c r="I39" i="50"/>
  <c r="N39" i="50"/>
  <c r="K39" i="50"/>
  <c r="H39" i="50"/>
  <c r="G39" i="50"/>
  <c r="J28" i="50"/>
  <c r="M28" i="50" s="1"/>
  <c r="O28" i="50" s="1"/>
  <c r="J25" i="44"/>
  <c r="M25" i="44" s="1"/>
  <c r="O25" i="44" s="1"/>
  <c r="H26" i="44"/>
  <c r="I26" i="44"/>
  <c r="G26" i="44"/>
  <c r="E26" i="44"/>
  <c r="D26" i="44" s="1"/>
  <c r="C26" i="44" s="1"/>
  <c r="F27" i="44" s="1"/>
  <c r="B26" i="44"/>
  <c r="E22" i="34"/>
  <c r="D22" i="34" s="1"/>
  <c r="C22" i="34" s="1"/>
  <c r="F23" i="34" s="1"/>
  <c r="G22" i="34"/>
  <c r="H22" i="34"/>
  <c r="I22" i="34"/>
  <c r="B22" i="34"/>
  <c r="D22" i="1" a="1"/>
  <c r="D22" i="1" s="1"/>
  <c r="B22" i="1" a="1"/>
  <c r="B22" i="1" s="1"/>
  <c r="K30" i="57" l="1"/>
  <c r="M30" i="57" s="1"/>
  <c r="L31" i="57"/>
  <c r="H31" i="57"/>
  <c r="E31" i="57"/>
  <c r="G31" i="57"/>
  <c r="B31" i="57"/>
  <c r="F31" i="57" s="1"/>
  <c r="I31" i="57"/>
  <c r="J31" i="57"/>
  <c r="D39" i="50"/>
  <c r="C39" i="50" s="1"/>
  <c r="F39" i="50" s="1"/>
  <c r="J25" i="40"/>
  <c r="M25" i="40" s="1"/>
  <c r="O25" i="40" s="1"/>
  <c r="G26" i="40"/>
  <c r="B26" i="40"/>
  <c r="I26" i="40"/>
  <c r="H26" i="40"/>
  <c r="E26" i="40"/>
  <c r="D26" i="40" s="1"/>
  <c r="C26" i="40" s="1"/>
  <c r="F27" i="40" s="1"/>
  <c r="J26" i="44"/>
  <c r="M26" i="44" s="1"/>
  <c r="O26" i="44" s="1"/>
  <c r="I27" i="44"/>
  <c r="G27" i="44"/>
  <c r="B27" i="44"/>
  <c r="E27" i="44"/>
  <c r="D27" i="44" s="1"/>
  <c r="C27" i="44" s="1"/>
  <c r="F28" i="44" s="1"/>
  <c r="H27" i="44"/>
  <c r="E23" i="34"/>
  <c r="D23" i="34" s="1"/>
  <c r="C23" i="34" s="1"/>
  <c r="F24" i="34" s="1"/>
  <c r="H23" i="34"/>
  <c r="I23" i="34"/>
  <c r="G23" i="34"/>
  <c r="J20" i="34"/>
  <c r="J21" i="34"/>
  <c r="M21" i="34" s="1"/>
  <c r="O21" i="34" s="1"/>
  <c r="B23" i="34"/>
  <c r="J22" i="34"/>
  <c r="M22" i="34" s="1"/>
  <c r="O22" i="34" s="1"/>
  <c r="L61" i="2"/>
  <c r="K31" i="57" l="1"/>
  <c r="M31" i="57" s="1"/>
  <c r="H40" i="50"/>
  <c r="E40" i="50"/>
  <c r="I40" i="50"/>
  <c r="B40" i="50"/>
  <c r="L40" i="50" s="1"/>
  <c r="G40" i="50"/>
  <c r="K40" i="50"/>
  <c r="N40" i="50"/>
  <c r="J26" i="40"/>
  <c r="M26" i="40" s="1"/>
  <c r="O26" i="40" s="1"/>
  <c r="H27" i="40"/>
  <c r="B27" i="40"/>
  <c r="I27" i="40"/>
  <c r="G27" i="40"/>
  <c r="E27" i="40"/>
  <c r="D27" i="40" s="1"/>
  <c r="C27" i="40" s="1"/>
  <c r="F28" i="40" s="1"/>
  <c r="J27" i="44"/>
  <c r="M27" i="44" s="1"/>
  <c r="O27" i="44" s="1"/>
  <c r="J29" i="50"/>
  <c r="M29" i="50" s="1"/>
  <c r="O29" i="50" s="1"/>
  <c r="H28" i="44"/>
  <c r="I28" i="44"/>
  <c r="G28" i="44"/>
  <c r="B28" i="44"/>
  <c r="E28" i="44"/>
  <c r="D28" i="44" s="1"/>
  <c r="C28" i="44" s="1"/>
  <c r="F29" i="44" s="1"/>
  <c r="C30" i="33"/>
  <c r="M20" i="34"/>
  <c r="O20" i="34" s="1"/>
  <c r="E24" i="34"/>
  <c r="D24" i="34" s="1"/>
  <c r="C24" i="34" s="1"/>
  <c r="F25" i="34" s="1"/>
  <c r="G24" i="34"/>
  <c r="H24" i="34"/>
  <c r="I24" i="34"/>
  <c r="J23" i="34"/>
  <c r="M23" i="34" s="1"/>
  <c r="O23" i="34" s="1"/>
  <c r="B24" i="34"/>
  <c r="L23" i="2"/>
  <c r="L51" i="2"/>
  <c r="L57" i="2"/>
  <c r="L68" i="2"/>
  <c r="L28" i="2"/>
  <c r="L30" i="2"/>
  <c r="L35" i="2"/>
  <c r="L24" i="2"/>
  <c r="L73" i="2"/>
  <c r="L47" i="2"/>
  <c r="L52" i="2"/>
  <c r="L42" i="2"/>
  <c r="L53" i="2"/>
  <c r="L64" i="2"/>
  <c r="L54" i="2"/>
  <c r="L59" i="2"/>
  <c r="L33" i="2"/>
  <c r="L19" i="2"/>
  <c r="L71" i="2"/>
  <c r="L75" i="2"/>
  <c r="L31" i="2"/>
  <c r="L36" i="2"/>
  <c r="L26" i="2"/>
  <c r="L69" i="2"/>
  <c r="L48" i="2"/>
  <c r="L38" i="2"/>
  <c r="L43" i="2"/>
  <c r="L49" i="2"/>
  <c r="L66" i="2"/>
  <c r="L55" i="2"/>
  <c r="L74" i="2"/>
  <c r="L21" i="2"/>
  <c r="L20" i="2"/>
  <c r="L72" i="2"/>
  <c r="L45" i="2"/>
  <c r="L34" i="2"/>
  <c r="L44" i="2"/>
  <c r="L46" i="2"/>
  <c r="L40" i="2"/>
  <c r="L63" i="2"/>
  <c r="L58" i="2"/>
  <c r="L37" i="2"/>
  <c r="L25" i="2"/>
  <c r="L70" i="2"/>
  <c r="L32" i="2"/>
  <c r="L22" i="2"/>
  <c r="L27" i="2"/>
  <c r="L65" i="2"/>
  <c r="L50" i="2"/>
  <c r="L39" i="2"/>
  <c r="L60" i="2"/>
  <c r="L62" i="2"/>
  <c r="L67" i="2"/>
  <c r="L56" i="2"/>
  <c r="L41" i="2"/>
  <c r="L76" i="2"/>
  <c r="L29" i="2"/>
  <c r="D40" i="50" l="1"/>
  <c r="C40" i="50" s="1"/>
  <c r="F40" i="50" s="1"/>
  <c r="B28" i="40"/>
  <c r="I28" i="40"/>
  <c r="H28" i="40"/>
  <c r="J27" i="40"/>
  <c r="M27" i="40" s="1"/>
  <c r="O27" i="40" s="1"/>
  <c r="G28" i="40"/>
  <c r="E28" i="40"/>
  <c r="D28" i="40" s="1"/>
  <c r="C28" i="40" s="1"/>
  <c r="F29" i="40" s="1"/>
  <c r="H29" i="44"/>
  <c r="J28" i="44"/>
  <c r="M28" i="44" s="1"/>
  <c r="O28" i="44" s="1"/>
  <c r="I29" i="44"/>
  <c r="G29" i="44"/>
  <c r="B29" i="44"/>
  <c r="E29" i="44"/>
  <c r="D29" i="44" s="1"/>
  <c r="C29" i="44" s="1"/>
  <c r="E30" i="44" s="1"/>
  <c r="D30" i="44" s="1"/>
  <c r="C30" i="44" s="1"/>
  <c r="E25" i="34"/>
  <c r="D25" i="34" s="1"/>
  <c r="C25" i="34" s="1"/>
  <c r="F26" i="34" s="1"/>
  <c r="H25" i="34"/>
  <c r="I25" i="34"/>
  <c r="G25" i="34"/>
  <c r="J24" i="34"/>
  <c r="M24" i="34" s="1"/>
  <c r="O24" i="34" s="1"/>
  <c r="B25" i="34"/>
  <c r="O4" i="6"/>
  <c r="N4" i="6"/>
  <c r="M4" i="6"/>
  <c r="M3" i="6"/>
  <c r="B41" i="50" l="1"/>
  <c r="L41" i="50" s="1"/>
  <c r="N41" i="50"/>
  <c r="I41" i="50"/>
  <c r="E41" i="50"/>
  <c r="G41" i="50"/>
  <c r="K41" i="50"/>
  <c r="H41" i="50"/>
  <c r="J28" i="40"/>
  <c r="M28" i="40" s="1"/>
  <c r="O28" i="40" s="1"/>
  <c r="G29" i="40"/>
  <c r="H29" i="40"/>
  <c r="I29" i="40"/>
  <c r="E29" i="40"/>
  <c r="D29" i="40" s="1"/>
  <c r="C29" i="40" s="1"/>
  <c r="F30" i="40" s="1"/>
  <c r="B29" i="40"/>
  <c r="K30" i="44"/>
  <c r="G30" i="44"/>
  <c r="F30" i="44"/>
  <c r="J30" i="50"/>
  <c r="M30" i="50" s="1"/>
  <c r="O30" i="50" s="1"/>
  <c r="J29" i="44"/>
  <c r="M29" i="44" s="1"/>
  <c r="O29" i="44" s="1"/>
  <c r="I30" i="44"/>
  <c r="B30" i="44"/>
  <c r="N30" i="44"/>
  <c r="H30" i="44"/>
  <c r="K31" i="44"/>
  <c r="F31" i="44"/>
  <c r="G31" i="44"/>
  <c r="H31" i="44"/>
  <c r="I31" i="44"/>
  <c r="E31" i="44"/>
  <c r="D31" i="44" s="1"/>
  <c r="C31" i="44" s="1"/>
  <c r="B31" i="44"/>
  <c r="N31" i="44"/>
  <c r="E26" i="34"/>
  <c r="D26" i="34" s="1"/>
  <c r="C26" i="34" s="1"/>
  <c r="F27" i="34" s="1"/>
  <c r="G26" i="34"/>
  <c r="H26" i="34"/>
  <c r="I26" i="34"/>
  <c r="J25" i="34"/>
  <c r="M25" i="34" s="1"/>
  <c r="O25" i="34" s="1"/>
  <c r="B26" i="34"/>
  <c r="G4" i="4"/>
  <c r="K11" i="4" l="1"/>
  <c r="E11" i="4"/>
  <c r="K16" i="4"/>
  <c r="K12" i="4"/>
  <c r="K15" i="4"/>
  <c r="K13" i="4"/>
  <c r="K14" i="4"/>
  <c r="D41" i="50"/>
  <c r="C41" i="50" s="1"/>
  <c r="F41" i="50" s="1"/>
  <c r="G30" i="40"/>
  <c r="J29" i="40"/>
  <c r="M29" i="40" s="1"/>
  <c r="O29" i="40" s="1"/>
  <c r="I30" i="40"/>
  <c r="N30" i="40"/>
  <c r="E30" i="40"/>
  <c r="D30" i="40" s="1"/>
  <c r="C30" i="40" s="1"/>
  <c r="F31" i="40" s="1"/>
  <c r="H30" i="40"/>
  <c r="K30" i="40"/>
  <c r="B30" i="40"/>
  <c r="J30" i="44"/>
  <c r="M30" i="44" s="1"/>
  <c r="O30" i="44" s="1"/>
  <c r="K32" i="44"/>
  <c r="F32" i="44"/>
  <c r="G32" i="44"/>
  <c r="I32" i="44"/>
  <c r="H32" i="44"/>
  <c r="E32" i="44"/>
  <c r="D32" i="44" s="1"/>
  <c r="C32" i="44" s="1"/>
  <c r="B32" i="44"/>
  <c r="N32" i="44"/>
  <c r="J31" i="44"/>
  <c r="M31" i="44" s="1"/>
  <c r="O31" i="44" s="1"/>
  <c r="E27" i="34"/>
  <c r="D27" i="34" s="1"/>
  <c r="C27" i="34" s="1"/>
  <c r="F28" i="34" s="1"/>
  <c r="H27" i="34"/>
  <c r="I27" i="34"/>
  <c r="G27" i="34"/>
  <c r="J26" i="34"/>
  <c r="M26" i="34" s="1"/>
  <c r="O26" i="34" s="1"/>
  <c r="B27" i="34"/>
  <c r="N42" i="50" l="1"/>
  <c r="I42" i="50"/>
  <c r="E42" i="50"/>
  <c r="H42" i="50"/>
  <c r="K42" i="50"/>
  <c r="G42" i="50"/>
  <c r="B42" i="50"/>
  <c r="L42" i="50" s="1"/>
  <c r="E31" i="40"/>
  <c r="D31" i="40" s="1"/>
  <c r="C31" i="40" s="1"/>
  <c r="F32" i="40" s="1"/>
  <c r="J30" i="40"/>
  <c r="M30" i="40" s="1"/>
  <c r="O30" i="40" s="1"/>
  <c r="G31" i="40"/>
  <c r="B31" i="40"/>
  <c r="I31" i="40"/>
  <c r="H31" i="40"/>
  <c r="K31" i="40"/>
  <c r="N31" i="40"/>
  <c r="J31" i="50"/>
  <c r="M31" i="50" s="1"/>
  <c r="O31" i="50" s="1"/>
  <c r="K33" i="44"/>
  <c r="F33" i="44"/>
  <c r="G33" i="44"/>
  <c r="H33" i="44"/>
  <c r="I33" i="44"/>
  <c r="J32" i="44"/>
  <c r="M32" i="44" s="1"/>
  <c r="O32" i="44" s="1"/>
  <c r="E33" i="44"/>
  <c r="D33" i="44" s="1"/>
  <c r="C33" i="44" s="1"/>
  <c r="B33" i="44"/>
  <c r="N33" i="44"/>
  <c r="E28" i="34"/>
  <c r="D28" i="34" s="1"/>
  <c r="C28" i="34" s="1"/>
  <c r="F29" i="34" s="1"/>
  <c r="G28" i="34"/>
  <c r="H28" i="34"/>
  <c r="I28" i="34"/>
  <c r="B28" i="34"/>
  <c r="J27" i="34"/>
  <c r="M27" i="34" s="1"/>
  <c r="O27" i="34" s="1"/>
  <c r="M11" i="4"/>
  <c r="D42" i="50" l="1"/>
  <c r="C42" i="50" s="1"/>
  <c r="H43" i="50" s="1"/>
  <c r="I32" i="40"/>
  <c r="J31" i="40"/>
  <c r="M31" i="40" s="1"/>
  <c r="O31" i="40" s="1"/>
  <c r="N32" i="40"/>
  <c r="B32" i="40"/>
  <c r="G32" i="40"/>
  <c r="H32" i="40"/>
  <c r="E32" i="40"/>
  <c r="D32" i="40" s="1"/>
  <c r="C32" i="40" s="1"/>
  <c r="F33" i="40" s="1"/>
  <c r="K32" i="40"/>
  <c r="K34" i="44"/>
  <c r="F34" i="44"/>
  <c r="G34" i="44"/>
  <c r="I34" i="44"/>
  <c r="H34" i="44"/>
  <c r="E34" i="44"/>
  <c r="D34" i="44" s="1"/>
  <c r="C34" i="44" s="1"/>
  <c r="B34" i="44"/>
  <c r="N34" i="44"/>
  <c r="J33" i="44"/>
  <c r="M33" i="44" s="1"/>
  <c r="O33" i="44" s="1"/>
  <c r="E29" i="34"/>
  <c r="D29" i="34" s="1"/>
  <c r="C29" i="34" s="1"/>
  <c r="F30" i="34" s="1"/>
  <c r="H29" i="34"/>
  <c r="I29" i="34"/>
  <c r="G29" i="34"/>
  <c r="J28" i="34"/>
  <c r="M28" i="34" s="1"/>
  <c r="O28" i="34" s="1"/>
  <c r="B29" i="34"/>
  <c r="E13" i="4"/>
  <c r="M13" i="4" s="1"/>
  <c r="E14" i="4"/>
  <c r="M14" i="4" s="1"/>
  <c r="M16" i="4"/>
  <c r="M15" i="4"/>
  <c r="E12" i="4"/>
  <c r="M12" i="4" s="1"/>
  <c r="N43" i="50" l="1"/>
  <c r="I43" i="50"/>
  <c r="B43" i="50"/>
  <c r="L43" i="50" s="1"/>
  <c r="K43" i="50"/>
  <c r="E43" i="50"/>
  <c r="F42" i="50"/>
  <c r="G43" i="50"/>
  <c r="J32" i="40"/>
  <c r="M32" i="40" s="1"/>
  <c r="O32" i="40" s="1"/>
  <c r="G33" i="40"/>
  <c r="I33" i="40"/>
  <c r="E33" i="40"/>
  <c r="D33" i="40" s="1"/>
  <c r="C33" i="40" s="1"/>
  <c r="F34" i="40" s="1"/>
  <c r="B33" i="40"/>
  <c r="K33" i="40"/>
  <c r="H33" i="40"/>
  <c r="N33" i="40"/>
  <c r="J32" i="50"/>
  <c r="M32" i="50" s="1"/>
  <c r="O32" i="50" s="1"/>
  <c r="K35" i="44"/>
  <c r="F35" i="44"/>
  <c r="G35" i="44"/>
  <c r="H35" i="44"/>
  <c r="I35" i="44"/>
  <c r="J34" i="44"/>
  <c r="M34" i="44" s="1"/>
  <c r="O34" i="44" s="1"/>
  <c r="E35" i="44"/>
  <c r="D35" i="44" s="1"/>
  <c r="C35" i="44" s="1"/>
  <c r="N35" i="44"/>
  <c r="B35" i="44"/>
  <c r="E30" i="34"/>
  <c r="D30" i="34" s="1"/>
  <c r="C30" i="34" s="1"/>
  <c r="F31" i="34" s="1"/>
  <c r="G30" i="34"/>
  <c r="H30" i="34"/>
  <c r="I30" i="34"/>
  <c r="J29" i="34"/>
  <c r="M29" i="34" s="1"/>
  <c r="O29" i="34" s="1"/>
  <c r="B30" i="34"/>
  <c r="D43" i="50" l="1"/>
  <c r="C43" i="50" s="1"/>
  <c r="K44" i="50" s="1"/>
  <c r="J33" i="40"/>
  <c r="M33" i="40" s="1"/>
  <c r="O33" i="40" s="1"/>
  <c r="H34" i="40"/>
  <c r="G34" i="40"/>
  <c r="E34" i="40"/>
  <c r="D34" i="40" s="1"/>
  <c r="C34" i="40" s="1"/>
  <c r="F35" i="40" s="1"/>
  <c r="N34" i="40"/>
  <c r="K34" i="40"/>
  <c r="B34" i="40"/>
  <c r="I34" i="40"/>
  <c r="K36" i="44"/>
  <c r="F36" i="44"/>
  <c r="G36" i="44"/>
  <c r="I36" i="44"/>
  <c r="H36" i="44"/>
  <c r="J35" i="44"/>
  <c r="M35" i="44" s="1"/>
  <c r="O35" i="44" s="1"/>
  <c r="E36" i="44"/>
  <c r="D36" i="44" s="1"/>
  <c r="C36" i="44" s="1"/>
  <c r="N36" i="44"/>
  <c r="B36" i="44"/>
  <c r="E31" i="34"/>
  <c r="D31" i="34" s="1"/>
  <c r="C31" i="34" s="1"/>
  <c r="F32" i="34" s="1"/>
  <c r="H31" i="34"/>
  <c r="I31" i="34"/>
  <c r="G31" i="34"/>
  <c r="B31" i="34"/>
  <c r="J30" i="34"/>
  <c r="M30" i="34" s="1"/>
  <c r="O30" i="34" s="1"/>
  <c r="C32" i="1"/>
  <c r="H44" i="50" l="1"/>
  <c r="E44" i="50"/>
  <c r="B44" i="50"/>
  <c r="L44" i="50" s="1"/>
  <c r="F43" i="50"/>
  <c r="G44" i="50"/>
  <c r="N44" i="50"/>
  <c r="I44" i="50"/>
  <c r="E35" i="40"/>
  <c r="D35" i="40" s="1"/>
  <c r="C35" i="40" s="1"/>
  <c r="F36" i="40" s="1"/>
  <c r="K35" i="40"/>
  <c r="G35" i="40"/>
  <c r="I35" i="40"/>
  <c r="H35" i="40"/>
  <c r="N35" i="40"/>
  <c r="J34" i="40"/>
  <c r="M34" i="40" s="1"/>
  <c r="O34" i="40" s="1"/>
  <c r="B35" i="40"/>
  <c r="J33" i="50"/>
  <c r="M33" i="50" s="1"/>
  <c r="O33" i="50" s="1"/>
  <c r="K37" i="44"/>
  <c r="F37" i="44"/>
  <c r="K32" i="34"/>
  <c r="G37" i="44"/>
  <c r="H37" i="44"/>
  <c r="I37" i="44"/>
  <c r="E37" i="44"/>
  <c r="D37" i="44" s="1"/>
  <c r="C37" i="44" s="1"/>
  <c r="N37" i="44"/>
  <c r="B37" i="44"/>
  <c r="J36" i="44"/>
  <c r="M36" i="44" s="1"/>
  <c r="O36" i="44" s="1"/>
  <c r="N32" i="34"/>
  <c r="E32" i="34"/>
  <c r="G32" i="34"/>
  <c r="H32" i="34"/>
  <c r="I32" i="34"/>
  <c r="J31" i="34"/>
  <c r="M31" i="34" s="1"/>
  <c r="O31" i="34" s="1"/>
  <c r="B32" i="34"/>
  <c r="L32" i="34" s="1"/>
  <c r="C17" i="2"/>
  <c r="B16" i="1"/>
  <c r="D44" i="50" l="1"/>
  <c r="C44" i="50" s="1"/>
  <c r="B45" i="50" s="1"/>
  <c r="L45" i="50" s="1"/>
  <c r="F18" i="2"/>
  <c r="O17" i="2"/>
  <c r="I36" i="40"/>
  <c r="N36" i="40"/>
  <c r="K36" i="40"/>
  <c r="H36" i="40"/>
  <c r="B36" i="40"/>
  <c r="E36" i="40"/>
  <c r="D36" i="40" s="1"/>
  <c r="C36" i="40" s="1"/>
  <c r="F37" i="40" s="1"/>
  <c r="G36" i="40"/>
  <c r="J35" i="40"/>
  <c r="M35" i="40" s="1"/>
  <c r="O35" i="40" s="1"/>
  <c r="K38" i="44"/>
  <c r="F38" i="44"/>
  <c r="G38" i="44"/>
  <c r="I38" i="44"/>
  <c r="H38" i="44"/>
  <c r="J37" i="44"/>
  <c r="M37" i="44" s="1"/>
  <c r="O37" i="44" s="1"/>
  <c r="E38" i="44"/>
  <c r="D38" i="44" s="1"/>
  <c r="C38" i="44" s="1"/>
  <c r="N38" i="44"/>
  <c r="B38" i="44"/>
  <c r="J32" i="34"/>
  <c r="G18" i="2"/>
  <c r="E18" i="2"/>
  <c r="I18" i="2"/>
  <c r="H18" i="2"/>
  <c r="K45" i="50" l="1"/>
  <c r="F44" i="50"/>
  <c r="E45" i="50"/>
  <c r="D45" i="50" s="1"/>
  <c r="C45" i="50" s="1"/>
  <c r="F45" i="50" s="1"/>
  <c r="N45" i="50"/>
  <c r="I45" i="50"/>
  <c r="H45" i="50"/>
  <c r="G45" i="50"/>
  <c r="J36" i="40"/>
  <c r="M36" i="40" s="1"/>
  <c r="O36" i="40" s="1"/>
  <c r="K37" i="40"/>
  <c r="G37" i="40"/>
  <c r="H37" i="40"/>
  <c r="I37" i="40"/>
  <c r="B37" i="40"/>
  <c r="E37" i="40"/>
  <c r="D37" i="40" s="1"/>
  <c r="C37" i="40" s="1"/>
  <c r="F38" i="40" s="1"/>
  <c r="N37" i="40"/>
  <c r="J34" i="50"/>
  <c r="M34" i="50" s="1"/>
  <c r="O34" i="50" s="1"/>
  <c r="K39" i="44"/>
  <c r="F39" i="44"/>
  <c r="G39" i="44"/>
  <c r="H39" i="44"/>
  <c r="I39" i="44"/>
  <c r="E39" i="44"/>
  <c r="D39" i="44" s="1"/>
  <c r="C39" i="44" s="1"/>
  <c r="N39" i="44"/>
  <c r="B39" i="44"/>
  <c r="J38" i="44"/>
  <c r="M38" i="44" s="1"/>
  <c r="O38" i="44" s="1"/>
  <c r="D18" i="2"/>
  <c r="C18" i="2" s="1"/>
  <c r="F19" i="2" s="1"/>
  <c r="J18" i="2"/>
  <c r="K46" i="50" l="1"/>
  <c r="B46" i="50"/>
  <c r="L46" i="50" s="1"/>
  <c r="E46" i="50"/>
  <c r="G46" i="50"/>
  <c r="N46" i="50"/>
  <c r="I46" i="50"/>
  <c r="H46" i="50"/>
  <c r="F32" i="53"/>
  <c r="J37" i="40"/>
  <c r="M37" i="40" s="1"/>
  <c r="O37" i="40" s="1"/>
  <c r="G38" i="40"/>
  <c r="K38" i="40"/>
  <c r="N38" i="40"/>
  <c r="I38" i="40"/>
  <c r="H38" i="40"/>
  <c r="B38" i="40"/>
  <c r="E38" i="40"/>
  <c r="D38" i="40" s="1"/>
  <c r="C38" i="40" s="1"/>
  <c r="F39" i="40" s="1"/>
  <c r="K40" i="44"/>
  <c r="F40" i="44"/>
  <c r="E19" i="2"/>
  <c r="D19" i="2" s="1"/>
  <c r="C19" i="2" s="1"/>
  <c r="F20" i="2" s="1"/>
  <c r="G40" i="44"/>
  <c r="I40" i="44"/>
  <c r="H40" i="44"/>
  <c r="E40" i="44"/>
  <c r="D40" i="44" s="1"/>
  <c r="C40" i="44" s="1"/>
  <c r="B40" i="44"/>
  <c r="N40" i="44"/>
  <c r="J39" i="44"/>
  <c r="M39" i="44" s="1"/>
  <c r="O39" i="44" s="1"/>
  <c r="C31" i="1"/>
  <c r="C34" i="1" s="1"/>
  <c r="F31" i="1" s="1"/>
  <c r="C33" i="33"/>
  <c r="F31" i="33" s="1"/>
  <c r="H19" i="2"/>
  <c r="G19" i="2"/>
  <c r="B19" i="2"/>
  <c r="I19" i="2"/>
  <c r="M18" i="2"/>
  <c r="D46" i="50" l="1"/>
  <c r="C46" i="50" s="1"/>
  <c r="E47" i="50" s="1"/>
  <c r="J38" i="40"/>
  <c r="M38" i="40" s="1"/>
  <c r="O38" i="40" s="1"/>
  <c r="I39" i="40"/>
  <c r="H39" i="40"/>
  <c r="E39" i="40"/>
  <c r="D39" i="40" s="1"/>
  <c r="C39" i="40" s="1"/>
  <c r="F40" i="40" s="1"/>
  <c r="K39" i="40"/>
  <c r="B39" i="40"/>
  <c r="N39" i="40"/>
  <c r="G39" i="40"/>
  <c r="J35" i="50"/>
  <c r="M35" i="50" s="1"/>
  <c r="O35" i="50" s="1"/>
  <c r="K41" i="44"/>
  <c r="F41" i="44"/>
  <c r="E20" i="2"/>
  <c r="D20" i="2" s="1"/>
  <c r="C20" i="2" s="1"/>
  <c r="F21" i="2" s="1"/>
  <c r="C41" i="1"/>
  <c r="G34" i="1"/>
  <c r="H41" i="44"/>
  <c r="I41" i="44"/>
  <c r="G41" i="44"/>
  <c r="J40" i="44"/>
  <c r="M40" i="44" s="1"/>
  <c r="O40" i="44" s="1"/>
  <c r="E41" i="44"/>
  <c r="D41" i="44" s="1"/>
  <c r="C41" i="44" s="1"/>
  <c r="N41" i="44"/>
  <c r="B41" i="44"/>
  <c r="C40" i="33"/>
  <c r="G20" i="2"/>
  <c r="J19" i="2"/>
  <c r="M19" i="2" s="1"/>
  <c r="I20" i="2"/>
  <c r="B20" i="2"/>
  <c r="H20" i="2"/>
  <c r="K47" i="50" l="1"/>
  <c r="N47" i="50"/>
  <c r="H47" i="50"/>
  <c r="B47" i="50"/>
  <c r="L47" i="50" s="1"/>
  <c r="D47" i="50" s="1"/>
  <c r="C47" i="50" s="1"/>
  <c r="G47" i="50"/>
  <c r="I47" i="50"/>
  <c r="F46" i="50"/>
  <c r="K40" i="40"/>
  <c r="N40" i="40"/>
  <c r="H40" i="40"/>
  <c r="J39" i="40"/>
  <c r="M39" i="40" s="1"/>
  <c r="O39" i="40" s="1"/>
  <c r="I40" i="40"/>
  <c r="G40" i="40"/>
  <c r="E40" i="40"/>
  <c r="D40" i="40" s="1"/>
  <c r="C40" i="40" s="1"/>
  <c r="F41" i="40" s="1"/>
  <c r="B40" i="40"/>
  <c r="K42" i="44"/>
  <c r="F42" i="44"/>
  <c r="E21" i="2"/>
  <c r="D21" i="2" s="1"/>
  <c r="C21" i="2" s="1"/>
  <c r="F22" i="2" s="1"/>
  <c r="G42" i="44"/>
  <c r="I42" i="44"/>
  <c r="H42" i="44"/>
  <c r="E42" i="44"/>
  <c r="D42" i="44" s="1"/>
  <c r="C42" i="44" s="1"/>
  <c r="B42" i="44"/>
  <c r="N42" i="44"/>
  <c r="J41" i="44"/>
  <c r="M41" i="44" s="1"/>
  <c r="O41" i="44" s="1"/>
  <c r="I21" i="2"/>
  <c r="G21" i="2"/>
  <c r="B21" i="2"/>
  <c r="H21" i="2"/>
  <c r="J20" i="2"/>
  <c r="M20" i="2" s="1"/>
  <c r="G41" i="40" l="1"/>
  <c r="K41" i="40"/>
  <c r="J40" i="40"/>
  <c r="M40" i="40" s="1"/>
  <c r="O40" i="40" s="1"/>
  <c r="E41" i="40"/>
  <c r="D41" i="40" s="1"/>
  <c r="C41" i="40" s="1"/>
  <c r="F42" i="40" s="1"/>
  <c r="N41" i="40"/>
  <c r="I41" i="40"/>
  <c r="B41" i="40"/>
  <c r="H41" i="40"/>
  <c r="N48" i="50"/>
  <c r="F47" i="50"/>
  <c r="B48" i="50"/>
  <c r="L48" i="50" s="1"/>
  <c r="J36" i="50"/>
  <c r="M36" i="50" s="1"/>
  <c r="O36" i="50" s="1"/>
  <c r="K48" i="50"/>
  <c r="H48" i="50"/>
  <c r="E48" i="50"/>
  <c r="I48" i="50"/>
  <c r="G48" i="50"/>
  <c r="K43" i="44"/>
  <c r="F43" i="44"/>
  <c r="E22" i="2"/>
  <c r="D22" i="2" s="1"/>
  <c r="C22" i="2" s="1"/>
  <c r="F23" i="2" s="1"/>
  <c r="H43" i="44"/>
  <c r="I43" i="44"/>
  <c r="G43" i="44"/>
  <c r="J42" i="44"/>
  <c r="M42" i="44" s="1"/>
  <c r="O42" i="44" s="1"/>
  <c r="E43" i="44"/>
  <c r="D43" i="44" s="1"/>
  <c r="C43" i="44" s="1"/>
  <c r="B43" i="44"/>
  <c r="N43" i="44"/>
  <c r="G22" i="2"/>
  <c r="H22" i="2"/>
  <c r="J21" i="2"/>
  <c r="M21" i="2" s="1"/>
  <c r="B22" i="2"/>
  <c r="I22" i="2"/>
  <c r="K42" i="40" l="1"/>
  <c r="G42" i="40"/>
  <c r="I42" i="40"/>
  <c r="B42" i="40"/>
  <c r="H42" i="40"/>
  <c r="J41" i="40"/>
  <c r="M41" i="40" s="1"/>
  <c r="O41" i="40" s="1"/>
  <c r="E42" i="40"/>
  <c r="D42" i="40" s="1"/>
  <c r="C42" i="40" s="1"/>
  <c r="F43" i="40" s="1"/>
  <c r="N42" i="40"/>
  <c r="D48" i="50"/>
  <c r="C48" i="50" s="1"/>
  <c r="K44" i="44"/>
  <c r="F44" i="44"/>
  <c r="E23" i="2"/>
  <c r="D23" i="2" s="1"/>
  <c r="C23" i="2" s="1"/>
  <c r="F24" i="2" s="1"/>
  <c r="G44" i="44"/>
  <c r="I44" i="44"/>
  <c r="H44" i="44"/>
  <c r="J43" i="44"/>
  <c r="M43" i="44" s="1"/>
  <c r="O43" i="44" s="1"/>
  <c r="E44" i="44"/>
  <c r="D44" i="44" s="1"/>
  <c r="C44" i="44" s="1"/>
  <c r="N44" i="44"/>
  <c r="B44" i="44"/>
  <c r="J22" i="2"/>
  <c r="M22" i="2" s="1"/>
  <c r="G23" i="2"/>
  <c r="H23" i="2"/>
  <c r="I23" i="2"/>
  <c r="B23" i="2"/>
  <c r="O18" i="2"/>
  <c r="O21" i="2"/>
  <c r="O19" i="2"/>
  <c r="O20" i="2"/>
  <c r="K43" i="40" l="1"/>
  <c r="J42" i="40"/>
  <c r="M42" i="40" s="1"/>
  <c r="O42" i="40" s="1"/>
  <c r="I43" i="40"/>
  <c r="B43" i="40"/>
  <c r="H43" i="40"/>
  <c r="N43" i="40"/>
  <c r="G43" i="40"/>
  <c r="E43" i="40"/>
  <c r="D43" i="40" s="1"/>
  <c r="C43" i="40" s="1"/>
  <c r="F44" i="40" s="1"/>
  <c r="K49" i="50"/>
  <c r="F48" i="50"/>
  <c r="H49" i="50"/>
  <c r="J37" i="50"/>
  <c r="M37" i="50" s="1"/>
  <c r="O37" i="50" s="1"/>
  <c r="N49" i="50"/>
  <c r="G49" i="50"/>
  <c r="B49" i="50"/>
  <c r="L49" i="50" s="1"/>
  <c r="I49" i="50"/>
  <c r="E49" i="50"/>
  <c r="K45" i="44"/>
  <c r="F45" i="44"/>
  <c r="E24" i="2"/>
  <c r="D24" i="2" s="1"/>
  <c r="C24" i="2" s="1"/>
  <c r="H45" i="44"/>
  <c r="I45" i="44"/>
  <c r="G45" i="44"/>
  <c r="E45" i="44"/>
  <c r="D45" i="44" s="1"/>
  <c r="C45" i="44" s="1"/>
  <c r="N45" i="44"/>
  <c r="B45" i="44"/>
  <c r="J44" i="44"/>
  <c r="M44" i="44" s="1"/>
  <c r="O44" i="44" s="1"/>
  <c r="B24" i="2"/>
  <c r="I24" i="2"/>
  <c r="H24" i="2"/>
  <c r="O22" i="2"/>
  <c r="G24" i="2"/>
  <c r="J23" i="2"/>
  <c r="M23" i="2" s="1"/>
  <c r="O23" i="2" s="1"/>
  <c r="K44" i="40" l="1"/>
  <c r="B44" i="40"/>
  <c r="H44" i="40"/>
  <c r="G44" i="40"/>
  <c r="E44" i="40"/>
  <c r="D44" i="40" s="1"/>
  <c r="C44" i="40" s="1"/>
  <c r="F45" i="40" s="1"/>
  <c r="I44" i="40"/>
  <c r="N44" i="40"/>
  <c r="J43" i="40"/>
  <c r="M43" i="40" s="1"/>
  <c r="O43" i="40" s="1"/>
  <c r="D49" i="50"/>
  <c r="C49" i="50" s="1"/>
  <c r="K46" i="44"/>
  <c r="F46" i="44"/>
  <c r="G25" i="2"/>
  <c r="F25" i="2"/>
  <c r="B25" i="2"/>
  <c r="H25" i="2"/>
  <c r="I25" i="2"/>
  <c r="E25" i="2"/>
  <c r="D25" i="2" s="1"/>
  <c r="C25" i="2" s="1"/>
  <c r="G46" i="44"/>
  <c r="I46" i="44"/>
  <c r="H46" i="44"/>
  <c r="E46" i="44"/>
  <c r="D46" i="44" s="1"/>
  <c r="C46" i="44" s="1"/>
  <c r="B46" i="44"/>
  <c r="N46" i="44"/>
  <c r="J45" i="44"/>
  <c r="M45" i="44" s="1"/>
  <c r="O45" i="44" s="1"/>
  <c r="J24" i="2"/>
  <c r="M24" i="2" s="1"/>
  <c r="O24" i="2" s="1"/>
  <c r="K45" i="40" l="1"/>
  <c r="J44" i="40"/>
  <c r="M44" i="40" s="1"/>
  <c r="O44" i="40" s="1"/>
  <c r="G45" i="40"/>
  <c r="I45" i="40"/>
  <c r="B45" i="40"/>
  <c r="N45" i="40"/>
  <c r="H45" i="40"/>
  <c r="E45" i="40"/>
  <c r="D45" i="40" s="1"/>
  <c r="C45" i="40" s="1"/>
  <c r="F46" i="40" s="1"/>
  <c r="N50" i="50"/>
  <c r="F49" i="50"/>
  <c r="J38" i="50"/>
  <c r="M38" i="50" s="1"/>
  <c r="O38" i="50" s="1"/>
  <c r="K50" i="50"/>
  <c r="I50" i="50"/>
  <c r="B50" i="50"/>
  <c r="L50" i="50" s="1"/>
  <c r="E50" i="50"/>
  <c r="G50" i="50"/>
  <c r="H50" i="50"/>
  <c r="K47" i="44"/>
  <c r="F47" i="44"/>
  <c r="G26" i="2"/>
  <c r="F26" i="2"/>
  <c r="H26" i="2"/>
  <c r="B26" i="2"/>
  <c r="I26" i="2"/>
  <c r="J25" i="2"/>
  <c r="M25" i="2" s="1"/>
  <c r="O25" i="2" s="1"/>
  <c r="E26" i="2"/>
  <c r="D26" i="2" s="1"/>
  <c r="C26" i="2" s="1"/>
  <c r="H47" i="44"/>
  <c r="I47" i="44"/>
  <c r="G47" i="44"/>
  <c r="J46" i="44"/>
  <c r="M46" i="44" s="1"/>
  <c r="O46" i="44" s="1"/>
  <c r="E47" i="44"/>
  <c r="D47" i="44" s="1"/>
  <c r="C47" i="44" s="1"/>
  <c r="B47" i="44"/>
  <c r="N47" i="44"/>
  <c r="K46" i="40" l="1"/>
  <c r="J45" i="40"/>
  <c r="M45" i="40" s="1"/>
  <c r="O45" i="40" s="1"/>
  <c r="H46" i="40"/>
  <c r="B46" i="40"/>
  <c r="G46" i="40"/>
  <c r="I46" i="40"/>
  <c r="E46" i="40"/>
  <c r="D46" i="40" s="1"/>
  <c r="C46" i="40" s="1"/>
  <c r="F47" i="40" s="1"/>
  <c r="N46" i="40"/>
  <c r="D50" i="50"/>
  <c r="C50" i="50" s="1"/>
  <c r="F50" i="50" s="1"/>
  <c r="J39" i="50"/>
  <c r="M39" i="50" s="1"/>
  <c r="O39" i="50" s="1"/>
  <c r="K48" i="44"/>
  <c r="F48" i="44"/>
  <c r="B27" i="2"/>
  <c r="F27" i="2"/>
  <c r="J26" i="2"/>
  <c r="M26" i="2" s="1"/>
  <c r="O26" i="2" s="1"/>
  <c r="H27" i="2"/>
  <c r="G27" i="2"/>
  <c r="I27" i="2"/>
  <c r="E27" i="2"/>
  <c r="D27" i="2" s="1"/>
  <c r="C27" i="2" s="1"/>
  <c r="G48" i="44"/>
  <c r="I48" i="44"/>
  <c r="H48" i="44"/>
  <c r="E48" i="44"/>
  <c r="D48" i="44" s="1"/>
  <c r="C48" i="44" s="1"/>
  <c r="N48" i="44"/>
  <c r="B48" i="44"/>
  <c r="J47" i="44"/>
  <c r="M47" i="44" s="1"/>
  <c r="O47" i="44" s="1"/>
  <c r="K47" i="40" l="1"/>
  <c r="J46" i="40"/>
  <c r="M46" i="40" s="1"/>
  <c r="O46" i="40" s="1"/>
  <c r="G47" i="40"/>
  <c r="I47" i="40"/>
  <c r="B47" i="40"/>
  <c r="N47" i="40"/>
  <c r="H47" i="40"/>
  <c r="E47" i="40"/>
  <c r="D47" i="40" s="1"/>
  <c r="C47" i="40" s="1"/>
  <c r="F48" i="40" s="1"/>
  <c r="I51" i="50"/>
  <c r="K51" i="50"/>
  <c r="G51" i="50"/>
  <c r="N51" i="50"/>
  <c r="B51" i="50"/>
  <c r="L51" i="50" s="1"/>
  <c r="H51" i="50"/>
  <c r="E51" i="50"/>
  <c r="J40" i="50"/>
  <c r="M40" i="50" s="1"/>
  <c r="O40" i="50" s="1"/>
  <c r="K49" i="44"/>
  <c r="F49" i="44"/>
  <c r="B28" i="2"/>
  <c r="F28" i="2"/>
  <c r="G28" i="2"/>
  <c r="I28" i="2"/>
  <c r="H28" i="2"/>
  <c r="J27" i="2"/>
  <c r="M27" i="2" s="1"/>
  <c r="O27" i="2" s="1"/>
  <c r="E28" i="2"/>
  <c r="D28" i="2" s="1"/>
  <c r="C28" i="2" s="1"/>
  <c r="H49" i="44"/>
  <c r="I49" i="44"/>
  <c r="G49" i="44"/>
  <c r="E49" i="44"/>
  <c r="D49" i="44" s="1"/>
  <c r="C49" i="44" s="1"/>
  <c r="N49" i="44"/>
  <c r="B49" i="44"/>
  <c r="J48" i="44"/>
  <c r="M48" i="44" s="1"/>
  <c r="O48" i="44" s="1"/>
  <c r="K48" i="40" l="1"/>
  <c r="H48" i="40"/>
  <c r="G48" i="40"/>
  <c r="J47" i="40"/>
  <c r="M47" i="40" s="1"/>
  <c r="O47" i="40" s="1"/>
  <c r="N48" i="40"/>
  <c r="I48" i="40"/>
  <c r="E48" i="40"/>
  <c r="D48" i="40" s="1"/>
  <c r="C48" i="40" s="1"/>
  <c r="F49" i="40" s="1"/>
  <c r="B48" i="40"/>
  <c r="D51" i="50"/>
  <c r="C51" i="50" s="1"/>
  <c r="F51" i="50" s="1"/>
  <c r="K50" i="44"/>
  <c r="F50" i="44"/>
  <c r="G29" i="2"/>
  <c r="F29" i="2"/>
  <c r="H29" i="2"/>
  <c r="J28" i="2"/>
  <c r="M28" i="2" s="1"/>
  <c r="O28" i="2" s="1"/>
  <c r="B29" i="2"/>
  <c r="I29" i="2"/>
  <c r="E29" i="2"/>
  <c r="D29" i="2" s="1"/>
  <c r="C29" i="2" s="1"/>
  <c r="F30" i="2" s="1"/>
  <c r="G50" i="44"/>
  <c r="I50" i="44"/>
  <c r="H50" i="44"/>
  <c r="E50" i="44"/>
  <c r="D50" i="44" s="1"/>
  <c r="C50" i="44" s="1"/>
  <c r="B50" i="44"/>
  <c r="N50" i="44"/>
  <c r="J49" i="44"/>
  <c r="M49" i="44" s="1"/>
  <c r="O49" i="44" s="1"/>
  <c r="J48" i="40" l="1"/>
  <c r="M48" i="40" s="1"/>
  <c r="O48" i="40" s="1"/>
  <c r="K49" i="40"/>
  <c r="I49" i="40"/>
  <c r="B49" i="40"/>
  <c r="N49" i="40"/>
  <c r="H49" i="40"/>
  <c r="G49" i="40"/>
  <c r="E49" i="40"/>
  <c r="D49" i="40" s="1"/>
  <c r="C49" i="40" s="1"/>
  <c r="F50" i="40" s="1"/>
  <c r="H52" i="50"/>
  <c r="K52" i="50"/>
  <c r="B52" i="50"/>
  <c r="L52" i="50" s="1"/>
  <c r="I52" i="50"/>
  <c r="N52" i="50"/>
  <c r="G52" i="50"/>
  <c r="E52" i="50"/>
  <c r="J41" i="50"/>
  <c r="M41" i="50" s="1"/>
  <c r="O41" i="50" s="1"/>
  <c r="K30" i="2"/>
  <c r="K51" i="44"/>
  <c r="F51" i="44"/>
  <c r="B30" i="2"/>
  <c r="E30" i="2"/>
  <c r="D30" i="2" s="1"/>
  <c r="C30" i="2" s="1"/>
  <c r="F31" i="2" s="1"/>
  <c r="G30" i="2"/>
  <c r="J29" i="2"/>
  <c r="M29" i="2" s="1"/>
  <c r="O29" i="2" s="1"/>
  <c r="I30" i="2"/>
  <c r="H30" i="2"/>
  <c r="N30" i="2"/>
  <c r="H51" i="44"/>
  <c r="I51" i="44"/>
  <c r="G51" i="44"/>
  <c r="E51" i="44"/>
  <c r="D51" i="44" s="1"/>
  <c r="C51" i="44" s="1"/>
  <c r="N51" i="44"/>
  <c r="B51" i="44"/>
  <c r="J50" i="44"/>
  <c r="M50" i="44" s="1"/>
  <c r="O50" i="44" s="1"/>
  <c r="J49" i="40" l="1"/>
  <c r="M49" i="40" s="1"/>
  <c r="O49" i="40" s="1"/>
  <c r="G50" i="40"/>
  <c r="K50" i="40"/>
  <c r="B50" i="40"/>
  <c r="H50" i="40"/>
  <c r="N50" i="40"/>
  <c r="I50" i="40"/>
  <c r="E50" i="40"/>
  <c r="D50" i="40" s="1"/>
  <c r="C50" i="40" s="1"/>
  <c r="F51" i="40" s="1"/>
  <c r="D52" i="50"/>
  <c r="C52" i="50" s="1"/>
  <c r="N53" i="50" s="1"/>
  <c r="K52" i="44"/>
  <c r="F52" i="44"/>
  <c r="K31" i="2"/>
  <c r="J30" i="2"/>
  <c r="M30" i="2" s="1"/>
  <c r="O30" i="2" s="1"/>
  <c r="B31" i="2"/>
  <c r="G31" i="2"/>
  <c r="I31" i="2"/>
  <c r="E31" i="2"/>
  <c r="D31" i="2" s="1"/>
  <c r="C31" i="2" s="1"/>
  <c r="F32" i="2" s="1"/>
  <c r="H31" i="2"/>
  <c r="N31" i="2"/>
  <c r="G52" i="44"/>
  <c r="I52" i="44"/>
  <c r="H52" i="44"/>
  <c r="J51" i="44"/>
  <c r="M51" i="44" s="1"/>
  <c r="O51" i="44" s="1"/>
  <c r="E52" i="44"/>
  <c r="D52" i="44" s="1"/>
  <c r="C52" i="44" s="1"/>
  <c r="B52" i="44"/>
  <c r="N52" i="44"/>
  <c r="K51" i="40" l="1"/>
  <c r="J50" i="40"/>
  <c r="M50" i="40" s="1"/>
  <c r="O50" i="40" s="1"/>
  <c r="G51" i="40"/>
  <c r="I51" i="40"/>
  <c r="H51" i="40"/>
  <c r="E51" i="40"/>
  <c r="D51" i="40" s="1"/>
  <c r="C51" i="40" s="1"/>
  <c r="F52" i="40" s="1"/>
  <c r="N51" i="40"/>
  <c r="B51" i="40"/>
  <c r="B53" i="50"/>
  <c r="L53" i="50" s="1"/>
  <c r="F52" i="50"/>
  <c r="K53" i="50"/>
  <c r="G53" i="50"/>
  <c r="I53" i="50"/>
  <c r="H53" i="50"/>
  <c r="E53" i="50"/>
  <c r="J42" i="50"/>
  <c r="M42" i="50" s="1"/>
  <c r="O42" i="50" s="1"/>
  <c r="K53" i="44"/>
  <c r="F53" i="44"/>
  <c r="K32" i="2"/>
  <c r="I32" i="2"/>
  <c r="G32" i="2"/>
  <c r="H32" i="2"/>
  <c r="J31" i="2"/>
  <c r="M31" i="2" s="1"/>
  <c r="O31" i="2" s="1"/>
  <c r="N32" i="2"/>
  <c r="B32" i="2"/>
  <c r="E32" i="2"/>
  <c r="D32" i="2" s="1"/>
  <c r="C32" i="2" s="1"/>
  <c r="F33" i="2" s="1"/>
  <c r="H53" i="44"/>
  <c r="I53" i="44"/>
  <c r="G53" i="44"/>
  <c r="J52" i="44"/>
  <c r="M52" i="44" s="1"/>
  <c r="O52" i="44" s="1"/>
  <c r="E53" i="44"/>
  <c r="D53" i="44" s="1"/>
  <c r="C53" i="44" s="1"/>
  <c r="N53" i="44"/>
  <c r="B53" i="44"/>
  <c r="K52" i="40" l="1"/>
  <c r="J51" i="40"/>
  <c r="M51" i="40" s="1"/>
  <c r="O51" i="40" s="1"/>
  <c r="H52" i="40"/>
  <c r="I52" i="40"/>
  <c r="G52" i="40"/>
  <c r="B52" i="40"/>
  <c r="E52" i="40"/>
  <c r="D52" i="40" s="1"/>
  <c r="C52" i="40" s="1"/>
  <c r="F53" i="40" s="1"/>
  <c r="N52" i="40"/>
  <c r="D53" i="50"/>
  <c r="C53" i="50" s="1"/>
  <c r="N54" i="50" s="1"/>
  <c r="J43" i="50"/>
  <c r="M43" i="50" s="1"/>
  <c r="O43" i="50" s="1"/>
  <c r="K54" i="44"/>
  <c r="F54" i="44"/>
  <c r="K33" i="2"/>
  <c r="J32" i="2"/>
  <c r="M32" i="2" s="1"/>
  <c r="O32" i="2" s="1"/>
  <c r="B33" i="2"/>
  <c r="E33" i="2"/>
  <c r="D33" i="2" s="1"/>
  <c r="C33" i="2" s="1"/>
  <c r="F34" i="2" s="1"/>
  <c r="G33" i="2"/>
  <c r="N33" i="2"/>
  <c r="H33" i="2"/>
  <c r="I33" i="2"/>
  <c r="G54" i="44"/>
  <c r="I54" i="44"/>
  <c r="H54" i="44"/>
  <c r="E54" i="44"/>
  <c r="D54" i="44" s="1"/>
  <c r="C54" i="44" s="1"/>
  <c r="B54" i="44"/>
  <c r="N54" i="44"/>
  <c r="J53" i="44"/>
  <c r="M53" i="44" s="1"/>
  <c r="O53" i="44" s="1"/>
  <c r="K53" i="40" l="1"/>
  <c r="J52" i="40"/>
  <c r="M52" i="40" s="1"/>
  <c r="O52" i="40" s="1"/>
  <c r="I53" i="40"/>
  <c r="B53" i="40"/>
  <c r="N53" i="40"/>
  <c r="E53" i="40"/>
  <c r="D53" i="40" s="1"/>
  <c r="C53" i="40" s="1"/>
  <c r="F54" i="40" s="1"/>
  <c r="G53" i="40"/>
  <c r="H53" i="40"/>
  <c r="B54" i="50"/>
  <c r="L54" i="50" s="1"/>
  <c r="K54" i="50"/>
  <c r="E54" i="50"/>
  <c r="I54" i="50"/>
  <c r="H54" i="50"/>
  <c r="G54" i="50"/>
  <c r="F53" i="50"/>
  <c r="J44" i="50"/>
  <c r="M44" i="50" s="1"/>
  <c r="O44" i="50" s="1"/>
  <c r="K55" i="44"/>
  <c r="F55" i="44"/>
  <c r="K34" i="2"/>
  <c r="I34" i="2"/>
  <c r="G34" i="2"/>
  <c r="B34" i="2"/>
  <c r="N34" i="2"/>
  <c r="E34" i="2"/>
  <c r="D34" i="2" s="1"/>
  <c r="C34" i="2" s="1"/>
  <c r="F35" i="2" s="1"/>
  <c r="H34" i="2"/>
  <c r="J33" i="2"/>
  <c r="M33" i="2" s="1"/>
  <c r="O33" i="2" s="1"/>
  <c r="H55" i="44"/>
  <c r="I55" i="44"/>
  <c r="G55" i="44"/>
  <c r="J54" i="44"/>
  <c r="M54" i="44" s="1"/>
  <c r="O54" i="44" s="1"/>
  <c r="E55" i="44"/>
  <c r="D55" i="44" s="1"/>
  <c r="C55" i="44" s="1"/>
  <c r="B55" i="44"/>
  <c r="N55" i="44"/>
  <c r="K54" i="40" l="1"/>
  <c r="J53" i="40"/>
  <c r="M53" i="40" s="1"/>
  <c r="O53" i="40" s="1"/>
  <c r="I54" i="40"/>
  <c r="G54" i="40"/>
  <c r="H54" i="40"/>
  <c r="B54" i="40"/>
  <c r="N54" i="40"/>
  <c r="E54" i="40"/>
  <c r="D54" i="40" s="1"/>
  <c r="C54" i="40" s="1"/>
  <c r="F55" i="40" s="1"/>
  <c r="D54" i="50"/>
  <c r="C54" i="50" s="1"/>
  <c r="G55" i="50" s="1"/>
  <c r="K56" i="44"/>
  <c r="F56" i="44"/>
  <c r="K35" i="2"/>
  <c r="J34" i="2"/>
  <c r="M34" i="2" s="1"/>
  <c r="O34" i="2" s="1"/>
  <c r="E35" i="2"/>
  <c r="D35" i="2" s="1"/>
  <c r="C35" i="2" s="1"/>
  <c r="F36" i="2" s="1"/>
  <c r="B35" i="2"/>
  <c r="H35" i="2"/>
  <c r="G35" i="2"/>
  <c r="I35" i="2"/>
  <c r="N35" i="2"/>
  <c r="G56" i="44"/>
  <c r="I56" i="44"/>
  <c r="H56" i="44"/>
  <c r="J55" i="44"/>
  <c r="M55" i="44" s="1"/>
  <c r="O55" i="44" s="1"/>
  <c r="E56" i="44"/>
  <c r="D56" i="44" s="1"/>
  <c r="C56" i="44" s="1"/>
  <c r="B56" i="44"/>
  <c r="N56" i="44"/>
  <c r="J54" i="40" l="1"/>
  <c r="M54" i="40" s="1"/>
  <c r="O54" i="40" s="1"/>
  <c r="H55" i="40"/>
  <c r="I55" i="40"/>
  <c r="K55" i="40"/>
  <c r="B55" i="40"/>
  <c r="G55" i="40"/>
  <c r="N55" i="40"/>
  <c r="E55" i="40"/>
  <c r="D55" i="40" s="1"/>
  <c r="C55" i="40" s="1"/>
  <c r="F56" i="40" s="1"/>
  <c r="F54" i="50"/>
  <c r="N55" i="50"/>
  <c r="B55" i="50"/>
  <c r="L55" i="50" s="1"/>
  <c r="E55" i="50"/>
  <c r="K55" i="50"/>
  <c r="I55" i="50"/>
  <c r="H55" i="50"/>
  <c r="J45" i="50"/>
  <c r="M45" i="50" s="1"/>
  <c r="O45" i="50" s="1"/>
  <c r="K57" i="44"/>
  <c r="F57" i="44"/>
  <c r="K36" i="2"/>
  <c r="J35" i="2"/>
  <c r="M35" i="2" s="1"/>
  <c r="O35" i="2" s="1"/>
  <c r="G36" i="2"/>
  <c r="H36" i="2"/>
  <c r="I36" i="2"/>
  <c r="B36" i="2"/>
  <c r="N36" i="2"/>
  <c r="E36" i="2"/>
  <c r="D36" i="2" s="1"/>
  <c r="C36" i="2" s="1"/>
  <c r="F37" i="2" s="1"/>
  <c r="H57" i="44"/>
  <c r="I57" i="44"/>
  <c r="G57" i="44"/>
  <c r="J56" i="44"/>
  <c r="M56" i="44" s="1"/>
  <c r="O56" i="44" s="1"/>
  <c r="E57" i="44"/>
  <c r="D57" i="44" s="1"/>
  <c r="C57" i="44" s="1"/>
  <c r="B57" i="44"/>
  <c r="N57" i="44"/>
  <c r="J55" i="40" l="1"/>
  <c r="M55" i="40" s="1"/>
  <c r="O55" i="40" s="1"/>
  <c r="H56" i="40"/>
  <c r="G56" i="40"/>
  <c r="B56" i="40"/>
  <c r="E56" i="40"/>
  <c r="D56" i="40" s="1"/>
  <c r="C56" i="40" s="1"/>
  <c r="F57" i="40" s="1"/>
  <c r="K56" i="40"/>
  <c r="N56" i="40"/>
  <c r="I56" i="40"/>
  <c r="D55" i="50"/>
  <c r="C55" i="50" s="1"/>
  <c r="E56" i="50" s="1"/>
  <c r="K58" i="44"/>
  <c r="F58" i="44"/>
  <c r="K37" i="2"/>
  <c r="G37" i="2"/>
  <c r="J36" i="2"/>
  <c r="M36" i="2" s="1"/>
  <c r="O36" i="2" s="1"/>
  <c r="I37" i="2"/>
  <c r="H37" i="2"/>
  <c r="B37" i="2"/>
  <c r="N37" i="2"/>
  <c r="E37" i="2"/>
  <c r="D37" i="2" s="1"/>
  <c r="C37" i="2" s="1"/>
  <c r="F38" i="2" s="1"/>
  <c r="G58" i="44"/>
  <c r="I58" i="44"/>
  <c r="H58" i="44"/>
  <c r="E58" i="44"/>
  <c r="D58" i="44" s="1"/>
  <c r="C58" i="44" s="1"/>
  <c r="B58" i="44"/>
  <c r="N58" i="44"/>
  <c r="J57" i="44"/>
  <c r="M57" i="44" s="1"/>
  <c r="O57" i="44" s="1"/>
  <c r="J56" i="40" l="1"/>
  <c r="M56" i="40" s="1"/>
  <c r="O56" i="40" s="1"/>
  <c r="E57" i="40"/>
  <c r="D57" i="40" s="1"/>
  <c r="C57" i="40" s="1"/>
  <c r="F58" i="40" s="1"/>
  <c r="H57" i="40"/>
  <c r="G57" i="40"/>
  <c r="N57" i="40"/>
  <c r="K57" i="40"/>
  <c r="B57" i="40"/>
  <c r="I57" i="40"/>
  <c r="G56" i="50"/>
  <c r="N56" i="50"/>
  <c r="F55" i="50"/>
  <c r="H56" i="50"/>
  <c r="K56" i="50"/>
  <c r="B56" i="50"/>
  <c r="L56" i="50" s="1"/>
  <c r="D56" i="50" s="1"/>
  <c r="C56" i="50" s="1"/>
  <c r="I57" i="50" s="1"/>
  <c r="I56" i="50"/>
  <c r="J46" i="50"/>
  <c r="M46" i="50" s="1"/>
  <c r="O46" i="50" s="1"/>
  <c r="K59" i="44"/>
  <c r="F59" i="44"/>
  <c r="K38" i="2"/>
  <c r="J37" i="2"/>
  <c r="M37" i="2" s="1"/>
  <c r="O37" i="2" s="1"/>
  <c r="I38" i="2"/>
  <c r="H38" i="2"/>
  <c r="B38" i="2"/>
  <c r="N38" i="2"/>
  <c r="E38" i="2"/>
  <c r="D38" i="2" s="1"/>
  <c r="C38" i="2" s="1"/>
  <c r="F39" i="2" s="1"/>
  <c r="G38" i="2"/>
  <c r="H59" i="44"/>
  <c r="I59" i="44"/>
  <c r="G59" i="44"/>
  <c r="E59" i="44"/>
  <c r="D59" i="44" s="1"/>
  <c r="C59" i="44" s="1"/>
  <c r="N59" i="44"/>
  <c r="B59" i="44"/>
  <c r="J58" i="44"/>
  <c r="M58" i="44" s="1"/>
  <c r="O58" i="44" s="1"/>
  <c r="N58" i="40" l="1"/>
  <c r="H58" i="40"/>
  <c r="I58" i="40"/>
  <c r="G58" i="40"/>
  <c r="E58" i="40"/>
  <c r="D58" i="40" s="1"/>
  <c r="C58" i="40" s="1"/>
  <c r="F59" i="40" s="1"/>
  <c r="B58" i="40"/>
  <c r="K58" i="40"/>
  <c r="J57" i="40"/>
  <c r="M57" i="40" s="1"/>
  <c r="O57" i="40" s="1"/>
  <c r="H57" i="50"/>
  <c r="F56" i="50"/>
  <c r="G57" i="50"/>
  <c r="E57" i="50"/>
  <c r="B57" i="50"/>
  <c r="L57" i="50" s="1"/>
  <c r="N57" i="50"/>
  <c r="K57" i="50"/>
  <c r="J47" i="50"/>
  <c r="M47" i="50" s="1"/>
  <c r="O47" i="50" s="1"/>
  <c r="K60" i="44"/>
  <c r="F60" i="44"/>
  <c r="K39" i="2"/>
  <c r="J38" i="2"/>
  <c r="M38" i="2" s="1"/>
  <c r="O38" i="2" s="1"/>
  <c r="B39" i="2"/>
  <c r="H39" i="2"/>
  <c r="I39" i="2"/>
  <c r="N39" i="2"/>
  <c r="E39" i="2"/>
  <c r="D39" i="2" s="1"/>
  <c r="C39" i="2" s="1"/>
  <c r="F40" i="2" s="1"/>
  <c r="G39" i="2"/>
  <c r="G60" i="44"/>
  <c r="I60" i="44"/>
  <c r="H60" i="44"/>
  <c r="J59" i="44"/>
  <c r="M59" i="44" s="1"/>
  <c r="O59" i="44" s="1"/>
  <c r="E60" i="44"/>
  <c r="D60" i="44" s="1"/>
  <c r="C60" i="44" s="1"/>
  <c r="B60" i="44"/>
  <c r="N60" i="44"/>
  <c r="B59" i="40" l="1"/>
  <c r="G59" i="40"/>
  <c r="I59" i="40"/>
  <c r="H59" i="40"/>
  <c r="J58" i="40"/>
  <c r="M58" i="40" s="1"/>
  <c r="O58" i="40" s="1"/>
  <c r="E59" i="40"/>
  <c r="D59" i="40" s="1"/>
  <c r="C59" i="40" s="1"/>
  <c r="F60" i="40" s="1"/>
  <c r="N59" i="40"/>
  <c r="K59" i="40"/>
  <c r="D57" i="50"/>
  <c r="C57" i="50" s="1"/>
  <c r="H58" i="50" s="1"/>
  <c r="K61" i="44"/>
  <c r="F61" i="44"/>
  <c r="K40" i="2"/>
  <c r="J39" i="2"/>
  <c r="M39" i="2" s="1"/>
  <c r="O39" i="2" s="1"/>
  <c r="I40" i="2"/>
  <c r="H40" i="2"/>
  <c r="N40" i="2"/>
  <c r="B40" i="2"/>
  <c r="E40" i="2"/>
  <c r="D40" i="2" s="1"/>
  <c r="C40" i="2" s="1"/>
  <c r="F41" i="2" s="1"/>
  <c r="G40" i="2"/>
  <c r="H61" i="44"/>
  <c r="I61" i="44"/>
  <c r="G61" i="44"/>
  <c r="J60" i="44"/>
  <c r="M60" i="44" s="1"/>
  <c r="O60" i="44" s="1"/>
  <c r="E61" i="44"/>
  <c r="D61" i="44" s="1"/>
  <c r="C61" i="44" s="1"/>
  <c r="N61" i="44"/>
  <c r="B61" i="44"/>
  <c r="J59" i="40" l="1"/>
  <c r="M59" i="40" s="1"/>
  <c r="O59" i="40" s="1"/>
  <c r="H60" i="40"/>
  <c r="I60" i="40"/>
  <c r="K60" i="40"/>
  <c r="G60" i="40"/>
  <c r="E60" i="40"/>
  <c r="D60" i="40" s="1"/>
  <c r="C60" i="40" s="1"/>
  <c r="F61" i="40" s="1"/>
  <c r="B60" i="40"/>
  <c r="N60" i="40"/>
  <c r="I58" i="50"/>
  <c r="K58" i="50"/>
  <c r="F57" i="50"/>
  <c r="G58" i="50"/>
  <c r="B58" i="50"/>
  <c r="L58" i="50" s="1"/>
  <c r="N58" i="50"/>
  <c r="E58" i="50"/>
  <c r="J48" i="50"/>
  <c r="M48" i="50" s="1"/>
  <c r="O48" i="50" s="1"/>
  <c r="K62" i="44"/>
  <c r="F62" i="44"/>
  <c r="K41" i="2"/>
  <c r="J40" i="2"/>
  <c r="M40" i="2" s="1"/>
  <c r="O40" i="2" s="1"/>
  <c r="G41" i="2"/>
  <c r="H41" i="2"/>
  <c r="I41" i="2"/>
  <c r="B41" i="2"/>
  <c r="N41" i="2"/>
  <c r="E41" i="2"/>
  <c r="D41" i="2" s="1"/>
  <c r="C41" i="2" s="1"/>
  <c r="F42" i="2" s="1"/>
  <c r="G62" i="44"/>
  <c r="I62" i="44"/>
  <c r="H62" i="44"/>
  <c r="E62" i="44"/>
  <c r="D62" i="44" s="1"/>
  <c r="C62" i="44" s="1"/>
  <c r="B62" i="44"/>
  <c r="N62" i="44"/>
  <c r="J61" i="44"/>
  <c r="M61" i="44" s="1"/>
  <c r="O61" i="44" s="1"/>
  <c r="J60" i="40" l="1"/>
  <c r="M60" i="40" s="1"/>
  <c r="O60" i="40" s="1"/>
  <c r="B61" i="40"/>
  <c r="I61" i="40"/>
  <c r="H61" i="40"/>
  <c r="E61" i="40"/>
  <c r="D61" i="40" s="1"/>
  <c r="C61" i="40" s="1"/>
  <c r="F62" i="40" s="1"/>
  <c r="G61" i="40"/>
  <c r="K61" i="40"/>
  <c r="N61" i="40"/>
  <c r="D58" i="50"/>
  <c r="C58" i="50" s="1"/>
  <c r="F58" i="50" s="1"/>
  <c r="J49" i="50"/>
  <c r="M49" i="50" s="1"/>
  <c r="O49" i="50" s="1"/>
  <c r="K63" i="44"/>
  <c r="F63" i="44"/>
  <c r="K42" i="2"/>
  <c r="J41" i="2"/>
  <c r="M41" i="2" s="1"/>
  <c r="O41" i="2" s="1"/>
  <c r="I42" i="2"/>
  <c r="B42" i="2"/>
  <c r="N42" i="2"/>
  <c r="E42" i="2"/>
  <c r="D42" i="2" s="1"/>
  <c r="C42" i="2" s="1"/>
  <c r="F43" i="2" s="1"/>
  <c r="H42" i="2"/>
  <c r="G42" i="2"/>
  <c r="H63" i="44"/>
  <c r="I63" i="44"/>
  <c r="G63" i="44"/>
  <c r="E63" i="44"/>
  <c r="D63" i="44" s="1"/>
  <c r="C63" i="44" s="1"/>
  <c r="B63" i="44"/>
  <c r="N63" i="44"/>
  <c r="J62" i="44"/>
  <c r="M62" i="44" s="1"/>
  <c r="O62" i="44" s="1"/>
  <c r="J61" i="40" l="1"/>
  <c r="M61" i="40" s="1"/>
  <c r="O61" i="40" s="1"/>
  <c r="E62" i="40"/>
  <c r="D62" i="40" s="1"/>
  <c r="C62" i="40" s="1"/>
  <c r="F63" i="40" s="1"/>
  <c r="K62" i="40"/>
  <c r="N62" i="40"/>
  <c r="I62" i="40"/>
  <c r="B62" i="40"/>
  <c r="H62" i="40"/>
  <c r="G62" i="40"/>
  <c r="G59" i="50"/>
  <c r="H59" i="50"/>
  <c r="K59" i="50"/>
  <c r="N59" i="50"/>
  <c r="I59" i="50"/>
  <c r="E59" i="50"/>
  <c r="B59" i="50"/>
  <c r="L59" i="50" s="1"/>
  <c r="J50" i="50"/>
  <c r="M50" i="50" s="1"/>
  <c r="O50" i="50" s="1"/>
  <c r="K64" i="44"/>
  <c r="F64" i="44"/>
  <c r="K43" i="2"/>
  <c r="J42" i="2"/>
  <c r="M42" i="2" s="1"/>
  <c r="O42" i="2" s="1"/>
  <c r="H43" i="2"/>
  <c r="B43" i="2"/>
  <c r="G43" i="2"/>
  <c r="N43" i="2"/>
  <c r="E43" i="2"/>
  <c r="D43" i="2" s="1"/>
  <c r="C43" i="2" s="1"/>
  <c r="F44" i="2" s="1"/>
  <c r="I43" i="2"/>
  <c r="G64" i="44"/>
  <c r="I64" i="44"/>
  <c r="H64" i="44"/>
  <c r="E64" i="44"/>
  <c r="D64" i="44" s="1"/>
  <c r="C64" i="44" s="1"/>
  <c r="B64" i="44"/>
  <c r="N64" i="44"/>
  <c r="J63" i="44"/>
  <c r="M63" i="44" s="1"/>
  <c r="O63" i="44" s="1"/>
  <c r="N63" i="40" l="1"/>
  <c r="G63" i="40"/>
  <c r="H63" i="40"/>
  <c r="B63" i="40"/>
  <c r="I63" i="40"/>
  <c r="E63" i="40"/>
  <c r="D63" i="40" s="1"/>
  <c r="C63" i="40" s="1"/>
  <c r="F64" i="40" s="1"/>
  <c r="K63" i="40"/>
  <c r="J62" i="40"/>
  <c r="M62" i="40" s="1"/>
  <c r="O62" i="40" s="1"/>
  <c r="D59" i="50"/>
  <c r="C59" i="50" s="1"/>
  <c r="K60" i="50" s="1"/>
  <c r="K65" i="44"/>
  <c r="F65" i="44"/>
  <c r="K44" i="2"/>
  <c r="J43" i="2"/>
  <c r="M43" i="2" s="1"/>
  <c r="O43" i="2" s="1"/>
  <c r="I44" i="2"/>
  <c r="H44" i="2"/>
  <c r="B44" i="2"/>
  <c r="N44" i="2"/>
  <c r="G44" i="2"/>
  <c r="E44" i="2"/>
  <c r="D44" i="2" s="1"/>
  <c r="C44" i="2" s="1"/>
  <c r="F45" i="2" s="1"/>
  <c r="H65" i="44"/>
  <c r="I65" i="44"/>
  <c r="G65" i="44"/>
  <c r="J64" i="44"/>
  <c r="M64" i="44" s="1"/>
  <c r="O64" i="44" s="1"/>
  <c r="E65" i="44"/>
  <c r="D65" i="44" s="1"/>
  <c r="C65" i="44" s="1"/>
  <c r="N65" i="44"/>
  <c r="B65" i="44"/>
  <c r="J63" i="40" l="1"/>
  <c r="M63" i="40" s="1"/>
  <c r="O63" i="40" s="1"/>
  <c r="H64" i="40"/>
  <c r="I64" i="40"/>
  <c r="B64" i="40"/>
  <c r="G64" i="40"/>
  <c r="E64" i="40"/>
  <c r="D64" i="40" s="1"/>
  <c r="C64" i="40" s="1"/>
  <c r="F65" i="40" s="1"/>
  <c r="N64" i="40"/>
  <c r="K64" i="40"/>
  <c r="I60" i="50"/>
  <c r="B60" i="50"/>
  <c r="L60" i="50" s="1"/>
  <c r="H60" i="50"/>
  <c r="E60" i="50"/>
  <c r="F59" i="50"/>
  <c r="N60" i="50"/>
  <c r="G60" i="50"/>
  <c r="J51" i="50"/>
  <c r="M51" i="50" s="1"/>
  <c r="O51" i="50" s="1"/>
  <c r="K66" i="44"/>
  <c r="F66" i="44"/>
  <c r="K45" i="2"/>
  <c r="J44" i="2"/>
  <c r="M44" i="2" s="1"/>
  <c r="O44" i="2" s="1"/>
  <c r="G45" i="2"/>
  <c r="H45" i="2"/>
  <c r="B45" i="2"/>
  <c r="N45" i="2"/>
  <c r="E45" i="2"/>
  <c r="D45" i="2" s="1"/>
  <c r="C45" i="2" s="1"/>
  <c r="F46" i="2" s="1"/>
  <c r="I45" i="2"/>
  <c r="G66" i="44"/>
  <c r="I66" i="44"/>
  <c r="H66" i="44"/>
  <c r="J65" i="44"/>
  <c r="M65" i="44" s="1"/>
  <c r="O65" i="44" s="1"/>
  <c r="E66" i="44"/>
  <c r="D66" i="44" s="1"/>
  <c r="C66" i="44" s="1"/>
  <c r="B66" i="44"/>
  <c r="N66" i="44"/>
  <c r="G65" i="40" l="1"/>
  <c r="H65" i="40"/>
  <c r="B65" i="40"/>
  <c r="E65" i="40"/>
  <c r="D65" i="40" s="1"/>
  <c r="C65" i="40" s="1"/>
  <c r="F66" i="40" s="1"/>
  <c r="K65" i="40"/>
  <c r="J64" i="40"/>
  <c r="M64" i="40" s="1"/>
  <c r="O64" i="40" s="1"/>
  <c r="I65" i="40"/>
  <c r="N65" i="40"/>
  <c r="D60" i="50"/>
  <c r="C60" i="50" s="1"/>
  <c r="B61" i="50" s="1"/>
  <c r="L61" i="50" s="1"/>
  <c r="K67" i="44"/>
  <c r="F67" i="44"/>
  <c r="K46" i="2"/>
  <c r="E46" i="2"/>
  <c r="D46" i="2" s="1"/>
  <c r="C46" i="2" s="1"/>
  <c r="F47" i="2" s="1"/>
  <c r="G46" i="2"/>
  <c r="N46" i="2"/>
  <c r="J45" i="2"/>
  <c r="M45" i="2" s="1"/>
  <c r="O45" i="2" s="1"/>
  <c r="B46" i="2"/>
  <c r="I46" i="2"/>
  <c r="H46" i="2"/>
  <c r="H67" i="44"/>
  <c r="I67" i="44"/>
  <c r="G67" i="44"/>
  <c r="E67" i="44"/>
  <c r="D67" i="44" s="1"/>
  <c r="C67" i="44" s="1"/>
  <c r="B67" i="44"/>
  <c r="N67" i="44"/>
  <c r="J66" i="44"/>
  <c r="M66" i="44" s="1"/>
  <c r="O66" i="44" s="1"/>
  <c r="J65" i="40" l="1"/>
  <c r="M65" i="40" s="1"/>
  <c r="O65" i="40" s="1"/>
  <c r="B66" i="40"/>
  <c r="H66" i="40"/>
  <c r="G66" i="40"/>
  <c r="E66" i="40"/>
  <c r="D66" i="40" s="1"/>
  <c r="C66" i="40" s="1"/>
  <c r="F67" i="40" s="1"/>
  <c r="N66" i="40"/>
  <c r="K66" i="40"/>
  <c r="I66" i="40"/>
  <c r="I61" i="50"/>
  <c r="E61" i="50"/>
  <c r="D61" i="50" s="1"/>
  <c r="C61" i="50" s="1"/>
  <c r="F61" i="50" s="1"/>
  <c r="G61" i="50"/>
  <c r="H61" i="50"/>
  <c r="K61" i="50"/>
  <c r="F60" i="50"/>
  <c r="N61" i="50"/>
  <c r="J52" i="50"/>
  <c r="M52" i="50" s="1"/>
  <c r="O52" i="50" s="1"/>
  <c r="K68" i="44"/>
  <c r="F68" i="44"/>
  <c r="K47" i="2"/>
  <c r="H47" i="2"/>
  <c r="J46" i="2"/>
  <c r="M46" i="2" s="1"/>
  <c r="O46" i="2" s="1"/>
  <c r="G47" i="2"/>
  <c r="N47" i="2"/>
  <c r="I47" i="2"/>
  <c r="E47" i="2"/>
  <c r="D47" i="2" s="1"/>
  <c r="C47" i="2" s="1"/>
  <c r="F48" i="2" s="1"/>
  <c r="B47" i="2"/>
  <c r="G68" i="44"/>
  <c r="I68" i="44"/>
  <c r="H68" i="44"/>
  <c r="J67" i="44"/>
  <c r="M67" i="44" s="1"/>
  <c r="O67" i="44" s="1"/>
  <c r="E68" i="44"/>
  <c r="D68" i="44" s="1"/>
  <c r="C68" i="44" s="1"/>
  <c r="B68" i="44"/>
  <c r="N68" i="44"/>
  <c r="J66" i="40" l="1"/>
  <c r="M66" i="40" s="1"/>
  <c r="O66" i="40" s="1"/>
  <c r="I67" i="40"/>
  <c r="H67" i="40"/>
  <c r="G67" i="40"/>
  <c r="B67" i="40"/>
  <c r="E67" i="40"/>
  <c r="D67" i="40" s="1"/>
  <c r="C67" i="40" s="1"/>
  <c r="F68" i="40" s="1"/>
  <c r="N67" i="40"/>
  <c r="K67" i="40"/>
  <c r="H62" i="50"/>
  <c r="B62" i="50"/>
  <c r="L62" i="50" s="1"/>
  <c r="N62" i="50"/>
  <c r="E62" i="50"/>
  <c r="G62" i="50"/>
  <c r="I62" i="50"/>
  <c r="K62" i="50"/>
  <c r="J53" i="50"/>
  <c r="M53" i="50" s="1"/>
  <c r="O53" i="50" s="1"/>
  <c r="K69" i="44"/>
  <c r="F69" i="44"/>
  <c r="K48" i="2"/>
  <c r="I48" i="2"/>
  <c r="J47" i="2"/>
  <c r="M47" i="2" s="1"/>
  <c r="O47" i="2" s="1"/>
  <c r="B48" i="2"/>
  <c r="N48" i="2"/>
  <c r="E48" i="2"/>
  <c r="D48" i="2" s="1"/>
  <c r="C48" i="2" s="1"/>
  <c r="F49" i="2" s="1"/>
  <c r="G48" i="2"/>
  <c r="H48" i="2"/>
  <c r="H69" i="44"/>
  <c r="I69" i="44"/>
  <c r="G69" i="44"/>
  <c r="J68" i="44"/>
  <c r="M68" i="44" s="1"/>
  <c r="O68" i="44" s="1"/>
  <c r="E69" i="44"/>
  <c r="D69" i="44" s="1"/>
  <c r="C69" i="44" s="1"/>
  <c r="B69" i="44"/>
  <c r="N69" i="44"/>
  <c r="J67" i="40" l="1"/>
  <c r="M67" i="40" s="1"/>
  <c r="O67" i="40" s="1"/>
  <c r="E68" i="40"/>
  <c r="D68" i="40" s="1"/>
  <c r="C68" i="40" s="1"/>
  <c r="F69" i="40" s="1"/>
  <c r="N68" i="40"/>
  <c r="I68" i="40"/>
  <c r="B68" i="40"/>
  <c r="K68" i="40"/>
  <c r="G68" i="40"/>
  <c r="H68" i="40"/>
  <c r="D62" i="50"/>
  <c r="C62" i="50" s="1"/>
  <c r="F62" i="50" s="1"/>
  <c r="K70" i="44"/>
  <c r="F70" i="44"/>
  <c r="K49" i="2"/>
  <c r="I49" i="2"/>
  <c r="G49" i="2"/>
  <c r="B49" i="2"/>
  <c r="E49" i="2"/>
  <c r="D49" i="2" s="1"/>
  <c r="C49" i="2" s="1"/>
  <c r="F50" i="2" s="1"/>
  <c r="J48" i="2"/>
  <c r="M48" i="2" s="1"/>
  <c r="O48" i="2" s="1"/>
  <c r="H49" i="2"/>
  <c r="N49" i="2"/>
  <c r="G70" i="44"/>
  <c r="I70" i="44"/>
  <c r="H70" i="44"/>
  <c r="E70" i="44"/>
  <c r="D70" i="44" s="1"/>
  <c r="C70" i="44" s="1"/>
  <c r="N70" i="44"/>
  <c r="B70" i="44"/>
  <c r="J69" i="44"/>
  <c r="M69" i="44" s="1"/>
  <c r="O69" i="44" s="1"/>
  <c r="B69" i="40" l="1"/>
  <c r="I69" i="40"/>
  <c r="E69" i="40"/>
  <c r="D69" i="40" s="1"/>
  <c r="C69" i="40" s="1"/>
  <c r="F70" i="40" s="1"/>
  <c r="N69" i="40"/>
  <c r="H69" i="40"/>
  <c r="G69" i="40"/>
  <c r="K69" i="40"/>
  <c r="J68" i="40"/>
  <c r="M68" i="40" s="1"/>
  <c r="O68" i="40" s="1"/>
  <c r="G63" i="50"/>
  <c r="H63" i="50"/>
  <c r="I63" i="50"/>
  <c r="K63" i="50"/>
  <c r="N63" i="50"/>
  <c r="B63" i="50"/>
  <c r="L63" i="50" s="1"/>
  <c r="E63" i="50"/>
  <c r="J54" i="50"/>
  <c r="M54" i="50" s="1"/>
  <c r="O54" i="50" s="1"/>
  <c r="K71" i="44"/>
  <c r="F71" i="44"/>
  <c r="K50" i="2"/>
  <c r="G50" i="2"/>
  <c r="H50" i="2"/>
  <c r="J49" i="2"/>
  <c r="M49" i="2" s="1"/>
  <c r="O49" i="2" s="1"/>
  <c r="I50" i="2"/>
  <c r="N50" i="2"/>
  <c r="B50" i="2"/>
  <c r="E50" i="2"/>
  <c r="D50" i="2" s="1"/>
  <c r="C50" i="2" s="1"/>
  <c r="F51" i="2" s="1"/>
  <c r="H71" i="44"/>
  <c r="I71" i="44"/>
  <c r="G71" i="44"/>
  <c r="E71" i="44"/>
  <c r="D71" i="44" s="1"/>
  <c r="C71" i="44" s="1"/>
  <c r="N71" i="44"/>
  <c r="B71" i="44"/>
  <c r="J70" i="44"/>
  <c r="M70" i="44" s="1"/>
  <c r="O70" i="44" s="1"/>
  <c r="I70" i="40" l="1"/>
  <c r="H70" i="40"/>
  <c r="G70" i="40"/>
  <c r="E70" i="40"/>
  <c r="D70" i="40" s="1"/>
  <c r="C70" i="40" s="1"/>
  <c r="F71" i="40" s="1"/>
  <c r="B70" i="40"/>
  <c r="K70" i="40"/>
  <c r="N70" i="40"/>
  <c r="J69" i="40"/>
  <c r="M69" i="40" s="1"/>
  <c r="O69" i="40" s="1"/>
  <c r="D63" i="50"/>
  <c r="C63" i="50" s="1"/>
  <c r="G64" i="50" s="1"/>
  <c r="J55" i="50"/>
  <c r="M55" i="50" s="1"/>
  <c r="O55" i="50" s="1"/>
  <c r="K72" i="44"/>
  <c r="F72" i="44"/>
  <c r="K51" i="2"/>
  <c r="J50" i="2"/>
  <c r="M50" i="2" s="1"/>
  <c r="O50" i="2" s="1"/>
  <c r="N51" i="2"/>
  <c r="E51" i="2"/>
  <c r="D51" i="2" s="1"/>
  <c r="C51" i="2" s="1"/>
  <c r="F52" i="2" s="1"/>
  <c r="B51" i="2"/>
  <c r="H51" i="2"/>
  <c r="I51" i="2"/>
  <c r="G51" i="2"/>
  <c r="G72" i="44"/>
  <c r="I72" i="44"/>
  <c r="H72" i="44"/>
  <c r="J71" i="44"/>
  <c r="M71" i="44" s="1"/>
  <c r="O71" i="44" s="1"/>
  <c r="E72" i="44"/>
  <c r="D72" i="44" s="1"/>
  <c r="C72" i="44" s="1"/>
  <c r="B72" i="44"/>
  <c r="N72" i="44"/>
  <c r="N71" i="40" l="1"/>
  <c r="J70" i="40"/>
  <c r="M70" i="40" s="1"/>
  <c r="O70" i="40" s="1"/>
  <c r="H71" i="40"/>
  <c r="G71" i="40"/>
  <c r="I71" i="40"/>
  <c r="E71" i="40"/>
  <c r="D71" i="40" s="1"/>
  <c r="C71" i="40" s="1"/>
  <c r="F72" i="40" s="1"/>
  <c r="B71" i="40"/>
  <c r="K71" i="40"/>
  <c r="I64" i="50"/>
  <c r="B64" i="50"/>
  <c r="L64" i="50" s="1"/>
  <c r="N64" i="50"/>
  <c r="E64" i="50"/>
  <c r="F63" i="50"/>
  <c r="H64" i="50"/>
  <c r="K64" i="50"/>
  <c r="K73" i="44"/>
  <c r="F73" i="44"/>
  <c r="K52" i="2"/>
  <c r="G52" i="2"/>
  <c r="I52" i="2"/>
  <c r="H52" i="2"/>
  <c r="J51" i="2"/>
  <c r="M51" i="2" s="1"/>
  <c r="O51" i="2" s="1"/>
  <c r="B52" i="2"/>
  <c r="N52" i="2"/>
  <c r="E52" i="2"/>
  <c r="D52" i="2" s="1"/>
  <c r="C52" i="2" s="1"/>
  <c r="F53" i="2" s="1"/>
  <c r="H73" i="44"/>
  <c r="I73" i="44"/>
  <c r="G73" i="44"/>
  <c r="J72" i="44"/>
  <c r="M72" i="44" s="1"/>
  <c r="O72" i="44" s="1"/>
  <c r="E73" i="44"/>
  <c r="D73" i="44" s="1"/>
  <c r="C73" i="44" s="1"/>
  <c r="N73" i="44"/>
  <c r="B73" i="44"/>
  <c r="N72" i="40" l="1"/>
  <c r="H72" i="40"/>
  <c r="G72" i="40"/>
  <c r="J71" i="40"/>
  <c r="M71" i="40" s="1"/>
  <c r="O71" i="40" s="1"/>
  <c r="I72" i="40"/>
  <c r="B72" i="40"/>
  <c r="E72" i="40"/>
  <c r="D72" i="40" s="1"/>
  <c r="C72" i="40" s="1"/>
  <c r="F73" i="40" s="1"/>
  <c r="K72" i="40"/>
  <c r="D64" i="50"/>
  <c r="C64" i="50" s="1"/>
  <c r="F64" i="50" s="1"/>
  <c r="J56" i="50"/>
  <c r="M56" i="50" s="1"/>
  <c r="O56" i="50" s="1"/>
  <c r="K74" i="44"/>
  <c r="F74" i="44"/>
  <c r="K53" i="2"/>
  <c r="J52" i="2"/>
  <c r="M52" i="2" s="1"/>
  <c r="O52" i="2" s="1"/>
  <c r="N53" i="2"/>
  <c r="I53" i="2"/>
  <c r="E53" i="2"/>
  <c r="D53" i="2" s="1"/>
  <c r="C53" i="2" s="1"/>
  <c r="F54" i="2" s="1"/>
  <c r="H53" i="2"/>
  <c r="G53" i="2"/>
  <c r="B53" i="2"/>
  <c r="G74" i="44"/>
  <c r="I74" i="44"/>
  <c r="H74" i="44"/>
  <c r="E74" i="44"/>
  <c r="D74" i="44" s="1"/>
  <c r="C74" i="44" s="1"/>
  <c r="B74" i="44"/>
  <c r="N74" i="44"/>
  <c r="J73" i="44"/>
  <c r="M73" i="44" s="1"/>
  <c r="O73" i="44" s="1"/>
  <c r="G73" i="40" l="1"/>
  <c r="J72" i="40"/>
  <c r="M72" i="40" s="1"/>
  <c r="O72" i="40" s="1"/>
  <c r="I73" i="40"/>
  <c r="E73" i="40"/>
  <c r="D73" i="40" s="1"/>
  <c r="C73" i="40" s="1"/>
  <c r="F74" i="40" s="1"/>
  <c r="N73" i="40"/>
  <c r="K73" i="40"/>
  <c r="H73" i="40"/>
  <c r="B73" i="40"/>
  <c r="I65" i="50"/>
  <c r="H65" i="50"/>
  <c r="B65" i="50"/>
  <c r="L65" i="50" s="1"/>
  <c r="G65" i="50"/>
  <c r="N65" i="50"/>
  <c r="K65" i="50"/>
  <c r="E65" i="50"/>
  <c r="K75" i="44"/>
  <c r="F75" i="44"/>
  <c r="K54" i="2"/>
  <c r="J53" i="2"/>
  <c r="M53" i="2" s="1"/>
  <c r="O53" i="2" s="1"/>
  <c r="I54" i="2"/>
  <c r="G54" i="2"/>
  <c r="H54" i="2"/>
  <c r="N54" i="2"/>
  <c r="E54" i="2"/>
  <c r="D54" i="2" s="1"/>
  <c r="C54" i="2" s="1"/>
  <c r="F55" i="2" s="1"/>
  <c r="B54" i="2"/>
  <c r="H75" i="44"/>
  <c r="I75" i="44"/>
  <c r="G75" i="44"/>
  <c r="E75" i="44"/>
  <c r="D75" i="44" s="1"/>
  <c r="C75" i="44" s="1"/>
  <c r="B75" i="44"/>
  <c r="N75" i="44"/>
  <c r="J74" i="44"/>
  <c r="M74" i="44" s="1"/>
  <c r="O74" i="44" s="1"/>
  <c r="H74" i="40" l="1"/>
  <c r="G74" i="40"/>
  <c r="B74" i="40"/>
  <c r="I74" i="40"/>
  <c r="K74" i="40"/>
  <c r="J73" i="40"/>
  <c r="M73" i="40" s="1"/>
  <c r="O73" i="40" s="1"/>
  <c r="E74" i="40"/>
  <c r="D74" i="40" s="1"/>
  <c r="C74" i="40" s="1"/>
  <c r="F75" i="40" s="1"/>
  <c r="N74" i="40"/>
  <c r="D65" i="50"/>
  <c r="C65" i="50" s="1"/>
  <c r="B66" i="50" s="1"/>
  <c r="L66" i="50" s="1"/>
  <c r="J57" i="50"/>
  <c r="M57" i="50" s="1"/>
  <c r="O57" i="50" s="1"/>
  <c r="K76" i="44"/>
  <c r="F76" i="44"/>
  <c r="K55" i="2"/>
  <c r="J54" i="2"/>
  <c r="M54" i="2" s="1"/>
  <c r="O54" i="2" s="1"/>
  <c r="H55" i="2"/>
  <c r="I55" i="2"/>
  <c r="B55" i="2"/>
  <c r="N55" i="2"/>
  <c r="E55" i="2"/>
  <c r="D55" i="2" s="1"/>
  <c r="C55" i="2" s="1"/>
  <c r="F56" i="2" s="1"/>
  <c r="G55" i="2"/>
  <c r="G76" i="44"/>
  <c r="I76" i="44"/>
  <c r="H76" i="44"/>
  <c r="J75" i="44"/>
  <c r="M75" i="44" s="1"/>
  <c r="O75" i="44" s="1"/>
  <c r="E76" i="44"/>
  <c r="D76" i="44" s="1"/>
  <c r="C76" i="44" s="1"/>
  <c r="B76" i="44"/>
  <c r="N76" i="44"/>
  <c r="J74" i="40" l="1"/>
  <c r="M74" i="40" s="1"/>
  <c r="O74" i="40" s="1"/>
  <c r="E75" i="40"/>
  <c r="D75" i="40" s="1"/>
  <c r="C75" i="40" s="1"/>
  <c r="F76" i="40" s="1"/>
  <c r="K75" i="40"/>
  <c r="G75" i="40"/>
  <c r="I75" i="40"/>
  <c r="N75" i="40"/>
  <c r="B75" i="40"/>
  <c r="H75" i="40"/>
  <c r="G66" i="50"/>
  <c r="E66" i="50"/>
  <c r="D66" i="50" s="1"/>
  <c r="C66" i="50" s="1"/>
  <c r="G67" i="50" s="1"/>
  <c r="I66" i="50"/>
  <c r="H66" i="50"/>
  <c r="K66" i="50"/>
  <c r="N66" i="50"/>
  <c r="F65" i="50"/>
  <c r="K77" i="44"/>
  <c r="F77" i="44"/>
  <c r="K56" i="2"/>
  <c r="J55" i="2"/>
  <c r="M55" i="2" s="1"/>
  <c r="O55" i="2" s="1"/>
  <c r="H56" i="2"/>
  <c r="G56" i="2"/>
  <c r="B56" i="2"/>
  <c r="I56" i="2"/>
  <c r="E56" i="2"/>
  <c r="D56" i="2" s="1"/>
  <c r="C56" i="2" s="1"/>
  <c r="F57" i="2" s="1"/>
  <c r="N56" i="2"/>
  <c r="H77" i="44"/>
  <c r="I77" i="44"/>
  <c r="G77" i="44"/>
  <c r="E77" i="44"/>
  <c r="B77" i="44"/>
  <c r="N77" i="44"/>
  <c r="J76" i="44"/>
  <c r="M76" i="44" s="1"/>
  <c r="O76" i="44" s="1"/>
  <c r="H76" i="40" l="1"/>
  <c r="E76" i="40"/>
  <c r="D76" i="40" s="1"/>
  <c r="C76" i="40" s="1"/>
  <c r="G77" i="40" s="1"/>
  <c r="N76" i="40"/>
  <c r="K76" i="40"/>
  <c r="B76" i="40"/>
  <c r="I76" i="40"/>
  <c r="G76" i="40"/>
  <c r="J75" i="40"/>
  <c r="M75" i="40" s="1"/>
  <c r="O75" i="40" s="1"/>
  <c r="E67" i="50"/>
  <c r="N67" i="50"/>
  <c r="H67" i="50"/>
  <c r="B67" i="50"/>
  <c r="L67" i="50" s="1"/>
  <c r="K67" i="50"/>
  <c r="F66" i="50"/>
  <c r="I67" i="50"/>
  <c r="F77" i="40"/>
  <c r="J58" i="50"/>
  <c r="M58" i="50" s="1"/>
  <c r="O58" i="50" s="1"/>
  <c r="K57" i="2"/>
  <c r="J56" i="2"/>
  <c r="M56" i="2" s="1"/>
  <c r="O56" i="2" s="1"/>
  <c r="G57" i="2"/>
  <c r="H57" i="2"/>
  <c r="B57" i="2"/>
  <c r="E57" i="2"/>
  <c r="D57" i="2" s="1"/>
  <c r="C57" i="2" s="1"/>
  <c r="F58" i="2" s="1"/>
  <c r="I57" i="2"/>
  <c r="N57" i="2"/>
  <c r="D77" i="44"/>
  <c r="C77" i="44" s="1"/>
  <c r="J77" i="44"/>
  <c r="M77" i="44" s="1"/>
  <c r="O77" i="44" s="1"/>
  <c r="H77" i="40"/>
  <c r="I77" i="40"/>
  <c r="E77" i="40" l="1"/>
  <c r="N77" i="40"/>
  <c r="K77" i="40"/>
  <c r="B77" i="40"/>
  <c r="L77" i="40" s="1"/>
  <c r="D77" i="40" s="1"/>
  <c r="J76" i="40"/>
  <c r="M76" i="40" s="1"/>
  <c r="O76" i="40" s="1"/>
  <c r="D67" i="50"/>
  <c r="C67" i="50" s="1"/>
  <c r="F67" i="50" s="1"/>
  <c r="J59" i="50"/>
  <c r="M59" i="50" s="1"/>
  <c r="O59" i="50" s="1"/>
  <c r="K78" i="44"/>
  <c r="F78" i="44"/>
  <c r="K58" i="2"/>
  <c r="I58" i="2"/>
  <c r="G58" i="2"/>
  <c r="N58" i="2"/>
  <c r="H58" i="2"/>
  <c r="B58" i="2"/>
  <c r="E58" i="2"/>
  <c r="D58" i="2" s="1"/>
  <c r="C58" i="2" s="1"/>
  <c r="F59" i="2" s="1"/>
  <c r="J57" i="2"/>
  <c r="M57" i="2" s="1"/>
  <c r="O57" i="2" s="1"/>
  <c r="G78" i="44"/>
  <c r="I78" i="44"/>
  <c r="H78" i="44"/>
  <c r="E78" i="44"/>
  <c r="N78" i="44"/>
  <c r="B78" i="44"/>
  <c r="L78" i="44" s="1"/>
  <c r="J77" i="40"/>
  <c r="M77" i="40" l="1"/>
  <c r="O77" i="40" s="1"/>
  <c r="I68" i="50"/>
  <c r="E68" i="50"/>
  <c r="B68" i="50"/>
  <c r="L68" i="50" s="1"/>
  <c r="H68" i="50"/>
  <c r="G68" i="50"/>
  <c r="K68" i="50"/>
  <c r="N68" i="50"/>
  <c r="C77" i="40"/>
  <c r="F78" i="40" s="1"/>
  <c r="K59" i="2"/>
  <c r="J58" i="2"/>
  <c r="M58" i="2" s="1"/>
  <c r="O58" i="2" s="1"/>
  <c r="I59" i="2"/>
  <c r="B59" i="2"/>
  <c r="G59" i="2"/>
  <c r="H59" i="2"/>
  <c r="N59" i="2"/>
  <c r="E59" i="2"/>
  <c r="D59" i="2" s="1"/>
  <c r="C59" i="2" s="1"/>
  <c r="F60" i="2" s="1"/>
  <c r="D78" i="44"/>
  <c r="C78" i="44" s="1"/>
  <c r="J78" i="44"/>
  <c r="M78" i="44" s="1"/>
  <c r="O78" i="44" s="1"/>
  <c r="D68" i="50" l="1"/>
  <c r="C68" i="50" s="1"/>
  <c r="H69" i="50" s="1"/>
  <c r="E78" i="40"/>
  <c r="N78" i="40"/>
  <c r="G78" i="40"/>
  <c r="I78" i="40"/>
  <c r="H78" i="40"/>
  <c r="B78" i="40"/>
  <c r="L78" i="40" s="1"/>
  <c r="D78" i="40" s="1"/>
  <c r="C78" i="40" s="1"/>
  <c r="N79" i="40" s="1"/>
  <c r="K78" i="40"/>
  <c r="J60" i="50"/>
  <c r="M60" i="50" s="1"/>
  <c r="O60" i="50" s="1"/>
  <c r="I79" i="44"/>
  <c r="K79" i="44"/>
  <c r="F79" i="44"/>
  <c r="K60" i="2"/>
  <c r="J59" i="2"/>
  <c r="M59" i="2" s="1"/>
  <c r="O59" i="2" s="1"/>
  <c r="G60" i="2"/>
  <c r="H60" i="2"/>
  <c r="B60" i="2"/>
  <c r="N60" i="2"/>
  <c r="E60" i="2"/>
  <c r="D60" i="2" s="1"/>
  <c r="C60" i="2" s="1"/>
  <c r="F61" i="2" s="1"/>
  <c r="I60" i="2"/>
  <c r="H79" i="44"/>
  <c r="E79" i="44"/>
  <c r="B79" i="44"/>
  <c r="L79" i="44" s="1"/>
  <c r="D79" i="44" s="1"/>
  <c r="C79" i="44" s="1"/>
  <c r="N79" i="44"/>
  <c r="G79" i="44"/>
  <c r="I69" i="50" l="1"/>
  <c r="F68" i="50"/>
  <c r="G69" i="50"/>
  <c r="K69" i="50"/>
  <c r="B69" i="50"/>
  <c r="L69" i="50" s="1"/>
  <c r="N69" i="50"/>
  <c r="E69" i="50"/>
  <c r="J78" i="40"/>
  <c r="M78" i="40" s="1"/>
  <c r="O78" i="40" s="1"/>
  <c r="G79" i="40"/>
  <c r="H79" i="40"/>
  <c r="K79" i="40"/>
  <c r="I79" i="40"/>
  <c r="E79" i="40"/>
  <c r="B79" i="40"/>
  <c r="L79" i="40" s="1"/>
  <c r="D79" i="40" s="1"/>
  <c r="C79" i="40" s="1"/>
  <c r="K80" i="40" s="1"/>
  <c r="F79" i="40"/>
  <c r="K80" i="44"/>
  <c r="F80" i="44"/>
  <c r="K61" i="2"/>
  <c r="I61" i="2"/>
  <c r="J60" i="2"/>
  <c r="M60" i="2" s="1"/>
  <c r="O60" i="2" s="1"/>
  <c r="E61" i="2"/>
  <c r="D61" i="2" s="1"/>
  <c r="C61" i="2" s="1"/>
  <c r="F62" i="2" s="1"/>
  <c r="G61" i="2"/>
  <c r="H61" i="2"/>
  <c r="B61" i="2"/>
  <c r="N61" i="2"/>
  <c r="J79" i="44"/>
  <c r="M79" i="44" s="1"/>
  <c r="O79" i="44" s="1"/>
  <c r="G80" i="44"/>
  <c r="I80" i="44"/>
  <c r="H80" i="44"/>
  <c r="B80" i="44"/>
  <c r="L80" i="44" s="1"/>
  <c r="N80" i="44"/>
  <c r="E80" i="44"/>
  <c r="D69" i="50" l="1"/>
  <c r="C69" i="50" s="1"/>
  <c r="F69" i="50" s="1"/>
  <c r="J79" i="40"/>
  <c r="M79" i="40" s="1"/>
  <c r="O79" i="40" s="1"/>
  <c r="I80" i="40"/>
  <c r="F80" i="40"/>
  <c r="N80" i="40"/>
  <c r="B80" i="40"/>
  <c r="L80" i="40" s="1"/>
  <c r="H80" i="40"/>
  <c r="E80" i="40"/>
  <c r="G80" i="40"/>
  <c r="J61" i="50"/>
  <c r="M61" i="50" s="1"/>
  <c r="O61" i="50" s="1"/>
  <c r="K62" i="2"/>
  <c r="H62" i="2"/>
  <c r="J61" i="2"/>
  <c r="M61" i="2" s="1"/>
  <c r="O61" i="2" s="1"/>
  <c r="N62" i="2"/>
  <c r="E62" i="2"/>
  <c r="D62" i="2" s="1"/>
  <c r="C62" i="2" s="1"/>
  <c r="F63" i="2" s="1"/>
  <c r="G62" i="2"/>
  <c r="I62" i="2"/>
  <c r="B62" i="2"/>
  <c r="D80" i="44"/>
  <c r="C80" i="44" s="1"/>
  <c r="J80" i="44"/>
  <c r="M80" i="44" s="1"/>
  <c r="O80" i="44" s="1"/>
  <c r="G70" i="50" l="1"/>
  <c r="I70" i="50"/>
  <c r="E70" i="50"/>
  <c r="N70" i="50"/>
  <c r="K70" i="50"/>
  <c r="H70" i="50"/>
  <c r="B70" i="50"/>
  <c r="L70" i="50" s="1"/>
  <c r="D80" i="40"/>
  <c r="C80" i="40" s="1"/>
  <c r="F81" i="40" s="1"/>
  <c r="J80" i="40"/>
  <c r="M80" i="40" s="1"/>
  <c r="O80" i="40" s="1"/>
  <c r="E81" i="44"/>
  <c r="K81" i="44"/>
  <c r="F81" i="44"/>
  <c r="I63" i="2"/>
  <c r="J62" i="2"/>
  <c r="M62" i="2" s="1"/>
  <c r="O62" i="2" s="1"/>
  <c r="G63" i="2"/>
  <c r="K63" i="2"/>
  <c r="E63" i="2"/>
  <c r="D63" i="2" s="1"/>
  <c r="C63" i="2" s="1"/>
  <c r="F64" i="2" s="1"/>
  <c r="B63" i="2"/>
  <c r="H63" i="2"/>
  <c r="N63" i="2"/>
  <c r="B81" i="44"/>
  <c r="L81" i="44" s="1"/>
  <c r="D81" i="44" s="1"/>
  <c r="C81" i="44" s="1"/>
  <c r="N81" i="44"/>
  <c r="H81" i="44"/>
  <c r="I81" i="44"/>
  <c r="G81" i="44"/>
  <c r="D70" i="50" l="1"/>
  <c r="C70" i="50" s="1"/>
  <c r="N71" i="50" s="1"/>
  <c r="K81" i="40"/>
  <c r="I81" i="40"/>
  <c r="B81" i="40"/>
  <c r="L81" i="40" s="1"/>
  <c r="N81" i="40"/>
  <c r="H81" i="40"/>
  <c r="G81" i="40"/>
  <c r="E81" i="40"/>
  <c r="J62" i="50"/>
  <c r="M62" i="50" s="1"/>
  <c r="O62" i="50" s="1"/>
  <c r="K82" i="44"/>
  <c r="F82" i="44"/>
  <c r="I64" i="2"/>
  <c r="J63" i="2"/>
  <c r="M63" i="2" s="1"/>
  <c r="O63" i="2" s="1"/>
  <c r="H64" i="2"/>
  <c r="K64" i="2"/>
  <c r="E64" i="2"/>
  <c r="D64" i="2" s="1"/>
  <c r="C64" i="2" s="1"/>
  <c r="F65" i="2" s="1"/>
  <c r="B64" i="2"/>
  <c r="N64" i="2"/>
  <c r="G64" i="2"/>
  <c r="E82" i="44"/>
  <c r="N82" i="44"/>
  <c r="I82" i="44"/>
  <c r="H82" i="44"/>
  <c r="B82" i="44"/>
  <c r="L82" i="44" s="1"/>
  <c r="G82" i="44"/>
  <c r="J81" i="44"/>
  <c r="M81" i="44" s="1"/>
  <c r="O81" i="44" s="1"/>
  <c r="E71" i="50" l="1"/>
  <c r="I71" i="50"/>
  <c r="K71" i="50"/>
  <c r="F70" i="50"/>
  <c r="H71" i="50"/>
  <c r="B71" i="50"/>
  <c r="L71" i="50" s="1"/>
  <c r="G71" i="50"/>
  <c r="J81" i="40"/>
  <c r="M81" i="40" s="1"/>
  <c r="O81" i="40" s="1"/>
  <c r="D81" i="40"/>
  <c r="C81" i="40" s="1"/>
  <c r="I65" i="2"/>
  <c r="J64" i="2"/>
  <c r="M64" i="2" s="1"/>
  <c r="O64" i="2" s="1"/>
  <c r="D82" i="44"/>
  <c r="C82" i="44" s="1"/>
  <c r="H65" i="2"/>
  <c r="K65" i="2"/>
  <c r="B65" i="2"/>
  <c r="N65" i="2"/>
  <c r="E65" i="2"/>
  <c r="D65" i="2" s="1"/>
  <c r="C65" i="2" s="1"/>
  <c r="F66" i="2" s="1"/>
  <c r="G65" i="2"/>
  <c r="J82" i="44"/>
  <c r="M82" i="44" s="1"/>
  <c r="O82" i="44" s="1"/>
  <c r="D71" i="50" l="1"/>
  <c r="C71" i="50" s="1"/>
  <c r="G72" i="50" s="1"/>
  <c r="F82" i="40"/>
  <c r="K82" i="40"/>
  <c r="E82" i="40"/>
  <c r="G82" i="40"/>
  <c r="H82" i="40"/>
  <c r="I82" i="40"/>
  <c r="N82" i="40"/>
  <c r="B82" i="40"/>
  <c r="L82" i="40" s="1"/>
  <c r="J63" i="50"/>
  <c r="M63" i="50" s="1"/>
  <c r="O63" i="50" s="1"/>
  <c r="B83" i="44"/>
  <c r="L83" i="44" s="1"/>
  <c r="K83" i="44"/>
  <c r="F83" i="44"/>
  <c r="E66" i="2"/>
  <c r="D66" i="2" s="1"/>
  <c r="C66" i="2" s="1"/>
  <c r="F67" i="2" s="1"/>
  <c r="J65" i="2"/>
  <c r="M65" i="2" s="1"/>
  <c r="O65" i="2" s="1"/>
  <c r="I83" i="44"/>
  <c r="N83" i="44"/>
  <c r="E83" i="44"/>
  <c r="G83" i="44"/>
  <c r="H83" i="44"/>
  <c r="K66" i="2"/>
  <c r="G66" i="2"/>
  <c r="I66" i="2"/>
  <c r="B66" i="2"/>
  <c r="H66" i="2"/>
  <c r="N66" i="2"/>
  <c r="D82" i="40" l="1"/>
  <c r="C82" i="40" s="1"/>
  <c r="K83" i="40" s="1"/>
  <c r="H72" i="50"/>
  <c r="E72" i="50"/>
  <c r="F71" i="50"/>
  <c r="N72" i="50"/>
  <c r="K72" i="50"/>
  <c r="B72" i="50"/>
  <c r="L72" i="50" s="1"/>
  <c r="I72" i="50"/>
  <c r="J82" i="40"/>
  <c r="M82" i="40" s="1"/>
  <c r="O82" i="40" s="1"/>
  <c r="D83" i="44"/>
  <c r="C83" i="44" s="1"/>
  <c r="G84" i="44" s="1"/>
  <c r="I67" i="2"/>
  <c r="H67" i="2"/>
  <c r="B67" i="2"/>
  <c r="G67" i="2"/>
  <c r="N67" i="2"/>
  <c r="E67" i="2"/>
  <c r="D67" i="2" s="1"/>
  <c r="C67" i="2" s="1"/>
  <c r="F68" i="2" s="1"/>
  <c r="K67" i="2"/>
  <c r="J83" i="44"/>
  <c r="M83" i="44" s="1"/>
  <c r="O83" i="44" s="1"/>
  <c r="J66" i="2"/>
  <c r="M66" i="2" s="1"/>
  <c r="O66" i="2" s="1"/>
  <c r="N83" i="40" l="1"/>
  <c r="E83" i="40"/>
  <c r="B83" i="40"/>
  <c r="L83" i="40" s="1"/>
  <c r="G83" i="40"/>
  <c r="I83" i="40"/>
  <c r="H83" i="40"/>
  <c r="F83" i="40"/>
  <c r="D83" i="40"/>
  <c r="C83" i="40" s="1"/>
  <c r="F84" i="40" s="1"/>
  <c r="D72" i="50"/>
  <c r="C72" i="50" s="1"/>
  <c r="F72" i="50" s="1"/>
  <c r="J64" i="50"/>
  <c r="M64" i="50" s="1"/>
  <c r="O64" i="50" s="1"/>
  <c r="B84" i="44"/>
  <c r="L84" i="44" s="1"/>
  <c r="E84" i="44"/>
  <c r="I84" i="44"/>
  <c r="H84" i="44"/>
  <c r="N84" i="44"/>
  <c r="F84" i="44"/>
  <c r="K84" i="44"/>
  <c r="J67" i="2"/>
  <c r="M67" i="2" s="1"/>
  <c r="O67" i="2" s="1"/>
  <c r="H68" i="2"/>
  <c r="I68" i="2"/>
  <c r="E68" i="2"/>
  <c r="D68" i="2" s="1"/>
  <c r="C68" i="2" s="1"/>
  <c r="F69" i="2" s="1"/>
  <c r="B68" i="2"/>
  <c r="N68" i="2"/>
  <c r="K68" i="2"/>
  <c r="G68" i="2"/>
  <c r="J83" i="40" l="1"/>
  <c r="M83" i="40" s="1"/>
  <c r="O83" i="40" s="1"/>
  <c r="B84" i="40"/>
  <c r="L84" i="40" s="1"/>
  <c r="N84" i="40"/>
  <c r="G84" i="40"/>
  <c r="H84" i="40"/>
  <c r="E84" i="40"/>
  <c r="K84" i="40"/>
  <c r="I84" i="40"/>
  <c r="D84" i="40"/>
  <c r="C84" i="40" s="1"/>
  <c r="N85" i="40" s="1"/>
  <c r="B73" i="50"/>
  <c r="L73" i="50" s="1"/>
  <c r="H73" i="50"/>
  <c r="G73" i="50"/>
  <c r="E73" i="50"/>
  <c r="I73" i="50"/>
  <c r="N73" i="50"/>
  <c r="K73" i="50"/>
  <c r="D84" i="44"/>
  <c r="C84" i="44" s="1"/>
  <c r="I85" i="44" s="1"/>
  <c r="J65" i="50"/>
  <c r="M65" i="50" s="1"/>
  <c r="O65" i="50" s="1"/>
  <c r="J84" i="44"/>
  <c r="M84" i="44" s="1"/>
  <c r="O84" i="44" s="1"/>
  <c r="J68" i="2"/>
  <c r="M68" i="2" s="1"/>
  <c r="O68" i="2" s="1"/>
  <c r="G69" i="2"/>
  <c r="N69" i="2"/>
  <c r="I69" i="2"/>
  <c r="B69" i="2"/>
  <c r="H69" i="2"/>
  <c r="K69" i="2"/>
  <c r="E69" i="2"/>
  <c r="D69" i="2" s="1"/>
  <c r="C69" i="2" s="1"/>
  <c r="F70" i="2" s="1"/>
  <c r="J84" i="40" l="1"/>
  <c r="M84" i="40" s="1"/>
  <c r="O84" i="40" s="1"/>
  <c r="H85" i="40"/>
  <c r="E85" i="40"/>
  <c r="B85" i="40"/>
  <c r="L85" i="40" s="1"/>
  <c r="D85" i="40" s="1"/>
  <c r="C85" i="40" s="1"/>
  <c r="F86" i="40" s="1"/>
  <c r="G85" i="40"/>
  <c r="I85" i="40"/>
  <c r="F85" i="40"/>
  <c r="K85" i="40"/>
  <c r="D73" i="50"/>
  <c r="C73" i="50" s="1"/>
  <c r="B74" i="50" s="1"/>
  <c r="L74" i="50" s="1"/>
  <c r="E85" i="44"/>
  <c r="G85" i="44"/>
  <c r="F85" i="44"/>
  <c r="K85" i="44"/>
  <c r="H85" i="44"/>
  <c r="N85" i="44"/>
  <c r="B85" i="44"/>
  <c r="L85" i="44" s="1"/>
  <c r="D85" i="44" s="1"/>
  <c r="C85" i="44" s="1"/>
  <c r="K86" i="44" s="1"/>
  <c r="J69" i="2"/>
  <c r="M69" i="2" s="1"/>
  <c r="O69" i="2" s="1"/>
  <c r="G70" i="2"/>
  <c r="H70" i="2"/>
  <c r="N70" i="2"/>
  <c r="K70" i="2"/>
  <c r="E70" i="2"/>
  <c r="D70" i="2" s="1"/>
  <c r="C70" i="2" s="1"/>
  <c r="F71" i="2" s="1"/>
  <c r="B70" i="2"/>
  <c r="I70" i="2"/>
  <c r="E86" i="40" l="1"/>
  <c r="I86" i="40"/>
  <c r="B86" i="40"/>
  <c r="L86" i="40" s="1"/>
  <c r="J85" i="40"/>
  <c r="M85" i="40" s="1"/>
  <c r="O85" i="40" s="1"/>
  <c r="H86" i="40"/>
  <c r="G86" i="40"/>
  <c r="J86" i="40" s="1"/>
  <c r="K86" i="40"/>
  <c r="N86" i="40"/>
  <c r="K74" i="50"/>
  <c r="G74" i="50"/>
  <c r="N74" i="50"/>
  <c r="I74" i="50"/>
  <c r="H74" i="50"/>
  <c r="F73" i="50"/>
  <c r="E74" i="50"/>
  <c r="D74" i="50" s="1"/>
  <c r="C74" i="50" s="1"/>
  <c r="F74" i="50" s="1"/>
  <c r="J85" i="44"/>
  <c r="M85" i="44" s="1"/>
  <c r="O85" i="44" s="1"/>
  <c r="J66" i="50"/>
  <c r="M66" i="50" s="1"/>
  <c r="O66" i="50" s="1"/>
  <c r="F86" i="44"/>
  <c r="E86" i="44"/>
  <c r="H86" i="44"/>
  <c r="B86" i="44"/>
  <c r="L86" i="44" s="1"/>
  <c r="N86" i="44"/>
  <c r="G86" i="44"/>
  <c r="I86" i="44"/>
  <c r="G71" i="2"/>
  <c r="J70" i="2"/>
  <c r="M70" i="2" s="1"/>
  <c r="O70" i="2" s="1"/>
  <c r="I71" i="2"/>
  <c r="B71" i="2"/>
  <c r="H71" i="2"/>
  <c r="K71" i="2"/>
  <c r="N71" i="2"/>
  <c r="E71" i="2"/>
  <c r="D71" i="2" s="1"/>
  <c r="C71" i="2" s="1"/>
  <c r="F72" i="2" s="1"/>
  <c r="D86" i="40"/>
  <c r="C86" i="40" s="1"/>
  <c r="M86" i="40" l="1"/>
  <c r="O86" i="40" s="1"/>
  <c r="K75" i="50"/>
  <c r="I75" i="50"/>
  <c r="E75" i="50"/>
  <c r="G75" i="50"/>
  <c r="N75" i="50"/>
  <c r="B75" i="50"/>
  <c r="L75" i="50" s="1"/>
  <c r="H75" i="50"/>
  <c r="N87" i="40"/>
  <c r="F87" i="40"/>
  <c r="D86" i="44"/>
  <c r="C86" i="44" s="1"/>
  <c r="N87" i="44" s="1"/>
  <c r="J86" i="44"/>
  <c r="M86" i="44" s="1"/>
  <c r="O86" i="44" s="1"/>
  <c r="J71" i="2"/>
  <c r="M71" i="2" s="1"/>
  <c r="O71" i="2" s="1"/>
  <c r="B72" i="2"/>
  <c r="G72" i="2"/>
  <c r="H72" i="2"/>
  <c r="E72" i="2"/>
  <c r="D72" i="2" s="1"/>
  <c r="C72" i="2" s="1"/>
  <c r="F73" i="2" s="1"/>
  <c r="K72" i="2"/>
  <c r="I72" i="2"/>
  <c r="N72" i="2"/>
  <c r="G87" i="40"/>
  <c r="B87" i="40"/>
  <c r="L87" i="40" s="1"/>
  <c r="I87" i="40"/>
  <c r="E87" i="40"/>
  <c r="H87" i="40"/>
  <c r="K87" i="40"/>
  <c r="D75" i="50" l="1"/>
  <c r="C75" i="50" s="1"/>
  <c r="F75" i="50" s="1"/>
  <c r="J67" i="50"/>
  <c r="M67" i="50" s="1"/>
  <c r="O67" i="50" s="1"/>
  <c r="H87" i="44"/>
  <c r="F87" i="44"/>
  <c r="B87" i="44"/>
  <c r="L87" i="44" s="1"/>
  <c r="G87" i="44"/>
  <c r="I87" i="44"/>
  <c r="K87" i="44"/>
  <c r="E87" i="44"/>
  <c r="E73" i="2"/>
  <c r="D73" i="2" s="1"/>
  <c r="C73" i="2" s="1"/>
  <c r="F74" i="2" s="1"/>
  <c r="K73" i="2"/>
  <c r="I73" i="2"/>
  <c r="N73" i="2"/>
  <c r="B73" i="2"/>
  <c r="J72" i="2"/>
  <c r="M72" i="2" s="1"/>
  <c r="O72" i="2" s="1"/>
  <c r="H73" i="2"/>
  <c r="G73" i="2"/>
  <c r="D87" i="40"/>
  <c r="C87" i="40" s="1"/>
  <c r="J87" i="40"/>
  <c r="M87" i="40" s="1"/>
  <c r="O87" i="40" s="1"/>
  <c r="H76" i="50" l="1"/>
  <c r="K76" i="50"/>
  <c r="I76" i="50"/>
  <c r="G76" i="50"/>
  <c r="B76" i="50"/>
  <c r="L76" i="50" s="1"/>
  <c r="E76" i="50"/>
  <c r="N76" i="50"/>
  <c r="B88" i="40"/>
  <c r="L88" i="40" s="1"/>
  <c r="F88" i="40"/>
  <c r="H74" i="2"/>
  <c r="N74" i="2"/>
  <c r="D87" i="44"/>
  <c r="C87" i="44" s="1"/>
  <c r="N88" i="44" s="1"/>
  <c r="J87" i="44"/>
  <c r="M87" i="44" s="1"/>
  <c r="O87" i="44" s="1"/>
  <c r="E74" i="2"/>
  <c r="D74" i="2" s="1"/>
  <c r="C74" i="2" s="1"/>
  <c r="F75" i="2" s="1"/>
  <c r="I74" i="2"/>
  <c r="G74" i="2"/>
  <c r="K74" i="2"/>
  <c r="B74" i="2"/>
  <c r="J68" i="50"/>
  <c r="M68" i="50" s="1"/>
  <c r="O68" i="50" s="1"/>
  <c r="J73" i="2"/>
  <c r="M73" i="2" s="1"/>
  <c r="O73" i="2" s="1"/>
  <c r="G88" i="40"/>
  <c r="E88" i="40"/>
  <c r="H88" i="40"/>
  <c r="I88" i="40"/>
  <c r="K88" i="40"/>
  <c r="N88" i="40"/>
  <c r="D76" i="50" l="1"/>
  <c r="C76" i="50" s="1"/>
  <c r="F76" i="50" s="1"/>
  <c r="I88" i="44"/>
  <c r="H88" i="44"/>
  <c r="F88" i="44"/>
  <c r="E88" i="44"/>
  <c r="K88" i="44"/>
  <c r="G88" i="44"/>
  <c r="B88" i="44"/>
  <c r="L88" i="44" s="1"/>
  <c r="D88" i="44" s="1"/>
  <c r="C88" i="44" s="1"/>
  <c r="E89" i="44" s="1"/>
  <c r="D88" i="40"/>
  <c r="C88" i="40" s="1"/>
  <c r="F89" i="40" s="1"/>
  <c r="K75" i="2"/>
  <c r="I75" i="2"/>
  <c r="H75" i="2"/>
  <c r="G75" i="2"/>
  <c r="B75" i="2"/>
  <c r="N75" i="2"/>
  <c r="E75" i="2"/>
  <c r="D75" i="2" s="1"/>
  <c r="C75" i="2" s="1"/>
  <c r="F76" i="2" s="1"/>
  <c r="J74" i="2"/>
  <c r="M74" i="2" s="1"/>
  <c r="O74" i="2" s="1"/>
  <c r="J88" i="40"/>
  <c r="M88" i="40" s="1"/>
  <c r="O88" i="40" s="1"/>
  <c r="I77" i="50" l="1"/>
  <c r="K77" i="50"/>
  <c r="B77" i="50"/>
  <c r="L77" i="50" s="1"/>
  <c r="H77" i="50"/>
  <c r="E77" i="50"/>
  <c r="G77" i="50"/>
  <c r="N77" i="50"/>
  <c r="J88" i="44"/>
  <c r="M88" i="44" s="1"/>
  <c r="O88" i="44" s="1"/>
  <c r="I89" i="44"/>
  <c r="N89" i="44"/>
  <c r="B89" i="44"/>
  <c r="L89" i="44" s="1"/>
  <c r="D89" i="44" s="1"/>
  <c r="C89" i="44" s="1"/>
  <c r="K90" i="44" s="1"/>
  <c r="H89" i="44"/>
  <c r="G89" i="44"/>
  <c r="B89" i="40"/>
  <c r="L89" i="40" s="1"/>
  <c r="D89" i="40" s="1"/>
  <c r="C89" i="40" s="1"/>
  <c r="F90" i="40" s="1"/>
  <c r="G89" i="40"/>
  <c r="I89" i="40"/>
  <c r="H89" i="40"/>
  <c r="N89" i="40"/>
  <c r="E89" i="40"/>
  <c r="K89" i="40"/>
  <c r="F89" i="44"/>
  <c r="K89" i="44"/>
  <c r="J75" i="2"/>
  <c r="M75" i="2" s="1"/>
  <c r="O75" i="2" s="1"/>
  <c r="H76" i="2"/>
  <c r="N76" i="2"/>
  <c r="E76" i="2"/>
  <c r="D76" i="2" s="1"/>
  <c r="C76" i="2" s="1"/>
  <c r="F77" i="2" s="1"/>
  <c r="G76" i="2"/>
  <c r="I76" i="2"/>
  <c r="B76" i="2"/>
  <c r="K76" i="2"/>
  <c r="J69" i="50"/>
  <c r="M69" i="50" s="1"/>
  <c r="O69" i="50" s="1"/>
  <c r="D77" i="50" l="1"/>
  <c r="C77" i="50" s="1"/>
  <c r="J89" i="44"/>
  <c r="M89" i="44" s="1"/>
  <c r="O89" i="44" s="1"/>
  <c r="H90" i="44"/>
  <c r="B90" i="44"/>
  <c r="L90" i="44" s="1"/>
  <c r="I90" i="44"/>
  <c r="N90" i="44"/>
  <c r="G90" i="44"/>
  <c r="E90" i="44"/>
  <c r="F90" i="44"/>
  <c r="J89" i="40"/>
  <c r="M89" i="40" s="1"/>
  <c r="O89" i="40" s="1"/>
  <c r="H77" i="2"/>
  <c r="I77" i="2"/>
  <c r="B77" i="2"/>
  <c r="L77" i="2" s="1"/>
  <c r="G77" i="2"/>
  <c r="J76" i="2"/>
  <c r="M76" i="2" s="1"/>
  <c r="O76" i="2" s="1"/>
  <c r="N77" i="2"/>
  <c r="E77" i="2"/>
  <c r="K77" i="2"/>
  <c r="K90" i="40"/>
  <c r="N90" i="40"/>
  <c r="I90" i="40"/>
  <c r="E90" i="40"/>
  <c r="B90" i="40"/>
  <c r="G90" i="40"/>
  <c r="H90" i="40"/>
  <c r="G78" i="50" l="1"/>
  <c r="H78" i="50"/>
  <c r="K78" i="50"/>
  <c r="E78" i="50"/>
  <c r="N78" i="50"/>
  <c r="F77" i="50"/>
  <c r="B78" i="50"/>
  <c r="L78" i="50" s="1"/>
  <c r="I78" i="50"/>
  <c r="D77" i="2"/>
  <c r="C77" i="2" s="1"/>
  <c r="F78" i="2" s="1"/>
  <c r="D90" i="44"/>
  <c r="C90" i="44" s="1"/>
  <c r="N91" i="44" s="1"/>
  <c r="J90" i="44"/>
  <c r="M90" i="44" s="1"/>
  <c r="O90" i="44" s="1"/>
  <c r="J70" i="50"/>
  <c r="M70" i="50" s="1"/>
  <c r="O70" i="50" s="1"/>
  <c r="J77" i="2"/>
  <c r="M77" i="2" s="1"/>
  <c r="O77" i="2" s="1"/>
  <c r="J90" i="40"/>
  <c r="L90" i="40"/>
  <c r="D90" i="40" s="1"/>
  <c r="C90" i="40" s="1"/>
  <c r="F91" i="40" s="1"/>
  <c r="D78" i="50" l="1"/>
  <c r="C78" i="50" s="1"/>
  <c r="K79" i="50" s="1"/>
  <c r="N78" i="2"/>
  <c r="K78" i="2"/>
  <c r="B78" i="2"/>
  <c r="L78" i="2" s="1"/>
  <c r="H78" i="2"/>
  <c r="G78" i="2"/>
  <c r="K91" i="44"/>
  <c r="E78" i="2"/>
  <c r="I78" i="2"/>
  <c r="F91" i="44"/>
  <c r="B91" i="44"/>
  <c r="L91" i="44" s="1"/>
  <c r="H91" i="44"/>
  <c r="I91" i="44"/>
  <c r="E91" i="44"/>
  <c r="G91" i="44"/>
  <c r="K91" i="40"/>
  <c r="N91" i="40"/>
  <c r="M90" i="40"/>
  <c r="O90" i="40" s="1"/>
  <c r="I91" i="40"/>
  <c r="H91" i="40"/>
  <c r="G91" i="40"/>
  <c r="E91" i="40"/>
  <c r="B91" i="40"/>
  <c r="F78" i="50" l="1"/>
  <c r="B79" i="50"/>
  <c r="L79" i="50" s="1"/>
  <c r="H79" i="50"/>
  <c r="E79" i="50"/>
  <c r="N79" i="50"/>
  <c r="I79" i="50"/>
  <c r="G79" i="50"/>
  <c r="D78" i="2"/>
  <c r="C78" i="2" s="1"/>
  <c r="F79" i="2" s="1"/>
  <c r="D91" i="44"/>
  <c r="C91" i="44" s="1"/>
  <c r="G92" i="44" s="1"/>
  <c r="J91" i="44"/>
  <c r="M91" i="44" s="1"/>
  <c r="O91" i="44" s="1"/>
  <c r="J71" i="50"/>
  <c r="M71" i="50" s="1"/>
  <c r="O71" i="50" s="1"/>
  <c r="J78" i="2"/>
  <c r="M78" i="2" s="1"/>
  <c r="O78" i="2" s="1"/>
  <c r="J91" i="40"/>
  <c r="L91" i="40"/>
  <c r="D91" i="40" s="1"/>
  <c r="C91" i="40" s="1"/>
  <c r="F92" i="40" s="1"/>
  <c r="D79" i="50" l="1"/>
  <c r="C79" i="50" s="1"/>
  <c r="K80" i="50" s="1"/>
  <c r="I80" i="50"/>
  <c r="N80" i="50"/>
  <c r="G80" i="50"/>
  <c r="N79" i="2"/>
  <c r="H79" i="2"/>
  <c r="G79" i="2"/>
  <c r="I79" i="2"/>
  <c r="K79" i="2"/>
  <c r="B79" i="2"/>
  <c r="L79" i="2" s="1"/>
  <c r="E79" i="2"/>
  <c r="I92" i="44"/>
  <c r="B92" i="44"/>
  <c r="L92" i="44" s="1"/>
  <c r="F92" i="44"/>
  <c r="K92" i="44"/>
  <c r="H92" i="44"/>
  <c r="N92" i="44"/>
  <c r="E92" i="44"/>
  <c r="D92" i="44"/>
  <c r="C92" i="44" s="1"/>
  <c r="K93" i="44" s="1"/>
  <c r="K92" i="40"/>
  <c r="N92" i="40"/>
  <c r="G92" i="40"/>
  <c r="H92" i="40"/>
  <c r="E92" i="40"/>
  <c r="B92" i="40"/>
  <c r="I92" i="40"/>
  <c r="M91" i="40"/>
  <c r="O91" i="40" s="1"/>
  <c r="E80" i="50" l="1"/>
  <c r="F79" i="50"/>
  <c r="B80" i="50"/>
  <c r="L80" i="50" s="1"/>
  <c r="H80" i="50"/>
  <c r="D80" i="50"/>
  <c r="C80" i="50" s="1"/>
  <c r="D79" i="2"/>
  <c r="C79" i="2" s="1"/>
  <c r="F80" i="2" s="1"/>
  <c r="J92" i="44"/>
  <c r="M92" i="44" s="1"/>
  <c r="O92" i="44" s="1"/>
  <c r="F93" i="44"/>
  <c r="I93" i="44"/>
  <c r="E93" i="44"/>
  <c r="B93" i="44"/>
  <c r="L93" i="44" s="1"/>
  <c r="D93" i="44" s="1"/>
  <c r="C93" i="44" s="1"/>
  <c r="K94" i="44" s="1"/>
  <c r="H93" i="44"/>
  <c r="G93" i="44"/>
  <c r="N93" i="44"/>
  <c r="J72" i="50"/>
  <c r="M72" i="50" s="1"/>
  <c r="O72" i="50" s="1"/>
  <c r="J79" i="2"/>
  <c r="M79" i="2" s="1"/>
  <c r="O79" i="2" s="1"/>
  <c r="L92" i="40"/>
  <c r="D92" i="40" s="1"/>
  <c r="C92" i="40" s="1"/>
  <c r="F93" i="40" s="1"/>
  <c r="J92" i="40"/>
  <c r="N81" i="50" l="1"/>
  <c r="F80" i="50"/>
  <c r="G81" i="50"/>
  <c r="B81" i="50"/>
  <c r="L81" i="50" s="1"/>
  <c r="I81" i="50"/>
  <c r="H81" i="50"/>
  <c r="K81" i="50"/>
  <c r="E81" i="50"/>
  <c r="G80" i="2"/>
  <c r="I80" i="2"/>
  <c r="K80" i="2"/>
  <c r="H80" i="2"/>
  <c r="E80" i="2"/>
  <c r="N80" i="2"/>
  <c r="B80" i="2"/>
  <c r="L80" i="2" s="1"/>
  <c r="D80" i="2" s="1"/>
  <c r="C80" i="2" s="1"/>
  <c r="F81" i="2" s="1"/>
  <c r="J93" i="44"/>
  <c r="M93" i="44" s="1"/>
  <c r="O93" i="44" s="1"/>
  <c r="B94" i="44"/>
  <c r="L94" i="44" s="1"/>
  <c r="D94" i="44" s="1"/>
  <c r="C94" i="44" s="1"/>
  <c r="B95" i="44" s="1"/>
  <c r="L95" i="44" s="1"/>
  <c r="I94" i="44"/>
  <c r="E94" i="44"/>
  <c r="F94" i="44"/>
  <c r="N94" i="44"/>
  <c r="G94" i="44"/>
  <c r="H94" i="44"/>
  <c r="J73" i="50"/>
  <c r="M73" i="50" s="1"/>
  <c r="O73" i="50" s="1"/>
  <c r="K93" i="40"/>
  <c r="N93" i="40"/>
  <c r="M92" i="40"/>
  <c r="O92" i="40" s="1"/>
  <c r="E93" i="40"/>
  <c r="B93" i="40"/>
  <c r="H93" i="40"/>
  <c r="I93" i="40"/>
  <c r="G93" i="40"/>
  <c r="D81" i="50" l="1"/>
  <c r="C81" i="50" s="1"/>
  <c r="J94" i="44"/>
  <c r="M94" i="44" s="1"/>
  <c r="O94" i="44" s="1"/>
  <c r="F95" i="44"/>
  <c r="K95" i="44"/>
  <c r="E95" i="44"/>
  <c r="D95" i="44" s="1"/>
  <c r="C95" i="44" s="1"/>
  <c r="H95" i="44"/>
  <c r="I95" i="44"/>
  <c r="G95" i="44"/>
  <c r="N95" i="44"/>
  <c r="K81" i="2"/>
  <c r="J80" i="2"/>
  <c r="M80" i="2" s="1"/>
  <c r="O80" i="2" s="1"/>
  <c r="N81" i="2"/>
  <c r="L93" i="40"/>
  <c r="D93" i="40" s="1"/>
  <c r="C93" i="40" s="1"/>
  <c r="F94" i="40" s="1"/>
  <c r="J93" i="40"/>
  <c r="E81" i="2"/>
  <c r="H81" i="2"/>
  <c r="G81" i="2"/>
  <c r="B81" i="2"/>
  <c r="L81" i="2" s="1"/>
  <c r="I81" i="2"/>
  <c r="I82" i="50" l="1"/>
  <c r="F82" i="50"/>
  <c r="E82" i="50"/>
  <c r="H82" i="50"/>
  <c r="G82" i="50"/>
  <c r="N82" i="50"/>
  <c r="B82" i="50"/>
  <c r="L82" i="50" s="1"/>
  <c r="D82" i="50" s="1"/>
  <c r="C82" i="50" s="1"/>
  <c r="F81" i="50"/>
  <c r="K82" i="50"/>
  <c r="J95" i="44"/>
  <c r="M95" i="44" s="1"/>
  <c r="O95" i="44" s="1"/>
  <c r="H96" i="44"/>
  <c r="K96" i="44"/>
  <c r="E96" i="44"/>
  <c r="F96" i="44"/>
  <c r="N96" i="44"/>
  <c r="G96" i="44"/>
  <c r="I96" i="44"/>
  <c r="B96" i="44"/>
  <c r="L96" i="44" s="1"/>
  <c r="J74" i="50"/>
  <c r="M74" i="50" s="1"/>
  <c r="O74" i="50" s="1"/>
  <c r="N94" i="40"/>
  <c r="K94" i="40"/>
  <c r="M93" i="40"/>
  <c r="O93" i="40" s="1"/>
  <c r="H94" i="40"/>
  <c r="E94" i="40"/>
  <c r="B94" i="40"/>
  <c r="L94" i="40" s="1"/>
  <c r="G94" i="40"/>
  <c r="I94" i="40"/>
  <c r="D81" i="2"/>
  <c r="C81" i="2" s="1"/>
  <c r="F82" i="2" s="1"/>
  <c r="H83" i="50" l="1"/>
  <c r="B83" i="50"/>
  <c r="L83" i="50" s="1"/>
  <c r="D83" i="50" s="1"/>
  <c r="E83" i="50"/>
  <c r="G83" i="50"/>
  <c r="I83" i="50"/>
  <c r="N83" i="50"/>
  <c r="F83" i="50"/>
  <c r="K83" i="50"/>
  <c r="J96" i="44"/>
  <c r="M96" i="44" s="1"/>
  <c r="O96" i="44" s="1"/>
  <c r="K82" i="2"/>
  <c r="J81" i="2"/>
  <c r="M81" i="2" s="1"/>
  <c r="O81" i="2" s="1"/>
  <c r="N82" i="2"/>
  <c r="D94" i="40"/>
  <c r="C94" i="40" s="1"/>
  <c r="F95" i="40" s="1"/>
  <c r="D96" i="44"/>
  <c r="C96" i="44" s="1"/>
  <c r="J94" i="40"/>
  <c r="M94" i="40" s="1"/>
  <c r="O94" i="40" s="1"/>
  <c r="G82" i="2"/>
  <c r="B82" i="2"/>
  <c r="L82" i="2" s="1"/>
  <c r="I82" i="2"/>
  <c r="E82" i="2"/>
  <c r="H82" i="2"/>
  <c r="C83" i="50" l="1"/>
  <c r="C84" i="50"/>
  <c r="J75" i="50"/>
  <c r="M75" i="50" s="1"/>
  <c r="O75" i="50" s="1"/>
  <c r="K97" i="44"/>
  <c r="F97" i="44"/>
  <c r="K95" i="40"/>
  <c r="G95" i="40"/>
  <c r="B95" i="40"/>
  <c r="L95" i="40" s="1"/>
  <c r="D95" i="40" s="1"/>
  <c r="C95" i="40" s="1"/>
  <c r="F96" i="40" s="1"/>
  <c r="I95" i="40"/>
  <c r="E95" i="40"/>
  <c r="H95" i="40"/>
  <c r="N95" i="40"/>
  <c r="H97" i="44"/>
  <c r="I97" i="44"/>
  <c r="G97" i="44"/>
  <c r="E97" i="44"/>
  <c r="N97" i="44"/>
  <c r="B97" i="44"/>
  <c r="D82" i="2"/>
  <c r="C82" i="2" s="1"/>
  <c r="E84" i="50" l="1"/>
  <c r="G84" i="50"/>
  <c r="B84" i="50"/>
  <c r="L84" i="50" s="1"/>
  <c r="D84" i="50" s="1"/>
  <c r="N84" i="50"/>
  <c r="H84" i="50"/>
  <c r="F84" i="50"/>
  <c r="K84" i="50"/>
  <c r="I84" i="50"/>
  <c r="B85" i="50"/>
  <c r="L85" i="50" s="1"/>
  <c r="F85" i="50"/>
  <c r="I85" i="50"/>
  <c r="E85" i="50"/>
  <c r="K85" i="50"/>
  <c r="G85" i="50"/>
  <c r="N85" i="50"/>
  <c r="H85" i="50"/>
  <c r="D85" i="50"/>
  <c r="J76" i="50"/>
  <c r="M76" i="50" s="1"/>
  <c r="O76" i="50" s="1"/>
  <c r="J82" i="2"/>
  <c r="M82" i="2" s="1"/>
  <c r="O82" i="2" s="1"/>
  <c r="F83" i="2"/>
  <c r="K83" i="2"/>
  <c r="J95" i="40"/>
  <c r="M95" i="40" s="1"/>
  <c r="O95" i="40" s="1"/>
  <c r="J97" i="44"/>
  <c r="L97" i="44"/>
  <c r="N96" i="40"/>
  <c r="K96" i="40"/>
  <c r="I96" i="40"/>
  <c r="G96" i="40"/>
  <c r="E96" i="40"/>
  <c r="B96" i="40"/>
  <c r="H96" i="40"/>
  <c r="E83" i="2"/>
  <c r="N83" i="2"/>
  <c r="I83" i="2"/>
  <c r="H83" i="2"/>
  <c r="G83" i="2"/>
  <c r="B83" i="2"/>
  <c r="L83" i="2" s="1"/>
  <c r="C85" i="50" l="1"/>
  <c r="G86" i="50" s="1"/>
  <c r="C86" i="50"/>
  <c r="K87" i="50" s="1"/>
  <c r="D83" i="2"/>
  <c r="C83" i="2" s="1"/>
  <c r="F84" i="2" s="1"/>
  <c r="M97" i="44"/>
  <c r="O97" i="44" s="1"/>
  <c r="D97" i="44"/>
  <c r="C97" i="44" s="1"/>
  <c r="L96" i="40"/>
  <c r="D96" i="40" s="1"/>
  <c r="C96" i="40" s="1"/>
  <c r="F97" i="40" s="1"/>
  <c r="J96" i="40"/>
  <c r="H86" i="50" l="1"/>
  <c r="B86" i="50"/>
  <c r="L86" i="50" s="1"/>
  <c r="D86" i="50" s="1"/>
  <c r="C87" i="50" s="1"/>
  <c r="N86" i="50"/>
  <c r="I86" i="50"/>
  <c r="F86" i="50"/>
  <c r="E86" i="50"/>
  <c r="K86" i="50"/>
  <c r="B87" i="50"/>
  <c r="L87" i="50" s="1"/>
  <c r="D87" i="50" s="1"/>
  <c r="N87" i="50"/>
  <c r="I87" i="50"/>
  <c r="E87" i="50"/>
  <c r="G87" i="50"/>
  <c r="H87" i="50"/>
  <c r="F87" i="50"/>
  <c r="J77" i="50"/>
  <c r="M77" i="50" s="1"/>
  <c r="O77" i="50" s="1"/>
  <c r="K98" i="44"/>
  <c r="F98" i="44"/>
  <c r="K84" i="2"/>
  <c r="J83" i="2"/>
  <c r="M83" i="2" s="1"/>
  <c r="O83" i="2" s="1"/>
  <c r="N84" i="2"/>
  <c r="I84" i="2"/>
  <c r="E84" i="2"/>
  <c r="G84" i="2"/>
  <c r="G98" i="44"/>
  <c r="I98" i="44"/>
  <c r="H98" i="44"/>
  <c r="E98" i="44"/>
  <c r="B84" i="2"/>
  <c r="L84" i="2" s="1"/>
  <c r="H84" i="2"/>
  <c r="N98" i="44"/>
  <c r="B98" i="44"/>
  <c r="K97" i="40"/>
  <c r="N97" i="40"/>
  <c r="H97" i="40"/>
  <c r="I97" i="40"/>
  <c r="G97" i="40"/>
  <c r="E97" i="40"/>
  <c r="B97" i="40"/>
  <c r="M96" i="40"/>
  <c r="O96" i="40" s="1"/>
  <c r="F88" i="50" l="1"/>
  <c r="K88" i="50"/>
  <c r="E88" i="50"/>
  <c r="N88" i="50"/>
  <c r="H88" i="50"/>
  <c r="G88" i="50"/>
  <c r="I88" i="50"/>
  <c r="B88" i="50"/>
  <c r="L88" i="50" s="1"/>
  <c r="D88" i="50" s="1"/>
  <c r="D84" i="2"/>
  <c r="C84" i="2" s="1"/>
  <c r="J98" i="44"/>
  <c r="L98" i="44"/>
  <c r="D98" i="44" s="1"/>
  <c r="C98" i="44" s="1"/>
  <c r="L97" i="40"/>
  <c r="D97" i="40" s="1"/>
  <c r="C97" i="40" s="1"/>
  <c r="F98" i="40" s="1"/>
  <c r="J97" i="40"/>
  <c r="C88" i="50" l="1"/>
  <c r="J78" i="50"/>
  <c r="M78" i="50" s="1"/>
  <c r="O78" i="50" s="1"/>
  <c r="N85" i="2"/>
  <c r="F85" i="2"/>
  <c r="H85" i="2"/>
  <c r="K99" i="44"/>
  <c r="F99" i="44"/>
  <c r="E85" i="2"/>
  <c r="B85" i="2"/>
  <c r="L85" i="2" s="1"/>
  <c r="I85" i="2"/>
  <c r="K85" i="2"/>
  <c r="J84" i="2"/>
  <c r="M84" i="2" s="1"/>
  <c r="O84" i="2" s="1"/>
  <c r="G85" i="2"/>
  <c r="H99" i="44"/>
  <c r="I99" i="44"/>
  <c r="G99" i="44"/>
  <c r="E99" i="44"/>
  <c r="N99" i="44"/>
  <c r="B99" i="44"/>
  <c r="M98" i="44"/>
  <c r="O98" i="44" s="1"/>
  <c r="K98" i="40"/>
  <c r="N98" i="40"/>
  <c r="M97" i="40"/>
  <c r="O97" i="40" s="1"/>
  <c r="G98" i="40"/>
  <c r="I98" i="40"/>
  <c r="E98" i="40"/>
  <c r="B98" i="40"/>
  <c r="H98" i="40"/>
  <c r="D85" i="2" l="1"/>
  <c r="C85" i="2" s="1"/>
  <c r="F86" i="2" s="1"/>
  <c r="K89" i="50"/>
  <c r="E89" i="50"/>
  <c r="F89" i="50"/>
  <c r="N89" i="50"/>
  <c r="G89" i="50"/>
  <c r="I89" i="50"/>
  <c r="H89" i="50"/>
  <c r="B89" i="50"/>
  <c r="L89" i="50" s="1"/>
  <c r="D89" i="50" s="1"/>
  <c r="J79" i="50"/>
  <c r="M79" i="50" s="1"/>
  <c r="O79" i="50" s="1"/>
  <c r="J85" i="2"/>
  <c r="M85" i="2" s="1"/>
  <c r="O85" i="2" s="1"/>
  <c r="J99" i="44"/>
  <c r="L99" i="44"/>
  <c r="J98" i="40"/>
  <c r="L98" i="40"/>
  <c r="I86" i="2" l="1"/>
  <c r="H86" i="2"/>
  <c r="E86" i="2"/>
  <c r="B86" i="2"/>
  <c r="L86" i="2" s="1"/>
  <c r="G86" i="2"/>
  <c r="K86" i="2"/>
  <c r="N86" i="2"/>
  <c r="C89" i="50"/>
  <c r="J80" i="50"/>
  <c r="M80" i="50" s="1"/>
  <c r="O80" i="50" s="1"/>
  <c r="M99" i="44"/>
  <c r="O99" i="44" s="1"/>
  <c r="D99" i="44"/>
  <c r="C99" i="44" s="1"/>
  <c r="M98" i="40"/>
  <c r="O98" i="40" s="1"/>
  <c r="D98" i="40"/>
  <c r="C98" i="40" s="1"/>
  <c r="F99" i="40" s="1"/>
  <c r="D86" i="2" l="1"/>
  <c r="C86" i="2" s="1"/>
  <c r="F87" i="2" s="1"/>
  <c r="F90" i="50"/>
  <c r="K90" i="50"/>
  <c r="E90" i="50"/>
  <c r="G90" i="50"/>
  <c r="I90" i="50"/>
  <c r="B90" i="50"/>
  <c r="L90" i="50" s="1"/>
  <c r="D90" i="50" s="1"/>
  <c r="H90" i="50"/>
  <c r="N90" i="50"/>
  <c r="K100" i="44"/>
  <c r="F100" i="44"/>
  <c r="J86" i="2"/>
  <c r="M86" i="2" s="1"/>
  <c r="O86" i="2" s="1"/>
  <c r="G100" i="44"/>
  <c r="I100" i="44"/>
  <c r="H100" i="44"/>
  <c r="E100" i="44"/>
  <c r="N100" i="44"/>
  <c r="B100" i="44"/>
  <c r="K99" i="40"/>
  <c r="N99" i="40"/>
  <c r="B99" i="40"/>
  <c r="L99" i="40" s="1"/>
  <c r="E99" i="40"/>
  <c r="G99" i="40"/>
  <c r="H99" i="40"/>
  <c r="I99" i="40"/>
  <c r="H87" i="2" l="1"/>
  <c r="I87" i="2"/>
  <c r="G87" i="2"/>
  <c r="N87" i="2"/>
  <c r="E87" i="2"/>
  <c r="B87" i="2"/>
  <c r="L87" i="2" s="1"/>
  <c r="D87" i="2" s="1"/>
  <c r="C87" i="2" s="1"/>
  <c r="F88" i="2" s="1"/>
  <c r="K87" i="2"/>
  <c r="C90" i="50"/>
  <c r="J81" i="50"/>
  <c r="M81" i="50" s="1"/>
  <c r="O81" i="50" s="1"/>
  <c r="J100" i="44"/>
  <c r="L100" i="44"/>
  <c r="D99" i="40"/>
  <c r="C99" i="40" s="1"/>
  <c r="J99" i="40"/>
  <c r="M99" i="40" s="1"/>
  <c r="O99" i="40" s="1"/>
  <c r="E100" i="40" l="1"/>
  <c r="F100" i="40"/>
  <c r="F91" i="50"/>
  <c r="K91" i="50"/>
  <c r="E91" i="50"/>
  <c r="H91" i="50"/>
  <c r="I91" i="50"/>
  <c r="G91" i="50"/>
  <c r="N91" i="50"/>
  <c r="B91" i="50"/>
  <c r="L91" i="50" s="1"/>
  <c r="J82" i="50"/>
  <c r="M82" i="50" s="1"/>
  <c r="O82" i="50" s="1"/>
  <c r="K88" i="2"/>
  <c r="J87" i="2"/>
  <c r="M87" i="2" s="1"/>
  <c r="O87" i="2" s="1"/>
  <c r="N88" i="2"/>
  <c r="B100" i="40"/>
  <c r="L100" i="40" s="1"/>
  <c r="D100" i="40" s="1"/>
  <c r="C100" i="40" s="1"/>
  <c r="F101" i="40" s="1"/>
  <c r="I100" i="40"/>
  <c r="G100" i="40"/>
  <c r="H100" i="40"/>
  <c r="M100" i="44"/>
  <c r="O100" i="44" s="1"/>
  <c r="D100" i="44"/>
  <c r="C100" i="44" s="1"/>
  <c r="K100" i="40"/>
  <c r="N100" i="40"/>
  <c r="G88" i="2"/>
  <c r="H88" i="2"/>
  <c r="I88" i="2"/>
  <c r="E88" i="2"/>
  <c r="B88" i="2"/>
  <c r="L88" i="2" s="1"/>
  <c r="D91" i="50" l="1"/>
  <c r="C91" i="50" s="1"/>
  <c r="J83" i="50"/>
  <c r="M83" i="50" s="1"/>
  <c r="O83" i="50" s="1"/>
  <c r="K101" i="44"/>
  <c r="F101" i="44"/>
  <c r="H101" i="44"/>
  <c r="I101" i="44"/>
  <c r="G101" i="44"/>
  <c r="E101" i="44"/>
  <c r="J100" i="40"/>
  <c r="M100" i="40" s="1"/>
  <c r="O100" i="40" s="1"/>
  <c r="N101" i="44"/>
  <c r="B101" i="44"/>
  <c r="N101" i="40"/>
  <c r="K101" i="40"/>
  <c r="I101" i="40"/>
  <c r="H101" i="40"/>
  <c r="B101" i="40"/>
  <c r="L101" i="40" s="1"/>
  <c r="G101" i="40"/>
  <c r="E101" i="40"/>
  <c r="D88" i="2"/>
  <c r="C88" i="2" s="1"/>
  <c r="E92" i="50" l="1"/>
  <c r="K92" i="50"/>
  <c r="F92" i="50"/>
  <c r="B92" i="50"/>
  <c r="L92" i="50" s="1"/>
  <c r="D92" i="50" s="1"/>
  <c r="H92" i="50"/>
  <c r="G92" i="50"/>
  <c r="I92" i="50"/>
  <c r="N92" i="50"/>
  <c r="J88" i="2"/>
  <c r="M88" i="2" s="1"/>
  <c r="O88" i="2" s="1"/>
  <c r="F89" i="2"/>
  <c r="K89" i="2"/>
  <c r="D101" i="40"/>
  <c r="C101" i="40" s="1"/>
  <c r="F102" i="40" s="1"/>
  <c r="J101" i="44"/>
  <c r="L101" i="44"/>
  <c r="D101" i="44" s="1"/>
  <c r="C101" i="44" s="1"/>
  <c r="J101" i="40"/>
  <c r="M101" i="40" s="1"/>
  <c r="O101" i="40" s="1"/>
  <c r="H89" i="2"/>
  <c r="N89" i="2"/>
  <c r="I89" i="2"/>
  <c r="E89" i="2"/>
  <c r="G89" i="2"/>
  <c r="B89" i="2"/>
  <c r="L89" i="2" s="1"/>
  <c r="C92" i="50" l="1"/>
  <c r="J84" i="50"/>
  <c r="M84" i="50" s="1"/>
  <c r="O84" i="50" s="1"/>
  <c r="K102" i="44"/>
  <c r="F102" i="44"/>
  <c r="K102" i="40"/>
  <c r="G102" i="40"/>
  <c r="B102" i="40"/>
  <c r="L102" i="40" s="1"/>
  <c r="N102" i="40"/>
  <c r="H102" i="40"/>
  <c r="I102" i="40"/>
  <c r="E102" i="40"/>
  <c r="G102" i="44"/>
  <c r="I102" i="44"/>
  <c r="H102" i="44"/>
  <c r="E102" i="44"/>
  <c r="N102" i="44"/>
  <c r="B102" i="44"/>
  <c r="M101" i="44"/>
  <c r="O101" i="44" s="1"/>
  <c r="D89" i="2"/>
  <c r="C89" i="2" s="1"/>
  <c r="F90" i="2" s="1"/>
  <c r="E93" i="50" l="1"/>
  <c r="K93" i="50"/>
  <c r="F93" i="50"/>
  <c r="H93" i="50"/>
  <c r="G93" i="50"/>
  <c r="B93" i="50"/>
  <c r="L93" i="50" s="1"/>
  <c r="D93" i="50" s="1"/>
  <c r="I93" i="50"/>
  <c r="N93" i="50"/>
  <c r="J85" i="50"/>
  <c r="M85" i="50" s="1"/>
  <c r="O85" i="50" s="1"/>
  <c r="K90" i="2"/>
  <c r="J89" i="2"/>
  <c r="M89" i="2" s="1"/>
  <c r="O89" i="2" s="1"/>
  <c r="H90" i="2"/>
  <c r="D102" i="40"/>
  <c r="C102" i="40" s="1"/>
  <c r="G103" i="40" s="1"/>
  <c r="J102" i="40"/>
  <c r="M102" i="40" s="1"/>
  <c r="O102" i="40" s="1"/>
  <c r="N90" i="2"/>
  <c r="B90" i="2"/>
  <c r="L90" i="2" s="1"/>
  <c r="E90" i="2"/>
  <c r="G90" i="2"/>
  <c r="I90" i="2"/>
  <c r="J102" i="44"/>
  <c r="L102" i="44"/>
  <c r="N103" i="40" l="1"/>
  <c r="F103" i="40"/>
  <c r="C93" i="50"/>
  <c r="B103" i="40"/>
  <c r="L103" i="40" s="1"/>
  <c r="H103" i="40"/>
  <c r="E103" i="40"/>
  <c r="I103" i="40"/>
  <c r="K103" i="40"/>
  <c r="D90" i="2"/>
  <c r="C90" i="2" s="1"/>
  <c r="F91" i="2" s="1"/>
  <c r="M102" i="44"/>
  <c r="O102" i="44" s="1"/>
  <c r="D102" i="44"/>
  <c r="C102" i="44" s="1"/>
  <c r="D103" i="40" l="1"/>
  <c r="C103" i="40" s="1"/>
  <c r="K104" i="40" s="1"/>
  <c r="K94" i="50"/>
  <c r="F94" i="50"/>
  <c r="E94" i="50"/>
  <c r="N94" i="50"/>
  <c r="G94" i="50"/>
  <c r="H94" i="50"/>
  <c r="B94" i="50"/>
  <c r="L94" i="50" s="1"/>
  <c r="D94" i="50" s="1"/>
  <c r="I94" i="50"/>
  <c r="K103" i="44"/>
  <c r="F103" i="44"/>
  <c r="K91" i="2"/>
  <c r="J90" i="2"/>
  <c r="M90" i="2" s="1"/>
  <c r="O90" i="2" s="1"/>
  <c r="N91" i="2"/>
  <c r="J103" i="40"/>
  <c r="M103" i="40" s="1"/>
  <c r="O103" i="40" s="1"/>
  <c r="B91" i="2"/>
  <c r="L91" i="2" s="1"/>
  <c r="I91" i="2"/>
  <c r="E91" i="2"/>
  <c r="H91" i="2"/>
  <c r="G91" i="2"/>
  <c r="H103" i="44"/>
  <c r="I103" i="44"/>
  <c r="G103" i="44"/>
  <c r="E103" i="44"/>
  <c r="N103" i="44"/>
  <c r="B103" i="44"/>
  <c r="G104" i="40" l="1"/>
  <c r="H104" i="40"/>
  <c r="N104" i="40"/>
  <c r="F104" i="40"/>
  <c r="E104" i="40"/>
  <c r="B104" i="40"/>
  <c r="L104" i="40" s="1"/>
  <c r="I104" i="40"/>
  <c r="C94" i="50"/>
  <c r="J86" i="50"/>
  <c r="M86" i="50" s="1"/>
  <c r="O86" i="50" s="1"/>
  <c r="D91" i="2"/>
  <c r="C91" i="2" s="1"/>
  <c r="F92" i="2" s="1"/>
  <c r="J103" i="44"/>
  <c r="L103" i="44"/>
  <c r="J104" i="40" l="1"/>
  <c r="M104" i="40" s="1"/>
  <c r="O104" i="40" s="1"/>
  <c r="E95" i="50"/>
  <c r="F95" i="50"/>
  <c r="K95" i="50"/>
  <c r="N95" i="50"/>
  <c r="H95" i="50"/>
  <c r="B95" i="50"/>
  <c r="L95" i="50" s="1"/>
  <c r="D95" i="50" s="1"/>
  <c r="I95" i="50"/>
  <c r="G95" i="50"/>
  <c r="K92" i="2"/>
  <c r="J91" i="2"/>
  <c r="M91" i="2" s="1"/>
  <c r="O91" i="2" s="1"/>
  <c r="N92" i="2"/>
  <c r="I92" i="2"/>
  <c r="E92" i="2"/>
  <c r="H92" i="2"/>
  <c r="G92" i="2"/>
  <c r="B92" i="2"/>
  <c r="L92" i="2" s="1"/>
  <c r="M103" i="44"/>
  <c r="O103" i="44" s="1"/>
  <c r="D103" i="44"/>
  <c r="C103" i="44" s="1"/>
  <c r="D104" i="40"/>
  <c r="C104" i="40" s="1"/>
  <c r="F105" i="40" s="1"/>
  <c r="C95" i="50" l="1"/>
  <c r="J87" i="50"/>
  <c r="M87" i="50" s="1"/>
  <c r="O87" i="50" s="1"/>
  <c r="K104" i="44"/>
  <c r="F104" i="44"/>
  <c r="D92" i="2"/>
  <c r="C92" i="2" s="1"/>
  <c r="F93" i="2" s="1"/>
  <c r="G104" i="44"/>
  <c r="I104" i="44"/>
  <c r="H104" i="44"/>
  <c r="E104" i="44"/>
  <c r="B104" i="44"/>
  <c r="L104" i="44" s="1"/>
  <c r="N104" i="44"/>
  <c r="K105" i="40"/>
  <c r="N105" i="40"/>
  <c r="G105" i="40"/>
  <c r="H105" i="40"/>
  <c r="I105" i="40"/>
  <c r="E105" i="40"/>
  <c r="B105" i="40"/>
  <c r="K96" i="50" l="1"/>
  <c r="F96" i="50"/>
  <c r="E96" i="50"/>
  <c r="I96" i="50"/>
  <c r="B96" i="50"/>
  <c r="L96" i="50" s="1"/>
  <c r="D96" i="50" s="1"/>
  <c r="G96" i="50"/>
  <c r="H96" i="50"/>
  <c r="N96" i="50"/>
  <c r="K93" i="2"/>
  <c r="J92" i="2"/>
  <c r="M92" i="2" s="1"/>
  <c r="O92" i="2" s="1"/>
  <c r="I93" i="2"/>
  <c r="E93" i="2"/>
  <c r="H93" i="2"/>
  <c r="B93" i="2"/>
  <c r="L93" i="2" s="1"/>
  <c r="G93" i="2"/>
  <c r="N93" i="2"/>
  <c r="J104" i="44"/>
  <c r="M104" i="44" s="1"/>
  <c r="O104" i="44" s="1"/>
  <c r="D104" i="44"/>
  <c r="C104" i="44" s="1"/>
  <c r="J105" i="40"/>
  <c r="L105" i="40"/>
  <c r="D105" i="40" s="1"/>
  <c r="C105" i="40" s="1"/>
  <c r="F106" i="40" s="1"/>
  <c r="C96" i="50" l="1"/>
  <c r="J88" i="50"/>
  <c r="M88" i="50" s="1"/>
  <c r="O88" i="50" s="1"/>
  <c r="K105" i="44"/>
  <c r="F105" i="44"/>
  <c r="D93" i="2"/>
  <c r="C93" i="2" s="1"/>
  <c r="F94" i="2" s="1"/>
  <c r="H105" i="44"/>
  <c r="I105" i="44"/>
  <c r="G105" i="44"/>
  <c r="E105" i="44"/>
  <c r="B105" i="44"/>
  <c r="L105" i="44" s="1"/>
  <c r="N105" i="44"/>
  <c r="K106" i="40"/>
  <c r="N106" i="40"/>
  <c r="M105" i="40"/>
  <c r="O105" i="40" s="1"/>
  <c r="G106" i="40"/>
  <c r="E106" i="40"/>
  <c r="B106" i="40"/>
  <c r="I106" i="40"/>
  <c r="H106" i="40"/>
  <c r="F97" i="50" l="1"/>
  <c r="K97" i="50"/>
  <c r="E97" i="50"/>
  <c r="I97" i="50"/>
  <c r="N97" i="50"/>
  <c r="G97" i="50"/>
  <c r="B97" i="50"/>
  <c r="L97" i="50" s="1"/>
  <c r="D97" i="50" s="1"/>
  <c r="H97" i="50"/>
  <c r="K94" i="2"/>
  <c r="J93" i="2"/>
  <c r="M93" i="2" s="1"/>
  <c r="O93" i="2" s="1"/>
  <c r="D105" i="44"/>
  <c r="C105" i="44" s="1"/>
  <c r="H94" i="2"/>
  <c r="B94" i="2"/>
  <c r="L94" i="2" s="1"/>
  <c r="N94" i="2"/>
  <c r="E94" i="2"/>
  <c r="G94" i="2"/>
  <c r="I94" i="2"/>
  <c r="J105" i="44"/>
  <c r="M105" i="44" s="1"/>
  <c r="O105" i="44" s="1"/>
  <c r="L106" i="40"/>
  <c r="D106" i="40" s="1"/>
  <c r="C106" i="40" s="1"/>
  <c r="F107" i="40" s="1"/>
  <c r="J106" i="40"/>
  <c r="C97" i="50" l="1"/>
  <c r="I106" i="44"/>
  <c r="K106" i="44"/>
  <c r="F106" i="44"/>
  <c r="G106" i="44"/>
  <c r="B106" i="44"/>
  <c r="L106" i="44" s="1"/>
  <c r="H106" i="44"/>
  <c r="N106" i="44"/>
  <c r="E106" i="44"/>
  <c r="D94" i="2"/>
  <c r="C94" i="2" s="1"/>
  <c r="F95" i="2" s="1"/>
  <c r="K107" i="40"/>
  <c r="N107" i="40"/>
  <c r="G107" i="40"/>
  <c r="I107" i="40"/>
  <c r="H107" i="40"/>
  <c r="E107" i="40"/>
  <c r="B107" i="40"/>
  <c r="M106" i="40"/>
  <c r="O106" i="40" s="1"/>
  <c r="F98" i="50" l="1"/>
  <c r="K98" i="50"/>
  <c r="E98" i="50"/>
  <c r="B98" i="50"/>
  <c r="L98" i="50" s="1"/>
  <c r="D98" i="50" s="1"/>
  <c r="N98" i="50"/>
  <c r="G98" i="50"/>
  <c r="I98" i="50"/>
  <c r="H98" i="50"/>
  <c r="J89" i="50"/>
  <c r="M89" i="50" s="1"/>
  <c r="O89" i="50" s="1"/>
  <c r="J106" i="44"/>
  <c r="M106" i="44" s="1"/>
  <c r="O106" i="44" s="1"/>
  <c r="K95" i="2"/>
  <c r="J94" i="2"/>
  <c r="M94" i="2" s="1"/>
  <c r="O94" i="2" s="1"/>
  <c r="N95" i="2"/>
  <c r="G95" i="2"/>
  <c r="I95" i="2"/>
  <c r="H95" i="2"/>
  <c r="B95" i="2"/>
  <c r="L95" i="2" s="1"/>
  <c r="E95" i="2"/>
  <c r="D106" i="44"/>
  <c r="C106" i="44" s="1"/>
  <c r="J107" i="40"/>
  <c r="L107" i="40"/>
  <c r="D107" i="40" s="1"/>
  <c r="C107" i="40" s="1"/>
  <c r="F108" i="40" s="1"/>
  <c r="C98" i="50" l="1"/>
  <c r="K107" i="44"/>
  <c r="F107" i="44"/>
  <c r="D95" i="2"/>
  <c r="C95" i="2" s="1"/>
  <c r="H107" i="44"/>
  <c r="I107" i="44"/>
  <c r="G107" i="44"/>
  <c r="E107" i="44"/>
  <c r="B107" i="44"/>
  <c r="L107" i="44" s="1"/>
  <c r="N107" i="44"/>
  <c r="K108" i="40"/>
  <c r="N108" i="40"/>
  <c r="B108" i="40"/>
  <c r="H108" i="40"/>
  <c r="E108" i="40"/>
  <c r="I108" i="40"/>
  <c r="G108" i="40"/>
  <c r="M107" i="40"/>
  <c r="O107" i="40" s="1"/>
  <c r="E99" i="50" l="1"/>
  <c r="K99" i="50"/>
  <c r="F99" i="50"/>
  <c r="I99" i="50"/>
  <c r="B99" i="50"/>
  <c r="L99" i="50" s="1"/>
  <c r="D99" i="50" s="1"/>
  <c r="H99" i="50"/>
  <c r="G99" i="50"/>
  <c r="N99" i="50"/>
  <c r="J95" i="2"/>
  <c r="M95" i="2" s="1"/>
  <c r="O95" i="2" s="1"/>
  <c r="F96" i="2"/>
  <c r="J90" i="50"/>
  <c r="M90" i="50" s="1"/>
  <c r="O90" i="50" s="1"/>
  <c r="H96" i="2"/>
  <c r="K96" i="2"/>
  <c r="I96" i="2"/>
  <c r="N96" i="2"/>
  <c r="E96" i="2"/>
  <c r="G96" i="2"/>
  <c r="B96" i="2"/>
  <c r="L96" i="2" s="1"/>
  <c r="J107" i="44"/>
  <c r="M107" i="44" s="1"/>
  <c r="O107" i="44" s="1"/>
  <c r="D107" i="44"/>
  <c r="C107" i="44" s="1"/>
  <c r="J108" i="40"/>
  <c r="L108" i="40"/>
  <c r="C99" i="50" l="1"/>
  <c r="D96" i="2"/>
  <c r="C96" i="2" s="1"/>
  <c r="F97" i="2" s="1"/>
  <c r="K108" i="44"/>
  <c r="F108" i="44"/>
  <c r="J96" i="2"/>
  <c r="M96" i="2" s="1"/>
  <c r="O96" i="2" s="1"/>
  <c r="G108" i="44"/>
  <c r="I108" i="44"/>
  <c r="H108" i="44"/>
  <c r="E108" i="44"/>
  <c r="B108" i="44"/>
  <c r="L108" i="44" s="1"/>
  <c r="N108" i="44"/>
  <c r="M108" i="40"/>
  <c r="O108" i="40" s="1"/>
  <c r="D108" i="40"/>
  <c r="C108" i="40" s="1"/>
  <c r="F109" i="40" s="1"/>
  <c r="E97" i="2" l="1"/>
  <c r="B97" i="2"/>
  <c r="L97" i="2" s="1"/>
  <c r="K97" i="2"/>
  <c r="H97" i="2"/>
  <c r="G97" i="2"/>
  <c r="E100" i="50"/>
  <c r="F100" i="50"/>
  <c r="K100" i="50"/>
  <c r="H100" i="50"/>
  <c r="G100" i="50"/>
  <c r="B100" i="50"/>
  <c r="L100" i="50" s="1"/>
  <c r="I100" i="50"/>
  <c r="N100" i="50"/>
  <c r="I97" i="2"/>
  <c r="N97" i="2"/>
  <c r="D108" i="44"/>
  <c r="C108" i="44" s="1"/>
  <c r="K109" i="44" s="1"/>
  <c r="J91" i="50"/>
  <c r="M91" i="50" s="1"/>
  <c r="O91" i="50" s="1"/>
  <c r="J108" i="44"/>
  <c r="M108" i="44" s="1"/>
  <c r="O108" i="44" s="1"/>
  <c r="N109" i="40"/>
  <c r="K109" i="40"/>
  <c r="B109" i="40"/>
  <c r="L109" i="40" s="1"/>
  <c r="E109" i="40"/>
  <c r="G109" i="40"/>
  <c r="I109" i="40"/>
  <c r="H109" i="40"/>
  <c r="D97" i="2" l="1"/>
  <c r="C97" i="2" s="1"/>
  <c r="H98" i="2" s="1"/>
  <c r="D100" i="50"/>
  <c r="C100" i="50" s="1"/>
  <c r="B109" i="44"/>
  <c r="L109" i="44" s="1"/>
  <c r="E109" i="44"/>
  <c r="G109" i="44"/>
  <c r="H109" i="44"/>
  <c r="N109" i="44"/>
  <c r="I109" i="44"/>
  <c r="F109" i="44"/>
  <c r="J97" i="2"/>
  <c r="M97" i="2" s="1"/>
  <c r="O97" i="2" s="1"/>
  <c r="J109" i="40"/>
  <c r="M109" i="40" s="1"/>
  <c r="O109" i="40" s="1"/>
  <c r="D109" i="40"/>
  <c r="C109" i="40" s="1"/>
  <c r="E98" i="2" l="1"/>
  <c r="B98" i="2"/>
  <c r="L98" i="2" s="1"/>
  <c r="K98" i="2"/>
  <c r="G98" i="2"/>
  <c r="N98" i="2"/>
  <c r="I98" i="2"/>
  <c r="F98" i="2"/>
  <c r="D109" i="44"/>
  <c r="C109" i="44" s="1"/>
  <c r="G110" i="44" s="1"/>
  <c r="J109" i="44"/>
  <c r="M109" i="44" s="1"/>
  <c r="O109" i="44" s="1"/>
  <c r="B110" i="40"/>
  <c r="L110" i="40" s="1"/>
  <c r="F110" i="40"/>
  <c r="E101" i="50"/>
  <c r="K101" i="50"/>
  <c r="F101" i="50"/>
  <c r="N101" i="50"/>
  <c r="B101" i="50"/>
  <c r="L101" i="50" s="1"/>
  <c r="H101" i="50"/>
  <c r="G101" i="50"/>
  <c r="I101" i="50"/>
  <c r="J92" i="50"/>
  <c r="M92" i="50" s="1"/>
  <c r="O92" i="50" s="1"/>
  <c r="H110" i="40"/>
  <c r="I110" i="40"/>
  <c r="G110" i="40"/>
  <c r="E110" i="40"/>
  <c r="N110" i="40"/>
  <c r="K110" i="40"/>
  <c r="J98" i="2" l="1"/>
  <c r="M98" i="2" s="1"/>
  <c r="O98" i="2" s="1"/>
  <c r="D98" i="2"/>
  <c r="C98" i="2" s="1"/>
  <c r="F99" i="2" s="1"/>
  <c r="E110" i="44"/>
  <c r="B110" i="44"/>
  <c r="L110" i="44" s="1"/>
  <c r="D110" i="44" s="1"/>
  <c r="C110" i="44" s="1"/>
  <c r="K110" i="44"/>
  <c r="N110" i="44"/>
  <c r="F110" i="44"/>
  <c r="H110" i="44"/>
  <c r="I110" i="44"/>
  <c r="D110" i="40"/>
  <c r="C110" i="40" s="1"/>
  <c r="B111" i="40" s="1"/>
  <c r="D101" i="50"/>
  <c r="C101" i="50" s="1"/>
  <c r="J110" i="40"/>
  <c r="M110" i="40" s="1"/>
  <c r="O110" i="40" s="1"/>
  <c r="G99" i="2" l="1"/>
  <c r="H99" i="2"/>
  <c r="N99" i="2"/>
  <c r="I99" i="2"/>
  <c r="B99" i="2"/>
  <c r="L99" i="2" s="1"/>
  <c r="K99" i="2"/>
  <c r="E99" i="2"/>
  <c r="J110" i="44"/>
  <c r="M110" i="44" s="1"/>
  <c r="O110" i="44" s="1"/>
  <c r="K111" i="40"/>
  <c r="N111" i="40"/>
  <c r="F111" i="40"/>
  <c r="G111" i="40"/>
  <c r="I111" i="40"/>
  <c r="E111" i="40"/>
  <c r="H111" i="40"/>
  <c r="E102" i="50"/>
  <c r="F102" i="50"/>
  <c r="K102" i="50"/>
  <c r="B102" i="50"/>
  <c r="L102" i="50" s="1"/>
  <c r="G102" i="50"/>
  <c r="I102" i="50"/>
  <c r="N102" i="50"/>
  <c r="H102" i="50"/>
  <c r="J93" i="50"/>
  <c r="M93" i="50" s="1"/>
  <c r="O93" i="50" s="1"/>
  <c r="K111" i="44"/>
  <c r="F111" i="44"/>
  <c r="H111" i="44"/>
  <c r="I111" i="44"/>
  <c r="G111" i="44"/>
  <c r="E111" i="44"/>
  <c r="N111" i="44"/>
  <c r="B111" i="44"/>
  <c r="L111" i="40"/>
  <c r="J99" i="2" l="1"/>
  <c r="M99" i="2" s="1"/>
  <c r="O99" i="2" s="1"/>
  <c r="D99" i="2"/>
  <c r="C99" i="2" s="1"/>
  <c r="N100" i="2" s="1"/>
  <c r="D111" i="40"/>
  <c r="C111" i="40" s="1"/>
  <c r="F112" i="40" s="1"/>
  <c r="D102" i="50"/>
  <c r="C102" i="50" s="1"/>
  <c r="J111" i="40"/>
  <c r="M111" i="40" s="1"/>
  <c r="O111" i="40" s="1"/>
  <c r="L111" i="44"/>
  <c r="D111" i="44" s="1"/>
  <c r="C111" i="44" s="1"/>
  <c r="J111" i="44"/>
  <c r="K112" i="40" l="1"/>
  <c r="I112" i="40"/>
  <c r="G112" i="40"/>
  <c r="H112" i="40"/>
  <c r="E112" i="40"/>
  <c r="B112" i="40"/>
  <c r="L112" i="40" s="1"/>
  <c r="D112" i="40" s="1"/>
  <c r="C112" i="40" s="1"/>
  <c r="F113" i="40" s="1"/>
  <c r="F100" i="2"/>
  <c r="E100" i="2"/>
  <c r="H100" i="2"/>
  <c r="G100" i="2"/>
  <c r="I100" i="2"/>
  <c r="N112" i="40"/>
  <c r="K100" i="2"/>
  <c r="B100" i="2"/>
  <c r="L100" i="2" s="1"/>
  <c r="F103" i="50"/>
  <c r="E103" i="50"/>
  <c r="K103" i="50"/>
  <c r="H103" i="50"/>
  <c r="B103" i="50"/>
  <c r="L103" i="50" s="1"/>
  <c r="D103" i="50" s="1"/>
  <c r="N103" i="50"/>
  <c r="I103" i="50"/>
  <c r="G103" i="50"/>
  <c r="J94" i="50"/>
  <c r="M94" i="50" s="1"/>
  <c r="O94" i="50" s="1"/>
  <c r="K112" i="44"/>
  <c r="F112" i="44"/>
  <c r="G112" i="44"/>
  <c r="I112" i="44"/>
  <c r="H112" i="44"/>
  <c r="E112" i="44"/>
  <c r="M111" i="44"/>
  <c r="O111" i="44" s="1"/>
  <c r="N112" i="44"/>
  <c r="B112" i="44"/>
  <c r="D100" i="2" l="1"/>
  <c r="C100" i="2" s="1"/>
  <c r="N101" i="2" s="1"/>
  <c r="J112" i="40"/>
  <c r="M112" i="40" s="1"/>
  <c r="O112" i="40" s="1"/>
  <c r="J100" i="2"/>
  <c r="M100" i="2" s="1"/>
  <c r="O100" i="2" s="1"/>
  <c r="C103" i="50"/>
  <c r="H113" i="40"/>
  <c r="G113" i="40"/>
  <c r="B113" i="40"/>
  <c r="L113" i="40" s="1"/>
  <c r="E113" i="40"/>
  <c r="N113" i="40"/>
  <c r="K113" i="40"/>
  <c r="I113" i="40"/>
  <c r="J112" i="44"/>
  <c r="L112" i="44"/>
  <c r="E101" i="2" l="1"/>
  <c r="F101" i="2"/>
  <c r="G101" i="2"/>
  <c r="I101" i="2"/>
  <c r="H101" i="2"/>
  <c r="B101" i="2"/>
  <c r="L101" i="2" s="1"/>
  <c r="K101" i="2"/>
  <c r="F104" i="50"/>
  <c r="E104" i="50"/>
  <c r="K104" i="50"/>
  <c r="H104" i="50"/>
  <c r="G104" i="50"/>
  <c r="B104" i="50"/>
  <c r="L104" i="50" s="1"/>
  <c r="D104" i="50" s="1"/>
  <c r="N104" i="50"/>
  <c r="I104" i="50"/>
  <c r="J95" i="50"/>
  <c r="M95" i="50" s="1"/>
  <c r="O95" i="50" s="1"/>
  <c r="J113" i="40"/>
  <c r="M113" i="40" s="1"/>
  <c r="O113" i="40" s="1"/>
  <c r="D113" i="40"/>
  <c r="C113" i="40" s="1"/>
  <c r="M112" i="44"/>
  <c r="O112" i="44" s="1"/>
  <c r="D112" i="44"/>
  <c r="C112" i="44" s="1"/>
  <c r="D101" i="2" l="1"/>
  <c r="C101" i="2" s="1"/>
  <c r="I102" i="2" s="1"/>
  <c r="J101" i="2"/>
  <c r="M101" i="2" s="1"/>
  <c r="O101" i="2" s="1"/>
  <c r="I114" i="40"/>
  <c r="F114" i="40"/>
  <c r="C104" i="50"/>
  <c r="J96" i="50"/>
  <c r="M96" i="50" s="1"/>
  <c r="O96" i="50" s="1"/>
  <c r="K113" i="44"/>
  <c r="F113" i="44"/>
  <c r="K114" i="40"/>
  <c r="H114" i="40"/>
  <c r="G114" i="40"/>
  <c r="E114" i="40"/>
  <c r="N114" i="40"/>
  <c r="B114" i="40"/>
  <c r="L114" i="40" s="1"/>
  <c r="H113" i="44"/>
  <c r="I113" i="44"/>
  <c r="G113" i="44"/>
  <c r="E113" i="44"/>
  <c r="B113" i="44"/>
  <c r="L113" i="44" s="1"/>
  <c r="N113" i="44"/>
  <c r="G102" i="2" l="1"/>
  <c r="F102" i="2"/>
  <c r="K102" i="2"/>
  <c r="N102" i="2"/>
  <c r="E102" i="2"/>
  <c r="H102" i="2"/>
  <c r="B102" i="2"/>
  <c r="L102" i="2" s="1"/>
  <c r="F105" i="50"/>
  <c r="K105" i="50"/>
  <c r="E105" i="50"/>
  <c r="N105" i="50"/>
  <c r="H105" i="50"/>
  <c r="I105" i="50"/>
  <c r="G105" i="50"/>
  <c r="B105" i="50"/>
  <c r="L105" i="50" s="1"/>
  <c r="D105" i="50" s="1"/>
  <c r="D114" i="40"/>
  <c r="C114" i="40" s="1"/>
  <c r="J114" i="40"/>
  <c r="M114" i="40" s="1"/>
  <c r="O114" i="40" s="1"/>
  <c r="J113" i="44"/>
  <c r="M113" i="44" s="1"/>
  <c r="O113" i="44" s="1"/>
  <c r="D113" i="44"/>
  <c r="C113" i="44" s="1"/>
  <c r="J102" i="2" l="1"/>
  <c r="M102" i="2" s="1"/>
  <c r="O102" i="2" s="1"/>
  <c r="D102" i="2"/>
  <c r="C102" i="2" s="1"/>
  <c r="N115" i="40"/>
  <c r="F115" i="40"/>
  <c r="C105" i="50"/>
  <c r="J97" i="50"/>
  <c r="M97" i="50" s="1"/>
  <c r="O97" i="50" s="1"/>
  <c r="K114" i="44"/>
  <c r="F114" i="44"/>
  <c r="G115" i="40"/>
  <c r="I115" i="40"/>
  <c r="E115" i="40"/>
  <c r="H115" i="40"/>
  <c r="K115" i="40"/>
  <c r="B115" i="40"/>
  <c r="L115" i="40" s="1"/>
  <c r="D115" i="40" s="1"/>
  <c r="C115" i="40" s="1"/>
  <c r="G114" i="44"/>
  <c r="I114" i="44"/>
  <c r="H114" i="44"/>
  <c r="E114" i="44"/>
  <c r="B114" i="44"/>
  <c r="L114" i="44" s="1"/>
  <c r="N114" i="44"/>
  <c r="I103" i="2" l="1"/>
  <c r="K103" i="2"/>
  <c r="B103" i="2"/>
  <c r="L103" i="2" s="1"/>
  <c r="N103" i="2"/>
  <c r="H103" i="2"/>
  <c r="G103" i="2"/>
  <c r="E103" i="2"/>
  <c r="F103" i="2"/>
  <c r="B116" i="40"/>
  <c r="L116" i="40" s="1"/>
  <c r="F116" i="40"/>
  <c r="K106" i="50"/>
  <c r="F106" i="50"/>
  <c r="E106" i="50"/>
  <c r="B106" i="50"/>
  <c r="L106" i="50" s="1"/>
  <c r="D106" i="50" s="1"/>
  <c r="I106" i="50"/>
  <c r="G106" i="50"/>
  <c r="H106" i="50"/>
  <c r="N106" i="50"/>
  <c r="J115" i="40"/>
  <c r="M115" i="40" s="1"/>
  <c r="O115" i="40" s="1"/>
  <c r="G116" i="40"/>
  <c r="H116" i="40"/>
  <c r="I116" i="40"/>
  <c r="E116" i="40"/>
  <c r="N116" i="40"/>
  <c r="K116" i="40"/>
  <c r="J114" i="44"/>
  <c r="M114" i="44" s="1"/>
  <c r="O114" i="44" s="1"/>
  <c r="D114" i="44"/>
  <c r="C114" i="44" s="1"/>
  <c r="J103" i="2" l="1"/>
  <c r="M103" i="2" s="1"/>
  <c r="O103" i="2" s="1"/>
  <c r="D103" i="2"/>
  <c r="C103" i="2" s="1"/>
  <c r="D116" i="40"/>
  <c r="C116" i="40" s="1"/>
  <c r="K117" i="40" s="1"/>
  <c r="J116" i="40"/>
  <c r="M116" i="40" s="1"/>
  <c r="O116" i="40" s="1"/>
  <c r="C106" i="50"/>
  <c r="J98" i="50"/>
  <c r="M98" i="50" s="1"/>
  <c r="O98" i="50" s="1"/>
  <c r="K115" i="44"/>
  <c r="F115" i="44"/>
  <c r="H115" i="44"/>
  <c r="I115" i="44"/>
  <c r="G115" i="44"/>
  <c r="E115" i="44"/>
  <c r="B115" i="44"/>
  <c r="L115" i="44" s="1"/>
  <c r="N115" i="44"/>
  <c r="I104" i="2" l="1"/>
  <c r="E104" i="2"/>
  <c r="K104" i="2"/>
  <c r="H104" i="2"/>
  <c r="G104" i="2"/>
  <c r="F104" i="2"/>
  <c r="N104" i="2"/>
  <c r="B104" i="2"/>
  <c r="L104" i="2" s="1"/>
  <c r="B117" i="40"/>
  <c r="L117" i="40" s="1"/>
  <c r="F117" i="40"/>
  <c r="G117" i="40"/>
  <c r="E117" i="40"/>
  <c r="I117" i="40"/>
  <c r="H117" i="40"/>
  <c r="N117" i="40"/>
  <c r="F107" i="50"/>
  <c r="E107" i="50"/>
  <c r="K107" i="50"/>
  <c r="G107" i="50"/>
  <c r="H107" i="50"/>
  <c r="B107" i="50"/>
  <c r="L107" i="50" s="1"/>
  <c r="D107" i="50" s="1"/>
  <c r="I107" i="50"/>
  <c r="N107" i="50"/>
  <c r="J99" i="50"/>
  <c r="M99" i="50" s="1"/>
  <c r="O99" i="50" s="1"/>
  <c r="J115" i="44"/>
  <c r="M115" i="44" s="1"/>
  <c r="O115" i="44" s="1"/>
  <c r="D115" i="44"/>
  <c r="C115" i="44" s="1"/>
  <c r="D104" i="2" l="1"/>
  <c r="C104" i="2" s="1"/>
  <c r="G105" i="2" s="1"/>
  <c r="J104" i="2"/>
  <c r="M104" i="2" s="1"/>
  <c r="O104" i="2" s="1"/>
  <c r="D117" i="40"/>
  <c r="C117" i="40" s="1"/>
  <c r="F118" i="40" s="1"/>
  <c r="J117" i="40"/>
  <c r="M117" i="40" s="1"/>
  <c r="O117" i="40" s="1"/>
  <c r="C107" i="50"/>
  <c r="K116" i="44"/>
  <c r="F116" i="44"/>
  <c r="G116" i="44"/>
  <c r="I116" i="44"/>
  <c r="H116" i="44"/>
  <c r="E116" i="44"/>
  <c r="B116" i="44"/>
  <c r="L116" i="44" s="1"/>
  <c r="N116" i="44"/>
  <c r="H105" i="2" l="1"/>
  <c r="K105" i="2"/>
  <c r="B105" i="2"/>
  <c r="L105" i="2" s="1"/>
  <c r="E105" i="2"/>
  <c r="N105" i="2"/>
  <c r="F105" i="2"/>
  <c r="I105" i="2"/>
  <c r="H118" i="40"/>
  <c r="I118" i="40"/>
  <c r="K118" i="40"/>
  <c r="N118" i="40"/>
  <c r="B118" i="40"/>
  <c r="L118" i="40" s="1"/>
  <c r="E118" i="40"/>
  <c r="G118" i="40"/>
  <c r="B108" i="50"/>
  <c r="L108" i="50" s="1"/>
  <c r="N108" i="50"/>
  <c r="K108" i="50"/>
  <c r="H108" i="50"/>
  <c r="I108" i="50"/>
  <c r="G108" i="50"/>
  <c r="F108" i="50"/>
  <c r="E108" i="50"/>
  <c r="J100" i="50"/>
  <c r="M100" i="50" s="1"/>
  <c r="O100" i="50" s="1"/>
  <c r="J116" i="44"/>
  <c r="M116" i="44" s="1"/>
  <c r="O116" i="44" s="1"/>
  <c r="D116" i="44"/>
  <c r="C116" i="44" s="1"/>
  <c r="J105" i="2" l="1"/>
  <c r="M105" i="2" s="1"/>
  <c r="O105" i="2" s="1"/>
  <c r="D105" i="2"/>
  <c r="C105" i="2" s="1"/>
  <c r="F106" i="2" s="1"/>
  <c r="D118" i="40"/>
  <c r="C118" i="40" s="1"/>
  <c r="F119" i="40" s="1"/>
  <c r="H106" i="2"/>
  <c r="G106" i="2"/>
  <c r="D108" i="50"/>
  <c r="C108" i="50" s="1"/>
  <c r="J118" i="40"/>
  <c r="M118" i="40" s="1"/>
  <c r="O118" i="40" s="1"/>
  <c r="B119" i="40"/>
  <c r="L119" i="40" s="1"/>
  <c r="J101" i="50"/>
  <c r="M101" i="50" s="1"/>
  <c r="O101" i="50" s="1"/>
  <c r="K117" i="44"/>
  <c r="F117" i="44"/>
  <c r="K119" i="40"/>
  <c r="H119" i="40"/>
  <c r="E119" i="40"/>
  <c r="H117" i="44"/>
  <c r="I117" i="44"/>
  <c r="G117" i="44"/>
  <c r="E117" i="44"/>
  <c r="B117" i="44"/>
  <c r="L117" i="44" s="1"/>
  <c r="N117" i="44"/>
  <c r="G119" i="40" l="1"/>
  <c r="N119" i="40"/>
  <c r="I119" i="40"/>
  <c r="J119" i="40" s="1"/>
  <c r="M119" i="40" s="1"/>
  <c r="O119" i="40" s="1"/>
  <c r="E106" i="2"/>
  <c r="K106" i="2"/>
  <c r="I106" i="2"/>
  <c r="J106" i="2" s="1"/>
  <c r="N106" i="2"/>
  <c r="B106" i="2"/>
  <c r="L106" i="2" s="1"/>
  <c r="D106" i="2" s="1"/>
  <c r="C106" i="2" s="1"/>
  <c r="E107" i="2" s="1"/>
  <c r="D119" i="40"/>
  <c r="C119" i="40" s="1"/>
  <c r="B120" i="40" s="1"/>
  <c r="L120" i="40" s="1"/>
  <c r="B109" i="50"/>
  <c r="L109" i="50" s="1"/>
  <c r="K109" i="50"/>
  <c r="E109" i="50"/>
  <c r="F109" i="50"/>
  <c r="N109" i="50"/>
  <c r="G109" i="50"/>
  <c r="I109" i="50"/>
  <c r="H109" i="50"/>
  <c r="J117" i="44"/>
  <c r="M117" i="44" s="1"/>
  <c r="O117" i="44" s="1"/>
  <c r="D117" i="44"/>
  <c r="C117" i="44" s="1"/>
  <c r="N107" i="2" l="1"/>
  <c r="G107" i="2"/>
  <c r="I107" i="2"/>
  <c r="K107" i="2"/>
  <c r="F107" i="2"/>
  <c r="M106" i="2"/>
  <c r="O106" i="2" s="1"/>
  <c r="B107" i="2"/>
  <c r="L107" i="2" s="1"/>
  <c r="D107" i="2" s="1"/>
  <c r="C107" i="2" s="1"/>
  <c r="F108" i="2" s="1"/>
  <c r="H107" i="2"/>
  <c r="J107" i="2" s="1"/>
  <c r="M107" i="2" s="1"/>
  <c r="O107" i="2" s="1"/>
  <c r="K120" i="40"/>
  <c r="H120" i="40"/>
  <c r="G120" i="40"/>
  <c r="E120" i="40"/>
  <c r="D120" i="40" s="1"/>
  <c r="C120" i="40" s="1"/>
  <c r="F121" i="40" s="1"/>
  <c r="N120" i="40"/>
  <c r="I120" i="40"/>
  <c r="F120" i="40"/>
  <c r="D109" i="50"/>
  <c r="C109" i="50" s="1"/>
  <c r="J102" i="50"/>
  <c r="M102" i="50" s="1"/>
  <c r="O102" i="50" s="1"/>
  <c r="K118" i="44"/>
  <c r="F118" i="44"/>
  <c r="G118" i="44"/>
  <c r="I118" i="44"/>
  <c r="H118" i="44"/>
  <c r="E118" i="44"/>
  <c r="B118" i="44"/>
  <c r="L118" i="44" s="1"/>
  <c r="N118" i="44"/>
  <c r="B108" i="2" l="1"/>
  <c r="L108" i="2" s="1"/>
  <c r="K108" i="2"/>
  <c r="I108" i="2"/>
  <c r="H108" i="2"/>
  <c r="G108" i="2"/>
  <c r="E108" i="2"/>
  <c r="N108" i="2"/>
  <c r="H121" i="40"/>
  <c r="K121" i="40"/>
  <c r="J120" i="40"/>
  <c r="M120" i="40" s="1"/>
  <c r="O120" i="40" s="1"/>
  <c r="G121" i="40"/>
  <c r="E121" i="40"/>
  <c r="N121" i="40"/>
  <c r="B121" i="40"/>
  <c r="L121" i="40" s="1"/>
  <c r="D121" i="40" s="1"/>
  <c r="C121" i="40" s="1"/>
  <c r="F122" i="40" s="1"/>
  <c r="I121" i="40"/>
  <c r="G110" i="50"/>
  <c r="N110" i="50"/>
  <c r="I110" i="50"/>
  <c r="H110" i="50"/>
  <c r="K110" i="50"/>
  <c r="F110" i="50"/>
  <c r="E110" i="50"/>
  <c r="B110" i="50"/>
  <c r="L110" i="50" s="1"/>
  <c r="D118" i="44"/>
  <c r="C118" i="44" s="1"/>
  <c r="J118" i="44"/>
  <c r="M118" i="44" s="1"/>
  <c r="O118" i="44" s="1"/>
  <c r="D108" i="2" l="1"/>
  <c r="C108" i="2" s="1"/>
  <c r="H109" i="2" s="1"/>
  <c r="J108" i="2"/>
  <c r="M108" i="2" s="1"/>
  <c r="O108" i="2" s="1"/>
  <c r="J121" i="40"/>
  <c r="M121" i="40" s="1"/>
  <c r="O121" i="40" s="1"/>
  <c r="D110" i="50"/>
  <c r="C110" i="50" s="1"/>
  <c r="J103" i="50"/>
  <c r="M103" i="50" s="1"/>
  <c r="O103" i="50" s="1"/>
  <c r="I119" i="44"/>
  <c r="K119" i="44"/>
  <c r="F119" i="44"/>
  <c r="H119" i="44"/>
  <c r="N119" i="44"/>
  <c r="E119" i="44"/>
  <c r="B119" i="44"/>
  <c r="L119" i="44" s="1"/>
  <c r="G119" i="44"/>
  <c r="K122" i="40"/>
  <c r="N122" i="40"/>
  <c r="E122" i="40"/>
  <c r="B122" i="40"/>
  <c r="H122" i="40"/>
  <c r="I122" i="40"/>
  <c r="G122" i="40"/>
  <c r="N109" i="2" l="1"/>
  <c r="I109" i="2"/>
  <c r="F109" i="2"/>
  <c r="B109" i="2"/>
  <c r="L109" i="2" s="1"/>
  <c r="E109" i="2"/>
  <c r="G109" i="2"/>
  <c r="K109" i="2"/>
  <c r="D119" i="44"/>
  <c r="C119" i="44" s="1"/>
  <c r="N120" i="44" s="1"/>
  <c r="G111" i="50"/>
  <c r="K111" i="50"/>
  <c r="N111" i="50"/>
  <c r="I111" i="50"/>
  <c r="H111" i="50"/>
  <c r="E111" i="50"/>
  <c r="B111" i="50"/>
  <c r="L111" i="50" s="1"/>
  <c r="D111" i="50" s="1"/>
  <c r="F111" i="50"/>
  <c r="J119" i="44"/>
  <c r="M119" i="44" s="1"/>
  <c r="O119" i="44" s="1"/>
  <c r="J122" i="40"/>
  <c r="L122" i="40"/>
  <c r="D122" i="40" s="1"/>
  <c r="C122" i="40" s="1"/>
  <c r="F123" i="40" s="1"/>
  <c r="J109" i="2" l="1"/>
  <c r="M109" i="2" s="1"/>
  <c r="O109" i="2" s="1"/>
  <c r="D109" i="2"/>
  <c r="C109" i="2" s="1"/>
  <c r="F110" i="2" s="1"/>
  <c r="E120" i="44"/>
  <c r="I120" i="44"/>
  <c r="H120" i="44"/>
  <c r="G120" i="44"/>
  <c r="K120" i="44"/>
  <c r="F120" i="44"/>
  <c r="B120" i="44"/>
  <c r="L120" i="44" s="1"/>
  <c r="C111" i="50"/>
  <c r="J104" i="50"/>
  <c r="M104" i="50" s="1"/>
  <c r="O104" i="50" s="1"/>
  <c r="K123" i="40"/>
  <c r="N123" i="40"/>
  <c r="B123" i="40"/>
  <c r="H123" i="40"/>
  <c r="I123" i="40"/>
  <c r="E123" i="40"/>
  <c r="G123" i="40"/>
  <c r="M122" i="40"/>
  <c r="O122" i="40" s="1"/>
  <c r="B110" i="2" l="1"/>
  <c r="L110" i="2" s="1"/>
  <c r="K110" i="2"/>
  <c r="E110" i="2"/>
  <c r="I110" i="2"/>
  <c r="G110" i="2"/>
  <c r="H110" i="2"/>
  <c r="N110" i="2"/>
  <c r="J120" i="44"/>
  <c r="M120" i="44" s="1"/>
  <c r="O120" i="44" s="1"/>
  <c r="E112" i="50"/>
  <c r="K112" i="50"/>
  <c r="F112" i="50"/>
  <c r="N112" i="50"/>
  <c r="B112" i="50"/>
  <c r="L112" i="50" s="1"/>
  <c r="D112" i="50" s="1"/>
  <c r="H112" i="50"/>
  <c r="G112" i="50"/>
  <c r="I112" i="50"/>
  <c r="D120" i="44"/>
  <c r="C120" i="44" s="1"/>
  <c r="J123" i="40"/>
  <c r="L123" i="40"/>
  <c r="D123" i="40" s="1"/>
  <c r="C123" i="40" s="1"/>
  <c r="F124" i="40" s="1"/>
  <c r="D110" i="2" l="1"/>
  <c r="C110" i="2" s="1"/>
  <c r="B111" i="2" s="1"/>
  <c r="L111" i="2" s="1"/>
  <c r="J110" i="2"/>
  <c r="M110" i="2" s="1"/>
  <c r="O110" i="2" s="1"/>
  <c r="C112" i="50"/>
  <c r="J105" i="50"/>
  <c r="M105" i="50" s="1"/>
  <c r="O105" i="50" s="1"/>
  <c r="K121" i="44"/>
  <c r="F121" i="44"/>
  <c r="H121" i="44"/>
  <c r="I121" i="44"/>
  <c r="G121" i="44"/>
  <c r="E121" i="44"/>
  <c r="B121" i="44"/>
  <c r="L121" i="44" s="1"/>
  <c r="N121" i="44"/>
  <c r="K124" i="40"/>
  <c r="N124" i="40"/>
  <c r="I124" i="40"/>
  <c r="G124" i="40"/>
  <c r="E124" i="40"/>
  <c r="H124" i="40"/>
  <c r="B124" i="40"/>
  <c r="L124" i="40" s="1"/>
  <c r="M123" i="40"/>
  <c r="O123" i="40" s="1"/>
  <c r="I111" i="2" l="1"/>
  <c r="K111" i="2"/>
  <c r="G111" i="2"/>
  <c r="E111" i="2"/>
  <c r="D111" i="2" s="1"/>
  <c r="C111" i="2" s="1"/>
  <c r="B112" i="2" s="1"/>
  <c r="L112" i="2" s="1"/>
  <c r="H111" i="2"/>
  <c r="N111" i="2"/>
  <c r="F111" i="2"/>
  <c r="F113" i="50"/>
  <c r="H113" i="50"/>
  <c r="K113" i="50"/>
  <c r="I113" i="50"/>
  <c r="E113" i="50"/>
  <c r="N113" i="50"/>
  <c r="B113" i="50"/>
  <c r="L113" i="50" s="1"/>
  <c r="D113" i="50" s="1"/>
  <c r="G113" i="50"/>
  <c r="D124" i="40"/>
  <c r="C124" i="40" s="1"/>
  <c r="J121" i="44"/>
  <c r="M121" i="44" s="1"/>
  <c r="O121" i="44" s="1"/>
  <c r="D121" i="44"/>
  <c r="C121" i="44" s="1"/>
  <c r="J124" i="40"/>
  <c r="M124" i="40" s="1"/>
  <c r="O124" i="40" s="1"/>
  <c r="E112" i="2" l="1"/>
  <c r="D112" i="2"/>
  <c r="C112" i="2" s="1"/>
  <c r="I113" i="2" s="1"/>
  <c r="G112" i="2"/>
  <c r="N112" i="2"/>
  <c r="H112" i="2"/>
  <c r="J111" i="2"/>
  <c r="M111" i="2" s="1"/>
  <c r="O111" i="2" s="1"/>
  <c r="F112" i="2"/>
  <c r="K112" i="2"/>
  <c r="I112" i="2"/>
  <c r="K113" i="2"/>
  <c r="F113" i="2"/>
  <c r="G113" i="2"/>
  <c r="H113" i="2"/>
  <c r="E113" i="2"/>
  <c r="N125" i="40"/>
  <c r="F125" i="40"/>
  <c r="B125" i="40"/>
  <c r="L125" i="40" s="1"/>
  <c r="E125" i="40"/>
  <c r="I125" i="40"/>
  <c r="K125" i="40"/>
  <c r="C113" i="50"/>
  <c r="J106" i="50"/>
  <c r="M106" i="50" s="1"/>
  <c r="O106" i="50" s="1"/>
  <c r="K122" i="44"/>
  <c r="F122" i="44"/>
  <c r="G125" i="40"/>
  <c r="H125" i="40"/>
  <c r="G122" i="44"/>
  <c r="I122" i="44"/>
  <c r="H122" i="44"/>
  <c r="E122" i="44"/>
  <c r="B122" i="44"/>
  <c r="L122" i="44" s="1"/>
  <c r="D122" i="44" s="1"/>
  <c r="C122" i="44" s="1"/>
  <c r="N122" i="44"/>
  <c r="N113" i="2" l="1"/>
  <c r="B113" i="2"/>
  <c r="L113" i="2" s="1"/>
  <c r="D125" i="40"/>
  <c r="C125" i="40" s="1"/>
  <c r="F126" i="40" s="1"/>
  <c r="D113" i="2"/>
  <c r="C113" i="2" s="1"/>
  <c r="E114" i="2" s="1"/>
  <c r="J112" i="2"/>
  <c r="M112" i="2" s="1"/>
  <c r="O112" i="2" s="1"/>
  <c r="J113" i="2"/>
  <c r="M113" i="2" s="1"/>
  <c r="O113" i="2" s="1"/>
  <c r="J125" i="40"/>
  <c r="M125" i="40" s="1"/>
  <c r="O125" i="40" s="1"/>
  <c r="F114" i="50"/>
  <c r="K114" i="50"/>
  <c r="E114" i="50"/>
  <c r="N114" i="50"/>
  <c r="I114" i="50"/>
  <c r="G114" i="50"/>
  <c r="B114" i="50"/>
  <c r="L114" i="50" s="1"/>
  <c r="D114" i="50" s="1"/>
  <c r="H114" i="50"/>
  <c r="J107" i="50"/>
  <c r="M107" i="50" s="1"/>
  <c r="O107" i="50" s="1"/>
  <c r="K123" i="44"/>
  <c r="F123" i="44"/>
  <c r="H123" i="44"/>
  <c r="I123" i="44"/>
  <c r="G123" i="44"/>
  <c r="E123" i="44"/>
  <c r="J122" i="44"/>
  <c r="M122" i="44" s="1"/>
  <c r="O122" i="44" s="1"/>
  <c r="N123" i="44"/>
  <c r="B123" i="44"/>
  <c r="H126" i="40"/>
  <c r="B126" i="40"/>
  <c r="L126" i="40" s="1"/>
  <c r="I126" i="40"/>
  <c r="E126" i="40"/>
  <c r="G126" i="40" l="1"/>
  <c r="K126" i="40"/>
  <c r="N126" i="40"/>
  <c r="H114" i="2"/>
  <c r="K114" i="2"/>
  <c r="N114" i="2"/>
  <c r="B114" i="2"/>
  <c r="L114" i="2" s="1"/>
  <c r="D114" i="2" s="1"/>
  <c r="C114" i="2" s="1"/>
  <c r="F115" i="2" s="1"/>
  <c r="I114" i="2"/>
  <c r="F114" i="2"/>
  <c r="G114" i="2"/>
  <c r="C114" i="50"/>
  <c r="J123" i="44"/>
  <c r="L123" i="44"/>
  <c r="D123" i="44" s="1"/>
  <c r="C123" i="44" s="1"/>
  <c r="J126" i="40"/>
  <c r="D126" i="40"/>
  <c r="C126" i="40" s="1"/>
  <c r="M126" i="40" l="1"/>
  <c r="O126" i="40" s="1"/>
  <c r="G115" i="2"/>
  <c r="J114" i="2"/>
  <c r="M114" i="2" s="1"/>
  <c r="O114" i="2" s="1"/>
  <c r="I115" i="2"/>
  <c r="K115" i="2"/>
  <c r="H115" i="2"/>
  <c r="B115" i="2"/>
  <c r="L115" i="2" s="1"/>
  <c r="N115" i="2"/>
  <c r="E115" i="2"/>
  <c r="H127" i="40"/>
  <c r="F127" i="40"/>
  <c r="K115" i="50"/>
  <c r="F115" i="50"/>
  <c r="E115" i="50"/>
  <c r="N115" i="50"/>
  <c r="H115" i="50"/>
  <c r="I115" i="50"/>
  <c r="B115" i="50"/>
  <c r="L115" i="50" s="1"/>
  <c r="G115" i="50"/>
  <c r="J108" i="50"/>
  <c r="M108" i="50" s="1"/>
  <c r="O108" i="50" s="1"/>
  <c r="K124" i="44"/>
  <c r="F124" i="44"/>
  <c r="G124" i="44"/>
  <c r="I124" i="44"/>
  <c r="H124" i="44"/>
  <c r="E124" i="44"/>
  <c r="B127" i="40"/>
  <c r="L127" i="40" s="1"/>
  <c r="I127" i="40"/>
  <c r="G127" i="40"/>
  <c r="N124" i="44"/>
  <c r="B124" i="44"/>
  <c r="M123" i="44"/>
  <c r="O123" i="44" s="1"/>
  <c r="N127" i="40"/>
  <c r="K127" i="40"/>
  <c r="E127" i="40"/>
  <c r="D115" i="2" l="1"/>
  <c r="C115" i="2" s="1"/>
  <c r="I116" i="2" s="1"/>
  <c r="J115" i="2"/>
  <c r="M115" i="2" s="1"/>
  <c r="O115" i="2" s="1"/>
  <c r="D115" i="50"/>
  <c r="C115" i="50" s="1"/>
  <c r="J127" i="40"/>
  <c r="M127" i="40" s="1"/>
  <c r="O127" i="40" s="1"/>
  <c r="J124" i="44"/>
  <c r="L124" i="44"/>
  <c r="D124" i="44" s="1"/>
  <c r="C124" i="44" s="1"/>
  <c r="D127" i="40"/>
  <c r="C127" i="40" s="1"/>
  <c r="F128" i="40" s="1"/>
  <c r="H116" i="2" l="1"/>
  <c r="E116" i="2"/>
  <c r="B116" i="2"/>
  <c r="L116" i="2" s="1"/>
  <c r="D116" i="2" s="1"/>
  <c r="C116" i="2" s="1"/>
  <c r="K116" i="2"/>
  <c r="N116" i="2"/>
  <c r="F116" i="2"/>
  <c r="G116" i="2"/>
  <c r="E116" i="50"/>
  <c r="K116" i="50"/>
  <c r="F116" i="50"/>
  <c r="B116" i="50"/>
  <c r="L116" i="50" s="1"/>
  <c r="D116" i="50" s="1"/>
  <c r="I116" i="50"/>
  <c r="G116" i="50"/>
  <c r="H116" i="50"/>
  <c r="N116" i="50"/>
  <c r="J109" i="50"/>
  <c r="M109" i="50" s="1"/>
  <c r="O109" i="50" s="1"/>
  <c r="K125" i="44"/>
  <c r="F125" i="44"/>
  <c r="H125" i="44"/>
  <c r="I125" i="44"/>
  <c r="G125" i="44"/>
  <c r="E125" i="44"/>
  <c r="M124" i="44"/>
  <c r="O124" i="44" s="1"/>
  <c r="N125" i="44"/>
  <c r="B125" i="44"/>
  <c r="N128" i="40"/>
  <c r="K128" i="40"/>
  <c r="B128" i="40"/>
  <c r="E128" i="40"/>
  <c r="H128" i="40"/>
  <c r="G128" i="40"/>
  <c r="I128" i="40"/>
  <c r="K117" i="2" l="1"/>
  <c r="N117" i="2"/>
  <c r="J116" i="2"/>
  <c r="M116" i="2" s="1"/>
  <c r="O116" i="2" s="1"/>
  <c r="B117" i="2"/>
  <c r="L117" i="2" s="1"/>
  <c r="I117" i="2"/>
  <c r="G117" i="2"/>
  <c r="E117" i="2"/>
  <c r="F117" i="2"/>
  <c r="H117" i="2"/>
  <c r="C116" i="50"/>
  <c r="J125" i="44"/>
  <c r="L125" i="44"/>
  <c r="D125" i="44" s="1"/>
  <c r="C125" i="44" s="1"/>
  <c r="J128" i="40"/>
  <c r="L128" i="40"/>
  <c r="D128" i="40" s="1"/>
  <c r="C128" i="40" s="1"/>
  <c r="F129" i="40" s="1"/>
  <c r="J117" i="2" l="1"/>
  <c r="M117" i="2" s="1"/>
  <c r="O117" i="2" s="1"/>
  <c r="D117" i="2"/>
  <c r="C117" i="2" s="1"/>
  <c r="B118" i="2" s="1"/>
  <c r="L118" i="2" s="1"/>
  <c r="E117" i="50"/>
  <c r="F117" i="50"/>
  <c r="K117" i="50"/>
  <c r="B117" i="50"/>
  <c r="L117" i="50" s="1"/>
  <c r="H117" i="50"/>
  <c r="N117" i="50"/>
  <c r="I117" i="50"/>
  <c r="G117" i="50"/>
  <c r="J110" i="50"/>
  <c r="M110" i="50" s="1"/>
  <c r="O110" i="50" s="1"/>
  <c r="K126" i="44"/>
  <c r="F126" i="44"/>
  <c r="G126" i="44"/>
  <c r="I126" i="44"/>
  <c r="H126" i="44"/>
  <c r="E126" i="44"/>
  <c r="N126" i="44"/>
  <c r="B126" i="44"/>
  <c r="M125" i="44"/>
  <c r="O125" i="44" s="1"/>
  <c r="K129" i="40"/>
  <c r="N129" i="40"/>
  <c r="G129" i="40"/>
  <c r="I129" i="40"/>
  <c r="B129" i="40"/>
  <c r="E129" i="40"/>
  <c r="H129" i="40"/>
  <c r="M128" i="40"/>
  <c r="O128" i="40" s="1"/>
  <c r="H118" i="2" l="1"/>
  <c r="G118" i="2"/>
  <c r="K118" i="2"/>
  <c r="I118" i="2"/>
  <c r="E118" i="2"/>
  <c r="D118" i="2" s="1"/>
  <c r="C118" i="2" s="1"/>
  <c r="N118" i="2"/>
  <c r="F118" i="2"/>
  <c r="D117" i="50"/>
  <c r="C117" i="50" s="1"/>
  <c r="J126" i="44"/>
  <c r="L126" i="44"/>
  <c r="D126" i="44" s="1"/>
  <c r="C126" i="44" s="1"/>
  <c r="J129" i="40"/>
  <c r="L129" i="40"/>
  <c r="J118" i="2" l="1"/>
  <c r="M118" i="2" s="1"/>
  <c r="O118" i="2" s="1"/>
  <c r="G119" i="2"/>
  <c r="B119" i="2"/>
  <c r="L119" i="2" s="1"/>
  <c r="I119" i="2"/>
  <c r="E119" i="2"/>
  <c r="D119" i="2" s="1"/>
  <c r="C119" i="2" s="1"/>
  <c r="K119" i="2"/>
  <c r="F119" i="2"/>
  <c r="N119" i="2"/>
  <c r="H119" i="2"/>
  <c r="K118" i="50"/>
  <c r="E118" i="50"/>
  <c r="F118" i="50"/>
  <c r="I118" i="50"/>
  <c r="B118" i="50"/>
  <c r="L118" i="50" s="1"/>
  <c r="N118" i="50"/>
  <c r="G118" i="50"/>
  <c r="H118" i="50"/>
  <c r="J111" i="50"/>
  <c r="M111" i="50" s="1"/>
  <c r="O111" i="50" s="1"/>
  <c r="K127" i="44"/>
  <c r="F127" i="44"/>
  <c r="H127" i="44"/>
  <c r="I127" i="44"/>
  <c r="G127" i="44"/>
  <c r="E127" i="44"/>
  <c r="N127" i="44"/>
  <c r="B127" i="44"/>
  <c r="L127" i="44" s="1"/>
  <c r="M126" i="44"/>
  <c r="O126" i="44" s="1"/>
  <c r="M129" i="40"/>
  <c r="O129" i="40" s="1"/>
  <c r="D129" i="40"/>
  <c r="C129" i="40" s="1"/>
  <c r="F130" i="40" s="1"/>
  <c r="J119" i="2" l="1"/>
  <c r="M119" i="2" s="1"/>
  <c r="O119" i="2" s="1"/>
  <c r="F120" i="2"/>
  <c r="B120" i="2"/>
  <c r="L120" i="2" s="1"/>
  <c r="I120" i="2"/>
  <c r="H120" i="2"/>
  <c r="N120" i="2"/>
  <c r="K120" i="2"/>
  <c r="G120" i="2"/>
  <c r="E120" i="2"/>
  <c r="D118" i="50"/>
  <c r="C118" i="50" s="1"/>
  <c r="D127" i="44"/>
  <c r="C127" i="44" s="1"/>
  <c r="J127" i="44"/>
  <c r="M127" i="44" s="1"/>
  <c r="O127" i="44" s="1"/>
  <c r="K130" i="40"/>
  <c r="N130" i="40"/>
  <c r="E130" i="40"/>
  <c r="G130" i="40"/>
  <c r="H130" i="40"/>
  <c r="I130" i="40"/>
  <c r="B130" i="40"/>
  <c r="J120" i="2" l="1"/>
  <c r="M120" i="2" s="1"/>
  <c r="O120" i="2" s="1"/>
  <c r="D120" i="2"/>
  <c r="C120" i="2" s="1"/>
  <c r="F121" i="2" s="1"/>
  <c r="H121" i="2"/>
  <c r="E121" i="2"/>
  <c r="K121" i="2"/>
  <c r="I121" i="2"/>
  <c r="F119" i="50"/>
  <c r="E119" i="50"/>
  <c r="K119" i="50"/>
  <c r="I119" i="50"/>
  <c r="H119" i="50"/>
  <c r="N119" i="50"/>
  <c r="B119" i="50"/>
  <c r="L119" i="50" s="1"/>
  <c r="G119" i="50"/>
  <c r="J112" i="50"/>
  <c r="M112" i="50" s="1"/>
  <c r="O112" i="50" s="1"/>
  <c r="G128" i="44"/>
  <c r="K128" i="44"/>
  <c r="F128" i="44"/>
  <c r="B128" i="44"/>
  <c r="L128" i="44" s="1"/>
  <c r="N128" i="44"/>
  <c r="E128" i="44"/>
  <c r="H128" i="44"/>
  <c r="I128" i="44"/>
  <c r="J130" i="40"/>
  <c r="L130" i="40"/>
  <c r="D130" i="40" s="1"/>
  <c r="C130" i="40" s="1"/>
  <c r="F131" i="40" s="1"/>
  <c r="N121" i="2" l="1"/>
  <c r="G121" i="2"/>
  <c r="J121" i="2" s="1"/>
  <c r="B121" i="2"/>
  <c r="L121" i="2" s="1"/>
  <c r="D121" i="2" s="1"/>
  <c r="C121" i="2" s="1"/>
  <c r="H122" i="2" s="1"/>
  <c r="D119" i="50"/>
  <c r="C119" i="50" s="1"/>
  <c r="J113" i="50"/>
  <c r="M113" i="50" s="1"/>
  <c r="O113" i="50" s="1"/>
  <c r="J128" i="44"/>
  <c r="M128" i="44" s="1"/>
  <c r="O128" i="44" s="1"/>
  <c r="D128" i="44"/>
  <c r="C128" i="44" s="1"/>
  <c r="K131" i="40"/>
  <c r="N131" i="40"/>
  <c r="B131" i="40"/>
  <c r="H131" i="40"/>
  <c r="E131" i="40"/>
  <c r="I131" i="40"/>
  <c r="G131" i="40"/>
  <c r="M130" i="40"/>
  <c r="O130" i="40" s="1"/>
  <c r="G122" i="2" l="1"/>
  <c r="K122" i="2"/>
  <c r="N122" i="2"/>
  <c r="E122" i="2"/>
  <c r="I122" i="2"/>
  <c r="B122" i="2"/>
  <c r="L122" i="2" s="1"/>
  <c r="D122" i="2" s="1"/>
  <c r="C122" i="2" s="1"/>
  <c r="F123" i="2" s="1"/>
  <c r="F122" i="2"/>
  <c r="M121" i="2"/>
  <c r="O121" i="2" s="1"/>
  <c r="K120" i="50"/>
  <c r="E120" i="50"/>
  <c r="F120" i="50"/>
  <c r="G120" i="50"/>
  <c r="B120" i="50"/>
  <c r="L120" i="50" s="1"/>
  <c r="N120" i="50"/>
  <c r="H120" i="50"/>
  <c r="I120" i="50"/>
  <c r="K129" i="44"/>
  <c r="F129" i="44"/>
  <c r="H129" i="44"/>
  <c r="I129" i="44"/>
  <c r="G129" i="44"/>
  <c r="E129" i="44"/>
  <c r="B129" i="44"/>
  <c r="L129" i="44" s="1"/>
  <c r="N129" i="44"/>
  <c r="J131" i="40"/>
  <c r="L131" i="40"/>
  <c r="D131" i="40" s="1"/>
  <c r="C131" i="40" s="1"/>
  <c r="F132" i="40" s="1"/>
  <c r="K123" i="2" l="1"/>
  <c r="I123" i="2"/>
  <c r="B123" i="2"/>
  <c r="L123" i="2" s="1"/>
  <c r="H123" i="2"/>
  <c r="E123" i="2"/>
  <c r="J122" i="2"/>
  <c r="M122" i="2" s="1"/>
  <c r="O122" i="2" s="1"/>
  <c r="N123" i="2"/>
  <c r="G123" i="2"/>
  <c r="J123" i="2" s="1"/>
  <c r="M123" i="2" s="1"/>
  <c r="O123" i="2" s="1"/>
  <c r="D123" i="2"/>
  <c r="C123" i="2" s="1"/>
  <c r="I124" i="2" s="1"/>
  <c r="D120" i="50"/>
  <c r="C120" i="50" s="1"/>
  <c r="J114" i="50"/>
  <c r="M114" i="50" s="1"/>
  <c r="O114" i="50" s="1"/>
  <c r="D129" i="44"/>
  <c r="C129" i="44" s="1"/>
  <c r="K130" i="44" s="1"/>
  <c r="J129" i="44"/>
  <c r="M129" i="44" s="1"/>
  <c r="O129" i="44" s="1"/>
  <c r="K132" i="40"/>
  <c r="N132" i="40"/>
  <c r="B132" i="40"/>
  <c r="E132" i="40"/>
  <c r="G132" i="40"/>
  <c r="H132" i="40"/>
  <c r="I132" i="40"/>
  <c r="M131" i="40"/>
  <c r="O131" i="40" s="1"/>
  <c r="E124" i="2" l="1"/>
  <c r="G124" i="2"/>
  <c r="B124" i="2"/>
  <c r="L124" i="2" s="1"/>
  <c r="H124" i="2"/>
  <c r="K124" i="2"/>
  <c r="F124" i="2"/>
  <c r="N124" i="2"/>
  <c r="F121" i="50"/>
  <c r="K121" i="50"/>
  <c r="E121" i="50"/>
  <c r="B121" i="50"/>
  <c r="L121" i="50" s="1"/>
  <c r="D121" i="50" s="1"/>
  <c r="I121" i="50"/>
  <c r="H121" i="50"/>
  <c r="N121" i="50"/>
  <c r="G121" i="50"/>
  <c r="E130" i="44"/>
  <c r="B130" i="44"/>
  <c r="L130" i="44" s="1"/>
  <c r="N130" i="44"/>
  <c r="G130" i="44"/>
  <c r="H130" i="44"/>
  <c r="I130" i="44"/>
  <c r="F130" i="44"/>
  <c r="J132" i="40"/>
  <c r="L132" i="40"/>
  <c r="D132" i="40" s="1"/>
  <c r="C132" i="40" s="1"/>
  <c r="F133" i="40" s="1"/>
  <c r="D124" i="2" l="1"/>
  <c r="C124" i="2" s="1"/>
  <c r="F125" i="2" s="1"/>
  <c r="J124" i="2"/>
  <c r="M124" i="2" s="1"/>
  <c r="O124" i="2" s="1"/>
  <c r="D130" i="44"/>
  <c r="C130" i="44" s="1"/>
  <c r="G131" i="44" s="1"/>
  <c r="C121" i="50"/>
  <c r="J115" i="50"/>
  <c r="M115" i="50" s="1"/>
  <c r="O115" i="50" s="1"/>
  <c r="J130" i="44"/>
  <c r="M130" i="44" s="1"/>
  <c r="O130" i="44" s="1"/>
  <c r="N133" i="40"/>
  <c r="K133" i="40"/>
  <c r="I133" i="40"/>
  <c r="G133" i="40"/>
  <c r="H133" i="40"/>
  <c r="E133" i="40"/>
  <c r="B133" i="40"/>
  <c r="L133" i="40" s="1"/>
  <c r="M132" i="40"/>
  <c r="O132" i="40" s="1"/>
  <c r="B125" i="2" l="1"/>
  <c r="L125" i="2" s="1"/>
  <c r="N125" i="2"/>
  <c r="G125" i="2"/>
  <c r="H125" i="2"/>
  <c r="I125" i="2"/>
  <c r="E125" i="2"/>
  <c r="K125" i="2"/>
  <c r="F131" i="44"/>
  <c r="K131" i="44"/>
  <c r="B131" i="44"/>
  <c r="L131" i="44" s="1"/>
  <c r="E131" i="44"/>
  <c r="I131" i="44"/>
  <c r="H131" i="44"/>
  <c r="N131" i="44"/>
  <c r="F122" i="50"/>
  <c r="K122" i="50"/>
  <c r="E122" i="50"/>
  <c r="G122" i="50"/>
  <c r="H122" i="50"/>
  <c r="I122" i="50"/>
  <c r="B122" i="50"/>
  <c r="L122" i="50" s="1"/>
  <c r="D122" i="50" s="1"/>
  <c r="N122" i="50"/>
  <c r="J116" i="50"/>
  <c r="M116" i="50" s="1"/>
  <c r="O116" i="50" s="1"/>
  <c r="D133" i="40"/>
  <c r="C133" i="40" s="1"/>
  <c r="G134" i="40" s="1"/>
  <c r="J133" i="40"/>
  <c r="M133" i="40" s="1"/>
  <c r="O133" i="40" s="1"/>
  <c r="D125" i="2" l="1"/>
  <c r="C125" i="2" s="1"/>
  <c r="G126" i="2" s="1"/>
  <c r="J125" i="2"/>
  <c r="M125" i="2" s="1"/>
  <c r="O125" i="2" s="1"/>
  <c r="J131" i="44"/>
  <c r="M131" i="44" s="1"/>
  <c r="O131" i="44" s="1"/>
  <c r="H134" i="40"/>
  <c r="F134" i="40"/>
  <c r="C122" i="50"/>
  <c r="I134" i="40"/>
  <c r="K134" i="40"/>
  <c r="B134" i="40"/>
  <c r="L134" i="40" s="1"/>
  <c r="N134" i="40"/>
  <c r="E134" i="40"/>
  <c r="D131" i="44"/>
  <c r="C131" i="44" s="1"/>
  <c r="H126" i="2" l="1"/>
  <c r="I126" i="2"/>
  <c r="E126" i="2"/>
  <c r="N126" i="2"/>
  <c r="K126" i="2"/>
  <c r="F126" i="2"/>
  <c r="B126" i="2"/>
  <c r="L126" i="2" s="1"/>
  <c r="D126" i="2" s="1"/>
  <c r="C126" i="2" s="1"/>
  <c r="N127" i="2" s="1"/>
  <c r="D134" i="40"/>
  <c r="C134" i="40" s="1"/>
  <c r="F135" i="40" s="1"/>
  <c r="K123" i="50"/>
  <c r="F123" i="50"/>
  <c r="E123" i="50"/>
  <c r="H123" i="50"/>
  <c r="I123" i="50"/>
  <c r="N123" i="50"/>
  <c r="B123" i="50"/>
  <c r="L123" i="50" s="1"/>
  <c r="D123" i="50" s="1"/>
  <c r="G123" i="50"/>
  <c r="J117" i="50"/>
  <c r="M117" i="50" s="1"/>
  <c r="O117" i="50" s="1"/>
  <c r="K132" i="44"/>
  <c r="F132" i="44"/>
  <c r="J134" i="40"/>
  <c r="M134" i="40" s="1"/>
  <c r="O134" i="40" s="1"/>
  <c r="G132" i="44"/>
  <c r="I132" i="44"/>
  <c r="H132" i="44"/>
  <c r="E132" i="44"/>
  <c r="B132" i="44"/>
  <c r="L132" i="44" s="1"/>
  <c r="N132" i="44"/>
  <c r="J126" i="2" l="1"/>
  <c r="M126" i="2" s="1"/>
  <c r="O126" i="2" s="1"/>
  <c r="K135" i="40"/>
  <c r="G135" i="40"/>
  <c r="H135" i="40"/>
  <c r="B135" i="40"/>
  <c r="L135" i="40" s="1"/>
  <c r="N135" i="40"/>
  <c r="I127" i="2"/>
  <c r="E127" i="2"/>
  <c r="B127" i="2"/>
  <c r="L127" i="2" s="1"/>
  <c r="K127" i="2"/>
  <c r="F127" i="2"/>
  <c r="G127" i="2"/>
  <c r="H127" i="2"/>
  <c r="E135" i="40"/>
  <c r="I135" i="40"/>
  <c r="C123" i="50"/>
  <c r="D132" i="44"/>
  <c r="C132" i="44" s="1"/>
  <c r="K133" i="44" s="1"/>
  <c r="J132" i="44"/>
  <c r="M132" i="44" s="1"/>
  <c r="O132" i="44" s="1"/>
  <c r="D135" i="40" l="1"/>
  <c r="C135" i="40" s="1"/>
  <c r="F136" i="40" s="1"/>
  <c r="J135" i="40"/>
  <c r="M135" i="40" s="1"/>
  <c r="O135" i="40" s="1"/>
  <c r="D127" i="2"/>
  <c r="C127" i="2" s="1"/>
  <c r="F128" i="2" s="1"/>
  <c r="J127" i="2"/>
  <c r="M127" i="2" s="1"/>
  <c r="O127" i="2" s="1"/>
  <c r="I136" i="40"/>
  <c r="K136" i="40"/>
  <c r="N136" i="40"/>
  <c r="B136" i="40"/>
  <c r="L136" i="40" s="1"/>
  <c r="D136" i="40" s="1"/>
  <c r="C136" i="40" s="1"/>
  <c r="F137" i="40" s="1"/>
  <c r="E136" i="40"/>
  <c r="F124" i="50"/>
  <c r="E124" i="50"/>
  <c r="K124" i="50"/>
  <c r="H124" i="50"/>
  <c r="I124" i="50"/>
  <c r="N124" i="50"/>
  <c r="G124" i="50"/>
  <c r="B124" i="50"/>
  <c r="L124" i="50" s="1"/>
  <c r="J118" i="50"/>
  <c r="M118" i="50" s="1"/>
  <c r="O118" i="50" s="1"/>
  <c r="I133" i="44"/>
  <c r="H133" i="44"/>
  <c r="N133" i="44"/>
  <c r="E133" i="44"/>
  <c r="G133" i="44"/>
  <c r="B133" i="44"/>
  <c r="L133" i="44" s="1"/>
  <c r="F133" i="44"/>
  <c r="H136" i="40" l="1"/>
  <c r="G136" i="40"/>
  <c r="I128" i="2"/>
  <c r="G128" i="2"/>
  <c r="B128" i="2"/>
  <c r="L128" i="2" s="1"/>
  <c r="E128" i="2"/>
  <c r="K128" i="2"/>
  <c r="N128" i="2"/>
  <c r="H128" i="2"/>
  <c r="D124" i="50"/>
  <c r="J136" i="40"/>
  <c r="M136" i="40" s="1"/>
  <c r="O136" i="40" s="1"/>
  <c r="C124" i="50"/>
  <c r="J119" i="50"/>
  <c r="M119" i="50" s="1"/>
  <c r="O119" i="50" s="1"/>
  <c r="D133" i="44"/>
  <c r="C133" i="44" s="1"/>
  <c r="I134" i="44" s="1"/>
  <c r="J133" i="44"/>
  <c r="M133" i="44" s="1"/>
  <c r="O133" i="44" s="1"/>
  <c r="K137" i="40"/>
  <c r="N137" i="40"/>
  <c r="H137" i="40"/>
  <c r="E137" i="40"/>
  <c r="G137" i="40"/>
  <c r="I137" i="40"/>
  <c r="B137" i="40"/>
  <c r="D128" i="2" l="1"/>
  <c r="C128" i="2" s="1"/>
  <c r="I129" i="2" s="1"/>
  <c r="J128" i="2"/>
  <c r="M128" i="2" s="1"/>
  <c r="O128" i="2" s="1"/>
  <c r="F134" i="44"/>
  <c r="K134" i="44"/>
  <c r="E134" i="44"/>
  <c r="N134" i="44"/>
  <c r="H134" i="44"/>
  <c r="G134" i="44"/>
  <c r="K125" i="50"/>
  <c r="E125" i="50"/>
  <c r="F125" i="50"/>
  <c r="B125" i="50"/>
  <c r="L125" i="50" s="1"/>
  <c r="H125" i="50"/>
  <c r="I125" i="50"/>
  <c r="G125" i="50"/>
  <c r="N125" i="50"/>
  <c r="B134" i="44"/>
  <c r="L134" i="44" s="1"/>
  <c r="D134" i="44" s="1"/>
  <c r="C134" i="44" s="1"/>
  <c r="K135" i="44" s="1"/>
  <c r="J120" i="50"/>
  <c r="M120" i="50" s="1"/>
  <c r="O120" i="50" s="1"/>
  <c r="J137" i="40"/>
  <c r="L137" i="40"/>
  <c r="H129" i="2" l="1"/>
  <c r="K129" i="2"/>
  <c r="F129" i="2"/>
  <c r="B129" i="2"/>
  <c r="L129" i="2" s="1"/>
  <c r="E129" i="2"/>
  <c r="G129" i="2"/>
  <c r="N129" i="2"/>
  <c r="D125" i="50"/>
  <c r="C125" i="50" s="1"/>
  <c r="J134" i="44"/>
  <c r="M134" i="44" s="1"/>
  <c r="O134" i="44" s="1"/>
  <c r="I135" i="44"/>
  <c r="N135" i="44"/>
  <c r="G135" i="44"/>
  <c r="E135" i="44"/>
  <c r="H135" i="44"/>
  <c r="F135" i="44"/>
  <c r="B135" i="44"/>
  <c r="L135" i="44" s="1"/>
  <c r="M137" i="40"/>
  <c r="O137" i="40" s="1"/>
  <c r="D137" i="40"/>
  <c r="C137" i="40" s="1"/>
  <c r="F138" i="40" s="1"/>
  <c r="D129" i="2" l="1"/>
  <c r="C129" i="2" s="1"/>
  <c r="B130" i="2" s="1"/>
  <c r="L130" i="2" s="1"/>
  <c r="J129" i="2"/>
  <c r="M129" i="2" s="1"/>
  <c r="O129" i="2" s="1"/>
  <c r="D135" i="44"/>
  <c r="C135" i="44" s="1"/>
  <c r="E136" i="44" s="1"/>
  <c r="J135" i="44"/>
  <c r="M135" i="44" s="1"/>
  <c r="O135" i="44" s="1"/>
  <c r="E126" i="50"/>
  <c r="F126" i="50"/>
  <c r="K126" i="50"/>
  <c r="I126" i="50"/>
  <c r="G126" i="50"/>
  <c r="N126" i="50"/>
  <c r="H126" i="50"/>
  <c r="B126" i="50"/>
  <c r="L126" i="50" s="1"/>
  <c r="D126" i="50" s="1"/>
  <c r="J121" i="50"/>
  <c r="M121" i="50" s="1"/>
  <c r="O121" i="50" s="1"/>
  <c r="K138" i="40"/>
  <c r="N138" i="40"/>
  <c r="I138" i="40"/>
  <c r="H138" i="40"/>
  <c r="G138" i="40"/>
  <c r="E138" i="40"/>
  <c r="B138" i="40"/>
  <c r="K130" i="2" l="1"/>
  <c r="F130" i="2"/>
  <c r="E130" i="2"/>
  <c r="D130" i="2" s="1"/>
  <c r="C130" i="2" s="1"/>
  <c r="F131" i="2" s="1"/>
  <c r="N130" i="2"/>
  <c r="G130" i="2"/>
  <c r="H130" i="2"/>
  <c r="I130" i="2"/>
  <c r="I131" i="2"/>
  <c r="G136" i="44"/>
  <c r="F136" i="44"/>
  <c r="I136" i="44"/>
  <c r="B136" i="44"/>
  <c r="L136" i="44" s="1"/>
  <c r="D136" i="44" s="1"/>
  <c r="C136" i="44" s="1"/>
  <c r="F137" i="44" s="1"/>
  <c r="N136" i="44"/>
  <c r="H136" i="44"/>
  <c r="K136" i="44"/>
  <c r="C126" i="50"/>
  <c r="J138" i="40"/>
  <c r="L138" i="40"/>
  <c r="D138" i="40" s="1"/>
  <c r="C138" i="40" s="1"/>
  <c r="F139" i="40" s="1"/>
  <c r="B131" i="2" l="1"/>
  <c r="L131" i="2" s="1"/>
  <c r="G131" i="2"/>
  <c r="E131" i="2"/>
  <c r="K131" i="2"/>
  <c r="N131" i="2"/>
  <c r="H131" i="2"/>
  <c r="J130" i="2"/>
  <c r="M130" i="2" s="1"/>
  <c r="O130" i="2" s="1"/>
  <c r="J136" i="44"/>
  <c r="M136" i="44" s="1"/>
  <c r="O136" i="44" s="1"/>
  <c r="K137" i="44"/>
  <c r="N137" i="44"/>
  <c r="E137" i="44"/>
  <c r="G137" i="44"/>
  <c r="I137" i="44"/>
  <c r="B137" i="44"/>
  <c r="L137" i="44" s="1"/>
  <c r="H137" i="44"/>
  <c r="K127" i="50"/>
  <c r="F127" i="50"/>
  <c r="E127" i="50"/>
  <c r="G127" i="50"/>
  <c r="N127" i="50"/>
  <c r="I127" i="50"/>
  <c r="H127" i="50"/>
  <c r="B127" i="50"/>
  <c r="L127" i="50" s="1"/>
  <c r="J122" i="50"/>
  <c r="M122" i="50" s="1"/>
  <c r="O122" i="50" s="1"/>
  <c r="K139" i="40"/>
  <c r="N139" i="40"/>
  <c r="H139" i="40"/>
  <c r="E139" i="40"/>
  <c r="I139" i="40"/>
  <c r="G139" i="40"/>
  <c r="B139" i="40"/>
  <c r="M138" i="40"/>
  <c r="O138" i="40" s="1"/>
  <c r="D131" i="2" l="1"/>
  <c r="C131" i="2" s="1"/>
  <c r="B132" i="2" s="1"/>
  <c r="L132" i="2" s="1"/>
  <c r="J131" i="2"/>
  <c r="M131" i="2" s="1"/>
  <c r="O131" i="2" s="1"/>
  <c r="D127" i="50"/>
  <c r="C127" i="50" s="1"/>
  <c r="J137" i="44"/>
  <c r="M137" i="44" s="1"/>
  <c r="O137" i="44" s="1"/>
  <c r="J123" i="50"/>
  <c r="M123" i="50" s="1"/>
  <c r="O123" i="50" s="1"/>
  <c r="D137" i="44"/>
  <c r="C137" i="44" s="1"/>
  <c r="J139" i="40"/>
  <c r="L139" i="40"/>
  <c r="F132" i="2" l="1"/>
  <c r="I132" i="2"/>
  <c r="N132" i="2"/>
  <c r="E132" i="2"/>
  <c r="D132" i="2" s="1"/>
  <c r="C132" i="2" s="1"/>
  <c r="F133" i="2" s="1"/>
  <c r="G132" i="2"/>
  <c r="H132" i="2"/>
  <c r="K132" i="2"/>
  <c r="K128" i="50"/>
  <c r="E128" i="50"/>
  <c r="F128" i="50"/>
  <c r="G128" i="50"/>
  <c r="N128" i="50"/>
  <c r="I128" i="50"/>
  <c r="H128" i="50"/>
  <c r="B128" i="50"/>
  <c r="L128" i="50" s="1"/>
  <c r="K138" i="44"/>
  <c r="F138" i="44"/>
  <c r="G138" i="44"/>
  <c r="I138" i="44"/>
  <c r="H138" i="44"/>
  <c r="E138" i="44"/>
  <c r="B138" i="44"/>
  <c r="L138" i="44" s="1"/>
  <c r="D138" i="44" s="1"/>
  <c r="C138" i="44" s="1"/>
  <c r="N138" i="44"/>
  <c r="M139" i="40"/>
  <c r="O139" i="40" s="1"/>
  <c r="D139" i="40"/>
  <c r="C139" i="40" s="1"/>
  <c r="F140" i="40" s="1"/>
  <c r="K133" i="2" l="1"/>
  <c r="I133" i="2"/>
  <c r="G133" i="2"/>
  <c r="N133" i="2"/>
  <c r="B133" i="2"/>
  <c r="L133" i="2" s="1"/>
  <c r="H133" i="2"/>
  <c r="J132" i="2"/>
  <c r="M132" i="2" s="1"/>
  <c r="O132" i="2" s="1"/>
  <c r="E133" i="2"/>
  <c r="D133" i="2" s="1"/>
  <c r="C133" i="2" s="1"/>
  <c r="D128" i="50"/>
  <c r="C128" i="50" s="1"/>
  <c r="J124" i="50"/>
  <c r="M124" i="50" s="1"/>
  <c r="O124" i="50" s="1"/>
  <c r="K139" i="44"/>
  <c r="F139" i="44"/>
  <c r="H139" i="44"/>
  <c r="I139" i="44"/>
  <c r="G139" i="44"/>
  <c r="E139" i="44"/>
  <c r="J138" i="44"/>
  <c r="M138" i="44" s="1"/>
  <c r="O138" i="44" s="1"/>
  <c r="N139" i="44"/>
  <c r="B139" i="44"/>
  <c r="K140" i="40"/>
  <c r="N140" i="40"/>
  <c r="I140" i="40"/>
  <c r="B140" i="40"/>
  <c r="L140" i="40" s="1"/>
  <c r="E140" i="40"/>
  <c r="G140" i="40"/>
  <c r="H140" i="40"/>
  <c r="J133" i="2" l="1"/>
  <c r="M133" i="2" s="1"/>
  <c r="O133" i="2" s="1"/>
  <c r="F134" i="2"/>
  <c r="N134" i="2"/>
  <c r="E134" i="2"/>
  <c r="K134" i="2"/>
  <c r="B134" i="2"/>
  <c r="L134" i="2" s="1"/>
  <c r="D134" i="2" s="1"/>
  <c r="C134" i="2" s="1"/>
  <c r="I135" i="2" s="1"/>
  <c r="H134" i="2"/>
  <c r="I134" i="2"/>
  <c r="G134" i="2"/>
  <c r="F129" i="50"/>
  <c r="E129" i="50"/>
  <c r="K129" i="50"/>
  <c r="B129" i="50"/>
  <c r="L129" i="50" s="1"/>
  <c r="N129" i="50"/>
  <c r="I129" i="50"/>
  <c r="H129" i="50"/>
  <c r="G129" i="50"/>
  <c r="J125" i="50"/>
  <c r="M125" i="50" s="1"/>
  <c r="O125" i="50" s="1"/>
  <c r="D140" i="40"/>
  <c r="C140" i="40" s="1"/>
  <c r="J139" i="44"/>
  <c r="L139" i="44"/>
  <c r="D139" i="44" s="1"/>
  <c r="C139" i="44" s="1"/>
  <c r="J140" i="40"/>
  <c r="M140" i="40" s="1"/>
  <c r="O140" i="40" s="1"/>
  <c r="N135" i="2" l="1"/>
  <c r="E135" i="2"/>
  <c r="K135" i="2"/>
  <c r="F135" i="2"/>
  <c r="J134" i="2"/>
  <c r="M134" i="2" s="1"/>
  <c r="O134" i="2" s="1"/>
  <c r="G135" i="2"/>
  <c r="B135" i="2"/>
  <c r="L135" i="2" s="1"/>
  <c r="D135" i="2" s="1"/>
  <c r="C135" i="2" s="1"/>
  <c r="F136" i="2" s="1"/>
  <c r="H135" i="2"/>
  <c r="D129" i="50"/>
  <c r="C129" i="50" s="1"/>
  <c r="H141" i="40"/>
  <c r="F141" i="40"/>
  <c r="K140" i="44"/>
  <c r="F140" i="44"/>
  <c r="G141" i="40"/>
  <c r="E141" i="40"/>
  <c r="I141" i="40"/>
  <c r="K141" i="40"/>
  <c r="B141" i="40"/>
  <c r="L141" i="40" s="1"/>
  <c r="N141" i="40"/>
  <c r="G140" i="44"/>
  <c r="I140" i="44"/>
  <c r="H140" i="44"/>
  <c r="E140" i="44"/>
  <c r="M139" i="44"/>
  <c r="O139" i="44" s="1"/>
  <c r="N140" i="44"/>
  <c r="B140" i="44"/>
  <c r="L140" i="44" s="1"/>
  <c r="J135" i="2" l="1"/>
  <c r="M135" i="2" s="1"/>
  <c r="O135" i="2" s="1"/>
  <c r="D141" i="40"/>
  <c r="C141" i="40" s="1"/>
  <c r="N142" i="40" s="1"/>
  <c r="H136" i="2"/>
  <c r="K136" i="2"/>
  <c r="I136" i="2"/>
  <c r="G136" i="2"/>
  <c r="N136" i="2"/>
  <c r="E136" i="2"/>
  <c r="B136" i="2"/>
  <c r="L136" i="2" s="1"/>
  <c r="D136" i="2" s="1"/>
  <c r="C136" i="2" s="1"/>
  <c r="F130" i="50"/>
  <c r="K130" i="50"/>
  <c r="E130" i="50"/>
  <c r="G130" i="50"/>
  <c r="I130" i="50"/>
  <c r="B130" i="50"/>
  <c r="L130" i="50" s="1"/>
  <c r="D130" i="50" s="1"/>
  <c r="H130" i="50"/>
  <c r="N130" i="50"/>
  <c r="D140" i="44"/>
  <c r="C140" i="44" s="1"/>
  <c r="K141" i="44" s="1"/>
  <c r="J126" i="50"/>
  <c r="M126" i="50" s="1"/>
  <c r="O126" i="50" s="1"/>
  <c r="J141" i="40"/>
  <c r="M141" i="40" s="1"/>
  <c r="O141" i="40" s="1"/>
  <c r="J140" i="44"/>
  <c r="M140" i="44" s="1"/>
  <c r="O140" i="44" s="1"/>
  <c r="I142" i="40" l="1"/>
  <c r="E141" i="44"/>
  <c r="G141" i="44"/>
  <c r="I141" i="44"/>
  <c r="H141" i="44"/>
  <c r="B141" i="44"/>
  <c r="L141" i="44" s="1"/>
  <c r="D141" i="44" s="1"/>
  <c r="C141" i="44" s="1"/>
  <c r="N141" i="44"/>
  <c r="K142" i="40"/>
  <c r="E142" i="40"/>
  <c r="B142" i="40"/>
  <c r="L142" i="40" s="1"/>
  <c r="F142" i="40"/>
  <c r="H142" i="40"/>
  <c r="G142" i="40"/>
  <c r="H137" i="2"/>
  <c r="I137" i="2"/>
  <c r="C130" i="50"/>
  <c r="F141" i="44"/>
  <c r="J136" i="2"/>
  <c r="M136" i="2" s="1"/>
  <c r="O136" i="2" s="1"/>
  <c r="F137" i="2"/>
  <c r="B137" i="2"/>
  <c r="L137" i="2" s="1"/>
  <c r="N137" i="2"/>
  <c r="G137" i="2"/>
  <c r="E137" i="2"/>
  <c r="K137" i="2"/>
  <c r="D142" i="40" l="1"/>
  <c r="C142" i="40" s="1"/>
  <c r="F143" i="40" s="1"/>
  <c r="J141" i="44"/>
  <c r="M141" i="44" s="1"/>
  <c r="O141" i="44" s="1"/>
  <c r="J142" i="40"/>
  <c r="M142" i="40" s="1"/>
  <c r="O142" i="40" s="1"/>
  <c r="N131" i="50"/>
  <c r="G131" i="50"/>
  <c r="E131" i="50"/>
  <c r="B131" i="50"/>
  <c r="L131" i="50" s="1"/>
  <c r="D131" i="50" s="1"/>
  <c r="I131" i="50"/>
  <c r="F131" i="50"/>
  <c r="H131" i="50"/>
  <c r="K131" i="50"/>
  <c r="J127" i="50"/>
  <c r="M127" i="50" s="1"/>
  <c r="O127" i="50" s="1"/>
  <c r="D137" i="2"/>
  <c r="C137" i="2" s="1"/>
  <c r="K138" i="2" s="1"/>
  <c r="K142" i="44"/>
  <c r="F142" i="44"/>
  <c r="G142" i="44"/>
  <c r="I142" i="44"/>
  <c r="H142" i="44"/>
  <c r="E142" i="44"/>
  <c r="N142" i="44"/>
  <c r="B142" i="44"/>
  <c r="H143" i="40" l="1"/>
  <c r="B143" i="40"/>
  <c r="L143" i="40" s="1"/>
  <c r="D143" i="40" s="1"/>
  <c r="C143" i="40" s="1"/>
  <c r="G143" i="40"/>
  <c r="N143" i="40"/>
  <c r="E143" i="40"/>
  <c r="K143" i="40"/>
  <c r="I143" i="40"/>
  <c r="G138" i="2"/>
  <c r="I138" i="2"/>
  <c r="B138" i="2"/>
  <c r="L138" i="2" s="1"/>
  <c r="H138" i="2"/>
  <c r="N138" i="2"/>
  <c r="C131" i="50"/>
  <c r="E138" i="2"/>
  <c r="J137" i="2"/>
  <c r="M137" i="2" s="1"/>
  <c r="O137" i="2" s="1"/>
  <c r="F138" i="2"/>
  <c r="J142" i="44"/>
  <c r="L142" i="44"/>
  <c r="D142" i="44" s="1"/>
  <c r="C142" i="44" s="1"/>
  <c r="J143" i="40" l="1"/>
  <c r="M143" i="40" s="1"/>
  <c r="O143" i="40" s="1"/>
  <c r="D138" i="2"/>
  <c r="C138" i="2" s="1"/>
  <c r="F139" i="2" s="1"/>
  <c r="I144" i="40"/>
  <c r="F144" i="40"/>
  <c r="G132" i="50"/>
  <c r="N132" i="50"/>
  <c r="K132" i="50"/>
  <c r="I132" i="50"/>
  <c r="B132" i="50"/>
  <c r="L132" i="50" s="1"/>
  <c r="D132" i="50" s="1"/>
  <c r="E132" i="50"/>
  <c r="F132" i="50"/>
  <c r="H132" i="50"/>
  <c r="K143" i="44"/>
  <c r="F143" i="44"/>
  <c r="J138" i="2"/>
  <c r="M138" i="2" s="1"/>
  <c r="O138" i="2" s="1"/>
  <c r="K144" i="40"/>
  <c r="H144" i="40"/>
  <c r="B144" i="40"/>
  <c r="L144" i="40" s="1"/>
  <c r="N144" i="40"/>
  <c r="E144" i="40"/>
  <c r="G144" i="40"/>
  <c r="H143" i="44"/>
  <c r="I143" i="44"/>
  <c r="G143" i="44"/>
  <c r="E143" i="44"/>
  <c r="M142" i="44"/>
  <c r="O142" i="44" s="1"/>
  <c r="N143" i="44"/>
  <c r="B143" i="44"/>
  <c r="N139" i="2" l="1"/>
  <c r="K139" i="2"/>
  <c r="G139" i="2"/>
  <c r="E139" i="2"/>
  <c r="I139" i="2"/>
  <c r="H139" i="2"/>
  <c r="B139" i="2"/>
  <c r="L139" i="2" s="1"/>
  <c r="D139" i="2" s="1"/>
  <c r="C139" i="2" s="1"/>
  <c r="F140" i="2" s="1"/>
  <c r="C132" i="50"/>
  <c r="J128" i="50"/>
  <c r="M128" i="50" s="1"/>
  <c r="O128" i="50" s="1"/>
  <c r="D144" i="40"/>
  <c r="C144" i="40" s="1"/>
  <c r="H145" i="40" s="1"/>
  <c r="J144" i="40"/>
  <c r="M144" i="40" s="1"/>
  <c r="O144" i="40" s="1"/>
  <c r="J143" i="44"/>
  <c r="L143" i="44"/>
  <c r="D143" i="44" s="1"/>
  <c r="C143" i="44" s="1"/>
  <c r="G145" i="40" l="1"/>
  <c r="F145" i="40"/>
  <c r="N133" i="50"/>
  <c r="K133" i="50"/>
  <c r="G133" i="50"/>
  <c r="F133" i="50"/>
  <c r="B133" i="50"/>
  <c r="L133" i="50" s="1"/>
  <c r="D133" i="50" s="1"/>
  <c r="E133" i="50"/>
  <c r="H133" i="50"/>
  <c r="I133" i="50"/>
  <c r="K144" i="44"/>
  <c r="F144" i="44"/>
  <c r="B145" i="40"/>
  <c r="L145" i="40" s="1"/>
  <c r="I145" i="40"/>
  <c r="K145" i="40"/>
  <c r="N145" i="40"/>
  <c r="E145" i="40"/>
  <c r="K140" i="2"/>
  <c r="J139" i="2"/>
  <c r="M139" i="2" s="1"/>
  <c r="O139" i="2" s="1"/>
  <c r="G140" i="2"/>
  <c r="N140" i="2"/>
  <c r="B140" i="2"/>
  <c r="L140" i="2" s="1"/>
  <c r="H140" i="2"/>
  <c r="I140" i="2"/>
  <c r="E140" i="2"/>
  <c r="G144" i="44"/>
  <c r="I144" i="44"/>
  <c r="H144" i="44"/>
  <c r="E144" i="44"/>
  <c r="M143" i="44"/>
  <c r="O143" i="44" s="1"/>
  <c r="N144" i="44"/>
  <c r="B144" i="44"/>
  <c r="L144" i="44" s="1"/>
  <c r="J145" i="40" l="1"/>
  <c r="M145" i="40" s="1"/>
  <c r="O145" i="40" s="1"/>
  <c r="D145" i="40"/>
  <c r="C145" i="40" s="1"/>
  <c r="K146" i="40" s="1"/>
  <c r="C133" i="50"/>
  <c r="J129" i="50"/>
  <c r="M129" i="50" s="1"/>
  <c r="O129" i="50" s="1"/>
  <c r="D144" i="44"/>
  <c r="C144" i="44" s="1"/>
  <c r="I145" i="44" s="1"/>
  <c r="D140" i="2"/>
  <c r="C140" i="2" s="1"/>
  <c r="F141" i="2" s="1"/>
  <c r="J144" i="44"/>
  <c r="M144" i="44" s="1"/>
  <c r="O144" i="44" s="1"/>
  <c r="G146" i="40" l="1"/>
  <c r="B146" i="40"/>
  <c r="L146" i="40" s="1"/>
  <c r="F146" i="40"/>
  <c r="E146" i="40"/>
  <c r="H146" i="40"/>
  <c r="I146" i="40"/>
  <c r="N146" i="40"/>
  <c r="B134" i="50"/>
  <c r="L134" i="50" s="1"/>
  <c r="G134" i="50"/>
  <c r="F134" i="50"/>
  <c r="I134" i="50"/>
  <c r="N134" i="50"/>
  <c r="K134" i="50"/>
  <c r="E134" i="50"/>
  <c r="H134" i="50"/>
  <c r="E145" i="44"/>
  <c r="G145" i="44"/>
  <c r="N145" i="44"/>
  <c r="K145" i="44"/>
  <c r="F145" i="44"/>
  <c r="K141" i="2"/>
  <c r="J140" i="2"/>
  <c r="M140" i="2" s="1"/>
  <c r="O140" i="2" s="1"/>
  <c r="H145" i="44"/>
  <c r="B145" i="44"/>
  <c r="L145" i="44" s="1"/>
  <c r="D145" i="44" s="1"/>
  <c r="C145" i="44" s="1"/>
  <c r="N141" i="2"/>
  <c r="H141" i="2"/>
  <c r="G141" i="2"/>
  <c r="I141" i="2"/>
  <c r="E141" i="2"/>
  <c r="B141" i="2"/>
  <c r="L141" i="2" s="1"/>
  <c r="D146" i="40" l="1"/>
  <c r="C146" i="40" s="1"/>
  <c r="K147" i="40" s="1"/>
  <c r="J146" i="40"/>
  <c r="M146" i="40" s="1"/>
  <c r="O146" i="40" s="1"/>
  <c r="D134" i="50"/>
  <c r="C134" i="50" s="1"/>
  <c r="J130" i="50"/>
  <c r="M130" i="50" s="1"/>
  <c r="O130" i="50" s="1"/>
  <c r="J145" i="44"/>
  <c r="M145" i="44" s="1"/>
  <c r="O145" i="44" s="1"/>
  <c r="K146" i="44"/>
  <c r="F146" i="44"/>
  <c r="D141" i="2"/>
  <c r="C141" i="2" s="1"/>
  <c r="F142" i="2" s="1"/>
  <c r="G146" i="44"/>
  <c r="I146" i="44"/>
  <c r="H146" i="44"/>
  <c r="E146" i="44"/>
  <c r="N146" i="44"/>
  <c r="B146" i="44"/>
  <c r="G147" i="40" l="1"/>
  <c r="B147" i="40"/>
  <c r="L147" i="40" s="1"/>
  <c r="E147" i="40"/>
  <c r="D147" i="40" s="1"/>
  <c r="C147" i="40" s="1"/>
  <c r="K148" i="40" s="1"/>
  <c r="F147" i="40"/>
  <c r="N147" i="40"/>
  <c r="H147" i="40"/>
  <c r="I147" i="40"/>
  <c r="G135" i="50"/>
  <c r="I135" i="50"/>
  <c r="N135" i="50"/>
  <c r="K135" i="50"/>
  <c r="E135" i="50"/>
  <c r="F135" i="50"/>
  <c r="H135" i="50"/>
  <c r="B135" i="50"/>
  <c r="L135" i="50" s="1"/>
  <c r="J131" i="50"/>
  <c r="M131" i="50" s="1"/>
  <c r="O131" i="50" s="1"/>
  <c r="K142" i="2"/>
  <c r="J141" i="2"/>
  <c r="M141" i="2" s="1"/>
  <c r="O141" i="2" s="1"/>
  <c r="I142" i="2"/>
  <c r="N142" i="2"/>
  <c r="B142" i="2"/>
  <c r="L142" i="2" s="1"/>
  <c r="E142" i="2"/>
  <c r="G142" i="2"/>
  <c r="H142" i="2"/>
  <c r="J146" i="44"/>
  <c r="L146" i="44"/>
  <c r="D146" i="44" s="1"/>
  <c r="C146" i="44" s="1"/>
  <c r="F148" i="40" l="1"/>
  <c r="N148" i="40"/>
  <c r="B148" i="40"/>
  <c r="L148" i="40" s="1"/>
  <c r="D148" i="40" s="1"/>
  <c r="C148" i="40" s="1"/>
  <c r="F149" i="40" s="1"/>
  <c r="H148" i="40"/>
  <c r="I148" i="40"/>
  <c r="E148" i="40"/>
  <c r="G148" i="40"/>
  <c r="J147" i="40"/>
  <c r="M147" i="40" s="1"/>
  <c r="O147" i="40" s="1"/>
  <c r="D135" i="50"/>
  <c r="C135" i="50" s="1"/>
  <c r="K147" i="44"/>
  <c r="F147" i="44"/>
  <c r="D142" i="2"/>
  <c r="C142" i="2" s="1"/>
  <c r="F143" i="2" s="1"/>
  <c r="H147" i="44"/>
  <c r="I147" i="44"/>
  <c r="G147" i="44"/>
  <c r="E147" i="44"/>
  <c r="N147" i="44"/>
  <c r="B147" i="44"/>
  <c r="M146" i="44"/>
  <c r="O146" i="44" s="1"/>
  <c r="J148" i="40" l="1"/>
  <c r="M148" i="40" s="1"/>
  <c r="O148" i="40" s="1"/>
  <c r="I136" i="50"/>
  <c r="E136" i="50"/>
  <c r="N136" i="50"/>
  <c r="F136" i="50"/>
  <c r="B136" i="50"/>
  <c r="L136" i="50" s="1"/>
  <c r="D136" i="50" s="1"/>
  <c r="K136" i="50"/>
  <c r="H136" i="50"/>
  <c r="G136" i="50"/>
  <c r="J132" i="50"/>
  <c r="M132" i="50" s="1"/>
  <c r="O132" i="50" s="1"/>
  <c r="K143" i="2"/>
  <c r="J142" i="2"/>
  <c r="M142" i="2" s="1"/>
  <c r="O142" i="2" s="1"/>
  <c r="N143" i="2"/>
  <c r="I143" i="2"/>
  <c r="E143" i="2"/>
  <c r="H143" i="2"/>
  <c r="B143" i="2"/>
  <c r="L143" i="2" s="1"/>
  <c r="G143" i="2"/>
  <c r="L147" i="44"/>
  <c r="D147" i="44" s="1"/>
  <c r="C147" i="44" s="1"/>
  <c r="J147" i="44"/>
  <c r="N149" i="40"/>
  <c r="K149" i="40"/>
  <c r="H149" i="40"/>
  <c r="E149" i="40"/>
  <c r="B149" i="40"/>
  <c r="G149" i="40"/>
  <c r="I149" i="40"/>
  <c r="C136" i="50" l="1"/>
  <c r="K148" i="44"/>
  <c r="F148" i="44"/>
  <c r="D143" i="2"/>
  <c r="C143" i="2" s="1"/>
  <c r="F144" i="2" s="1"/>
  <c r="G148" i="44"/>
  <c r="I148" i="44"/>
  <c r="H148" i="44"/>
  <c r="E148" i="44"/>
  <c r="M147" i="44"/>
  <c r="O147" i="44" s="1"/>
  <c r="N148" i="44"/>
  <c r="B148" i="44"/>
  <c r="L148" i="44" s="1"/>
  <c r="L149" i="40"/>
  <c r="D149" i="40" s="1"/>
  <c r="C149" i="40" s="1"/>
  <c r="F150" i="40" s="1"/>
  <c r="J149" i="40"/>
  <c r="H137" i="50" l="1"/>
  <c r="F137" i="50"/>
  <c r="B137" i="50"/>
  <c r="L137" i="50" s="1"/>
  <c r="I137" i="50"/>
  <c r="G137" i="50"/>
  <c r="K137" i="50"/>
  <c r="E137" i="50"/>
  <c r="N137" i="50"/>
  <c r="J133" i="50"/>
  <c r="M133" i="50" s="1"/>
  <c r="O133" i="50" s="1"/>
  <c r="K144" i="2"/>
  <c r="J143" i="2"/>
  <c r="M143" i="2" s="1"/>
  <c r="O143" i="2" s="1"/>
  <c r="D148" i="44"/>
  <c r="C148" i="44" s="1"/>
  <c r="E149" i="44" s="1"/>
  <c r="E144" i="2"/>
  <c r="N144" i="2"/>
  <c r="B144" i="2"/>
  <c r="L144" i="2" s="1"/>
  <c r="D144" i="2" s="1"/>
  <c r="C144" i="2" s="1"/>
  <c r="F145" i="2" s="1"/>
  <c r="H144" i="2"/>
  <c r="I144" i="2"/>
  <c r="G144" i="2"/>
  <c r="M149" i="40"/>
  <c r="O149" i="40" s="1"/>
  <c r="J148" i="44"/>
  <c r="M148" i="44" s="1"/>
  <c r="O148" i="44" s="1"/>
  <c r="N150" i="40"/>
  <c r="K150" i="40"/>
  <c r="G150" i="40"/>
  <c r="I150" i="40"/>
  <c r="E150" i="40"/>
  <c r="B150" i="40"/>
  <c r="H150" i="40"/>
  <c r="D137" i="50" l="1"/>
  <c r="C137" i="50" s="1"/>
  <c r="N149" i="44"/>
  <c r="K149" i="44"/>
  <c r="F149" i="44"/>
  <c r="H149" i="44"/>
  <c r="G149" i="44"/>
  <c r="I149" i="44"/>
  <c r="B149" i="44"/>
  <c r="L149" i="44" s="1"/>
  <c r="D149" i="44" s="1"/>
  <c r="C149" i="44" s="1"/>
  <c r="K145" i="2"/>
  <c r="J144" i="2"/>
  <c r="M144" i="2" s="1"/>
  <c r="O144" i="2" s="1"/>
  <c r="N145" i="2"/>
  <c r="G145" i="2"/>
  <c r="H145" i="2"/>
  <c r="E145" i="2"/>
  <c r="I145" i="2"/>
  <c r="B145" i="2"/>
  <c r="L145" i="2" s="1"/>
  <c r="L150" i="40"/>
  <c r="D150" i="40" s="1"/>
  <c r="C150" i="40" s="1"/>
  <c r="F151" i="40" s="1"/>
  <c r="J150" i="40"/>
  <c r="B138" i="50" l="1"/>
  <c r="L138" i="50" s="1"/>
  <c r="F138" i="50"/>
  <c r="E138" i="50"/>
  <c r="H138" i="50"/>
  <c r="G138" i="50"/>
  <c r="I138" i="50"/>
  <c r="N138" i="50"/>
  <c r="K138" i="50"/>
  <c r="J149" i="44"/>
  <c r="M149" i="44" s="1"/>
  <c r="O149" i="44" s="1"/>
  <c r="K150" i="44"/>
  <c r="F150" i="44"/>
  <c r="D145" i="2"/>
  <c r="C145" i="2" s="1"/>
  <c r="H146" i="2" s="1"/>
  <c r="G150" i="44"/>
  <c r="I150" i="44"/>
  <c r="H150" i="44"/>
  <c r="E150" i="44"/>
  <c r="N150" i="44"/>
  <c r="B150" i="44"/>
  <c r="N151" i="40"/>
  <c r="K151" i="40"/>
  <c r="M150" i="40"/>
  <c r="O150" i="40" s="1"/>
  <c r="I151" i="40"/>
  <c r="H151" i="40"/>
  <c r="E151" i="40"/>
  <c r="G151" i="40"/>
  <c r="B151" i="40"/>
  <c r="D138" i="50" l="1"/>
  <c r="G146" i="2"/>
  <c r="B146" i="2"/>
  <c r="L146" i="2" s="1"/>
  <c r="C138" i="50"/>
  <c r="N146" i="2"/>
  <c r="F146" i="2"/>
  <c r="I146" i="2"/>
  <c r="J134" i="50"/>
  <c r="M134" i="50" s="1"/>
  <c r="O134" i="50" s="1"/>
  <c r="K146" i="2"/>
  <c r="J145" i="2"/>
  <c r="M145" i="2" s="1"/>
  <c r="O145" i="2" s="1"/>
  <c r="E146" i="2"/>
  <c r="J150" i="44"/>
  <c r="L150" i="44"/>
  <c r="D150" i="44" s="1"/>
  <c r="C150" i="44" s="1"/>
  <c r="J151" i="40"/>
  <c r="L151" i="40"/>
  <c r="D146" i="2" l="1"/>
  <c r="C146" i="2" s="1"/>
  <c r="F147" i="2" s="1"/>
  <c r="I139" i="50"/>
  <c r="H139" i="50"/>
  <c r="B139" i="50"/>
  <c r="L139" i="50" s="1"/>
  <c r="G139" i="50"/>
  <c r="F139" i="50"/>
  <c r="E139" i="50"/>
  <c r="K139" i="50"/>
  <c r="N139" i="50"/>
  <c r="J146" i="2"/>
  <c r="M146" i="2" s="1"/>
  <c r="O146" i="2" s="1"/>
  <c r="K151" i="44"/>
  <c r="F151" i="44"/>
  <c r="H151" i="44"/>
  <c r="I151" i="44"/>
  <c r="G151" i="44"/>
  <c r="E151" i="44"/>
  <c r="N151" i="44"/>
  <c r="B151" i="44"/>
  <c r="M150" i="44"/>
  <c r="O150" i="44" s="1"/>
  <c r="M151" i="40"/>
  <c r="O151" i="40" s="1"/>
  <c r="D151" i="40"/>
  <c r="C151" i="40" s="1"/>
  <c r="F152" i="40" s="1"/>
  <c r="G147" i="2" l="1"/>
  <c r="I147" i="2"/>
  <c r="K147" i="2"/>
  <c r="H147" i="2"/>
  <c r="N147" i="2"/>
  <c r="B147" i="2"/>
  <c r="L147" i="2" s="1"/>
  <c r="E147" i="2"/>
  <c r="D139" i="50"/>
  <c r="C139" i="50" s="1"/>
  <c r="J135" i="50"/>
  <c r="M135" i="50" s="1"/>
  <c r="O135" i="50" s="1"/>
  <c r="L151" i="44"/>
  <c r="D151" i="44" s="1"/>
  <c r="C151" i="44" s="1"/>
  <c r="J151" i="44"/>
  <c r="N152" i="40"/>
  <c r="K152" i="40"/>
  <c r="H152" i="40"/>
  <c r="E152" i="40"/>
  <c r="G152" i="40"/>
  <c r="I152" i="40"/>
  <c r="B152" i="40"/>
  <c r="D147" i="2" l="1"/>
  <c r="C147" i="2" s="1"/>
  <c r="F148" i="2" s="1"/>
  <c r="I140" i="50"/>
  <c r="N140" i="50"/>
  <c r="F140" i="50"/>
  <c r="E140" i="50"/>
  <c r="H140" i="50"/>
  <c r="K140" i="50"/>
  <c r="B140" i="50"/>
  <c r="L140" i="50" s="1"/>
  <c r="D140" i="50" s="1"/>
  <c r="G140" i="50"/>
  <c r="K152" i="44"/>
  <c r="F152" i="44"/>
  <c r="J147" i="2"/>
  <c r="M147" i="2" s="1"/>
  <c r="O147" i="2" s="1"/>
  <c r="G152" i="44"/>
  <c r="I152" i="44"/>
  <c r="H152" i="44"/>
  <c r="E152" i="44"/>
  <c r="M151" i="44"/>
  <c r="O151" i="44" s="1"/>
  <c r="N152" i="44"/>
  <c r="B152" i="44"/>
  <c r="L152" i="44" s="1"/>
  <c r="L152" i="40"/>
  <c r="D152" i="40" s="1"/>
  <c r="C152" i="40" s="1"/>
  <c r="F153" i="40" s="1"/>
  <c r="J152" i="40"/>
  <c r="K148" i="2" l="1"/>
  <c r="E148" i="2"/>
  <c r="N148" i="2"/>
  <c r="G148" i="2"/>
  <c r="I148" i="2"/>
  <c r="B148" i="2"/>
  <c r="L148" i="2" s="1"/>
  <c r="H148" i="2"/>
  <c r="C140" i="50"/>
  <c r="J136" i="50"/>
  <c r="M136" i="50" s="1"/>
  <c r="O136" i="50" s="1"/>
  <c r="D152" i="44"/>
  <c r="C152" i="44" s="1"/>
  <c r="J152" i="44"/>
  <c r="M152" i="44" s="1"/>
  <c r="O152" i="44" s="1"/>
  <c r="K153" i="40"/>
  <c r="N153" i="40"/>
  <c r="M152" i="40"/>
  <c r="O152" i="40" s="1"/>
  <c r="B153" i="40"/>
  <c r="E153" i="40"/>
  <c r="I153" i="40"/>
  <c r="G153" i="40"/>
  <c r="H153" i="40"/>
  <c r="D148" i="2" l="1"/>
  <c r="C148" i="2" s="1"/>
  <c r="E149" i="2" s="1"/>
  <c r="J148" i="2"/>
  <c r="M148" i="2" s="1"/>
  <c r="O148" i="2" s="1"/>
  <c r="K141" i="50"/>
  <c r="F141" i="50"/>
  <c r="E141" i="50"/>
  <c r="N141" i="50"/>
  <c r="B141" i="50"/>
  <c r="L141" i="50" s="1"/>
  <c r="G141" i="50"/>
  <c r="H141" i="50"/>
  <c r="I141" i="50"/>
  <c r="K153" i="44"/>
  <c r="F153" i="44"/>
  <c r="N153" i="44"/>
  <c r="E153" i="44"/>
  <c r="G153" i="44"/>
  <c r="I153" i="44"/>
  <c r="B153" i="44"/>
  <c r="L153" i="44" s="1"/>
  <c r="H153" i="44"/>
  <c r="J153" i="40"/>
  <c r="L153" i="40"/>
  <c r="D153" i="40" s="1"/>
  <c r="C153" i="40" s="1"/>
  <c r="F154" i="40" s="1"/>
  <c r="I149" i="2" l="1"/>
  <c r="N149" i="2"/>
  <c r="H149" i="2"/>
  <c r="K149" i="2"/>
  <c r="F149" i="2"/>
  <c r="G149" i="2"/>
  <c r="B149" i="2"/>
  <c r="L149" i="2" s="1"/>
  <c r="D149" i="2" s="1"/>
  <c r="C149" i="2" s="1"/>
  <c r="H150" i="2" s="1"/>
  <c r="D141" i="50"/>
  <c r="C141" i="50" s="1"/>
  <c r="J137" i="50"/>
  <c r="M137" i="50" s="1"/>
  <c r="O137" i="50" s="1"/>
  <c r="D153" i="44"/>
  <c r="C153" i="44" s="1"/>
  <c r="K154" i="44" s="1"/>
  <c r="J153" i="44"/>
  <c r="M153" i="44" s="1"/>
  <c r="O153" i="44" s="1"/>
  <c r="K154" i="40"/>
  <c r="N154" i="40"/>
  <c r="B154" i="40"/>
  <c r="G154" i="40"/>
  <c r="I154" i="40"/>
  <c r="E154" i="40"/>
  <c r="H154" i="40"/>
  <c r="M153" i="40"/>
  <c r="O153" i="40" s="1"/>
  <c r="J149" i="2" l="1"/>
  <c r="M149" i="2" s="1"/>
  <c r="O149" i="2" s="1"/>
  <c r="E150" i="2"/>
  <c r="N150" i="2"/>
  <c r="F150" i="2"/>
  <c r="B150" i="2"/>
  <c r="L150" i="2" s="1"/>
  <c r="D150" i="2" s="1"/>
  <c r="C150" i="2" s="1"/>
  <c r="F151" i="2" s="1"/>
  <c r="I150" i="2"/>
  <c r="K150" i="2"/>
  <c r="G150" i="2"/>
  <c r="E142" i="50"/>
  <c r="K142" i="50"/>
  <c r="F142" i="50"/>
  <c r="I142" i="50"/>
  <c r="N142" i="50"/>
  <c r="G142" i="50"/>
  <c r="B142" i="50"/>
  <c r="L142" i="50" s="1"/>
  <c r="D142" i="50" s="1"/>
  <c r="H142" i="50"/>
  <c r="E154" i="44"/>
  <c r="H154" i="44"/>
  <c r="I154" i="44"/>
  <c r="G154" i="44"/>
  <c r="F154" i="44"/>
  <c r="B154" i="44"/>
  <c r="L154" i="44" s="1"/>
  <c r="D154" i="44" s="1"/>
  <c r="C154" i="44" s="1"/>
  <c r="N154" i="44"/>
  <c r="L154" i="40"/>
  <c r="D154" i="40" s="1"/>
  <c r="C154" i="40" s="1"/>
  <c r="F155" i="40" s="1"/>
  <c r="J154" i="40"/>
  <c r="J150" i="2" l="1"/>
  <c r="M150" i="2" s="1"/>
  <c r="O150" i="2" s="1"/>
  <c r="K151" i="2"/>
  <c r="H151" i="2"/>
  <c r="N151" i="2"/>
  <c r="I151" i="2"/>
  <c r="E151" i="2"/>
  <c r="B151" i="2"/>
  <c r="L151" i="2" s="1"/>
  <c r="D151" i="2" s="1"/>
  <c r="C151" i="2" s="1"/>
  <c r="F152" i="2" s="1"/>
  <c r="G151" i="2"/>
  <c r="C142" i="50"/>
  <c r="J154" i="44"/>
  <c r="M154" i="44" s="1"/>
  <c r="O154" i="44" s="1"/>
  <c r="J138" i="50"/>
  <c r="M138" i="50" s="1"/>
  <c r="O138" i="50" s="1"/>
  <c r="K155" i="44"/>
  <c r="F155" i="44"/>
  <c r="H155" i="44"/>
  <c r="I155" i="44"/>
  <c r="G155" i="44"/>
  <c r="E155" i="44"/>
  <c r="N155" i="44"/>
  <c r="B155" i="44"/>
  <c r="K155" i="40"/>
  <c r="N155" i="40"/>
  <c r="B155" i="40"/>
  <c r="E155" i="40"/>
  <c r="H155" i="40"/>
  <c r="I155" i="40"/>
  <c r="G155" i="40"/>
  <c r="M154" i="40"/>
  <c r="O154" i="40" s="1"/>
  <c r="J151" i="2" l="1"/>
  <c r="M151" i="2" s="1"/>
  <c r="O151" i="2" s="1"/>
  <c r="H152" i="2"/>
  <c r="I152" i="2"/>
  <c r="K152" i="2"/>
  <c r="B152" i="2"/>
  <c r="L152" i="2" s="1"/>
  <c r="N152" i="2"/>
  <c r="G152" i="2"/>
  <c r="E152" i="2"/>
  <c r="K143" i="50"/>
  <c r="F143" i="50"/>
  <c r="E143" i="50"/>
  <c r="N143" i="50"/>
  <c r="H143" i="50"/>
  <c r="I143" i="50"/>
  <c r="G143" i="50"/>
  <c r="B143" i="50"/>
  <c r="L143" i="50" s="1"/>
  <c r="D143" i="50" s="1"/>
  <c r="L155" i="44"/>
  <c r="D155" i="44" s="1"/>
  <c r="C155" i="44" s="1"/>
  <c r="J155" i="44"/>
  <c r="J155" i="40"/>
  <c r="L155" i="40"/>
  <c r="D155" i="40" s="1"/>
  <c r="C155" i="40" s="1"/>
  <c r="F156" i="40" s="1"/>
  <c r="D152" i="2" l="1"/>
  <c r="C152" i="2" s="1"/>
  <c r="H153" i="2" s="1"/>
  <c r="C143" i="50"/>
  <c r="J139" i="50"/>
  <c r="M139" i="50" s="1"/>
  <c r="O139" i="50" s="1"/>
  <c r="J152" i="2"/>
  <c r="M152" i="2" s="1"/>
  <c r="O152" i="2" s="1"/>
  <c r="K156" i="44"/>
  <c r="F156" i="44"/>
  <c r="G156" i="44"/>
  <c r="I156" i="44"/>
  <c r="H156" i="44"/>
  <c r="E156" i="44"/>
  <c r="M155" i="44"/>
  <c r="O155" i="44" s="1"/>
  <c r="N156" i="44"/>
  <c r="B156" i="44"/>
  <c r="L156" i="44" s="1"/>
  <c r="K156" i="40"/>
  <c r="N156" i="40"/>
  <c r="E156" i="40"/>
  <c r="G156" i="40"/>
  <c r="I156" i="40"/>
  <c r="B156" i="40"/>
  <c r="H156" i="40"/>
  <c r="M155" i="40"/>
  <c r="O155" i="40" s="1"/>
  <c r="K153" i="2" l="1"/>
  <c r="N153" i="2"/>
  <c r="F153" i="2"/>
  <c r="B153" i="2"/>
  <c r="L153" i="2" s="1"/>
  <c r="E153" i="2"/>
  <c r="I153" i="2"/>
  <c r="G153" i="2"/>
  <c r="F144" i="50"/>
  <c r="K144" i="50"/>
  <c r="E144" i="50"/>
  <c r="H144" i="50"/>
  <c r="B144" i="50"/>
  <c r="L144" i="50" s="1"/>
  <c r="D144" i="50" s="1"/>
  <c r="I144" i="50"/>
  <c r="N144" i="50"/>
  <c r="G144" i="50"/>
  <c r="D156" i="44"/>
  <c r="C156" i="44" s="1"/>
  <c r="J156" i="44"/>
  <c r="M156" i="44" s="1"/>
  <c r="O156" i="44" s="1"/>
  <c r="L156" i="40"/>
  <c r="D156" i="40" s="1"/>
  <c r="C156" i="40" s="1"/>
  <c r="F157" i="40" s="1"/>
  <c r="J156" i="40"/>
  <c r="D153" i="2" l="1"/>
  <c r="C153" i="2" s="1"/>
  <c r="F154" i="2" s="1"/>
  <c r="J153" i="2"/>
  <c r="M153" i="2" s="1"/>
  <c r="O153" i="2" s="1"/>
  <c r="C144" i="50"/>
  <c r="N157" i="44"/>
  <c r="K157" i="44"/>
  <c r="F157" i="44"/>
  <c r="E157" i="44"/>
  <c r="G157" i="44"/>
  <c r="I157" i="44"/>
  <c r="H157" i="44"/>
  <c r="B157" i="44"/>
  <c r="L157" i="44" s="1"/>
  <c r="N157" i="40"/>
  <c r="K157" i="40"/>
  <c r="I157" i="40"/>
  <c r="G157" i="40"/>
  <c r="E157" i="40"/>
  <c r="B157" i="40"/>
  <c r="L157" i="40" s="1"/>
  <c r="H157" i="40"/>
  <c r="M156" i="40"/>
  <c r="O156" i="40" s="1"/>
  <c r="D157" i="40" l="1"/>
  <c r="C157" i="40" s="1"/>
  <c r="F158" i="40" s="1"/>
  <c r="E154" i="2"/>
  <c r="N154" i="2"/>
  <c r="B154" i="2"/>
  <c r="L154" i="2" s="1"/>
  <c r="H154" i="2"/>
  <c r="I154" i="2"/>
  <c r="G154" i="2"/>
  <c r="K154" i="2"/>
  <c r="E145" i="50"/>
  <c r="F145" i="50"/>
  <c r="K145" i="50"/>
  <c r="H145" i="50"/>
  <c r="N145" i="50"/>
  <c r="I145" i="50"/>
  <c r="B145" i="50"/>
  <c r="L145" i="50" s="1"/>
  <c r="D145" i="50" s="1"/>
  <c r="G145" i="50"/>
  <c r="J140" i="50"/>
  <c r="M140" i="50" s="1"/>
  <c r="O140" i="50" s="1"/>
  <c r="D157" i="44"/>
  <c r="C157" i="44" s="1"/>
  <c r="K158" i="44" s="1"/>
  <c r="J157" i="44"/>
  <c r="M157" i="44" s="1"/>
  <c r="O157" i="44" s="1"/>
  <c r="N158" i="40"/>
  <c r="K158" i="40"/>
  <c r="I158" i="40"/>
  <c r="H158" i="40"/>
  <c r="E158" i="40"/>
  <c r="G158" i="40"/>
  <c r="J157" i="40"/>
  <c r="M157" i="40" s="1"/>
  <c r="O157" i="40" s="1"/>
  <c r="B158" i="40" l="1"/>
  <c r="D154" i="2"/>
  <c r="C154" i="2" s="1"/>
  <c r="F155" i="2" s="1"/>
  <c r="J154" i="2"/>
  <c r="M154" i="2" s="1"/>
  <c r="O154" i="2" s="1"/>
  <c r="E158" i="44"/>
  <c r="H158" i="44"/>
  <c r="N158" i="44"/>
  <c r="I158" i="44"/>
  <c r="C145" i="50"/>
  <c r="G158" i="44"/>
  <c r="F158" i="44"/>
  <c r="B158" i="44"/>
  <c r="L158" i="44" s="1"/>
  <c r="D158" i="44" s="1"/>
  <c r="C158" i="44" s="1"/>
  <c r="L158" i="40"/>
  <c r="D158" i="40" s="1"/>
  <c r="C158" i="40" s="1"/>
  <c r="F159" i="40" s="1"/>
  <c r="J158" i="40"/>
  <c r="N155" i="2" l="1"/>
  <c r="H155" i="2"/>
  <c r="I155" i="2"/>
  <c r="K155" i="2"/>
  <c r="E155" i="2"/>
  <c r="B155" i="2"/>
  <c r="L155" i="2" s="1"/>
  <c r="G155" i="2"/>
  <c r="J158" i="44"/>
  <c r="M158" i="44" s="1"/>
  <c r="O158" i="44" s="1"/>
  <c r="F146" i="50"/>
  <c r="K146" i="50"/>
  <c r="E146" i="50"/>
  <c r="H146" i="50"/>
  <c r="G146" i="50"/>
  <c r="N146" i="50"/>
  <c r="I146" i="50"/>
  <c r="B146" i="50"/>
  <c r="L146" i="50" s="1"/>
  <c r="J141" i="50"/>
  <c r="M141" i="50" s="1"/>
  <c r="O141" i="50" s="1"/>
  <c r="K159" i="44"/>
  <c r="F159" i="44"/>
  <c r="H159" i="44"/>
  <c r="I159" i="44"/>
  <c r="G159" i="44"/>
  <c r="E159" i="44"/>
  <c r="N159" i="44"/>
  <c r="B159" i="44"/>
  <c r="N159" i="40"/>
  <c r="K159" i="40"/>
  <c r="B159" i="40"/>
  <c r="L159" i="40" s="1"/>
  <c r="E159" i="40"/>
  <c r="G159" i="40"/>
  <c r="I159" i="40"/>
  <c r="H159" i="40"/>
  <c r="M158" i="40"/>
  <c r="O158" i="40" s="1"/>
  <c r="D155" i="2" l="1"/>
  <c r="C155" i="2" s="1"/>
  <c r="N156" i="2" s="1"/>
  <c r="D159" i="40"/>
  <c r="C159" i="40" s="1"/>
  <c r="F160" i="40" s="1"/>
  <c r="J155" i="2"/>
  <c r="M155" i="2" s="1"/>
  <c r="O155" i="2" s="1"/>
  <c r="D146" i="50"/>
  <c r="C146" i="50" s="1"/>
  <c r="J159" i="44"/>
  <c r="L159" i="44"/>
  <c r="D159" i="44" s="1"/>
  <c r="C159" i="44" s="1"/>
  <c r="N160" i="40"/>
  <c r="K160" i="40"/>
  <c r="J159" i="40"/>
  <c r="M159" i="40" s="1"/>
  <c r="O159" i="40" s="1"/>
  <c r="I160" i="40" l="1"/>
  <c r="E160" i="40"/>
  <c r="G160" i="40"/>
  <c r="B160" i="40"/>
  <c r="L160" i="40" s="1"/>
  <c r="H160" i="40"/>
  <c r="J160" i="40" s="1"/>
  <c r="F156" i="2"/>
  <c r="B156" i="2"/>
  <c r="L156" i="2" s="1"/>
  <c r="H156" i="2"/>
  <c r="E156" i="2"/>
  <c r="I156" i="2"/>
  <c r="K156" i="2"/>
  <c r="G156" i="2"/>
  <c r="F147" i="50"/>
  <c r="K147" i="50"/>
  <c r="E147" i="50"/>
  <c r="I147" i="50"/>
  <c r="B147" i="50"/>
  <c r="L147" i="50" s="1"/>
  <c r="D147" i="50" s="1"/>
  <c r="H147" i="50"/>
  <c r="N147" i="50"/>
  <c r="G147" i="50"/>
  <c r="J142" i="50"/>
  <c r="M142" i="50" s="1"/>
  <c r="K160" i="44"/>
  <c r="F160" i="44"/>
  <c r="G160" i="44"/>
  <c r="I160" i="44"/>
  <c r="H160" i="44"/>
  <c r="E160" i="44"/>
  <c r="M159" i="44"/>
  <c r="O159" i="44" s="1"/>
  <c r="N160" i="44"/>
  <c r="B160" i="44"/>
  <c r="L160" i="44" s="1"/>
  <c r="D156" i="2" l="1"/>
  <c r="C156" i="2" s="1"/>
  <c r="K157" i="2" s="1"/>
  <c r="J156" i="2"/>
  <c r="M156" i="2" s="1"/>
  <c r="O156" i="2" s="1"/>
  <c r="H157" i="2"/>
  <c r="F157" i="2"/>
  <c r="B157" i="2"/>
  <c r="L157" i="2" s="1"/>
  <c r="E157" i="2"/>
  <c r="G157" i="2"/>
  <c r="N157" i="2"/>
  <c r="I157" i="2"/>
  <c r="O142" i="50"/>
  <c r="C147" i="50"/>
  <c r="D160" i="44"/>
  <c r="C160" i="44" s="1"/>
  <c r="G161" i="44" s="1"/>
  <c r="J160" i="44"/>
  <c r="M160" i="44" s="1"/>
  <c r="O160" i="44" s="1"/>
  <c r="M160" i="40"/>
  <c r="O160" i="40" s="1"/>
  <c r="D160" i="40"/>
  <c r="C160" i="40" s="1"/>
  <c r="F161" i="40" s="1"/>
  <c r="D157" i="2" l="1"/>
  <c r="C157" i="2" s="1"/>
  <c r="N158" i="2" s="1"/>
  <c r="J157" i="2"/>
  <c r="M157" i="2" s="1"/>
  <c r="O157" i="2" s="1"/>
  <c r="E148" i="50"/>
  <c r="K148" i="50"/>
  <c r="F148" i="50"/>
  <c r="N148" i="50"/>
  <c r="B148" i="50"/>
  <c r="L148" i="50" s="1"/>
  <c r="D148" i="50" s="1"/>
  <c r="G148" i="50"/>
  <c r="H148" i="50"/>
  <c r="I148" i="50"/>
  <c r="H161" i="44"/>
  <c r="F161" i="44"/>
  <c r="N161" i="44"/>
  <c r="E161" i="44"/>
  <c r="I161" i="44"/>
  <c r="B161" i="44"/>
  <c r="L161" i="44" s="1"/>
  <c r="K161" i="44"/>
  <c r="J143" i="50"/>
  <c r="M143" i="50" s="1"/>
  <c r="O143" i="50" s="1"/>
  <c r="K161" i="40"/>
  <c r="N161" i="40"/>
  <c r="H161" i="40"/>
  <c r="E161" i="40"/>
  <c r="G161" i="40"/>
  <c r="B161" i="40"/>
  <c r="I161" i="40"/>
  <c r="B158" i="2" l="1"/>
  <c r="L158" i="2" s="1"/>
  <c r="H158" i="2"/>
  <c r="E158" i="2"/>
  <c r="F158" i="2"/>
  <c r="K158" i="2"/>
  <c r="I158" i="2"/>
  <c r="G158" i="2"/>
  <c r="J161" i="44"/>
  <c r="M161" i="44" s="1"/>
  <c r="O161" i="44" s="1"/>
  <c r="C148" i="50"/>
  <c r="D161" i="44"/>
  <c r="C161" i="44" s="1"/>
  <c r="L161" i="40"/>
  <c r="D161" i="40" s="1"/>
  <c r="C161" i="40" s="1"/>
  <c r="F162" i="40" s="1"/>
  <c r="J161" i="40"/>
  <c r="D158" i="2" l="1"/>
  <c r="C158" i="2" s="1"/>
  <c r="G159" i="2" s="1"/>
  <c r="J158" i="2"/>
  <c r="M158" i="2" s="1"/>
  <c r="O158" i="2" s="1"/>
  <c r="H159" i="2"/>
  <c r="I159" i="2"/>
  <c r="B159" i="2"/>
  <c r="L159" i="2" s="1"/>
  <c r="E159" i="2"/>
  <c r="N159" i="2"/>
  <c r="K159" i="2"/>
  <c r="F159" i="2"/>
  <c r="D159" i="2"/>
  <c r="C159" i="2" s="1"/>
  <c r="F160" i="2" s="1"/>
  <c r="E149" i="50"/>
  <c r="F149" i="50"/>
  <c r="K149" i="50"/>
  <c r="I149" i="50"/>
  <c r="G149" i="50"/>
  <c r="B149" i="50"/>
  <c r="L149" i="50" s="1"/>
  <c r="D149" i="50" s="1"/>
  <c r="H149" i="50"/>
  <c r="N149" i="50"/>
  <c r="J144" i="50"/>
  <c r="M144" i="50" s="1"/>
  <c r="O144" i="50" s="1"/>
  <c r="K162" i="44"/>
  <c r="F162" i="44"/>
  <c r="G162" i="44"/>
  <c r="I162" i="44"/>
  <c r="H162" i="44"/>
  <c r="E162" i="44"/>
  <c r="B162" i="44"/>
  <c r="L162" i="44" s="1"/>
  <c r="D162" i="44" s="1"/>
  <c r="C162" i="44" s="1"/>
  <c r="N162" i="44"/>
  <c r="K162" i="40"/>
  <c r="N162" i="40"/>
  <c r="H162" i="40"/>
  <c r="E162" i="40"/>
  <c r="I162" i="40"/>
  <c r="B162" i="40"/>
  <c r="G162" i="40"/>
  <c r="M161" i="40"/>
  <c r="O161" i="40" s="1"/>
  <c r="J159" i="2" l="1"/>
  <c r="M159" i="2" s="1"/>
  <c r="O159" i="2" s="1"/>
  <c r="E160" i="2"/>
  <c r="K160" i="2"/>
  <c r="N160" i="2"/>
  <c r="B160" i="2"/>
  <c r="L160" i="2" s="1"/>
  <c r="G160" i="2"/>
  <c r="H160" i="2"/>
  <c r="I160" i="2"/>
  <c r="C149" i="50"/>
  <c r="K163" i="44"/>
  <c r="F163" i="44"/>
  <c r="H163" i="44"/>
  <c r="I163" i="44"/>
  <c r="G163" i="44"/>
  <c r="E163" i="44"/>
  <c r="J162" i="44"/>
  <c r="M162" i="44" s="1"/>
  <c r="O162" i="44" s="1"/>
  <c r="N163" i="44"/>
  <c r="B163" i="44"/>
  <c r="L162" i="40"/>
  <c r="D162" i="40" s="1"/>
  <c r="C162" i="40" s="1"/>
  <c r="F163" i="40" s="1"/>
  <c r="J162" i="40"/>
  <c r="D160" i="2" l="1"/>
  <c r="C160" i="2" s="1"/>
  <c r="F161" i="2" s="1"/>
  <c r="K150" i="50"/>
  <c r="E150" i="50"/>
  <c r="F150" i="50"/>
  <c r="H150" i="50"/>
  <c r="G150" i="50"/>
  <c r="N150" i="50"/>
  <c r="I150" i="50"/>
  <c r="B150" i="50"/>
  <c r="L150" i="50" s="1"/>
  <c r="D150" i="50" s="1"/>
  <c r="J145" i="50"/>
  <c r="M145" i="50" s="1"/>
  <c r="O145" i="50" s="1"/>
  <c r="J160" i="2"/>
  <c r="M160" i="2" s="1"/>
  <c r="O160" i="2" s="1"/>
  <c r="G161" i="2"/>
  <c r="H161" i="2"/>
  <c r="L163" i="44"/>
  <c r="D163" i="44" s="1"/>
  <c r="C163" i="44" s="1"/>
  <c r="J163" i="44"/>
  <c r="K163" i="40"/>
  <c r="N163" i="40"/>
  <c r="H163" i="40"/>
  <c r="E163" i="40"/>
  <c r="G163" i="40"/>
  <c r="I163" i="40"/>
  <c r="B163" i="40"/>
  <c r="L163" i="40" s="1"/>
  <c r="M162" i="40"/>
  <c r="O162" i="40" s="1"/>
  <c r="B161" i="2" l="1"/>
  <c r="L161" i="2" s="1"/>
  <c r="E161" i="2"/>
  <c r="N161" i="2"/>
  <c r="I161" i="2"/>
  <c r="J161" i="2" s="1"/>
  <c r="K161" i="2"/>
  <c r="C150" i="50"/>
  <c r="K164" i="44"/>
  <c r="F164" i="44"/>
  <c r="G164" i="44"/>
  <c r="I164" i="44"/>
  <c r="H164" i="44"/>
  <c r="E164" i="44"/>
  <c r="D163" i="40"/>
  <c r="C163" i="40" s="1"/>
  <c r="M163" i="44"/>
  <c r="O163" i="44" s="1"/>
  <c r="N164" i="44"/>
  <c r="B164" i="44"/>
  <c r="L164" i="44" s="1"/>
  <c r="J163" i="40"/>
  <c r="M163" i="40" s="1"/>
  <c r="O163" i="40" s="1"/>
  <c r="D161" i="2" l="1"/>
  <c r="C161" i="2" s="1"/>
  <c r="M161" i="2"/>
  <c r="O161" i="2" s="1"/>
  <c r="G162" i="2"/>
  <c r="B162" i="2"/>
  <c r="L162" i="2" s="1"/>
  <c r="N162" i="2"/>
  <c r="E162" i="2"/>
  <c r="H162" i="2"/>
  <c r="K162" i="2"/>
  <c r="N164" i="40"/>
  <c r="F164" i="40"/>
  <c r="E151" i="50"/>
  <c r="F151" i="50"/>
  <c r="K151" i="50"/>
  <c r="B151" i="50"/>
  <c r="L151" i="50" s="1"/>
  <c r="D151" i="50" s="1"/>
  <c r="G151" i="50"/>
  <c r="I151" i="50"/>
  <c r="N151" i="50"/>
  <c r="H151" i="50"/>
  <c r="D162" i="2"/>
  <c r="C162" i="2" s="1"/>
  <c r="E163" i="2" s="1"/>
  <c r="J146" i="50"/>
  <c r="M146" i="50" s="1"/>
  <c r="O146" i="50" s="1"/>
  <c r="D164" i="44"/>
  <c r="C164" i="44" s="1"/>
  <c r="I165" i="44" s="1"/>
  <c r="K164" i="40"/>
  <c r="E164" i="40"/>
  <c r="H164" i="40"/>
  <c r="I164" i="40"/>
  <c r="G164" i="40"/>
  <c r="B164" i="40"/>
  <c r="L164" i="40" s="1"/>
  <c r="J164" i="44"/>
  <c r="M164" i="44" s="1"/>
  <c r="O164" i="44" s="1"/>
  <c r="F162" i="2" l="1"/>
  <c r="I162" i="2"/>
  <c r="J162" i="2" s="1"/>
  <c r="M162" i="2" s="1"/>
  <c r="O162" i="2" s="1"/>
  <c r="H163" i="2"/>
  <c r="B163" i="2"/>
  <c r="L163" i="2" s="1"/>
  <c r="D163" i="2" s="1"/>
  <c r="C163" i="2" s="1"/>
  <c r="F164" i="2" s="1"/>
  <c r="I163" i="2"/>
  <c r="D164" i="40"/>
  <c r="C164" i="40" s="1"/>
  <c r="F165" i="40" s="1"/>
  <c r="N163" i="2"/>
  <c r="G163" i="2"/>
  <c r="K163" i="2"/>
  <c r="C151" i="50"/>
  <c r="F163" i="2"/>
  <c r="B165" i="44"/>
  <c r="L165" i="44" s="1"/>
  <c r="N165" i="44"/>
  <c r="E165" i="44"/>
  <c r="G165" i="44"/>
  <c r="K165" i="44"/>
  <c r="F165" i="44"/>
  <c r="H165" i="44"/>
  <c r="J164" i="40"/>
  <c r="M164" i="40" s="1"/>
  <c r="O164" i="40" s="1"/>
  <c r="N165" i="40" l="1"/>
  <c r="K164" i="2"/>
  <c r="I164" i="2"/>
  <c r="E164" i="2"/>
  <c r="N164" i="2"/>
  <c r="B164" i="2"/>
  <c r="L164" i="2" s="1"/>
  <c r="D164" i="2" s="1"/>
  <c r="C164" i="2" s="1"/>
  <c r="H164" i="2"/>
  <c r="G164" i="2"/>
  <c r="E165" i="40"/>
  <c r="K165" i="40"/>
  <c r="B165" i="40"/>
  <c r="L165" i="40" s="1"/>
  <c r="D165" i="40" s="1"/>
  <c r="C165" i="40" s="1"/>
  <c r="F166" i="40" s="1"/>
  <c r="I165" i="40"/>
  <c r="H165" i="40"/>
  <c r="G165" i="40"/>
  <c r="J163" i="2"/>
  <c r="M163" i="2" s="1"/>
  <c r="O163" i="2" s="1"/>
  <c r="K152" i="50"/>
  <c r="E152" i="50"/>
  <c r="F152" i="50"/>
  <c r="G152" i="50"/>
  <c r="H152" i="50"/>
  <c r="B152" i="50"/>
  <c r="L152" i="50" s="1"/>
  <c r="D152" i="50" s="1"/>
  <c r="N152" i="50"/>
  <c r="I152" i="50"/>
  <c r="J147" i="50"/>
  <c r="M147" i="50" s="1"/>
  <c r="O147" i="50" s="1"/>
  <c r="J165" i="44"/>
  <c r="M165" i="44" s="1"/>
  <c r="O165" i="44" s="1"/>
  <c r="D165" i="44"/>
  <c r="C165" i="44" s="1"/>
  <c r="K166" i="44" s="1"/>
  <c r="J165" i="40" l="1"/>
  <c r="M165" i="40" s="1"/>
  <c r="O165" i="40" s="1"/>
  <c r="C152" i="50"/>
  <c r="J164" i="2"/>
  <c r="M164" i="2" s="1"/>
  <c r="O164" i="2" s="1"/>
  <c r="F165" i="2"/>
  <c r="E166" i="44"/>
  <c r="H166" i="44"/>
  <c r="I166" i="44"/>
  <c r="G166" i="44"/>
  <c r="B166" i="44"/>
  <c r="L166" i="44" s="1"/>
  <c r="N166" i="44"/>
  <c r="F166" i="44"/>
  <c r="B165" i="2"/>
  <c r="L165" i="2" s="1"/>
  <c r="K165" i="2"/>
  <c r="I165" i="2"/>
  <c r="H165" i="2"/>
  <c r="G165" i="2"/>
  <c r="N165" i="2"/>
  <c r="E165" i="2"/>
  <c r="N166" i="40"/>
  <c r="K166" i="40"/>
  <c r="E166" i="40"/>
  <c r="I166" i="40"/>
  <c r="G166" i="40"/>
  <c r="H166" i="40"/>
  <c r="B166" i="40"/>
  <c r="D166" i="44" l="1"/>
  <c r="C166" i="44" s="1"/>
  <c r="E167" i="44" s="1"/>
  <c r="E153" i="50"/>
  <c r="K153" i="50"/>
  <c r="F153" i="50"/>
  <c r="N153" i="50"/>
  <c r="H153" i="50"/>
  <c r="B153" i="50"/>
  <c r="L153" i="50" s="1"/>
  <c r="D153" i="50" s="1"/>
  <c r="I153" i="50"/>
  <c r="G153" i="50"/>
  <c r="J148" i="50"/>
  <c r="M148" i="50" s="1"/>
  <c r="O148" i="50" s="1"/>
  <c r="J166" i="44"/>
  <c r="M166" i="44" s="1"/>
  <c r="O166" i="44" s="1"/>
  <c r="D165" i="2"/>
  <c r="C165" i="2" s="1"/>
  <c r="F166" i="2" s="1"/>
  <c r="J166" i="40"/>
  <c r="L166" i="40"/>
  <c r="D166" i="40" s="1"/>
  <c r="C166" i="40" s="1"/>
  <c r="F167" i="40" s="1"/>
  <c r="H167" i="44" l="1"/>
  <c r="F167" i="44"/>
  <c r="G167" i="44"/>
  <c r="K167" i="44"/>
  <c r="I167" i="44"/>
  <c r="B167" i="44"/>
  <c r="L167" i="44" s="1"/>
  <c r="D167" i="44" s="1"/>
  <c r="C167" i="44" s="1"/>
  <c r="N167" i="44"/>
  <c r="C153" i="50"/>
  <c r="B166" i="2"/>
  <c r="L166" i="2" s="1"/>
  <c r="J165" i="2"/>
  <c r="M165" i="2" s="1"/>
  <c r="O165" i="2" s="1"/>
  <c r="I166" i="2"/>
  <c r="H166" i="2"/>
  <c r="G166" i="2"/>
  <c r="N166" i="2"/>
  <c r="E166" i="2"/>
  <c r="K166" i="2"/>
  <c r="N167" i="40"/>
  <c r="K167" i="40"/>
  <c r="I167" i="40"/>
  <c r="H167" i="40"/>
  <c r="E167" i="40"/>
  <c r="G167" i="40"/>
  <c r="B167" i="40"/>
  <c r="L167" i="40" s="1"/>
  <c r="M166" i="40"/>
  <c r="O166" i="40" s="1"/>
  <c r="D166" i="2" l="1"/>
  <c r="C166" i="2" s="1"/>
  <c r="F167" i="2" s="1"/>
  <c r="J167" i="44"/>
  <c r="M167" i="44" s="1"/>
  <c r="O167" i="44" s="1"/>
  <c r="E154" i="50"/>
  <c r="K154" i="50"/>
  <c r="F154" i="50"/>
  <c r="B154" i="50"/>
  <c r="L154" i="50" s="1"/>
  <c r="N154" i="50"/>
  <c r="G154" i="50"/>
  <c r="H154" i="50"/>
  <c r="I154" i="50"/>
  <c r="J149" i="50"/>
  <c r="M149" i="50" s="1"/>
  <c r="O149" i="50" s="1"/>
  <c r="K168" i="44"/>
  <c r="F168" i="44"/>
  <c r="J166" i="2"/>
  <c r="M166" i="2" s="1"/>
  <c r="O166" i="2" s="1"/>
  <c r="G168" i="44"/>
  <c r="I168" i="44"/>
  <c r="H168" i="44"/>
  <c r="E168" i="44"/>
  <c r="D167" i="40"/>
  <c r="C167" i="40" s="1"/>
  <c r="N168" i="44"/>
  <c r="B168" i="44"/>
  <c r="L168" i="44" s="1"/>
  <c r="J167" i="40"/>
  <c r="M167" i="40" s="1"/>
  <c r="O167" i="40" s="1"/>
  <c r="H167" i="2" l="1"/>
  <c r="G167" i="2"/>
  <c r="I167" i="2"/>
  <c r="K167" i="2"/>
  <c r="B167" i="2"/>
  <c r="L167" i="2" s="1"/>
  <c r="N167" i="2"/>
  <c r="E167" i="2"/>
  <c r="D154" i="50"/>
  <c r="H168" i="40"/>
  <c r="F168" i="40"/>
  <c r="C154" i="50"/>
  <c r="D168" i="44"/>
  <c r="C168" i="44" s="1"/>
  <c r="I169" i="44" s="1"/>
  <c r="G168" i="40"/>
  <c r="E168" i="40"/>
  <c r="I168" i="40"/>
  <c r="K168" i="40"/>
  <c r="B168" i="40"/>
  <c r="L168" i="40" s="1"/>
  <c r="N168" i="40"/>
  <c r="J168" i="44"/>
  <c r="M168" i="44" s="1"/>
  <c r="O168" i="44" s="1"/>
  <c r="D167" i="2" l="1"/>
  <c r="C167" i="2" s="1"/>
  <c r="N168" i="2" s="1"/>
  <c r="H169" i="44"/>
  <c r="B169" i="44"/>
  <c r="L169" i="44" s="1"/>
  <c r="E155" i="50"/>
  <c r="K155" i="50"/>
  <c r="F155" i="50"/>
  <c r="B155" i="50"/>
  <c r="L155" i="50" s="1"/>
  <c r="D155" i="50" s="1"/>
  <c r="I155" i="50"/>
  <c r="H155" i="50"/>
  <c r="G155" i="50"/>
  <c r="N155" i="50"/>
  <c r="N169" i="44"/>
  <c r="K169" i="44"/>
  <c r="F169" i="44"/>
  <c r="E169" i="44"/>
  <c r="G169" i="44"/>
  <c r="J167" i="2"/>
  <c r="M167" i="2" s="1"/>
  <c r="O167" i="2" s="1"/>
  <c r="D168" i="40"/>
  <c r="C168" i="40" s="1"/>
  <c r="J168" i="40"/>
  <c r="M168" i="40" s="1"/>
  <c r="O168" i="40" s="1"/>
  <c r="H168" i="2" l="1"/>
  <c r="E168" i="2"/>
  <c r="F168" i="2"/>
  <c r="K168" i="2"/>
  <c r="B168" i="2"/>
  <c r="L168" i="2" s="1"/>
  <c r="G168" i="2"/>
  <c r="I168" i="2"/>
  <c r="N169" i="40"/>
  <c r="F169" i="40"/>
  <c r="B169" i="40"/>
  <c r="L169" i="40" s="1"/>
  <c r="H169" i="40"/>
  <c r="G169" i="40"/>
  <c r="K169" i="40"/>
  <c r="E169" i="40"/>
  <c r="I169" i="40"/>
  <c r="C155" i="50"/>
  <c r="J169" i="44"/>
  <c r="M169" i="44" s="1"/>
  <c r="O169" i="44" s="1"/>
  <c r="D169" i="44"/>
  <c r="C169" i="44" s="1"/>
  <c r="K170" i="44" s="1"/>
  <c r="J150" i="50"/>
  <c r="M150" i="50" s="1"/>
  <c r="O150" i="50" s="1"/>
  <c r="D168" i="2" l="1"/>
  <c r="C168" i="2" s="1"/>
  <c r="F169" i="2" s="1"/>
  <c r="J168" i="2"/>
  <c r="M168" i="2" s="1"/>
  <c r="O168" i="2" s="1"/>
  <c r="D169" i="40"/>
  <c r="C169" i="40" s="1"/>
  <c r="F170" i="40" s="1"/>
  <c r="E170" i="44"/>
  <c r="H170" i="44"/>
  <c r="I170" i="44"/>
  <c r="J169" i="40"/>
  <c r="M169" i="40" s="1"/>
  <c r="O169" i="40" s="1"/>
  <c r="G170" i="44"/>
  <c r="E156" i="50"/>
  <c r="K156" i="50"/>
  <c r="F156" i="50"/>
  <c r="I156" i="50"/>
  <c r="N156" i="50"/>
  <c r="H156" i="50"/>
  <c r="B156" i="50"/>
  <c r="L156" i="50" s="1"/>
  <c r="G156" i="50"/>
  <c r="B170" i="44"/>
  <c r="L170" i="44" s="1"/>
  <c r="D170" i="44" s="1"/>
  <c r="C170" i="44" s="1"/>
  <c r="N170" i="44"/>
  <c r="F170" i="44"/>
  <c r="E169" i="2" l="1"/>
  <c r="N169" i="2"/>
  <c r="K169" i="2"/>
  <c r="I169" i="2"/>
  <c r="H169" i="2"/>
  <c r="G169" i="2"/>
  <c r="B169" i="2"/>
  <c r="L169" i="2" s="1"/>
  <c r="K170" i="40"/>
  <c r="I170" i="40"/>
  <c r="B170" i="40"/>
  <c r="L170" i="40" s="1"/>
  <c r="G170" i="40"/>
  <c r="H170" i="40"/>
  <c r="N170" i="40"/>
  <c r="E170" i="40"/>
  <c r="D170" i="40" s="1"/>
  <c r="C170" i="40" s="1"/>
  <c r="F171" i="40" s="1"/>
  <c r="D156" i="50"/>
  <c r="J170" i="44"/>
  <c r="M170" i="44" s="1"/>
  <c r="O170" i="44" s="1"/>
  <c r="C156" i="50"/>
  <c r="J151" i="50"/>
  <c r="M151" i="50" s="1"/>
  <c r="O151" i="50" s="1"/>
  <c r="K171" i="44"/>
  <c r="F171" i="44"/>
  <c r="H171" i="44"/>
  <c r="I171" i="44"/>
  <c r="G171" i="44"/>
  <c r="E171" i="44"/>
  <c r="N171" i="44"/>
  <c r="B171" i="44"/>
  <c r="J169" i="2" l="1"/>
  <c r="M169" i="2" s="1"/>
  <c r="O169" i="2" s="1"/>
  <c r="D169" i="2"/>
  <c r="C169" i="2" s="1"/>
  <c r="F170" i="2" s="1"/>
  <c r="J170" i="40"/>
  <c r="M170" i="40" s="1"/>
  <c r="O170" i="40" s="1"/>
  <c r="F157" i="50"/>
  <c r="E157" i="50"/>
  <c r="K157" i="50"/>
  <c r="B157" i="50"/>
  <c r="L157" i="50" s="1"/>
  <c r="D157" i="50" s="1"/>
  <c r="N157" i="50"/>
  <c r="G157" i="50"/>
  <c r="I157" i="50"/>
  <c r="H157" i="50"/>
  <c r="J152" i="50"/>
  <c r="M152" i="50" s="1"/>
  <c r="O152" i="50" s="1"/>
  <c r="L171" i="44"/>
  <c r="D171" i="44" s="1"/>
  <c r="C171" i="44" s="1"/>
  <c r="J171" i="44"/>
  <c r="K171" i="40"/>
  <c r="N171" i="40"/>
  <c r="I171" i="40"/>
  <c r="E171" i="40"/>
  <c r="H171" i="40"/>
  <c r="B171" i="40"/>
  <c r="G171" i="40"/>
  <c r="I170" i="2" l="1"/>
  <c r="B170" i="2"/>
  <c r="L170" i="2" s="1"/>
  <c r="G170" i="2"/>
  <c r="K170" i="2"/>
  <c r="N170" i="2"/>
  <c r="E170" i="2"/>
  <c r="H170" i="2"/>
  <c r="C157" i="50"/>
  <c r="K172" i="44"/>
  <c r="F172" i="44"/>
  <c r="G172" i="44"/>
  <c r="I172" i="44"/>
  <c r="H172" i="44"/>
  <c r="E172" i="44"/>
  <c r="M171" i="44"/>
  <c r="O171" i="44" s="1"/>
  <c r="N172" i="44"/>
  <c r="B172" i="44"/>
  <c r="L172" i="44" s="1"/>
  <c r="J171" i="40"/>
  <c r="L171" i="40"/>
  <c r="D171" i="40" s="1"/>
  <c r="C171" i="40" s="1"/>
  <c r="F172" i="40" s="1"/>
  <c r="D170" i="2" l="1"/>
  <c r="C170" i="2" s="1"/>
  <c r="N171" i="2" s="1"/>
  <c r="J170" i="2"/>
  <c r="M170" i="2" s="1"/>
  <c r="O170" i="2" s="1"/>
  <c r="K158" i="50"/>
  <c r="E158" i="50"/>
  <c r="F158" i="50"/>
  <c r="N158" i="50"/>
  <c r="G158" i="50"/>
  <c r="B158" i="50"/>
  <c r="L158" i="50" s="1"/>
  <c r="D158" i="50" s="1"/>
  <c r="I158" i="50"/>
  <c r="H158" i="50"/>
  <c r="D172" i="44"/>
  <c r="C172" i="44" s="1"/>
  <c r="J172" i="44"/>
  <c r="M172" i="44" s="1"/>
  <c r="O172" i="44" s="1"/>
  <c r="K172" i="40"/>
  <c r="N172" i="40"/>
  <c r="I172" i="40"/>
  <c r="E172" i="40"/>
  <c r="B172" i="40"/>
  <c r="L172" i="40" s="1"/>
  <c r="G172" i="40"/>
  <c r="H172" i="40"/>
  <c r="M171" i="40"/>
  <c r="O171" i="40" s="1"/>
  <c r="K171" i="2" l="1"/>
  <c r="G171" i="2"/>
  <c r="H171" i="2"/>
  <c r="F171" i="2"/>
  <c r="B171" i="2"/>
  <c r="L171" i="2" s="1"/>
  <c r="E171" i="2"/>
  <c r="D171" i="2" s="1"/>
  <c r="C171" i="2" s="1"/>
  <c r="G172" i="2" s="1"/>
  <c r="I171" i="2"/>
  <c r="J171" i="2" s="1"/>
  <c r="M171" i="2" s="1"/>
  <c r="O171" i="2" s="1"/>
  <c r="H172" i="2"/>
  <c r="I172" i="2"/>
  <c r="C158" i="50"/>
  <c r="J153" i="50"/>
  <c r="M153" i="50" s="1"/>
  <c r="O153" i="50" s="1"/>
  <c r="K173" i="44"/>
  <c r="F173" i="44"/>
  <c r="N173" i="44"/>
  <c r="E173" i="44"/>
  <c r="G173" i="44"/>
  <c r="I173" i="44"/>
  <c r="H173" i="44"/>
  <c r="B173" i="44"/>
  <c r="L173" i="44" s="1"/>
  <c r="D172" i="40"/>
  <c r="C172" i="40" s="1"/>
  <c r="J172" i="40"/>
  <c r="M172" i="40" s="1"/>
  <c r="O172" i="40" s="1"/>
  <c r="F172" i="2" l="1"/>
  <c r="K172" i="2"/>
  <c r="N172" i="2"/>
  <c r="B172" i="2"/>
  <c r="L172" i="2" s="1"/>
  <c r="D172" i="2" s="1"/>
  <c r="C172" i="2" s="1"/>
  <c r="F173" i="2" s="1"/>
  <c r="E172" i="2"/>
  <c r="J172" i="2"/>
  <c r="M172" i="2" s="1"/>
  <c r="O172" i="2" s="1"/>
  <c r="H173" i="40"/>
  <c r="F173" i="40"/>
  <c r="G173" i="2"/>
  <c r="N173" i="2"/>
  <c r="I173" i="2"/>
  <c r="H173" i="2"/>
  <c r="K159" i="50"/>
  <c r="F159" i="50"/>
  <c r="E159" i="50"/>
  <c r="N159" i="50"/>
  <c r="B159" i="50"/>
  <c r="L159" i="50" s="1"/>
  <c r="D159" i="50" s="1"/>
  <c r="I159" i="50"/>
  <c r="H159" i="50"/>
  <c r="G159" i="50"/>
  <c r="D173" i="44"/>
  <c r="C173" i="44" s="1"/>
  <c r="N174" i="44" s="1"/>
  <c r="J173" i="44"/>
  <c r="M173" i="44" s="1"/>
  <c r="O173" i="44" s="1"/>
  <c r="K173" i="40"/>
  <c r="N173" i="40"/>
  <c r="B173" i="40"/>
  <c r="L173" i="40" s="1"/>
  <c r="D173" i="40" s="1"/>
  <c r="C173" i="40" s="1"/>
  <c r="F174" i="40" s="1"/>
  <c r="G173" i="40"/>
  <c r="I173" i="40"/>
  <c r="E173" i="40"/>
  <c r="E173" i="2" l="1"/>
  <c r="K173" i="2"/>
  <c r="B173" i="2"/>
  <c r="L173" i="2" s="1"/>
  <c r="D173" i="2"/>
  <c r="C173" i="2" s="1"/>
  <c r="I174" i="2" s="1"/>
  <c r="C159" i="50"/>
  <c r="J154" i="50"/>
  <c r="M154" i="50" s="1"/>
  <c r="O154" i="50" s="1"/>
  <c r="H174" i="44"/>
  <c r="I174" i="44"/>
  <c r="E174" i="44"/>
  <c r="G174" i="44"/>
  <c r="F174" i="44"/>
  <c r="B174" i="44"/>
  <c r="L174" i="44" s="1"/>
  <c r="K174" i="44"/>
  <c r="J173" i="2"/>
  <c r="M173" i="2" s="1"/>
  <c r="O173" i="2" s="1"/>
  <c r="J173" i="40"/>
  <c r="M173" i="40" s="1"/>
  <c r="O173" i="40" s="1"/>
  <c r="N174" i="40"/>
  <c r="K174" i="40"/>
  <c r="I174" i="40"/>
  <c r="G174" i="40"/>
  <c r="E174" i="40"/>
  <c r="B174" i="40"/>
  <c r="H174" i="40"/>
  <c r="G174" i="2" l="1"/>
  <c r="N174" i="2"/>
  <c r="K174" i="2"/>
  <c r="H174" i="2"/>
  <c r="E174" i="2"/>
  <c r="B174" i="2"/>
  <c r="L174" i="2" s="1"/>
  <c r="D174" i="2" s="1"/>
  <c r="C174" i="2" s="1"/>
  <c r="F175" i="2" s="1"/>
  <c r="F174" i="2"/>
  <c r="D174" i="44"/>
  <c r="C174" i="44" s="1"/>
  <c r="H175" i="44" s="1"/>
  <c r="K160" i="50"/>
  <c r="E160" i="50"/>
  <c r="F160" i="50"/>
  <c r="I160" i="50"/>
  <c r="B160" i="50"/>
  <c r="L160" i="50" s="1"/>
  <c r="D160" i="50" s="1"/>
  <c r="N160" i="50"/>
  <c r="H160" i="50"/>
  <c r="G160" i="50"/>
  <c r="J174" i="44"/>
  <c r="M174" i="44" s="1"/>
  <c r="O174" i="44" s="1"/>
  <c r="L174" i="40"/>
  <c r="D174" i="40" s="1"/>
  <c r="C174" i="40" s="1"/>
  <c r="F175" i="40" s="1"/>
  <c r="J174" i="40"/>
  <c r="J174" i="2" l="1"/>
  <c r="M174" i="2" s="1"/>
  <c r="O174" i="2" s="1"/>
  <c r="F175" i="44"/>
  <c r="K175" i="44"/>
  <c r="B175" i="2"/>
  <c r="L175" i="2" s="1"/>
  <c r="H175" i="2"/>
  <c r="K175" i="2"/>
  <c r="B175" i="44"/>
  <c r="L175" i="44" s="1"/>
  <c r="D175" i="44" s="1"/>
  <c r="C175" i="44" s="1"/>
  <c r="N175" i="44"/>
  <c r="E175" i="44"/>
  <c r="G175" i="44"/>
  <c r="I175" i="44"/>
  <c r="N175" i="2"/>
  <c r="E175" i="2"/>
  <c r="G175" i="2"/>
  <c r="I175" i="2"/>
  <c r="C160" i="50"/>
  <c r="J155" i="50"/>
  <c r="M155" i="50" s="1"/>
  <c r="O155" i="50" s="1"/>
  <c r="N175" i="40"/>
  <c r="K175" i="40"/>
  <c r="H175" i="40"/>
  <c r="E175" i="40"/>
  <c r="B175" i="40"/>
  <c r="I175" i="40"/>
  <c r="G175" i="40"/>
  <c r="M174" i="40"/>
  <c r="O174" i="40" s="1"/>
  <c r="D175" i="2" l="1"/>
  <c r="C175" i="2" s="1"/>
  <c r="F176" i="2" s="1"/>
  <c r="J175" i="44"/>
  <c r="M175" i="44" s="1"/>
  <c r="O175" i="44" s="1"/>
  <c r="E161" i="50"/>
  <c r="F161" i="50"/>
  <c r="K161" i="50"/>
  <c r="B161" i="50"/>
  <c r="L161" i="50" s="1"/>
  <c r="I161" i="50"/>
  <c r="G161" i="50"/>
  <c r="N161" i="50"/>
  <c r="H161" i="50"/>
  <c r="K176" i="44"/>
  <c r="F176" i="44"/>
  <c r="J175" i="2"/>
  <c r="M175" i="2" s="1"/>
  <c r="O175" i="2" s="1"/>
  <c r="G176" i="44"/>
  <c r="I176" i="44"/>
  <c r="H176" i="44"/>
  <c r="E176" i="44"/>
  <c r="N176" i="44"/>
  <c r="B176" i="44"/>
  <c r="L176" i="44" s="1"/>
  <c r="L175" i="40"/>
  <c r="D175" i="40" s="1"/>
  <c r="C175" i="40" s="1"/>
  <c r="F176" i="40" s="1"/>
  <c r="J175" i="40"/>
  <c r="G176" i="2" l="1"/>
  <c r="E176" i="2"/>
  <c r="N176" i="2"/>
  <c r="I176" i="2"/>
  <c r="H176" i="2"/>
  <c r="B176" i="2"/>
  <c r="L176" i="2" s="1"/>
  <c r="K176" i="2"/>
  <c r="D161" i="50"/>
  <c r="C161" i="50" s="1"/>
  <c r="J156" i="50"/>
  <c r="M156" i="50" s="1"/>
  <c r="O156" i="50" s="1"/>
  <c r="D176" i="44"/>
  <c r="C176" i="44" s="1"/>
  <c r="J176" i="44"/>
  <c r="M176" i="44" s="1"/>
  <c r="O176" i="44" s="1"/>
  <c r="N176" i="40"/>
  <c r="K176" i="40"/>
  <c r="B176" i="40"/>
  <c r="H176" i="40"/>
  <c r="E176" i="40"/>
  <c r="I176" i="40"/>
  <c r="G176" i="40"/>
  <c r="M175" i="40"/>
  <c r="O175" i="40" s="1"/>
  <c r="D176" i="2" l="1"/>
  <c r="C176" i="2" s="1"/>
  <c r="F177" i="2" s="1"/>
  <c r="K162" i="50"/>
  <c r="E162" i="50"/>
  <c r="F162" i="50"/>
  <c r="I162" i="50"/>
  <c r="G162" i="50"/>
  <c r="H162" i="50"/>
  <c r="N162" i="50"/>
  <c r="B162" i="50"/>
  <c r="L162" i="50" s="1"/>
  <c r="D162" i="50" s="1"/>
  <c r="J176" i="2"/>
  <c r="M176" i="2" s="1"/>
  <c r="O176" i="2" s="1"/>
  <c r="B177" i="44"/>
  <c r="L177" i="44" s="1"/>
  <c r="K177" i="44"/>
  <c r="F177" i="44"/>
  <c r="N177" i="44"/>
  <c r="E177" i="44"/>
  <c r="G177" i="44"/>
  <c r="I177" i="44"/>
  <c r="H177" i="44"/>
  <c r="J176" i="40"/>
  <c r="L176" i="40"/>
  <c r="D176" i="40" s="1"/>
  <c r="C176" i="40" s="1"/>
  <c r="F177" i="40" s="1"/>
  <c r="K177" i="2" l="1"/>
  <c r="N177" i="2"/>
  <c r="H177" i="2"/>
  <c r="E177" i="2"/>
  <c r="I177" i="2"/>
  <c r="B177" i="2"/>
  <c r="L177" i="2" s="1"/>
  <c r="G177" i="2"/>
  <c r="C162" i="50"/>
  <c r="J157" i="50"/>
  <c r="M157" i="50" s="1"/>
  <c r="O157" i="50" s="1"/>
  <c r="D177" i="44"/>
  <c r="C177" i="44" s="1"/>
  <c r="G178" i="44" s="1"/>
  <c r="J177" i="44"/>
  <c r="M177" i="44" s="1"/>
  <c r="O177" i="44" s="1"/>
  <c r="K177" i="40"/>
  <c r="N177" i="40"/>
  <c r="I177" i="40"/>
  <c r="H177" i="40"/>
  <c r="E177" i="40"/>
  <c r="B177" i="40"/>
  <c r="L177" i="40" s="1"/>
  <c r="G177" i="40"/>
  <c r="M176" i="40"/>
  <c r="O176" i="40" s="1"/>
  <c r="J177" i="2" l="1"/>
  <c r="M177" i="2" s="1"/>
  <c r="O177" i="2" s="1"/>
  <c r="D177" i="2"/>
  <c r="C177" i="2" s="1"/>
  <c r="G178" i="2" s="1"/>
  <c r="K178" i="44"/>
  <c r="F178" i="44"/>
  <c r="B178" i="44"/>
  <c r="L178" i="44" s="1"/>
  <c r="D178" i="44" s="1"/>
  <c r="C178" i="44" s="1"/>
  <c r="E178" i="44"/>
  <c r="N178" i="44"/>
  <c r="H178" i="44"/>
  <c r="I178" i="44"/>
  <c r="E163" i="50"/>
  <c r="F163" i="50"/>
  <c r="K163" i="50"/>
  <c r="H163" i="50"/>
  <c r="B163" i="50"/>
  <c r="L163" i="50" s="1"/>
  <c r="G163" i="50"/>
  <c r="N163" i="50"/>
  <c r="I163" i="50"/>
  <c r="D177" i="40"/>
  <c r="C177" i="40" s="1"/>
  <c r="J177" i="40"/>
  <c r="M177" i="40" s="1"/>
  <c r="O177" i="40" s="1"/>
  <c r="K178" i="2" l="1"/>
  <c r="H178" i="2"/>
  <c r="E178" i="2"/>
  <c r="I178" i="2"/>
  <c r="N178" i="2"/>
  <c r="F178" i="2"/>
  <c r="B178" i="2"/>
  <c r="L178" i="2" s="1"/>
  <c r="D178" i="2" s="1"/>
  <c r="C178" i="2" s="1"/>
  <c r="F179" i="2" s="1"/>
  <c r="J178" i="44"/>
  <c r="M178" i="44" s="1"/>
  <c r="O178" i="44" s="1"/>
  <c r="G178" i="40"/>
  <c r="F178" i="40"/>
  <c r="D163" i="50"/>
  <c r="C163" i="50" s="1"/>
  <c r="J158" i="50"/>
  <c r="M158" i="50" s="1"/>
  <c r="O158" i="50" s="1"/>
  <c r="K179" i="44"/>
  <c r="F179" i="44"/>
  <c r="K178" i="40"/>
  <c r="I178" i="40"/>
  <c r="H178" i="40"/>
  <c r="E178" i="40"/>
  <c r="N178" i="40"/>
  <c r="B178" i="40"/>
  <c r="L178" i="40" s="1"/>
  <c r="D178" i="40" s="1"/>
  <c r="C178" i="40" s="1"/>
  <c r="F179" i="40" s="1"/>
  <c r="H179" i="44"/>
  <c r="I179" i="44"/>
  <c r="G179" i="44"/>
  <c r="E179" i="44"/>
  <c r="N179" i="44"/>
  <c r="B179" i="44"/>
  <c r="J178" i="2" l="1"/>
  <c r="M178" i="2" s="1"/>
  <c r="O178" i="2" s="1"/>
  <c r="G179" i="2"/>
  <c r="N179" i="2"/>
  <c r="E179" i="2"/>
  <c r="I179" i="2"/>
  <c r="K179" i="2"/>
  <c r="H179" i="2"/>
  <c r="B179" i="2"/>
  <c r="L179" i="2" s="1"/>
  <c r="D179" i="2" s="1"/>
  <c r="C179" i="2" s="1"/>
  <c r="F180" i="2" s="1"/>
  <c r="F164" i="50"/>
  <c r="E164" i="50"/>
  <c r="K164" i="50"/>
  <c r="H164" i="50"/>
  <c r="B164" i="50"/>
  <c r="L164" i="50" s="1"/>
  <c r="D164" i="50" s="1"/>
  <c r="I164" i="50"/>
  <c r="G164" i="50"/>
  <c r="N164" i="50"/>
  <c r="J178" i="40"/>
  <c r="M178" i="40" s="1"/>
  <c r="O178" i="40" s="1"/>
  <c r="J179" i="44"/>
  <c r="L179" i="44"/>
  <c r="D179" i="44" s="1"/>
  <c r="C179" i="44" s="1"/>
  <c r="K179" i="40"/>
  <c r="N179" i="40"/>
  <c r="I179" i="40"/>
  <c r="B179" i="40"/>
  <c r="L179" i="40" s="1"/>
  <c r="D179" i="40" s="1"/>
  <c r="C179" i="40" s="1"/>
  <c r="F180" i="40" s="1"/>
  <c r="E179" i="40"/>
  <c r="H179" i="40"/>
  <c r="G179" i="40"/>
  <c r="C164" i="50" l="1"/>
  <c r="J159" i="50"/>
  <c r="M159" i="50" s="1"/>
  <c r="O159" i="50" s="1"/>
  <c r="K180" i="44"/>
  <c r="F180" i="44"/>
  <c r="K180" i="2"/>
  <c r="J179" i="2"/>
  <c r="M179" i="2" s="1"/>
  <c r="O179" i="2" s="1"/>
  <c r="I180" i="2"/>
  <c r="E180" i="2"/>
  <c r="H180" i="2"/>
  <c r="N180" i="2"/>
  <c r="G180" i="2"/>
  <c r="B180" i="2"/>
  <c r="L180" i="2" s="1"/>
  <c r="G180" i="44"/>
  <c r="I180" i="44"/>
  <c r="H180" i="44"/>
  <c r="E180" i="44"/>
  <c r="M179" i="44"/>
  <c r="O179" i="44" s="1"/>
  <c r="N180" i="44"/>
  <c r="B180" i="44"/>
  <c r="L180" i="44" s="1"/>
  <c r="K180" i="40"/>
  <c r="N180" i="40"/>
  <c r="H180" i="40"/>
  <c r="E180" i="40"/>
  <c r="I180" i="40"/>
  <c r="G180" i="40"/>
  <c r="B180" i="40"/>
  <c r="J179" i="40"/>
  <c r="M179" i="40" s="1"/>
  <c r="O179" i="40" s="1"/>
  <c r="E165" i="50" l="1"/>
  <c r="K165" i="50"/>
  <c r="F165" i="50"/>
  <c r="B165" i="50"/>
  <c r="L165" i="50" s="1"/>
  <c r="D165" i="50" s="1"/>
  <c r="I165" i="50"/>
  <c r="N165" i="50"/>
  <c r="H165" i="50"/>
  <c r="G165" i="50"/>
  <c r="J160" i="50"/>
  <c r="M160" i="50" s="1"/>
  <c r="O160" i="50" s="1"/>
  <c r="D180" i="44"/>
  <c r="C180" i="44" s="1"/>
  <c r="B181" i="44" s="1"/>
  <c r="D180" i="2"/>
  <c r="C180" i="2" s="1"/>
  <c r="J180" i="44"/>
  <c r="M180" i="44" s="1"/>
  <c r="O180" i="44" s="1"/>
  <c r="J180" i="40"/>
  <c r="L180" i="40"/>
  <c r="C165" i="50" l="1"/>
  <c r="J161" i="50"/>
  <c r="M161" i="50" s="1"/>
  <c r="O161" i="50" s="1"/>
  <c r="K181" i="44"/>
  <c r="N181" i="2"/>
  <c r="F181" i="2"/>
  <c r="N181" i="44"/>
  <c r="G181" i="44"/>
  <c r="I181" i="44"/>
  <c r="H181" i="44"/>
  <c r="F181" i="44"/>
  <c r="E181" i="44"/>
  <c r="B181" i="2"/>
  <c r="L181" i="2" s="1"/>
  <c r="J180" i="2"/>
  <c r="M180" i="2" s="1"/>
  <c r="O180" i="2" s="1"/>
  <c r="K181" i="2"/>
  <c r="E181" i="2"/>
  <c r="I181" i="2"/>
  <c r="G181" i="2"/>
  <c r="H181" i="2"/>
  <c r="L181" i="44"/>
  <c r="D181" i="44" s="1"/>
  <c r="C181" i="44" s="1"/>
  <c r="M180" i="40"/>
  <c r="O180" i="40" s="1"/>
  <c r="D180" i="40"/>
  <c r="C180" i="40" s="1"/>
  <c r="F181" i="40" s="1"/>
  <c r="D181" i="2" l="1"/>
  <c r="C181" i="2" s="1"/>
  <c r="F182" i="2" s="1"/>
  <c r="K166" i="50"/>
  <c r="E166" i="50"/>
  <c r="F166" i="50"/>
  <c r="H166" i="50"/>
  <c r="N166" i="50"/>
  <c r="G166" i="50"/>
  <c r="B166" i="50"/>
  <c r="L166" i="50" s="1"/>
  <c r="D166" i="50" s="1"/>
  <c r="I166" i="50"/>
  <c r="J181" i="44"/>
  <c r="M181" i="44" s="1"/>
  <c r="O181" i="44" s="1"/>
  <c r="K182" i="44"/>
  <c r="F182" i="44"/>
  <c r="J181" i="2"/>
  <c r="M181" i="2" s="1"/>
  <c r="O181" i="2" s="1"/>
  <c r="G182" i="44"/>
  <c r="I182" i="44"/>
  <c r="H182" i="44"/>
  <c r="E182" i="44"/>
  <c r="N182" i="44"/>
  <c r="B182" i="44"/>
  <c r="N181" i="40"/>
  <c r="K181" i="40"/>
  <c r="E181" i="40"/>
  <c r="B181" i="40"/>
  <c r="G181" i="40"/>
  <c r="H181" i="40"/>
  <c r="I181" i="40"/>
  <c r="H182" i="2" l="1"/>
  <c r="N182" i="2"/>
  <c r="B182" i="2"/>
  <c r="L182" i="2" s="1"/>
  <c r="K182" i="2"/>
  <c r="E182" i="2"/>
  <c r="I182" i="2"/>
  <c r="G182" i="2"/>
  <c r="C166" i="50"/>
  <c r="J162" i="50"/>
  <c r="M162" i="50" s="1"/>
  <c r="O162" i="50" s="1"/>
  <c r="J182" i="44"/>
  <c r="L182" i="44"/>
  <c r="D182" i="44" s="1"/>
  <c r="C182" i="44" s="1"/>
  <c r="J181" i="40"/>
  <c r="L181" i="40"/>
  <c r="D181" i="40" s="1"/>
  <c r="C181" i="40" s="1"/>
  <c r="F182" i="40" s="1"/>
  <c r="D182" i="2" l="1"/>
  <c r="C182" i="2" s="1"/>
  <c r="B183" i="2" s="1"/>
  <c r="L183" i="2" s="1"/>
  <c r="F167" i="50"/>
  <c r="E167" i="50"/>
  <c r="K167" i="50"/>
  <c r="G167" i="50"/>
  <c r="N167" i="50"/>
  <c r="B167" i="50"/>
  <c r="L167" i="50" s="1"/>
  <c r="D167" i="50" s="1"/>
  <c r="H167" i="50"/>
  <c r="I167" i="50"/>
  <c r="K183" i="44"/>
  <c r="F183" i="44"/>
  <c r="J182" i="2"/>
  <c r="M182" i="2" s="1"/>
  <c r="O182" i="2" s="1"/>
  <c r="H183" i="44"/>
  <c r="I183" i="44"/>
  <c r="G183" i="44"/>
  <c r="E183" i="44"/>
  <c r="M182" i="44"/>
  <c r="O182" i="44" s="1"/>
  <c r="N183" i="44"/>
  <c r="B183" i="44"/>
  <c r="N182" i="40"/>
  <c r="K182" i="40"/>
  <c r="G182" i="40"/>
  <c r="H182" i="40"/>
  <c r="E182" i="40"/>
  <c r="B182" i="40"/>
  <c r="L182" i="40" s="1"/>
  <c r="I182" i="40"/>
  <c r="M181" i="40"/>
  <c r="O181" i="40" s="1"/>
  <c r="E183" i="2" l="1"/>
  <c r="D183" i="2" s="1"/>
  <c r="C183" i="2" s="1"/>
  <c r="F184" i="2" s="1"/>
  <c r="N183" i="2"/>
  <c r="I183" i="2"/>
  <c r="G183" i="2"/>
  <c r="K183" i="2"/>
  <c r="H183" i="2"/>
  <c r="F183" i="2"/>
  <c r="C167" i="50"/>
  <c r="J163" i="50"/>
  <c r="M163" i="50" s="1"/>
  <c r="O163" i="50" s="1"/>
  <c r="D182" i="40"/>
  <c r="C182" i="40" s="1"/>
  <c r="J183" i="44"/>
  <c r="L183" i="44"/>
  <c r="D183" i="44" s="1"/>
  <c r="C183" i="44" s="1"/>
  <c r="J182" i="40"/>
  <c r="M182" i="40" s="1"/>
  <c r="O182" i="40" s="1"/>
  <c r="H184" i="2" l="1"/>
  <c r="G184" i="2"/>
  <c r="K184" i="2"/>
  <c r="N184" i="2"/>
  <c r="I184" i="2"/>
  <c r="E184" i="2"/>
  <c r="B184" i="2"/>
  <c r="L184" i="2" s="1"/>
  <c r="D184" i="2" s="1"/>
  <c r="C184" i="2" s="1"/>
  <c r="F185" i="2" s="1"/>
  <c r="J183" i="2"/>
  <c r="M183" i="2" s="1"/>
  <c r="O183" i="2" s="1"/>
  <c r="B183" i="40"/>
  <c r="L183" i="40" s="1"/>
  <c r="F183" i="40"/>
  <c r="F168" i="50"/>
  <c r="K168" i="50"/>
  <c r="E168" i="50"/>
  <c r="B168" i="50"/>
  <c r="L168" i="50" s="1"/>
  <c r="D168" i="50" s="1"/>
  <c r="N168" i="50"/>
  <c r="G168" i="50"/>
  <c r="I168" i="50"/>
  <c r="H168" i="50"/>
  <c r="J164" i="50"/>
  <c r="M164" i="50" s="1"/>
  <c r="O164" i="50" s="1"/>
  <c r="K184" i="44"/>
  <c r="F184" i="44"/>
  <c r="G183" i="40"/>
  <c r="K183" i="40"/>
  <c r="E183" i="40"/>
  <c r="H183" i="40"/>
  <c r="N183" i="40"/>
  <c r="I183" i="40"/>
  <c r="G184" i="44"/>
  <c r="I184" i="44"/>
  <c r="H184" i="44"/>
  <c r="E184" i="44"/>
  <c r="M183" i="44"/>
  <c r="O183" i="44" s="1"/>
  <c r="N184" i="44"/>
  <c r="B184" i="44"/>
  <c r="L184" i="44" s="1"/>
  <c r="J184" i="2" l="1"/>
  <c r="M184" i="2" s="1"/>
  <c r="O184" i="2" s="1"/>
  <c r="K185" i="2"/>
  <c r="G185" i="2"/>
  <c r="B185" i="2"/>
  <c r="L185" i="2" s="1"/>
  <c r="H185" i="2"/>
  <c r="I185" i="2"/>
  <c r="E185" i="2"/>
  <c r="N185" i="2"/>
  <c r="D183" i="40"/>
  <c r="C183" i="40" s="1"/>
  <c r="B184" i="40" s="1"/>
  <c r="L184" i="40" s="1"/>
  <c r="C168" i="50"/>
  <c r="J165" i="50"/>
  <c r="M165" i="50" s="1"/>
  <c r="O165" i="50" s="1"/>
  <c r="J183" i="40"/>
  <c r="M183" i="40" s="1"/>
  <c r="O183" i="40" s="1"/>
  <c r="D184" i="44"/>
  <c r="C184" i="44" s="1"/>
  <c r="J184" i="44"/>
  <c r="M184" i="44" s="1"/>
  <c r="O184" i="44" s="1"/>
  <c r="H184" i="40" l="1"/>
  <c r="E184" i="40"/>
  <c r="D184" i="40" s="1"/>
  <c r="C184" i="40" s="1"/>
  <c r="G184" i="40"/>
  <c r="K184" i="40"/>
  <c r="I184" i="40"/>
  <c r="N184" i="40"/>
  <c r="F184" i="40"/>
  <c r="D185" i="2"/>
  <c r="C185" i="2" s="1"/>
  <c r="I186" i="2" s="1"/>
  <c r="F169" i="50"/>
  <c r="K169" i="50"/>
  <c r="E169" i="50"/>
  <c r="B169" i="50"/>
  <c r="L169" i="50" s="1"/>
  <c r="D169" i="50" s="1"/>
  <c r="G169" i="50"/>
  <c r="H169" i="50"/>
  <c r="N169" i="50"/>
  <c r="I169" i="50"/>
  <c r="J185" i="2"/>
  <c r="M185" i="2" s="1"/>
  <c r="O185" i="2" s="1"/>
  <c r="K185" i="44"/>
  <c r="F185" i="44"/>
  <c r="G185" i="44"/>
  <c r="I185" i="44"/>
  <c r="H185" i="44"/>
  <c r="N185" i="44"/>
  <c r="E185" i="44"/>
  <c r="B185" i="44"/>
  <c r="L185" i="44" s="1"/>
  <c r="G186" i="2" l="1"/>
  <c r="J184" i="40"/>
  <c r="M184" i="40" s="1"/>
  <c r="O184" i="40" s="1"/>
  <c r="N186" i="2"/>
  <c r="B186" i="2"/>
  <c r="L186" i="2" s="1"/>
  <c r="F186" i="2"/>
  <c r="K186" i="2"/>
  <c r="E186" i="2"/>
  <c r="H186" i="2"/>
  <c r="E185" i="40"/>
  <c r="F185" i="40"/>
  <c r="C169" i="50"/>
  <c r="J166" i="50"/>
  <c r="M166" i="50" s="1"/>
  <c r="O166" i="50" s="1"/>
  <c r="D185" i="44"/>
  <c r="C185" i="44" s="1"/>
  <c r="J185" i="44"/>
  <c r="M185" i="44" s="1"/>
  <c r="O185" i="44" s="1"/>
  <c r="I185" i="40"/>
  <c r="G185" i="40"/>
  <c r="H185" i="40"/>
  <c r="B185" i="40"/>
  <c r="L185" i="40" s="1"/>
  <c r="D185" i="40" s="1"/>
  <c r="C185" i="40" s="1"/>
  <c r="N185" i="40"/>
  <c r="K185" i="40"/>
  <c r="J186" i="2" l="1"/>
  <c r="M186" i="2" s="1"/>
  <c r="O186" i="2" s="1"/>
  <c r="D186" i="2"/>
  <c r="C186" i="2" s="1"/>
  <c r="F187" i="2" s="1"/>
  <c r="E186" i="40"/>
  <c r="F186" i="40"/>
  <c r="F170" i="50"/>
  <c r="E170" i="50"/>
  <c r="K170" i="50"/>
  <c r="N170" i="50"/>
  <c r="B170" i="50"/>
  <c r="L170" i="50" s="1"/>
  <c r="D170" i="50" s="1"/>
  <c r="I170" i="50"/>
  <c r="G170" i="50"/>
  <c r="H170" i="50"/>
  <c r="H186" i="44"/>
  <c r="K186" i="44"/>
  <c r="F186" i="44"/>
  <c r="I186" i="44"/>
  <c r="B186" i="44"/>
  <c r="L186" i="44" s="1"/>
  <c r="N186" i="44"/>
  <c r="G186" i="44"/>
  <c r="E186" i="44"/>
  <c r="J185" i="40"/>
  <c r="M185" i="40" s="1"/>
  <c r="O185" i="40" s="1"/>
  <c r="H186" i="40"/>
  <c r="I186" i="40"/>
  <c r="B186" i="40"/>
  <c r="L186" i="40" s="1"/>
  <c r="D186" i="40" s="1"/>
  <c r="C186" i="40" s="1"/>
  <c r="G186" i="40"/>
  <c r="K186" i="40"/>
  <c r="N186" i="40"/>
  <c r="B187" i="2" l="1"/>
  <c r="L187" i="2" s="1"/>
  <c r="E187" i="2"/>
  <c r="G187" i="2"/>
  <c r="K187" i="2"/>
  <c r="I187" i="2"/>
  <c r="H187" i="2"/>
  <c r="N187" i="2"/>
  <c r="B187" i="40"/>
  <c r="L187" i="40" s="1"/>
  <c r="D187" i="40" s="1"/>
  <c r="C187" i="40" s="1"/>
  <c r="F187" i="40"/>
  <c r="C170" i="50"/>
  <c r="J167" i="50"/>
  <c r="M167" i="50" s="1"/>
  <c r="O167" i="50" s="1"/>
  <c r="J186" i="44"/>
  <c r="M186" i="44" s="1"/>
  <c r="O186" i="44" s="1"/>
  <c r="D186" i="44"/>
  <c r="C186" i="44" s="1"/>
  <c r="B187" i="44" s="1"/>
  <c r="K187" i="40"/>
  <c r="H187" i="40"/>
  <c r="E187" i="40"/>
  <c r="I187" i="40"/>
  <c r="J186" i="40"/>
  <c r="M186" i="40" s="1"/>
  <c r="O186" i="40" s="1"/>
  <c r="N187" i="40"/>
  <c r="G187" i="40"/>
  <c r="D187" i="2" l="1"/>
  <c r="C187" i="2" s="1"/>
  <c r="F188" i="2" s="1"/>
  <c r="J187" i="2"/>
  <c r="M187" i="2" s="1"/>
  <c r="O187" i="2" s="1"/>
  <c r="E188" i="40"/>
  <c r="F188" i="40"/>
  <c r="K171" i="50"/>
  <c r="E171" i="50"/>
  <c r="F171" i="50"/>
  <c r="B171" i="50"/>
  <c r="L171" i="50" s="1"/>
  <c r="D171" i="50" s="1"/>
  <c r="N171" i="50"/>
  <c r="G171" i="50"/>
  <c r="H171" i="50"/>
  <c r="I171" i="50"/>
  <c r="E187" i="44"/>
  <c r="G187" i="44"/>
  <c r="I187" i="44"/>
  <c r="H187" i="44"/>
  <c r="N187" i="44"/>
  <c r="K187" i="44"/>
  <c r="F187" i="44"/>
  <c r="J187" i="40"/>
  <c r="M187" i="40" s="1"/>
  <c r="O187" i="40" s="1"/>
  <c r="G188" i="40"/>
  <c r="I188" i="40"/>
  <c r="H188" i="40"/>
  <c r="B188" i="40"/>
  <c r="L188" i="40" s="1"/>
  <c r="D188" i="40" s="1"/>
  <c r="C188" i="40" s="1"/>
  <c r="F189" i="40" s="1"/>
  <c r="L187" i="44"/>
  <c r="K188" i="40"/>
  <c r="N188" i="40"/>
  <c r="B188" i="2" l="1"/>
  <c r="L188" i="2" s="1"/>
  <c r="I188" i="2"/>
  <c r="H188" i="2"/>
  <c r="E188" i="2"/>
  <c r="K188" i="2"/>
  <c r="N188" i="2"/>
  <c r="G188" i="2"/>
  <c r="D187" i="44"/>
  <c r="C187" i="44" s="1"/>
  <c r="H188" i="44" s="1"/>
  <c r="C171" i="50"/>
  <c r="J168" i="50"/>
  <c r="M168" i="50" s="1"/>
  <c r="O168" i="50" s="1"/>
  <c r="J187" i="44"/>
  <c r="M187" i="44" s="1"/>
  <c r="O187" i="44" s="1"/>
  <c r="J188" i="40"/>
  <c r="M188" i="40" s="1"/>
  <c r="O188" i="40" s="1"/>
  <c r="N189" i="40"/>
  <c r="K189" i="40"/>
  <c r="G189" i="40"/>
  <c r="H189" i="40"/>
  <c r="B189" i="40"/>
  <c r="L189" i="40" s="1"/>
  <c r="I189" i="40"/>
  <c r="E189" i="40"/>
  <c r="D188" i="2" l="1"/>
  <c r="C188" i="2" s="1"/>
  <c r="F189" i="2" s="1"/>
  <c r="J188" i="2"/>
  <c r="M188" i="2" s="1"/>
  <c r="O188" i="2" s="1"/>
  <c r="G188" i="44"/>
  <c r="I188" i="44"/>
  <c r="K188" i="44"/>
  <c r="F188" i="44"/>
  <c r="B188" i="44"/>
  <c r="L188" i="44" s="1"/>
  <c r="N188" i="44"/>
  <c r="E188" i="44"/>
  <c r="G172" i="50"/>
  <c r="E172" i="50"/>
  <c r="N172" i="50"/>
  <c r="K172" i="50"/>
  <c r="B172" i="50"/>
  <c r="L172" i="50" s="1"/>
  <c r="D172" i="50" s="1"/>
  <c r="H172" i="50"/>
  <c r="F172" i="50"/>
  <c r="I172" i="50"/>
  <c r="J169" i="50"/>
  <c r="M169" i="50" s="1"/>
  <c r="O169" i="50" s="1"/>
  <c r="D188" i="44"/>
  <c r="C188" i="44" s="1"/>
  <c r="D189" i="40"/>
  <c r="C189" i="40" s="1"/>
  <c r="J189" i="40"/>
  <c r="M189" i="40" s="1"/>
  <c r="O189" i="40" s="1"/>
  <c r="H189" i="2" l="1"/>
  <c r="E189" i="2"/>
  <c r="G189" i="2"/>
  <c r="B189" i="2"/>
  <c r="L189" i="2" s="1"/>
  <c r="I189" i="2"/>
  <c r="K189" i="2"/>
  <c r="N189" i="2"/>
  <c r="J188" i="44"/>
  <c r="M188" i="44" s="1"/>
  <c r="O188" i="44" s="1"/>
  <c r="B190" i="40"/>
  <c r="L190" i="40" s="1"/>
  <c r="F190" i="40"/>
  <c r="C172" i="50"/>
  <c r="G189" i="44"/>
  <c r="K189" i="44"/>
  <c r="F189" i="44"/>
  <c r="E189" i="44"/>
  <c r="H190" i="40"/>
  <c r="B189" i="44"/>
  <c r="L189" i="44" s="1"/>
  <c r="D189" i="44" s="1"/>
  <c r="C189" i="44" s="1"/>
  <c r="I190" i="40"/>
  <c r="G190" i="40"/>
  <c r="N189" i="44"/>
  <c r="H189" i="44"/>
  <c r="I189" i="44"/>
  <c r="K190" i="40"/>
  <c r="N190" i="40"/>
  <c r="E190" i="40"/>
  <c r="J189" i="2" l="1"/>
  <c r="M189" i="2" s="1"/>
  <c r="O189" i="2" s="1"/>
  <c r="D189" i="2"/>
  <c r="C189" i="2" s="1"/>
  <c r="H190" i="2" s="1"/>
  <c r="G173" i="50"/>
  <c r="K173" i="50"/>
  <c r="N173" i="50"/>
  <c r="F173" i="50"/>
  <c r="H173" i="50"/>
  <c r="E173" i="50"/>
  <c r="B173" i="50"/>
  <c r="L173" i="50" s="1"/>
  <c r="D173" i="50" s="1"/>
  <c r="I173" i="50"/>
  <c r="J170" i="50"/>
  <c r="M170" i="50" s="1"/>
  <c r="O170" i="50" s="1"/>
  <c r="K190" i="44"/>
  <c r="F190" i="44"/>
  <c r="J190" i="40"/>
  <c r="M190" i="40" s="1"/>
  <c r="O190" i="40" s="1"/>
  <c r="J189" i="44"/>
  <c r="M189" i="44" s="1"/>
  <c r="O189" i="44" s="1"/>
  <c r="G190" i="44"/>
  <c r="H190" i="44"/>
  <c r="I190" i="44"/>
  <c r="E190" i="44"/>
  <c r="N190" i="44"/>
  <c r="B190" i="44"/>
  <c r="D190" i="40"/>
  <c r="C190" i="40" s="1"/>
  <c r="F191" i="40" s="1"/>
  <c r="G190" i="2" l="1"/>
  <c r="B190" i="2"/>
  <c r="L190" i="2" s="1"/>
  <c r="K190" i="2"/>
  <c r="I190" i="2"/>
  <c r="F190" i="2"/>
  <c r="N190" i="2"/>
  <c r="E190" i="2"/>
  <c r="C173" i="50"/>
  <c r="J171" i="50"/>
  <c r="M171" i="50" s="1"/>
  <c r="O171" i="50" s="1"/>
  <c r="L190" i="44"/>
  <c r="D190" i="44" s="1"/>
  <c r="C190" i="44" s="1"/>
  <c r="J190" i="44"/>
  <c r="N191" i="40"/>
  <c r="K191" i="40"/>
  <c r="B191" i="40"/>
  <c r="H191" i="40"/>
  <c r="G191" i="40"/>
  <c r="E191" i="40"/>
  <c r="I191" i="40"/>
  <c r="J190" i="2" l="1"/>
  <c r="M190" i="2" s="1"/>
  <c r="O190" i="2" s="1"/>
  <c r="D190" i="2"/>
  <c r="C190" i="2" s="1"/>
  <c r="F191" i="2" s="1"/>
  <c r="G174" i="50"/>
  <c r="K174" i="50"/>
  <c r="B174" i="50"/>
  <c r="L174" i="50" s="1"/>
  <c r="F174" i="50"/>
  <c r="N174" i="50"/>
  <c r="E174" i="50"/>
  <c r="H174" i="50"/>
  <c r="I174" i="50"/>
  <c r="K191" i="44"/>
  <c r="F191" i="44"/>
  <c r="G191" i="44"/>
  <c r="I191" i="44"/>
  <c r="H191" i="44"/>
  <c r="E191" i="44"/>
  <c r="M190" i="44"/>
  <c r="O190" i="44" s="1"/>
  <c r="N191" i="44"/>
  <c r="B191" i="44"/>
  <c r="J191" i="40"/>
  <c r="L191" i="40"/>
  <c r="G191" i="2" l="1"/>
  <c r="I191" i="2"/>
  <c r="N191" i="2"/>
  <c r="E191" i="2"/>
  <c r="H191" i="2"/>
  <c r="K191" i="2"/>
  <c r="B191" i="2"/>
  <c r="L191" i="2" s="1"/>
  <c r="D191" i="2" s="1"/>
  <c r="C191" i="2" s="1"/>
  <c r="H192" i="2" s="1"/>
  <c r="D174" i="50"/>
  <c r="C174" i="50" s="1"/>
  <c r="J172" i="50"/>
  <c r="M172" i="50" s="1"/>
  <c r="O172" i="50" s="1"/>
  <c r="L191" i="44"/>
  <c r="D191" i="44" s="1"/>
  <c r="C191" i="44" s="1"/>
  <c r="J191" i="44"/>
  <c r="M191" i="40"/>
  <c r="O191" i="40" s="1"/>
  <c r="D191" i="40"/>
  <c r="C191" i="40" s="1"/>
  <c r="F192" i="40" s="1"/>
  <c r="J191" i="2" l="1"/>
  <c r="M191" i="2" s="1"/>
  <c r="O191" i="2" s="1"/>
  <c r="N192" i="2"/>
  <c r="I192" i="2"/>
  <c r="E192" i="2"/>
  <c r="K192" i="2"/>
  <c r="F192" i="2"/>
  <c r="G192" i="2"/>
  <c r="B192" i="2"/>
  <c r="L192" i="2" s="1"/>
  <c r="B175" i="50"/>
  <c r="L175" i="50" s="1"/>
  <c r="I175" i="50"/>
  <c r="G175" i="50"/>
  <c r="F175" i="50"/>
  <c r="E175" i="50"/>
  <c r="H175" i="50"/>
  <c r="K175" i="50"/>
  <c r="N175" i="50"/>
  <c r="J173" i="50"/>
  <c r="M173" i="50" s="1"/>
  <c r="O173" i="50" s="1"/>
  <c r="K192" i="44"/>
  <c r="F192" i="44"/>
  <c r="G192" i="44"/>
  <c r="H192" i="44"/>
  <c r="I192" i="44"/>
  <c r="E192" i="44"/>
  <c r="M191" i="44"/>
  <c r="O191" i="44" s="1"/>
  <c r="N192" i="44"/>
  <c r="B192" i="44"/>
  <c r="L192" i="44" s="1"/>
  <c r="N192" i="40"/>
  <c r="K192" i="40"/>
  <c r="E192" i="40"/>
  <c r="I192" i="40"/>
  <c r="G192" i="40"/>
  <c r="H192" i="40"/>
  <c r="B192" i="40"/>
  <c r="D192" i="2" l="1"/>
  <c r="C192" i="2" s="1"/>
  <c r="E193" i="2" s="1"/>
  <c r="J192" i="2"/>
  <c r="M192" i="2" s="1"/>
  <c r="O192" i="2" s="1"/>
  <c r="D175" i="50"/>
  <c r="C175" i="50" s="1"/>
  <c r="J174" i="50"/>
  <c r="M174" i="50" s="1"/>
  <c r="O174" i="50" s="1"/>
  <c r="D192" i="44"/>
  <c r="C192" i="44" s="1"/>
  <c r="K193" i="44" s="1"/>
  <c r="J192" i="44"/>
  <c r="M192" i="44" s="1"/>
  <c r="O192" i="44" s="1"/>
  <c r="L192" i="40"/>
  <c r="D192" i="40" s="1"/>
  <c r="C192" i="40" s="1"/>
  <c r="F193" i="40" s="1"/>
  <c r="J192" i="40"/>
  <c r="H193" i="2" l="1"/>
  <c r="K193" i="2"/>
  <c r="F193" i="2"/>
  <c r="G193" i="2"/>
  <c r="B193" i="2"/>
  <c r="L193" i="2" s="1"/>
  <c r="D193" i="2" s="1"/>
  <c r="C193" i="2" s="1"/>
  <c r="E194" i="2" s="1"/>
  <c r="N193" i="2"/>
  <c r="I193" i="2"/>
  <c r="H176" i="50"/>
  <c r="K176" i="50"/>
  <c r="E176" i="50"/>
  <c r="B176" i="50"/>
  <c r="L176" i="50" s="1"/>
  <c r="D176" i="50" s="1"/>
  <c r="G176" i="50"/>
  <c r="N176" i="50"/>
  <c r="F176" i="50"/>
  <c r="I176" i="50"/>
  <c r="I193" i="44"/>
  <c r="G193" i="44"/>
  <c r="F193" i="44"/>
  <c r="B193" i="44"/>
  <c r="L193" i="44" s="1"/>
  <c r="N193" i="44"/>
  <c r="E193" i="44"/>
  <c r="H193" i="44"/>
  <c r="K193" i="40"/>
  <c r="N193" i="40"/>
  <c r="G193" i="40"/>
  <c r="E193" i="40"/>
  <c r="B193" i="40"/>
  <c r="I193" i="40"/>
  <c r="H193" i="40"/>
  <c r="M192" i="40"/>
  <c r="O192" i="40" s="1"/>
  <c r="N194" i="2" l="1"/>
  <c r="G194" i="2"/>
  <c r="J193" i="2"/>
  <c r="M193" i="2" s="1"/>
  <c r="O193" i="2" s="1"/>
  <c r="B194" i="2"/>
  <c r="L194" i="2" s="1"/>
  <c r="D194" i="2" s="1"/>
  <c r="C194" i="2" s="1"/>
  <c r="B195" i="2" s="1"/>
  <c r="L195" i="2" s="1"/>
  <c r="F194" i="2"/>
  <c r="I194" i="2"/>
  <c r="H194" i="2"/>
  <c r="K194" i="2"/>
  <c r="C176" i="50"/>
  <c r="J175" i="50"/>
  <c r="M175" i="50" s="1"/>
  <c r="O175" i="50" s="1"/>
  <c r="D193" i="44"/>
  <c r="C193" i="44" s="1"/>
  <c r="H194" i="44" s="1"/>
  <c r="J193" i="44"/>
  <c r="M193" i="44" s="1"/>
  <c r="O193" i="44" s="1"/>
  <c r="J193" i="40"/>
  <c r="L193" i="40"/>
  <c r="F195" i="2" l="1"/>
  <c r="G195" i="2"/>
  <c r="I195" i="2"/>
  <c r="E195" i="2"/>
  <c r="K195" i="2"/>
  <c r="H195" i="2"/>
  <c r="N195" i="2"/>
  <c r="J194" i="2"/>
  <c r="M194" i="2" s="1"/>
  <c r="O194" i="2" s="1"/>
  <c r="G194" i="44"/>
  <c r="F194" i="44"/>
  <c r="K194" i="44"/>
  <c r="E194" i="44"/>
  <c r="B194" i="44"/>
  <c r="L194" i="44" s="1"/>
  <c r="D194" i="44" s="1"/>
  <c r="C194" i="44" s="1"/>
  <c r="N194" i="44"/>
  <c r="I194" i="44"/>
  <c r="D195" i="2"/>
  <c r="C195" i="2" s="1"/>
  <c r="I196" i="2" s="1"/>
  <c r="H177" i="50"/>
  <c r="K177" i="50"/>
  <c r="G177" i="50"/>
  <c r="B177" i="50"/>
  <c r="L177" i="50" s="1"/>
  <c r="D177" i="50" s="1"/>
  <c r="E177" i="50"/>
  <c r="F177" i="50"/>
  <c r="I177" i="50"/>
  <c r="N177" i="50"/>
  <c r="J176" i="50"/>
  <c r="M176" i="50" s="1"/>
  <c r="O176" i="50" s="1"/>
  <c r="M193" i="40"/>
  <c r="O193" i="40" s="1"/>
  <c r="D193" i="40"/>
  <c r="C193" i="40" s="1"/>
  <c r="F194" i="40" s="1"/>
  <c r="J195" i="2" l="1"/>
  <c r="M195" i="2" s="1"/>
  <c r="O195" i="2" s="1"/>
  <c r="J194" i="44"/>
  <c r="M194" i="44" s="1"/>
  <c r="O194" i="44" s="1"/>
  <c r="H196" i="2"/>
  <c r="K196" i="2"/>
  <c r="N196" i="2"/>
  <c r="F196" i="2"/>
  <c r="B196" i="2"/>
  <c r="L196" i="2" s="1"/>
  <c r="E196" i="2"/>
  <c r="G196" i="2"/>
  <c r="C177" i="50"/>
  <c r="K195" i="44"/>
  <c r="F195" i="44"/>
  <c r="G195" i="44"/>
  <c r="I195" i="44"/>
  <c r="H195" i="44"/>
  <c r="E195" i="44"/>
  <c r="N195" i="44"/>
  <c r="B195" i="44"/>
  <c r="K194" i="40"/>
  <c r="N194" i="40"/>
  <c r="E194" i="40"/>
  <c r="I194" i="40"/>
  <c r="B194" i="40"/>
  <c r="L194" i="40" s="1"/>
  <c r="D194" i="40" s="1"/>
  <c r="C194" i="40" s="1"/>
  <c r="F195" i="40" s="1"/>
  <c r="G194" i="40"/>
  <c r="H194" i="40"/>
  <c r="D196" i="2" l="1"/>
  <c r="C196" i="2" s="1"/>
  <c r="G197" i="2" s="1"/>
  <c r="J196" i="2"/>
  <c r="M196" i="2" s="1"/>
  <c r="O196" i="2" s="1"/>
  <c r="I178" i="50"/>
  <c r="K178" i="50"/>
  <c r="N178" i="50"/>
  <c r="E178" i="50"/>
  <c r="G178" i="50"/>
  <c r="F178" i="50"/>
  <c r="B178" i="50"/>
  <c r="L178" i="50" s="1"/>
  <c r="D178" i="50" s="1"/>
  <c r="H178" i="50"/>
  <c r="J177" i="50"/>
  <c r="M177" i="50" s="1"/>
  <c r="O177" i="50" s="1"/>
  <c r="J195" i="44"/>
  <c r="L195" i="44"/>
  <c r="D195" i="44" s="1"/>
  <c r="C195" i="44" s="1"/>
  <c r="K195" i="40"/>
  <c r="N195" i="40"/>
  <c r="E195" i="40"/>
  <c r="G195" i="40"/>
  <c r="I195" i="40"/>
  <c r="B195" i="40"/>
  <c r="L195" i="40" s="1"/>
  <c r="H195" i="40"/>
  <c r="J194" i="40"/>
  <c r="M194" i="40" s="1"/>
  <c r="O194" i="40" s="1"/>
  <c r="I197" i="2" l="1"/>
  <c r="N197" i="2"/>
  <c r="H197" i="2"/>
  <c r="E197" i="2"/>
  <c r="B197" i="2"/>
  <c r="L197" i="2" s="1"/>
  <c r="K197" i="2"/>
  <c r="F197" i="2"/>
  <c r="C178" i="50"/>
  <c r="J178" i="50"/>
  <c r="M178" i="50" s="1"/>
  <c r="O178" i="50" s="1"/>
  <c r="K196" i="44"/>
  <c r="F196" i="44"/>
  <c r="G196" i="44"/>
  <c r="H196" i="44"/>
  <c r="I196" i="44"/>
  <c r="E196" i="44"/>
  <c r="D195" i="40"/>
  <c r="C195" i="40" s="1"/>
  <c r="M195" i="44"/>
  <c r="O195" i="44" s="1"/>
  <c r="N196" i="44"/>
  <c r="B196" i="44"/>
  <c r="L196" i="44" s="1"/>
  <c r="J195" i="40"/>
  <c r="M195" i="40" s="1"/>
  <c r="O195" i="40" s="1"/>
  <c r="D197" i="2" l="1"/>
  <c r="C197" i="2" s="1"/>
  <c r="H198" i="2" s="1"/>
  <c r="J197" i="2"/>
  <c r="M197" i="2" s="1"/>
  <c r="O197" i="2" s="1"/>
  <c r="N196" i="40"/>
  <c r="F196" i="40"/>
  <c r="N179" i="50"/>
  <c r="B179" i="50"/>
  <c r="L179" i="50" s="1"/>
  <c r="G179" i="50"/>
  <c r="I179" i="50"/>
  <c r="K179" i="50"/>
  <c r="H179" i="50"/>
  <c r="F179" i="50"/>
  <c r="E179" i="50"/>
  <c r="K196" i="40"/>
  <c r="E196" i="40"/>
  <c r="D196" i="44"/>
  <c r="C196" i="44" s="1"/>
  <c r="G196" i="40"/>
  <c r="H196" i="40"/>
  <c r="B196" i="40"/>
  <c r="L196" i="40" s="1"/>
  <c r="I196" i="40"/>
  <c r="J196" i="44"/>
  <c r="M196" i="44" s="1"/>
  <c r="O196" i="44" s="1"/>
  <c r="K198" i="2" l="1"/>
  <c r="D196" i="40"/>
  <c r="C196" i="40" s="1"/>
  <c r="B197" i="40" s="1"/>
  <c r="L197" i="40" s="1"/>
  <c r="N198" i="2"/>
  <c r="G198" i="2"/>
  <c r="F198" i="2"/>
  <c r="B198" i="2"/>
  <c r="L198" i="2" s="1"/>
  <c r="E198" i="2"/>
  <c r="I198" i="2"/>
  <c r="D179" i="50"/>
  <c r="C179" i="50" s="1"/>
  <c r="I197" i="44"/>
  <c r="K197" i="44"/>
  <c r="F197" i="44"/>
  <c r="E197" i="44"/>
  <c r="B197" i="44"/>
  <c r="L197" i="44" s="1"/>
  <c r="N197" i="44"/>
  <c r="H197" i="44"/>
  <c r="G197" i="44"/>
  <c r="J196" i="40"/>
  <c r="M196" i="40" s="1"/>
  <c r="O196" i="40" s="1"/>
  <c r="K197" i="40" l="1"/>
  <c r="F197" i="40"/>
  <c r="H197" i="40"/>
  <c r="N197" i="40"/>
  <c r="I197" i="40"/>
  <c r="G197" i="40"/>
  <c r="E197" i="40"/>
  <c r="D198" i="2"/>
  <c r="C198" i="2" s="1"/>
  <c r="K199" i="2" s="1"/>
  <c r="J198" i="2"/>
  <c r="M198" i="2" s="1"/>
  <c r="O198" i="2" s="1"/>
  <c r="D197" i="44"/>
  <c r="C197" i="44" s="1"/>
  <c r="I198" i="44" s="1"/>
  <c r="I180" i="50"/>
  <c r="H180" i="50"/>
  <c r="F180" i="50"/>
  <c r="B180" i="50"/>
  <c r="L180" i="50" s="1"/>
  <c r="D180" i="50" s="1"/>
  <c r="N180" i="50"/>
  <c r="K180" i="50"/>
  <c r="E180" i="50"/>
  <c r="G180" i="50"/>
  <c r="J179" i="50"/>
  <c r="M179" i="50" s="1"/>
  <c r="O179" i="50" s="1"/>
  <c r="J197" i="44"/>
  <c r="M197" i="44" s="1"/>
  <c r="O197" i="44" s="1"/>
  <c r="D197" i="40"/>
  <c r="C197" i="40" s="1"/>
  <c r="F198" i="40" s="1"/>
  <c r="J197" i="40" l="1"/>
  <c r="M197" i="40" s="1"/>
  <c r="O197" i="40" s="1"/>
  <c r="G199" i="2"/>
  <c r="F199" i="2"/>
  <c r="B199" i="2"/>
  <c r="L199" i="2" s="1"/>
  <c r="E199" i="2"/>
  <c r="N199" i="2"/>
  <c r="H199" i="2"/>
  <c r="I199" i="2"/>
  <c r="G198" i="44"/>
  <c r="B198" i="44"/>
  <c r="L198" i="44" s="1"/>
  <c r="F198" i="44"/>
  <c r="H198" i="44"/>
  <c r="K198" i="44"/>
  <c r="E198" i="44"/>
  <c r="N198" i="44"/>
  <c r="C180" i="50"/>
  <c r="K198" i="40"/>
  <c r="N198" i="40"/>
  <c r="I198" i="40"/>
  <c r="B198" i="40"/>
  <c r="L198" i="40" s="1"/>
  <c r="E198" i="40"/>
  <c r="H198" i="40"/>
  <c r="G198" i="40"/>
  <c r="J199" i="2" l="1"/>
  <c r="M199" i="2" s="1"/>
  <c r="O199" i="2" s="1"/>
  <c r="D199" i="2"/>
  <c r="C199" i="2" s="1"/>
  <c r="G200" i="2" s="1"/>
  <c r="D198" i="40"/>
  <c r="C198" i="40" s="1"/>
  <c r="H199" i="40" s="1"/>
  <c r="J198" i="44"/>
  <c r="M198" i="44" s="1"/>
  <c r="O198" i="44" s="1"/>
  <c r="D198" i="44"/>
  <c r="C198" i="44" s="1"/>
  <c r="F199" i="44" s="1"/>
  <c r="N199" i="40"/>
  <c r="F199" i="40"/>
  <c r="G181" i="50"/>
  <c r="N181" i="50"/>
  <c r="I181" i="50"/>
  <c r="F181" i="50"/>
  <c r="H181" i="50"/>
  <c r="B181" i="50"/>
  <c r="L181" i="50" s="1"/>
  <c r="K181" i="50"/>
  <c r="E181" i="50"/>
  <c r="J180" i="50"/>
  <c r="M180" i="50" s="1"/>
  <c r="O180" i="50" s="1"/>
  <c r="J198" i="40"/>
  <c r="M198" i="40" s="1"/>
  <c r="O198" i="40" s="1"/>
  <c r="K199" i="40" l="1"/>
  <c r="I199" i="40"/>
  <c r="B199" i="40"/>
  <c r="L199" i="40" s="1"/>
  <c r="G199" i="40"/>
  <c r="E199" i="40"/>
  <c r="I200" i="2"/>
  <c r="E200" i="2"/>
  <c r="K200" i="2"/>
  <c r="N200" i="2"/>
  <c r="F200" i="2"/>
  <c r="H200" i="2"/>
  <c r="B200" i="2"/>
  <c r="L200" i="2" s="1"/>
  <c r="D200" i="2" s="1"/>
  <c r="C200" i="2" s="1"/>
  <c r="K201" i="2" s="1"/>
  <c r="D199" i="40"/>
  <c r="C199" i="40" s="1"/>
  <c r="B200" i="40" s="1"/>
  <c r="L200" i="40" s="1"/>
  <c r="I199" i="44"/>
  <c r="K199" i="44"/>
  <c r="E199" i="44"/>
  <c r="G199" i="44"/>
  <c r="B199" i="44"/>
  <c r="L199" i="44" s="1"/>
  <c r="D199" i="44" s="1"/>
  <c r="C199" i="44" s="1"/>
  <c r="N199" i="44"/>
  <c r="H199" i="44"/>
  <c r="D181" i="50"/>
  <c r="C181" i="50" s="1"/>
  <c r="J199" i="40" l="1"/>
  <c r="M199" i="40" s="1"/>
  <c r="O199" i="40" s="1"/>
  <c r="J200" i="2"/>
  <c r="M200" i="2" s="1"/>
  <c r="O200" i="2" s="1"/>
  <c r="H201" i="2"/>
  <c r="B201" i="2"/>
  <c r="L201" i="2" s="1"/>
  <c r="I201" i="2"/>
  <c r="E201" i="2"/>
  <c r="F201" i="2"/>
  <c r="N201" i="2"/>
  <c r="G201" i="2"/>
  <c r="H200" i="40"/>
  <c r="E200" i="40"/>
  <c r="K200" i="40"/>
  <c r="I200" i="40"/>
  <c r="N200" i="40"/>
  <c r="F200" i="40"/>
  <c r="G200" i="40"/>
  <c r="J199" i="44"/>
  <c r="M199" i="44" s="1"/>
  <c r="O199" i="44" s="1"/>
  <c r="K182" i="50"/>
  <c r="B182" i="50"/>
  <c r="L182" i="50" s="1"/>
  <c r="D182" i="50" s="1"/>
  <c r="E182" i="50"/>
  <c r="I182" i="50"/>
  <c r="G182" i="50"/>
  <c r="F182" i="50"/>
  <c r="N182" i="50"/>
  <c r="H182" i="50"/>
  <c r="J181" i="50"/>
  <c r="M181" i="50" s="1"/>
  <c r="O181" i="50" s="1"/>
  <c r="K200" i="44"/>
  <c r="F200" i="44"/>
  <c r="D200" i="40"/>
  <c r="C200" i="40" s="1"/>
  <c r="F201" i="40" s="1"/>
  <c r="G200" i="44"/>
  <c r="H200" i="44"/>
  <c r="I200" i="44"/>
  <c r="E200" i="44"/>
  <c r="N200" i="44"/>
  <c r="B200" i="44"/>
  <c r="L200" i="44" s="1"/>
  <c r="J201" i="2" l="1"/>
  <c r="M201" i="2" s="1"/>
  <c r="O201" i="2" s="1"/>
  <c r="D201" i="2"/>
  <c r="C201" i="2" s="1"/>
  <c r="J200" i="40"/>
  <c r="M200" i="40" s="1"/>
  <c r="O200" i="40" s="1"/>
  <c r="K201" i="40"/>
  <c r="N201" i="40"/>
  <c r="E201" i="40"/>
  <c r="H201" i="40"/>
  <c r="G201" i="40"/>
  <c r="I201" i="40"/>
  <c r="B201" i="40"/>
  <c r="L201" i="40" s="1"/>
  <c r="C182" i="50"/>
  <c r="D200" i="44"/>
  <c r="C200" i="44" s="1"/>
  <c r="E201" i="44" s="1"/>
  <c r="J200" i="44"/>
  <c r="M200" i="44" s="1"/>
  <c r="O200" i="44" s="1"/>
  <c r="K202" i="2" l="1"/>
  <c r="G202" i="2"/>
  <c r="H202" i="2"/>
  <c r="F202" i="2"/>
  <c r="N202" i="2"/>
  <c r="E202" i="2"/>
  <c r="B202" i="2"/>
  <c r="L202" i="2" s="1"/>
  <c r="D202" i="2" s="1"/>
  <c r="C202" i="2" s="1"/>
  <c r="B203" i="2" s="1"/>
  <c r="L203" i="2" s="1"/>
  <c r="I202" i="2"/>
  <c r="J201" i="40"/>
  <c r="M201" i="40" s="1"/>
  <c r="O201" i="40" s="1"/>
  <c r="I183" i="50"/>
  <c r="H183" i="50"/>
  <c r="B183" i="50"/>
  <c r="L183" i="50" s="1"/>
  <c r="N183" i="50"/>
  <c r="G183" i="50"/>
  <c r="K183" i="50"/>
  <c r="F183" i="50"/>
  <c r="E183" i="50"/>
  <c r="J182" i="50"/>
  <c r="M182" i="50" s="1"/>
  <c r="O182" i="50" s="1"/>
  <c r="G201" i="44"/>
  <c r="B201" i="44"/>
  <c r="L201" i="44" s="1"/>
  <c r="D201" i="44" s="1"/>
  <c r="C201" i="44" s="1"/>
  <c r="N201" i="44"/>
  <c r="I201" i="44"/>
  <c r="K201" i="44"/>
  <c r="F201" i="44"/>
  <c r="H201" i="44"/>
  <c r="D201" i="40"/>
  <c r="C201" i="40" s="1"/>
  <c r="F202" i="40" s="1"/>
  <c r="J202" i="2" l="1"/>
  <c r="M202" i="2" s="1"/>
  <c r="O202" i="2" s="1"/>
  <c r="N203" i="2"/>
  <c r="K203" i="2"/>
  <c r="I203" i="2"/>
  <c r="H203" i="2"/>
  <c r="F203" i="2"/>
  <c r="E203" i="2"/>
  <c r="D203" i="2" s="1"/>
  <c r="C203" i="2" s="1"/>
  <c r="H204" i="2" s="1"/>
  <c r="G203" i="2"/>
  <c r="D183" i="50"/>
  <c r="C183" i="50" s="1"/>
  <c r="J183" i="50"/>
  <c r="M183" i="50" s="1"/>
  <c r="O183" i="50" s="1"/>
  <c r="K202" i="44"/>
  <c r="F202" i="44"/>
  <c r="J201" i="44"/>
  <c r="M201" i="44" s="1"/>
  <c r="O201" i="44" s="1"/>
  <c r="G202" i="44"/>
  <c r="H202" i="44"/>
  <c r="I202" i="44"/>
  <c r="E202" i="44"/>
  <c r="N202" i="44"/>
  <c r="B202" i="44"/>
  <c r="K202" i="40"/>
  <c r="N202" i="40"/>
  <c r="B202" i="40"/>
  <c r="E202" i="40"/>
  <c r="I202" i="40"/>
  <c r="G202" i="40"/>
  <c r="H202" i="40"/>
  <c r="G204" i="2" l="1"/>
  <c r="N204" i="2"/>
  <c r="J203" i="2"/>
  <c r="M203" i="2" s="1"/>
  <c r="O203" i="2" s="1"/>
  <c r="E204" i="2"/>
  <c r="B204" i="2"/>
  <c r="L204" i="2" s="1"/>
  <c r="K204" i="2"/>
  <c r="I204" i="2"/>
  <c r="F204" i="2"/>
  <c r="K184" i="50"/>
  <c r="E184" i="50"/>
  <c r="F184" i="50"/>
  <c r="I184" i="50"/>
  <c r="N184" i="50"/>
  <c r="H184" i="50"/>
  <c r="G184" i="50"/>
  <c r="B184" i="50"/>
  <c r="L184" i="50" s="1"/>
  <c r="D184" i="50" s="1"/>
  <c r="J202" i="44"/>
  <c r="L202" i="44"/>
  <c r="D202" i="44" s="1"/>
  <c r="C202" i="44" s="1"/>
  <c r="J202" i="40"/>
  <c r="L202" i="40"/>
  <c r="J204" i="2" l="1"/>
  <c r="M204" i="2" s="1"/>
  <c r="O204" i="2" s="1"/>
  <c r="D204" i="2"/>
  <c r="C204" i="2" s="1"/>
  <c r="F205" i="2" s="1"/>
  <c r="C184" i="50"/>
  <c r="F203" i="44"/>
  <c r="K203" i="44"/>
  <c r="G203" i="44"/>
  <c r="I203" i="44"/>
  <c r="H203" i="44"/>
  <c r="E203" i="44"/>
  <c r="M202" i="40"/>
  <c r="O202" i="40" s="1"/>
  <c r="N203" i="44"/>
  <c r="B203" i="44"/>
  <c r="M202" i="44"/>
  <c r="O202" i="44" s="1"/>
  <c r="D202" i="40"/>
  <c r="C202" i="40" s="1"/>
  <c r="F203" i="40" s="1"/>
  <c r="N205" i="2" l="1"/>
  <c r="I205" i="2"/>
  <c r="E205" i="2"/>
  <c r="B205" i="2"/>
  <c r="L205" i="2" s="1"/>
  <c r="H205" i="2"/>
  <c r="G205" i="2"/>
  <c r="K205" i="2"/>
  <c r="D205" i="2"/>
  <c r="C205" i="2" s="1"/>
  <c r="N206" i="2" s="1"/>
  <c r="F185" i="50"/>
  <c r="E185" i="50"/>
  <c r="K185" i="50"/>
  <c r="N185" i="50"/>
  <c r="G185" i="50"/>
  <c r="B185" i="50"/>
  <c r="L185" i="50" s="1"/>
  <c r="D185" i="50" s="1"/>
  <c r="H185" i="50"/>
  <c r="I185" i="50"/>
  <c r="J184" i="50"/>
  <c r="M184" i="50" s="1"/>
  <c r="O184" i="50" s="1"/>
  <c r="L203" i="44"/>
  <c r="D203" i="44" s="1"/>
  <c r="C203" i="44" s="1"/>
  <c r="J203" i="44"/>
  <c r="K203" i="40"/>
  <c r="N203" i="40"/>
  <c r="E203" i="40"/>
  <c r="B203" i="40"/>
  <c r="G203" i="40"/>
  <c r="I203" i="40"/>
  <c r="H203" i="40"/>
  <c r="J205" i="2" l="1"/>
  <c r="M205" i="2" s="1"/>
  <c r="O205" i="2" s="1"/>
  <c r="K206" i="2"/>
  <c r="G206" i="2"/>
  <c r="H206" i="2"/>
  <c r="E206" i="2"/>
  <c r="B206" i="2"/>
  <c r="L206" i="2" s="1"/>
  <c r="D206" i="2" s="1"/>
  <c r="C206" i="2" s="1"/>
  <c r="F207" i="2" s="1"/>
  <c r="F206" i="2"/>
  <c r="I206" i="2"/>
  <c r="C185" i="50"/>
  <c r="F204" i="44"/>
  <c r="K204" i="44"/>
  <c r="G204" i="44"/>
  <c r="H204" i="44"/>
  <c r="I204" i="44"/>
  <c r="E204" i="44"/>
  <c r="N204" i="44"/>
  <c r="M203" i="44"/>
  <c r="O203" i="44" s="1"/>
  <c r="B204" i="44"/>
  <c r="L204" i="44" s="1"/>
  <c r="J203" i="40"/>
  <c r="L203" i="40"/>
  <c r="D203" i="40" s="1"/>
  <c r="C203" i="40" s="1"/>
  <c r="F204" i="40" s="1"/>
  <c r="J206" i="2" l="1"/>
  <c r="M206" i="2" s="1"/>
  <c r="O206" i="2" s="1"/>
  <c r="K207" i="2"/>
  <c r="I207" i="2"/>
  <c r="B207" i="2"/>
  <c r="L207" i="2" s="1"/>
  <c r="E207" i="2"/>
  <c r="N207" i="2"/>
  <c r="H207" i="2"/>
  <c r="G207" i="2"/>
  <c r="F186" i="50"/>
  <c r="K186" i="50"/>
  <c r="E186" i="50"/>
  <c r="H186" i="50"/>
  <c r="I186" i="50"/>
  <c r="N186" i="50"/>
  <c r="B186" i="50"/>
  <c r="L186" i="50" s="1"/>
  <c r="D186" i="50" s="1"/>
  <c r="G186" i="50"/>
  <c r="J185" i="50"/>
  <c r="M185" i="50" s="1"/>
  <c r="O185" i="50" s="1"/>
  <c r="D204" i="44"/>
  <c r="C204" i="44" s="1"/>
  <c r="J204" i="44"/>
  <c r="M204" i="44" s="1"/>
  <c r="O204" i="44" s="1"/>
  <c r="K204" i="40"/>
  <c r="N204" i="40"/>
  <c r="I204" i="40"/>
  <c r="B204" i="40"/>
  <c r="H204" i="40"/>
  <c r="E204" i="40"/>
  <c r="G204" i="40"/>
  <c r="M203" i="40"/>
  <c r="O203" i="40" s="1"/>
  <c r="D207" i="2" l="1"/>
  <c r="C207" i="2" s="1"/>
  <c r="G208" i="2" s="1"/>
  <c r="J207" i="2"/>
  <c r="M207" i="2" s="1"/>
  <c r="O207" i="2" s="1"/>
  <c r="C186" i="50"/>
  <c r="G205" i="44"/>
  <c r="F205" i="44"/>
  <c r="K205" i="44"/>
  <c r="B205" i="44"/>
  <c r="L205" i="44" s="1"/>
  <c r="N205" i="44"/>
  <c r="E205" i="44"/>
  <c r="H205" i="44"/>
  <c r="I205" i="44"/>
  <c r="L204" i="40"/>
  <c r="D204" i="40" s="1"/>
  <c r="C204" i="40" s="1"/>
  <c r="F205" i="40" s="1"/>
  <c r="J204" i="40"/>
  <c r="F208" i="2" l="1"/>
  <c r="B208" i="2"/>
  <c r="L208" i="2" s="1"/>
  <c r="N208" i="2"/>
  <c r="K208" i="2"/>
  <c r="H208" i="2"/>
  <c r="I208" i="2"/>
  <c r="E208" i="2"/>
  <c r="D205" i="44"/>
  <c r="C205" i="44" s="1"/>
  <c r="I206" i="44" s="1"/>
  <c r="E187" i="50"/>
  <c r="F187" i="50"/>
  <c r="K187" i="50"/>
  <c r="B187" i="50"/>
  <c r="L187" i="50" s="1"/>
  <c r="D187" i="50" s="1"/>
  <c r="N187" i="50"/>
  <c r="G187" i="50"/>
  <c r="I187" i="50"/>
  <c r="H187" i="50"/>
  <c r="J186" i="50"/>
  <c r="M186" i="50" s="1"/>
  <c r="O186" i="50" s="1"/>
  <c r="J205" i="44"/>
  <c r="M205" i="44" s="1"/>
  <c r="O205" i="44" s="1"/>
  <c r="N205" i="40"/>
  <c r="K205" i="40"/>
  <c r="M204" i="40"/>
  <c r="O204" i="40" s="1"/>
  <c r="H205" i="40"/>
  <c r="E205" i="40"/>
  <c r="B205" i="40"/>
  <c r="I205" i="40"/>
  <c r="G205" i="40"/>
  <c r="D208" i="2" l="1"/>
  <c r="C208" i="2" s="1"/>
  <c r="I209" i="2" s="1"/>
  <c r="J208" i="2"/>
  <c r="M208" i="2" s="1"/>
  <c r="O208" i="2" s="1"/>
  <c r="N206" i="44"/>
  <c r="H206" i="44"/>
  <c r="G206" i="44"/>
  <c r="K206" i="44"/>
  <c r="F206" i="44"/>
  <c r="E206" i="44"/>
  <c r="B206" i="44"/>
  <c r="L206" i="44" s="1"/>
  <c r="D206" i="44" s="1"/>
  <c r="C206" i="44" s="1"/>
  <c r="C187" i="50"/>
  <c r="J205" i="40"/>
  <c r="L205" i="40"/>
  <c r="G209" i="2" l="1"/>
  <c r="F209" i="2"/>
  <c r="K209" i="2"/>
  <c r="N209" i="2"/>
  <c r="E209" i="2"/>
  <c r="H209" i="2"/>
  <c r="B209" i="2"/>
  <c r="L209" i="2" s="1"/>
  <c r="D209" i="2" s="1"/>
  <c r="C209" i="2" s="1"/>
  <c r="J206" i="44"/>
  <c r="M206" i="44" s="1"/>
  <c r="O206" i="44" s="1"/>
  <c r="E188" i="50"/>
  <c r="K188" i="50"/>
  <c r="F188" i="50"/>
  <c r="G188" i="50"/>
  <c r="H188" i="50"/>
  <c r="B188" i="50"/>
  <c r="L188" i="50" s="1"/>
  <c r="D188" i="50" s="1"/>
  <c r="N188" i="50"/>
  <c r="I188" i="50"/>
  <c r="J187" i="50"/>
  <c r="M187" i="50" s="1"/>
  <c r="O187" i="50" s="1"/>
  <c r="F207" i="44"/>
  <c r="K207" i="44"/>
  <c r="G207" i="44"/>
  <c r="I207" i="44"/>
  <c r="H207" i="44"/>
  <c r="E207" i="44"/>
  <c r="M205" i="40"/>
  <c r="O205" i="40" s="1"/>
  <c r="N207" i="44"/>
  <c r="B207" i="44"/>
  <c r="D205" i="40"/>
  <c r="C205" i="40" s="1"/>
  <c r="F206" i="40" s="1"/>
  <c r="J209" i="2" l="1"/>
  <c r="M209" i="2" s="1"/>
  <c r="O209" i="2" s="1"/>
  <c r="K210" i="2"/>
  <c r="N210" i="2"/>
  <c r="H210" i="2"/>
  <c r="G210" i="2"/>
  <c r="B210" i="2"/>
  <c r="L210" i="2" s="1"/>
  <c r="F210" i="2"/>
  <c r="E210" i="2"/>
  <c r="I210" i="2"/>
  <c r="C188" i="50"/>
  <c r="J207" i="44"/>
  <c r="L207" i="44"/>
  <c r="D207" i="44" s="1"/>
  <c r="C207" i="44" s="1"/>
  <c r="N206" i="40"/>
  <c r="K206" i="40"/>
  <c r="B206" i="40"/>
  <c r="I206" i="40"/>
  <c r="H206" i="40"/>
  <c r="E206" i="40"/>
  <c r="G206" i="40"/>
  <c r="D210" i="2" l="1"/>
  <c r="C210" i="2" s="1"/>
  <c r="G211" i="2" s="1"/>
  <c r="J210" i="2"/>
  <c r="M210" i="2" s="1"/>
  <c r="O210" i="2" s="1"/>
  <c r="E189" i="50"/>
  <c r="F189" i="50"/>
  <c r="K189" i="50"/>
  <c r="G189" i="50"/>
  <c r="N189" i="50"/>
  <c r="B189" i="50"/>
  <c r="L189" i="50" s="1"/>
  <c r="D189" i="50" s="1"/>
  <c r="I189" i="50"/>
  <c r="H189" i="50"/>
  <c r="J188" i="50"/>
  <c r="M188" i="50" s="1"/>
  <c r="O188" i="50" s="1"/>
  <c r="K208" i="44"/>
  <c r="F208" i="44"/>
  <c r="G208" i="44"/>
  <c r="H208" i="44"/>
  <c r="I208" i="44"/>
  <c r="E208" i="44"/>
  <c r="M207" i="44"/>
  <c r="O207" i="44" s="1"/>
  <c r="N208" i="44"/>
  <c r="B208" i="44"/>
  <c r="L208" i="44" s="1"/>
  <c r="J206" i="40"/>
  <c r="L206" i="40"/>
  <c r="D206" i="40" s="1"/>
  <c r="C206" i="40" s="1"/>
  <c r="F207" i="40" s="1"/>
  <c r="K211" i="2" l="1"/>
  <c r="B211" i="2"/>
  <c r="L211" i="2" s="1"/>
  <c r="H211" i="2"/>
  <c r="N211" i="2"/>
  <c r="E211" i="2"/>
  <c r="I211" i="2"/>
  <c r="F211" i="2"/>
  <c r="C189" i="50"/>
  <c r="D208" i="44"/>
  <c r="C208" i="44" s="1"/>
  <c r="G209" i="44" s="1"/>
  <c r="J208" i="44"/>
  <c r="M208" i="44" s="1"/>
  <c r="O208" i="44" s="1"/>
  <c r="N207" i="40"/>
  <c r="K207" i="40"/>
  <c r="I207" i="40"/>
  <c r="B207" i="40"/>
  <c r="L207" i="40" s="1"/>
  <c r="H207" i="40"/>
  <c r="G207" i="40"/>
  <c r="E207" i="40"/>
  <c r="M206" i="40"/>
  <c r="O206" i="40" s="1"/>
  <c r="D211" i="2" l="1"/>
  <c r="C211" i="2" s="1"/>
  <c r="B212" i="2" s="1"/>
  <c r="L212" i="2" s="1"/>
  <c r="J211" i="2"/>
  <c r="M211" i="2" s="1"/>
  <c r="O211" i="2" s="1"/>
  <c r="F190" i="50"/>
  <c r="K190" i="50"/>
  <c r="E190" i="50"/>
  <c r="H190" i="50"/>
  <c r="B190" i="50"/>
  <c r="L190" i="50" s="1"/>
  <c r="D190" i="50" s="1"/>
  <c r="N190" i="50"/>
  <c r="I190" i="50"/>
  <c r="G190" i="50"/>
  <c r="B209" i="44"/>
  <c r="L209" i="44" s="1"/>
  <c r="N209" i="44"/>
  <c r="E209" i="44"/>
  <c r="I209" i="44"/>
  <c r="H209" i="44"/>
  <c r="K209" i="44"/>
  <c r="F209" i="44"/>
  <c r="D207" i="40"/>
  <c r="C207" i="40" s="1"/>
  <c r="J207" i="40"/>
  <c r="M207" i="40" s="1"/>
  <c r="O207" i="40" s="1"/>
  <c r="E212" i="2" l="1"/>
  <c r="N212" i="2"/>
  <c r="F212" i="2"/>
  <c r="I212" i="2"/>
  <c r="K212" i="2"/>
  <c r="H212" i="2"/>
  <c r="G212" i="2"/>
  <c r="D212" i="2"/>
  <c r="C212" i="2" s="1"/>
  <c r="N213" i="2" s="1"/>
  <c r="E208" i="40"/>
  <c r="F208" i="40"/>
  <c r="G208" i="40"/>
  <c r="H208" i="40"/>
  <c r="C190" i="50"/>
  <c r="J189" i="50"/>
  <c r="M189" i="50" s="1"/>
  <c r="O189" i="50" s="1"/>
  <c r="J209" i="44"/>
  <c r="M209" i="44" s="1"/>
  <c r="O209" i="44" s="1"/>
  <c r="B208" i="40"/>
  <c r="L208" i="40" s="1"/>
  <c r="I208" i="40"/>
  <c r="K208" i="40"/>
  <c r="N208" i="40"/>
  <c r="D209" i="44"/>
  <c r="C209" i="44" s="1"/>
  <c r="J212" i="2" l="1"/>
  <c r="M212" i="2" s="1"/>
  <c r="O212" i="2" s="1"/>
  <c r="I213" i="2"/>
  <c r="H213" i="2"/>
  <c r="K213" i="2"/>
  <c r="E213" i="2"/>
  <c r="B213" i="2"/>
  <c r="L213" i="2" s="1"/>
  <c r="D213" i="2" s="1"/>
  <c r="C213" i="2" s="1"/>
  <c r="G213" i="2"/>
  <c r="F213" i="2"/>
  <c r="K191" i="50"/>
  <c r="E191" i="50"/>
  <c r="F191" i="50"/>
  <c r="N191" i="50"/>
  <c r="I191" i="50"/>
  <c r="H191" i="50"/>
  <c r="B191" i="50"/>
  <c r="L191" i="50" s="1"/>
  <c r="D191" i="50" s="1"/>
  <c r="G191" i="50"/>
  <c r="K210" i="44"/>
  <c r="F210" i="44"/>
  <c r="J208" i="40"/>
  <c r="M208" i="40" s="1"/>
  <c r="O208" i="40" s="1"/>
  <c r="G210" i="44"/>
  <c r="H210" i="44"/>
  <c r="I210" i="44"/>
  <c r="E210" i="44"/>
  <c r="B210" i="44"/>
  <c r="L210" i="44" s="1"/>
  <c r="N210" i="44"/>
  <c r="D208" i="40"/>
  <c r="C208" i="40" s="1"/>
  <c r="F209" i="40" s="1"/>
  <c r="J213" i="2" l="1"/>
  <c r="M213" i="2" s="1"/>
  <c r="O213" i="2" s="1"/>
  <c r="F214" i="2"/>
  <c r="N214" i="2"/>
  <c r="E214" i="2"/>
  <c r="H214" i="2"/>
  <c r="K214" i="2"/>
  <c r="G214" i="2"/>
  <c r="B214" i="2"/>
  <c r="L214" i="2" s="1"/>
  <c r="D214" i="2" s="1"/>
  <c r="C214" i="2" s="1"/>
  <c r="I214" i="2"/>
  <c r="C191" i="50"/>
  <c r="D210" i="44"/>
  <c r="C210" i="44" s="1"/>
  <c r="N211" i="44" s="1"/>
  <c r="J210" i="44"/>
  <c r="M210" i="44" s="1"/>
  <c r="O210" i="44" s="1"/>
  <c r="K209" i="40"/>
  <c r="N209" i="40"/>
  <c r="I209" i="40"/>
  <c r="E209" i="40"/>
  <c r="B209" i="40"/>
  <c r="G209" i="40"/>
  <c r="H209" i="40"/>
  <c r="F215" i="2" l="1"/>
  <c r="H215" i="2"/>
  <c r="I215" i="2"/>
  <c r="B215" i="2"/>
  <c r="L215" i="2" s="1"/>
  <c r="G215" i="2"/>
  <c r="E215" i="2"/>
  <c r="K215" i="2"/>
  <c r="N215" i="2"/>
  <c r="J214" i="2"/>
  <c r="M214" i="2" s="1"/>
  <c r="O214" i="2" s="1"/>
  <c r="E211" i="44"/>
  <c r="I211" i="44"/>
  <c r="H211" i="44"/>
  <c r="G211" i="44"/>
  <c r="K211" i="44"/>
  <c r="F211" i="44"/>
  <c r="K192" i="50"/>
  <c r="F192" i="50"/>
  <c r="E192" i="50"/>
  <c r="B192" i="50"/>
  <c r="L192" i="50" s="1"/>
  <c r="G192" i="50"/>
  <c r="N192" i="50"/>
  <c r="H192" i="50"/>
  <c r="I192" i="50"/>
  <c r="B211" i="44"/>
  <c r="L211" i="44" s="1"/>
  <c r="D211" i="44" s="1"/>
  <c r="C211" i="44" s="1"/>
  <c r="J190" i="50"/>
  <c r="M190" i="50" s="1"/>
  <c r="O190" i="50" s="1"/>
  <c r="L209" i="40"/>
  <c r="D209" i="40" s="1"/>
  <c r="C209" i="40" s="1"/>
  <c r="F210" i="40" s="1"/>
  <c r="J209" i="40"/>
  <c r="D215" i="2" l="1"/>
  <c r="C215" i="2" s="1"/>
  <c r="H216" i="2" s="1"/>
  <c r="J215" i="2"/>
  <c r="M215" i="2" s="1"/>
  <c r="O215" i="2" s="1"/>
  <c r="D192" i="50"/>
  <c r="C192" i="50" s="1"/>
  <c r="J211" i="44"/>
  <c r="M211" i="44" s="1"/>
  <c r="O211" i="44" s="1"/>
  <c r="F212" i="44"/>
  <c r="K212" i="44"/>
  <c r="G212" i="44"/>
  <c r="H212" i="44"/>
  <c r="I212" i="44"/>
  <c r="E212" i="44"/>
  <c r="N212" i="44"/>
  <c r="B212" i="44"/>
  <c r="L212" i="44" s="1"/>
  <c r="K210" i="40"/>
  <c r="N210" i="40"/>
  <c r="M209" i="40"/>
  <c r="O209" i="40" s="1"/>
  <c r="I210" i="40"/>
  <c r="H210" i="40"/>
  <c r="E210" i="40"/>
  <c r="B210" i="40"/>
  <c r="G210" i="40"/>
  <c r="G216" i="2" l="1"/>
  <c r="F216" i="2"/>
  <c r="I216" i="2"/>
  <c r="E216" i="2"/>
  <c r="K216" i="2"/>
  <c r="B216" i="2"/>
  <c r="L216" i="2" s="1"/>
  <c r="N216" i="2"/>
  <c r="K193" i="50"/>
  <c r="E193" i="50"/>
  <c r="F193" i="50"/>
  <c r="G193" i="50"/>
  <c r="I193" i="50"/>
  <c r="B193" i="50"/>
  <c r="L193" i="50" s="1"/>
  <c r="D193" i="50" s="1"/>
  <c r="N193" i="50"/>
  <c r="H193" i="50"/>
  <c r="D212" i="44"/>
  <c r="C212" i="44" s="1"/>
  <c r="F213" i="44" s="1"/>
  <c r="J191" i="50"/>
  <c r="M191" i="50" s="1"/>
  <c r="O191" i="50" s="1"/>
  <c r="J212" i="44"/>
  <c r="M212" i="44" s="1"/>
  <c r="O212" i="44" s="1"/>
  <c r="L210" i="40"/>
  <c r="D210" i="40" s="1"/>
  <c r="C210" i="40" s="1"/>
  <c r="F211" i="40" s="1"/>
  <c r="J210" i="40"/>
  <c r="J216" i="2" l="1"/>
  <c r="M216" i="2" s="1"/>
  <c r="O216" i="2" s="1"/>
  <c r="D216" i="2"/>
  <c r="C216" i="2" s="1"/>
  <c r="F217" i="2" s="1"/>
  <c r="C193" i="50"/>
  <c r="N213" i="44"/>
  <c r="E213" i="44"/>
  <c r="H213" i="44"/>
  <c r="I213" i="44"/>
  <c r="G213" i="44"/>
  <c r="K213" i="44"/>
  <c r="B213" i="44"/>
  <c r="L213" i="44" s="1"/>
  <c r="K211" i="40"/>
  <c r="N211" i="40"/>
  <c r="M210" i="40"/>
  <c r="O210" i="40" s="1"/>
  <c r="H211" i="40"/>
  <c r="B211" i="40"/>
  <c r="E211" i="40"/>
  <c r="I211" i="40"/>
  <c r="G211" i="40"/>
  <c r="G217" i="2" l="1"/>
  <c r="N217" i="2"/>
  <c r="I217" i="2"/>
  <c r="K217" i="2"/>
  <c r="E217" i="2"/>
  <c r="B217" i="2"/>
  <c r="L217" i="2" s="1"/>
  <c r="D217" i="2" s="1"/>
  <c r="C217" i="2" s="1"/>
  <c r="N218" i="2" s="1"/>
  <c r="H217" i="2"/>
  <c r="D213" i="44"/>
  <c r="C213" i="44" s="1"/>
  <c r="I214" i="44" s="1"/>
  <c r="J213" i="44"/>
  <c r="M213" i="44" s="1"/>
  <c r="O213" i="44" s="1"/>
  <c r="K194" i="50"/>
  <c r="F194" i="50"/>
  <c r="E194" i="50"/>
  <c r="B194" i="50"/>
  <c r="L194" i="50" s="1"/>
  <c r="D194" i="50" s="1"/>
  <c r="G194" i="50"/>
  <c r="H194" i="50"/>
  <c r="N194" i="50"/>
  <c r="I194" i="50"/>
  <c r="J192" i="50"/>
  <c r="M192" i="50" s="1"/>
  <c r="O192" i="50" s="1"/>
  <c r="L211" i="40"/>
  <c r="D211" i="40" s="1"/>
  <c r="C211" i="40" s="1"/>
  <c r="F212" i="40" s="1"/>
  <c r="J211" i="40"/>
  <c r="J217" i="2" l="1"/>
  <c r="M217" i="2" s="1"/>
  <c r="O217" i="2" s="1"/>
  <c r="K218" i="2"/>
  <c r="I218" i="2"/>
  <c r="B218" i="2"/>
  <c r="L218" i="2" s="1"/>
  <c r="H218" i="2"/>
  <c r="F218" i="2"/>
  <c r="E218" i="2"/>
  <c r="G218" i="2"/>
  <c r="H214" i="44"/>
  <c r="G214" i="44"/>
  <c r="K214" i="44"/>
  <c r="F214" i="44"/>
  <c r="B214" i="44"/>
  <c r="L214" i="44" s="1"/>
  <c r="D214" i="44" s="1"/>
  <c r="C214" i="44" s="1"/>
  <c r="N214" i="44"/>
  <c r="E214" i="44"/>
  <c r="C194" i="50"/>
  <c r="J193" i="50"/>
  <c r="M193" i="50" s="1"/>
  <c r="O193" i="50" s="1"/>
  <c r="M211" i="40"/>
  <c r="O211" i="40" s="1"/>
  <c r="K212" i="40"/>
  <c r="N212" i="40"/>
  <c r="I212" i="40"/>
  <c r="B212" i="40"/>
  <c r="E212" i="40"/>
  <c r="H212" i="40"/>
  <c r="G212" i="40"/>
  <c r="J218" i="2" l="1"/>
  <c r="M218" i="2" s="1"/>
  <c r="O218" i="2" s="1"/>
  <c r="D218" i="2"/>
  <c r="C218" i="2" s="1"/>
  <c r="J214" i="44"/>
  <c r="M214" i="44" s="1"/>
  <c r="O214" i="44" s="1"/>
  <c r="F195" i="50"/>
  <c r="K195" i="50"/>
  <c r="E195" i="50"/>
  <c r="G195" i="50"/>
  <c r="I195" i="50"/>
  <c r="H195" i="50"/>
  <c r="B195" i="50"/>
  <c r="L195" i="50" s="1"/>
  <c r="N195" i="50"/>
  <c r="F215" i="44"/>
  <c r="K215" i="44"/>
  <c r="G215" i="44"/>
  <c r="I215" i="44"/>
  <c r="H215" i="44"/>
  <c r="E215" i="44"/>
  <c r="N215" i="44"/>
  <c r="B215" i="44"/>
  <c r="J212" i="40"/>
  <c r="L212" i="40"/>
  <c r="D212" i="40" s="1"/>
  <c r="C212" i="40" s="1"/>
  <c r="F213" i="40" s="1"/>
  <c r="F219" i="2" l="1"/>
  <c r="G219" i="2"/>
  <c r="B219" i="2"/>
  <c r="L219" i="2" s="1"/>
  <c r="E219" i="2"/>
  <c r="K219" i="2"/>
  <c r="H219" i="2"/>
  <c r="N219" i="2"/>
  <c r="I219" i="2"/>
  <c r="D195" i="50"/>
  <c r="C195" i="50" s="1"/>
  <c r="J194" i="50"/>
  <c r="M194" i="50" s="1"/>
  <c r="O194" i="50" s="1"/>
  <c r="J215" i="44"/>
  <c r="L215" i="44"/>
  <c r="D215" i="44" s="1"/>
  <c r="C215" i="44" s="1"/>
  <c r="N213" i="40"/>
  <c r="K213" i="40"/>
  <c r="I213" i="40"/>
  <c r="B213" i="40"/>
  <c r="L213" i="40" s="1"/>
  <c r="D213" i="40" s="1"/>
  <c r="C213" i="40" s="1"/>
  <c r="F214" i="40" s="1"/>
  <c r="E213" i="40"/>
  <c r="H213" i="40"/>
  <c r="G213" i="40"/>
  <c r="M212" i="40"/>
  <c r="O212" i="40" s="1"/>
  <c r="D219" i="2" l="1"/>
  <c r="C219" i="2" s="1"/>
  <c r="F220" i="2" s="1"/>
  <c r="J219" i="2"/>
  <c r="M219" i="2" s="1"/>
  <c r="O219" i="2" s="1"/>
  <c r="K196" i="50"/>
  <c r="F196" i="50"/>
  <c r="E196" i="50"/>
  <c r="N196" i="50"/>
  <c r="I196" i="50"/>
  <c r="H196" i="50"/>
  <c r="B196" i="50"/>
  <c r="L196" i="50" s="1"/>
  <c r="D196" i="50" s="1"/>
  <c r="G196" i="50"/>
  <c r="K216" i="44"/>
  <c r="F216" i="44"/>
  <c r="G216" i="44"/>
  <c r="H216" i="44"/>
  <c r="I216" i="44"/>
  <c r="E216" i="44"/>
  <c r="M215" i="44"/>
  <c r="O215" i="44" s="1"/>
  <c r="N216" i="44"/>
  <c r="B216" i="44"/>
  <c r="N214" i="40"/>
  <c r="K214" i="40"/>
  <c r="G214" i="40"/>
  <c r="E214" i="40"/>
  <c r="B214" i="40"/>
  <c r="H214" i="40"/>
  <c r="I214" i="40"/>
  <c r="J213" i="40"/>
  <c r="M213" i="40" s="1"/>
  <c r="O213" i="40" s="1"/>
  <c r="I220" i="2" l="1"/>
  <c r="G220" i="2"/>
  <c r="K220" i="2"/>
  <c r="N220" i="2"/>
  <c r="E220" i="2"/>
  <c r="B220" i="2"/>
  <c r="L220" i="2" s="1"/>
  <c r="D220" i="2" s="1"/>
  <c r="C220" i="2" s="1"/>
  <c r="F221" i="2" s="1"/>
  <c r="H220" i="2"/>
  <c r="C196" i="50"/>
  <c r="J195" i="50"/>
  <c r="M195" i="50" s="1"/>
  <c r="O195" i="50" s="1"/>
  <c r="L216" i="44"/>
  <c r="D216" i="44" s="1"/>
  <c r="C216" i="44" s="1"/>
  <c r="J216" i="44"/>
  <c r="J214" i="40"/>
  <c r="L214" i="40"/>
  <c r="D214" i="40" s="1"/>
  <c r="C214" i="40" s="1"/>
  <c r="F215" i="40" s="1"/>
  <c r="J220" i="2" l="1"/>
  <c r="M220" i="2" s="1"/>
  <c r="O220" i="2" s="1"/>
  <c r="B221" i="2"/>
  <c r="L221" i="2" s="1"/>
  <c r="E221" i="2"/>
  <c r="I221" i="2"/>
  <c r="G221" i="2"/>
  <c r="K221" i="2"/>
  <c r="N221" i="2"/>
  <c r="H221" i="2"/>
  <c r="K197" i="50"/>
  <c r="E197" i="50"/>
  <c r="F197" i="50"/>
  <c r="N197" i="50"/>
  <c r="B197" i="50"/>
  <c r="L197" i="50" s="1"/>
  <c r="D197" i="50" s="1"/>
  <c r="G197" i="50"/>
  <c r="H197" i="50"/>
  <c r="I197" i="50"/>
  <c r="K217" i="44"/>
  <c r="F217" i="44"/>
  <c r="G217" i="44"/>
  <c r="I217" i="44"/>
  <c r="H217" i="44"/>
  <c r="E217" i="44"/>
  <c r="N217" i="44"/>
  <c r="M216" i="44"/>
  <c r="O216" i="44" s="1"/>
  <c r="B217" i="44"/>
  <c r="N215" i="40"/>
  <c r="K215" i="40"/>
  <c r="I215" i="40"/>
  <c r="H215" i="40"/>
  <c r="E215" i="40"/>
  <c r="B215" i="40"/>
  <c r="G215" i="40"/>
  <c r="M214" i="40"/>
  <c r="O214" i="40" s="1"/>
  <c r="D221" i="2" l="1"/>
  <c r="C221" i="2" s="1"/>
  <c r="I222" i="2" s="1"/>
  <c r="J221" i="2"/>
  <c r="M221" i="2" s="1"/>
  <c r="O221" i="2" s="1"/>
  <c r="C197" i="50"/>
  <c r="J196" i="50"/>
  <c r="M196" i="50" s="1"/>
  <c r="O196" i="50" s="1"/>
  <c r="J217" i="44"/>
  <c r="L217" i="44"/>
  <c r="D217" i="44" s="1"/>
  <c r="C217" i="44" s="1"/>
  <c r="J215" i="40"/>
  <c r="L215" i="40"/>
  <c r="D215" i="40" s="1"/>
  <c r="C215" i="40" s="1"/>
  <c r="F216" i="40" s="1"/>
  <c r="N222" i="2" l="1"/>
  <c r="K222" i="2"/>
  <c r="G222" i="2"/>
  <c r="B222" i="2"/>
  <c r="L222" i="2" s="1"/>
  <c r="E222" i="2"/>
  <c r="F222" i="2"/>
  <c r="H222" i="2"/>
  <c r="J222" i="2" s="1"/>
  <c r="F198" i="50"/>
  <c r="E198" i="50"/>
  <c r="K198" i="50"/>
  <c r="N198" i="50"/>
  <c r="G198" i="50"/>
  <c r="H198" i="50"/>
  <c r="B198" i="50"/>
  <c r="L198" i="50" s="1"/>
  <c r="D198" i="50" s="1"/>
  <c r="I198" i="50"/>
  <c r="F218" i="44"/>
  <c r="K218" i="44"/>
  <c r="G218" i="44"/>
  <c r="H218" i="44"/>
  <c r="I218" i="44"/>
  <c r="E218" i="44"/>
  <c r="M217" i="44"/>
  <c r="O217" i="44" s="1"/>
  <c r="N218" i="44"/>
  <c r="B218" i="44"/>
  <c r="N216" i="40"/>
  <c r="K216" i="40"/>
  <c r="E216" i="40"/>
  <c r="G216" i="40"/>
  <c r="H216" i="40"/>
  <c r="I216" i="40"/>
  <c r="B216" i="40"/>
  <c r="M215" i="40"/>
  <c r="O215" i="40" s="1"/>
  <c r="D222" i="2" l="1"/>
  <c r="C222" i="2" s="1"/>
  <c r="E223" i="2" s="1"/>
  <c r="M222" i="2"/>
  <c r="O222" i="2" s="1"/>
  <c r="N223" i="2"/>
  <c r="G223" i="2"/>
  <c r="B223" i="2"/>
  <c r="L223" i="2" s="1"/>
  <c r="I223" i="2"/>
  <c r="D223" i="2"/>
  <c r="C223" i="2" s="1"/>
  <c r="N224" i="2" s="1"/>
  <c r="C198" i="50"/>
  <c r="J197" i="50"/>
  <c r="M197" i="50" s="1"/>
  <c r="O197" i="50" s="1"/>
  <c r="J218" i="44"/>
  <c r="L218" i="44"/>
  <c r="D218" i="44" s="1"/>
  <c r="C218" i="44" s="1"/>
  <c r="J216" i="40"/>
  <c r="L216" i="40"/>
  <c r="D216" i="40" s="1"/>
  <c r="C216" i="40" s="1"/>
  <c r="F217" i="40" s="1"/>
  <c r="F223" i="2" l="1"/>
  <c r="H223" i="2"/>
  <c r="J223" i="2" s="1"/>
  <c r="K223" i="2"/>
  <c r="E224" i="2"/>
  <c r="B224" i="2"/>
  <c r="L224" i="2" s="1"/>
  <c r="D224" i="2" s="1"/>
  <c r="C224" i="2" s="1"/>
  <c r="I224" i="2"/>
  <c r="G224" i="2"/>
  <c r="F224" i="2"/>
  <c r="H224" i="2"/>
  <c r="K224" i="2"/>
  <c r="F199" i="50"/>
  <c r="K199" i="50"/>
  <c r="E199" i="50"/>
  <c r="I199" i="50"/>
  <c r="H199" i="50"/>
  <c r="N199" i="50"/>
  <c r="B199" i="50"/>
  <c r="L199" i="50" s="1"/>
  <c r="D199" i="50" s="1"/>
  <c r="G199" i="50"/>
  <c r="J198" i="50"/>
  <c r="M198" i="50" s="1"/>
  <c r="O198" i="50" s="1"/>
  <c r="F219" i="44"/>
  <c r="K219" i="44"/>
  <c r="G219" i="44"/>
  <c r="I219" i="44"/>
  <c r="H219" i="44"/>
  <c r="E219" i="44"/>
  <c r="M218" i="44"/>
  <c r="O218" i="44" s="1"/>
  <c r="N219" i="44"/>
  <c r="B219" i="44"/>
  <c r="K217" i="40"/>
  <c r="N217" i="40"/>
  <c r="H217" i="40"/>
  <c r="I217" i="40"/>
  <c r="E217" i="40"/>
  <c r="B217" i="40"/>
  <c r="G217" i="40"/>
  <c r="M216" i="40"/>
  <c r="O216" i="40" s="1"/>
  <c r="M223" i="2" l="1"/>
  <c r="O223" i="2" s="1"/>
  <c r="J224" i="2"/>
  <c r="M224" i="2" s="1"/>
  <c r="O224" i="2" s="1"/>
  <c r="N225" i="2"/>
  <c r="I225" i="2"/>
  <c r="B225" i="2"/>
  <c r="L225" i="2" s="1"/>
  <c r="H225" i="2"/>
  <c r="K225" i="2"/>
  <c r="F225" i="2"/>
  <c r="G225" i="2"/>
  <c r="E225" i="2"/>
  <c r="C199" i="50"/>
  <c r="L219" i="44"/>
  <c r="D219" i="44" s="1"/>
  <c r="C219" i="44" s="1"/>
  <c r="J219" i="44"/>
  <c r="L217" i="40"/>
  <c r="D217" i="40" s="1"/>
  <c r="C217" i="40" s="1"/>
  <c r="F218" i="40" s="1"/>
  <c r="J217" i="40"/>
  <c r="D225" i="2" l="1"/>
  <c r="C225" i="2" s="1"/>
  <c r="N226" i="2" s="1"/>
  <c r="J225" i="2"/>
  <c r="M225" i="2" s="1"/>
  <c r="O225" i="2" s="1"/>
  <c r="F200" i="50"/>
  <c r="K200" i="50"/>
  <c r="E200" i="50"/>
  <c r="N200" i="50"/>
  <c r="G200" i="50"/>
  <c r="I200" i="50"/>
  <c r="B200" i="50"/>
  <c r="L200" i="50" s="1"/>
  <c r="D200" i="50" s="1"/>
  <c r="H200" i="50"/>
  <c r="J199" i="50"/>
  <c r="M199" i="50" s="1"/>
  <c r="O199" i="50" s="1"/>
  <c r="F220" i="44"/>
  <c r="K220" i="44"/>
  <c r="M217" i="40"/>
  <c r="O217" i="40" s="1"/>
  <c r="G220" i="44"/>
  <c r="H220" i="44"/>
  <c r="I220" i="44"/>
  <c r="E220" i="44"/>
  <c r="M219" i="44"/>
  <c r="O219" i="44" s="1"/>
  <c r="N220" i="44"/>
  <c r="B220" i="44"/>
  <c r="K218" i="40"/>
  <c r="N218" i="40"/>
  <c r="B218" i="40"/>
  <c r="G218" i="40"/>
  <c r="E218" i="40"/>
  <c r="H218" i="40"/>
  <c r="I218" i="40"/>
  <c r="G226" i="2" l="1"/>
  <c r="I226" i="2"/>
  <c r="K226" i="2"/>
  <c r="B226" i="2"/>
  <c r="L226" i="2" s="1"/>
  <c r="H226" i="2"/>
  <c r="E226" i="2"/>
  <c r="F226" i="2"/>
  <c r="C200" i="50"/>
  <c r="J200" i="50"/>
  <c r="M200" i="50" s="1"/>
  <c r="O200" i="50" s="1"/>
  <c r="J220" i="44"/>
  <c r="L220" i="44"/>
  <c r="D220" i="44" s="1"/>
  <c r="C220" i="44" s="1"/>
  <c r="J218" i="40"/>
  <c r="L218" i="40"/>
  <c r="D226" i="2" l="1"/>
  <c r="C226" i="2" s="1"/>
  <c r="N227" i="2" s="1"/>
  <c r="J226" i="2"/>
  <c r="M226" i="2" s="1"/>
  <c r="O226" i="2" s="1"/>
  <c r="N201" i="50"/>
  <c r="E201" i="50"/>
  <c r="F201" i="50"/>
  <c r="G201" i="50"/>
  <c r="B201" i="50"/>
  <c r="L201" i="50" s="1"/>
  <c r="D201" i="50" s="1"/>
  <c r="K201" i="50"/>
  <c r="H201" i="50"/>
  <c r="I201" i="50"/>
  <c r="F221" i="44"/>
  <c r="K221" i="44"/>
  <c r="G221" i="44"/>
  <c r="I221" i="44"/>
  <c r="H221" i="44"/>
  <c r="E221" i="44"/>
  <c r="M218" i="40"/>
  <c r="O218" i="40" s="1"/>
  <c r="N221" i="44"/>
  <c r="B221" i="44"/>
  <c r="M220" i="44"/>
  <c r="O220" i="44" s="1"/>
  <c r="D218" i="40"/>
  <c r="C218" i="40" s="1"/>
  <c r="F219" i="40" s="1"/>
  <c r="H227" i="2" l="1"/>
  <c r="F227" i="2"/>
  <c r="B227" i="2"/>
  <c r="L227" i="2" s="1"/>
  <c r="E227" i="2"/>
  <c r="I227" i="2"/>
  <c r="G227" i="2"/>
  <c r="K227" i="2"/>
  <c r="C201" i="50"/>
  <c r="J201" i="50"/>
  <c r="M201" i="50" s="1"/>
  <c r="O201" i="50" s="1"/>
  <c r="J221" i="44"/>
  <c r="L221" i="44"/>
  <c r="D221" i="44" s="1"/>
  <c r="C221" i="44" s="1"/>
  <c r="K219" i="40"/>
  <c r="N219" i="40"/>
  <c r="E219" i="40"/>
  <c r="B219" i="40"/>
  <c r="L219" i="40" s="1"/>
  <c r="H219" i="40"/>
  <c r="G219" i="40"/>
  <c r="I219" i="40"/>
  <c r="D227" i="2" l="1"/>
  <c r="C227" i="2" s="1"/>
  <c r="N228" i="2" s="1"/>
  <c r="J227" i="2"/>
  <c r="M227" i="2" s="1"/>
  <c r="O227" i="2" s="1"/>
  <c r="B202" i="50"/>
  <c r="L202" i="50" s="1"/>
  <c r="I202" i="50"/>
  <c r="N202" i="50"/>
  <c r="G202" i="50"/>
  <c r="H202" i="50"/>
  <c r="K202" i="50"/>
  <c r="F202" i="50"/>
  <c r="E202" i="50"/>
  <c r="F222" i="44"/>
  <c r="K222" i="44"/>
  <c r="D219" i="40"/>
  <c r="C219" i="40" s="1"/>
  <c r="G222" i="44"/>
  <c r="H222" i="44"/>
  <c r="I222" i="44"/>
  <c r="E222" i="44"/>
  <c r="M221" i="44"/>
  <c r="O221" i="44" s="1"/>
  <c r="N222" i="44"/>
  <c r="B222" i="44"/>
  <c r="J219" i="40"/>
  <c r="M219" i="40" s="1"/>
  <c r="O219" i="40" s="1"/>
  <c r="H228" i="2" l="1"/>
  <c r="I228" i="2"/>
  <c r="K228" i="2"/>
  <c r="F228" i="2"/>
  <c r="E228" i="2"/>
  <c r="G228" i="2"/>
  <c r="B228" i="2"/>
  <c r="L228" i="2" s="1"/>
  <c r="D228" i="2" s="1"/>
  <c r="C228" i="2" s="1"/>
  <c r="N220" i="40"/>
  <c r="F220" i="40"/>
  <c r="D202" i="50"/>
  <c r="C202" i="50" s="1"/>
  <c r="J202" i="50"/>
  <c r="M202" i="50" s="1"/>
  <c r="O202" i="50" s="1"/>
  <c r="K220" i="40"/>
  <c r="I220" i="40"/>
  <c r="G220" i="40"/>
  <c r="E220" i="40"/>
  <c r="H220" i="40"/>
  <c r="B220" i="40"/>
  <c r="L220" i="40" s="1"/>
  <c r="L222" i="44"/>
  <c r="D222" i="44" s="1"/>
  <c r="C222" i="44" s="1"/>
  <c r="J222" i="44"/>
  <c r="J228" i="2" l="1"/>
  <c r="M228" i="2" s="1"/>
  <c r="O228" i="2" s="1"/>
  <c r="B229" i="2"/>
  <c r="L229" i="2" s="1"/>
  <c r="G229" i="2"/>
  <c r="K229" i="2"/>
  <c r="H229" i="2"/>
  <c r="N229" i="2"/>
  <c r="I229" i="2"/>
  <c r="F229" i="2"/>
  <c r="E229" i="2"/>
  <c r="D220" i="40"/>
  <c r="C220" i="40" s="1"/>
  <c r="F221" i="40" s="1"/>
  <c r="I203" i="50"/>
  <c r="F203" i="50"/>
  <c r="N203" i="50"/>
  <c r="K203" i="50"/>
  <c r="H203" i="50"/>
  <c r="E203" i="50"/>
  <c r="B203" i="50"/>
  <c r="L203" i="50" s="1"/>
  <c r="D203" i="50" s="1"/>
  <c r="G203" i="50"/>
  <c r="F223" i="44"/>
  <c r="K223" i="44"/>
  <c r="J220" i="40"/>
  <c r="M220" i="40" s="1"/>
  <c r="O220" i="40" s="1"/>
  <c r="G223" i="44"/>
  <c r="I223" i="44"/>
  <c r="H223" i="44"/>
  <c r="E223" i="44"/>
  <c r="M222" i="44"/>
  <c r="O222" i="44" s="1"/>
  <c r="N223" i="44"/>
  <c r="B223" i="44"/>
  <c r="J229" i="2" l="1"/>
  <c r="M229" i="2" s="1"/>
  <c r="O229" i="2" s="1"/>
  <c r="D229" i="2"/>
  <c r="C229" i="2" s="1"/>
  <c r="K221" i="40"/>
  <c r="H221" i="40"/>
  <c r="N221" i="40"/>
  <c r="G221" i="40"/>
  <c r="B221" i="40"/>
  <c r="L221" i="40" s="1"/>
  <c r="E221" i="40"/>
  <c r="I221" i="40"/>
  <c r="C203" i="50"/>
  <c r="J203" i="50"/>
  <c r="M203" i="50" s="1"/>
  <c r="O203" i="50" s="1"/>
  <c r="J223" i="44"/>
  <c r="L223" i="44"/>
  <c r="D223" i="44" s="1"/>
  <c r="C223" i="44" s="1"/>
  <c r="E230" i="2" l="1"/>
  <c r="N230" i="2"/>
  <c r="I230" i="2"/>
  <c r="B230" i="2"/>
  <c r="L230" i="2" s="1"/>
  <c r="D230" i="2" s="1"/>
  <c r="C230" i="2" s="1"/>
  <c r="K230" i="2"/>
  <c r="F230" i="2"/>
  <c r="H230" i="2"/>
  <c r="G230" i="2"/>
  <c r="J221" i="40"/>
  <c r="M221" i="40" s="1"/>
  <c r="O221" i="40" s="1"/>
  <c r="G204" i="50"/>
  <c r="I204" i="50"/>
  <c r="H204" i="50"/>
  <c r="F204" i="50"/>
  <c r="E204" i="50"/>
  <c r="N204" i="50"/>
  <c r="K204" i="50"/>
  <c r="B204" i="50"/>
  <c r="L204" i="50" s="1"/>
  <c r="K224" i="44"/>
  <c r="F224" i="44"/>
  <c r="G224" i="44"/>
  <c r="H224" i="44"/>
  <c r="I224" i="44"/>
  <c r="E224" i="44"/>
  <c r="N224" i="44"/>
  <c r="B224" i="44"/>
  <c r="M223" i="44"/>
  <c r="O223" i="44" s="1"/>
  <c r="D221" i="40"/>
  <c r="C221" i="40" s="1"/>
  <c r="F222" i="40" s="1"/>
  <c r="B231" i="2" l="1"/>
  <c r="L231" i="2" s="1"/>
  <c r="N231" i="2"/>
  <c r="H231" i="2"/>
  <c r="F231" i="2"/>
  <c r="E231" i="2"/>
  <c r="I231" i="2"/>
  <c r="K231" i="2"/>
  <c r="G231" i="2"/>
  <c r="J230" i="2"/>
  <c r="M230" i="2" s="1"/>
  <c r="O230" i="2" s="1"/>
  <c r="D204" i="50"/>
  <c r="C204" i="50" s="1"/>
  <c r="J204" i="50"/>
  <c r="M204" i="50" s="1"/>
  <c r="O204" i="50" s="1"/>
  <c r="J224" i="44"/>
  <c r="L224" i="44"/>
  <c r="D224" i="44" s="1"/>
  <c r="C224" i="44" s="1"/>
  <c r="N222" i="40"/>
  <c r="K222" i="40"/>
  <c r="G222" i="40"/>
  <c r="H222" i="40"/>
  <c r="B222" i="40"/>
  <c r="L222" i="40" s="1"/>
  <c r="I222" i="40"/>
  <c r="E222" i="40"/>
  <c r="D231" i="2" l="1"/>
  <c r="C231" i="2" s="1"/>
  <c r="I232" i="2" s="1"/>
  <c r="H232" i="2"/>
  <c r="J231" i="2"/>
  <c r="M231" i="2" s="1"/>
  <c r="O231" i="2" s="1"/>
  <c r="B205" i="50"/>
  <c r="L205" i="50" s="1"/>
  <c r="I205" i="50"/>
  <c r="K205" i="50"/>
  <c r="G205" i="50"/>
  <c r="E205" i="50"/>
  <c r="H205" i="50"/>
  <c r="F205" i="50"/>
  <c r="N205" i="50"/>
  <c r="K225" i="44"/>
  <c r="F225" i="44"/>
  <c r="G225" i="44"/>
  <c r="I225" i="44"/>
  <c r="H225" i="44"/>
  <c r="E225" i="44"/>
  <c r="D222" i="40"/>
  <c r="C222" i="40" s="1"/>
  <c r="F223" i="40" s="1"/>
  <c r="M224" i="44"/>
  <c r="O224" i="44" s="1"/>
  <c r="N225" i="44"/>
  <c r="B225" i="44"/>
  <c r="J222" i="40"/>
  <c r="M222" i="40" s="1"/>
  <c r="O222" i="40" s="1"/>
  <c r="F232" i="2" l="1"/>
  <c r="B232" i="2"/>
  <c r="L232" i="2" s="1"/>
  <c r="E232" i="2"/>
  <c r="K232" i="2"/>
  <c r="G232" i="2"/>
  <c r="N232" i="2"/>
  <c r="D205" i="50"/>
  <c r="C205" i="50" s="1"/>
  <c r="K223" i="40"/>
  <c r="I223" i="40"/>
  <c r="N223" i="40"/>
  <c r="E223" i="40"/>
  <c r="B223" i="40"/>
  <c r="L223" i="40" s="1"/>
  <c r="H223" i="40"/>
  <c r="G223" i="40"/>
  <c r="J225" i="44"/>
  <c r="L225" i="44"/>
  <c r="D225" i="44" s="1"/>
  <c r="C225" i="44" s="1"/>
  <c r="D232" i="2" l="1"/>
  <c r="C232" i="2" s="1"/>
  <c r="H233" i="2" s="1"/>
  <c r="J232" i="2"/>
  <c r="M232" i="2" s="1"/>
  <c r="O232" i="2" s="1"/>
  <c r="B233" i="2"/>
  <c r="L233" i="2" s="1"/>
  <c r="I233" i="2"/>
  <c r="N233" i="2"/>
  <c r="K233" i="2"/>
  <c r="G233" i="2"/>
  <c r="E233" i="2"/>
  <c r="F233" i="2"/>
  <c r="D233" i="2"/>
  <c r="C233" i="2" s="1"/>
  <c r="F234" i="2" s="1"/>
  <c r="D223" i="40"/>
  <c r="C223" i="40" s="1"/>
  <c r="B224" i="40" s="1"/>
  <c r="L224" i="40" s="1"/>
  <c r="N206" i="50"/>
  <c r="H206" i="50"/>
  <c r="E206" i="50"/>
  <c r="B206" i="50"/>
  <c r="L206" i="50" s="1"/>
  <c r="D206" i="50" s="1"/>
  <c r="G206" i="50"/>
  <c r="F206" i="50"/>
  <c r="I206" i="50"/>
  <c r="K206" i="50"/>
  <c r="J205" i="50"/>
  <c r="M205" i="50" s="1"/>
  <c r="O205" i="50" s="1"/>
  <c r="F226" i="44"/>
  <c r="K226" i="44"/>
  <c r="J223" i="40"/>
  <c r="M223" i="40" s="1"/>
  <c r="O223" i="40" s="1"/>
  <c r="G226" i="44"/>
  <c r="H226" i="44"/>
  <c r="I226" i="44"/>
  <c r="E226" i="44"/>
  <c r="N226" i="44"/>
  <c r="B226" i="44"/>
  <c r="M225" i="44"/>
  <c r="O225" i="44" s="1"/>
  <c r="J233" i="2" l="1"/>
  <c r="M233" i="2" s="1"/>
  <c r="O233" i="2" s="1"/>
  <c r="K234" i="2"/>
  <c r="G234" i="2"/>
  <c r="I234" i="2"/>
  <c r="H234" i="2"/>
  <c r="E234" i="2"/>
  <c r="N234" i="2"/>
  <c r="B234" i="2"/>
  <c r="L234" i="2" s="1"/>
  <c r="D234" i="2" s="1"/>
  <c r="C234" i="2" s="1"/>
  <c r="N224" i="40"/>
  <c r="H224" i="40"/>
  <c r="K224" i="40"/>
  <c r="I224" i="40"/>
  <c r="F224" i="40"/>
  <c r="E224" i="40"/>
  <c r="G224" i="40"/>
  <c r="D224" i="40"/>
  <c r="C224" i="40" s="1"/>
  <c r="F225" i="40" s="1"/>
  <c r="C206" i="50"/>
  <c r="J226" i="44"/>
  <c r="L226" i="44"/>
  <c r="D226" i="44" s="1"/>
  <c r="C226" i="44" s="1"/>
  <c r="J234" i="2" l="1"/>
  <c r="M234" i="2" s="1"/>
  <c r="O234" i="2" s="1"/>
  <c r="B235" i="2"/>
  <c r="L235" i="2" s="1"/>
  <c r="I235" i="2"/>
  <c r="G235" i="2"/>
  <c r="F235" i="2"/>
  <c r="K235" i="2"/>
  <c r="H235" i="2"/>
  <c r="N235" i="2"/>
  <c r="E235" i="2"/>
  <c r="D235" i="2" s="1"/>
  <c r="C235" i="2" s="1"/>
  <c r="J224" i="40"/>
  <c r="M224" i="40" s="1"/>
  <c r="O224" i="40" s="1"/>
  <c r="B225" i="40"/>
  <c r="L225" i="40" s="1"/>
  <c r="G225" i="40"/>
  <c r="I225" i="40"/>
  <c r="K225" i="40"/>
  <c r="E225" i="40"/>
  <c r="N225" i="40"/>
  <c r="H225" i="40"/>
  <c r="B207" i="50"/>
  <c r="L207" i="50" s="1"/>
  <c r="N207" i="50"/>
  <c r="H207" i="50"/>
  <c r="G207" i="50"/>
  <c r="I207" i="50"/>
  <c r="F207" i="50"/>
  <c r="E207" i="50"/>
  <c r="K207" i="50"/>
  <c r="J206" i="50"/>
  <c r="M206" i="50" s="1"/>
  <c r="O206" i="50" s="1"/>
  <c r="F227" i="44"/>
  <c r="K227" i="44"/>
  <c r="G227" i="44"/>
  <c r="I227" i="44"/>
  <c r="H227" i="44"/>
  <c r="E227" i="44"/>
  <c r="M226" i="44"/>
  <c r="O226" i="44" s="1"/>
  <c r="N227" i="44"/>
  <c r="B227" i="44"/>
  <c r="J235" i="2" l="1"/>
  <c r="M235" i="2" s="1"/>
  <c r="O235" i="2" s="1"/>
  <c r="F236" i="2"/>
  <c r="N236" i="2"/>
  <c r="B236" i="2"/>
  <c r="L236" i="2" s="1"/>
  <c r="G236" i="2"/>
  <c r="E236" i="2"/>
  <c r="K236" i="2"/>
  <c r="H236" i="2"/>
  <c r="I236" i="2"/>
  <c r="D225" i="40"/>
  <c r="C225" i="40" s="1"/>
  <c r="F226" i="40" s="1"/>
  <c r="J225" i="40"/>
  <c r="M225" i="40" s="1"/>
  <c r="O225" i="40" s="1"/>
  <c r="K226" i="40"/>
  <c r="G226" i="40"/>
  <c r="H226" i="40"/>
  <c r="D207" i="50"/>
  <c r="C207" i="50" s="1"/>
  <c r="J227" i="44"/>
  <c r="L227" i="44"/>
  <c r="D227" i="44" s="1"/>
  <c r="C227" i="44" s="1"/>
  <c r="N226" i="40" l="1"/>
  <c r="E226" i="40"/>
  <c r="B226" i="40"/>
  <c r="L226" i="40" s="1"/>
  <c r="I226" i="40"/>
  <c r="D236" i="2"/>
  <c r="C236" i="2" s="1"/>
  <c r="J236" i="2"/>
  <c r="M236" i="2" s="1"/>
  <c r="O236" i="2" s="1"/>
  <c r="D226" i="40"/>
  <c r="C226" i="40" s="1"/>
  <c r="F227" i="40" s="1"/>
  <c r="J226" i="40"/>
  <c r="M226" i="40" s="1"/>
  <c r="O226" i="40" s="1"/>
  <c r="I208" i="50"/>
  <c r="G208" i="50"/>
  <c r="H208" i="50"/>
  <c r="K208" i="50"/>
  <c r="B208" i="50"/>
  <c r="L208" i="50" s="1"/>
  <c r="D208" i="50" s="1"/>
  <c r="C208" i="50" s="1"/>
  <c r="N208" i="50"/>
  <c r="F208" i="50"/>
  <c r="E208" i="50"/>
  <c r="J207" i="50"/>
  <c r="M207" i="50" s="1"/>
  <c r="O207" i="50" s="1"/>
  <c r="F228" i="44"/>
  <c r="K228" i="44"/>
  <c r="G228" i="44"/>
  <c r="H228" i="44"/>
  <c r="I228" i="44"/>
  <c r="E228" i="44"/>
  <c r="M227" i="44"/>
  <c r="O227" i="44" s="1"/>
  <c r="N228" i="44"/>
  <c r="B228" i="44"/>
  <c r="H227" i="40" l="1"/>
  <c r="I227" i="40"/>
  <c r="N227" i="40"/>
  <c r="K227" i="40"/>
  <c r="B227" i="40"/>
  <c r="L227" i="40" s="1"/>
  <c r="E227" i="40"/>
  <c r="G227" i="40"/>
  <c r="I237" i="2"/>
  <c r="K237" i="2"/>
  <c r="B237" i="2"/>
  <c r="L237" i="2" s="1"/>
  <c r="F237" i="2"/>
  <c r="G237" i="2"/>
  <c r="H237" i="2"/>
  <c r="E237" i="2"/>
  <c r="N237" i="2"/>
  <c r="D227" i="40"/>
  <c r="C227" i="40" s="1"/>
  <c r="F228" i="40" s="1"/>
  <c r="B209" i="50"/>
  <c r="L209" i="50" s="1"/>
  <c r="I209" i="50"/>
  <c r="E209" i="50"/>
  <c r="G209" i="50"/>
  <c r="H209" i="50"/>
  <c r="F209" i="50"/>
  <c r="N209" i="50"/>
  <c r="K209" i="50"/>
  <c r="J228" i="44"/>
  <c r="L228" i="44"/>
  <c r="D228" i="44" s="1"/>
  <c r="C228" i="44" s="1"/>
  <c r="J227" i="40" l="1"/>
  <c r="M227" i="40" s="1"/>
  <c r="O227" i="40" s="1"/>
  <c r="J237" i="2"/>
  <c r="M237" i="2" s="1"/>
  <c r="O237" i="2" s="1"/>
  <c r="D237" i="2"/>
  <c r="C237" i="2" s="1"/>
  <c r="I228" i="40"/>
  <c r="G228" i="40"/>
  <c r="N228" i="40"/>
  <c r="K228" i="40"/>
  <c r="H228" i="40"/>
  <c r="E228" i="40"/>
  <c r="B228" i="40"/>
  <c r="L228" i="40" s="1"/>
  <c r="D209" i="50"/>
  <c r="C209" i="50" s="1"/>
  <c r="J208" i="50"/>
  <c r="M208" i="50" s="1"/>
  <c r="O208" i="50" s="1"/>
  <c r="F229" i="44"/>
  <c r="K229" i="44"/>
  <c r="G229" i="44"/>
  <c r="I229" i="44"/>
  <c r="H229" i="44"/>
  <c r="E229" i="44"/>
  <c r="N229" i="44"/>
  <c r="B229" i="44"/>
  <c r="M228" i="44"/>
  <c r="O228" i="44" s="1"/>
  <c r="H238" i="2" l="1"/>
  <c r="K238" i="2"/>
  <c r="I238" i="2"/>
  <c r="F238" i="2"/>
  <c r="B238" i="2"/>
  <c r="L238" i="2" s="1"/>
  <c r="G238" i="2"/>
  <c r="E238" i="2"/>
  <c r="N238" i="2"/>
  <c r="J228" i="40"/>
  <c r="M228" i="40" s="1"/>
  <c r="O228" i="40" s="1"/>
  <c r="I210" i="50"/>
  <c r="E210" i="50"/>
  <c r="H210" i="50"/>
  <c r="G210" i="50"/>
  <c r="N210" i="50"/>
  <c r="B210" i="50"/>
  <c r="L210" i="50" s="1"/>
  <c r="D210" i="50" s="1"/>
  <c r="K210" i="50"/>
  <c r="F210" i="50"/>
  <c r="J209" i="50"/>
  <c r="M209" i="50" s="1"/>
  <c r="O209" i="50" s="1"/>
  <c r="J229" i="44"/>
  <c r="L229" i="44"/>
  <c r="D229" i="44" s="1"/>
  <c r="C229" i="44" s="1"/>
  <c r="D228" i="40"/>
  <c r="C228" i="40" s="1"/>
  <c r="F229" i="40" s="1"/>
  <c r="J238" i="2" l="1"/>
  <c r="M238" i="2" s="1"/>
  <c r="O238" i="2" s="1"/>
  <c r="D238" i="2"/>
  <c r="C238" i="2" s="1"/>
  <c r="C210" i="50"/>
  <c r="J210" i="50"/>
  <c r="M210" i="50" s="1"/>
  <c r="O210" i="50" s="1"/>
  <c r="F230" i="44"/>
  <c r="K230" i="44"/>
  <c r="G230" i="44"/>
  <c r="H230" i="44"/>
  <c r="I230" i="44"/>
  <c r="E230" i="44"/>
  <c r="M229" i="44"/>
  <c r="O229" i="44" s="1"/>
  <c r="N230" i="44"/>
  <c r="B230" i="44"/>
  <c r="N229" i="40"/>
  <c r="K229" i="40"/>
  <c r="I229" i="40"/>
  <c r="G229" i="40"/>
  <c r="E229" i="40"/>
  <c r="H229" i="40"/>
  <c r="B229" i="40"/>
  <c r="N239" i="2" l="1"/>
  <c r="B239" i="2"/>
  <c r="L239" i="2" s="1"/>
  <c r="G239" i="2"/>
  <c r="I239" i="2"/>
  <c r="H239" i="2"/>
  <c r="F239" i="2"/>
  <c r="E239" i="2"/>
  <c r="K239" i="2"/>
  <c r="G211" i="50"/>
  <c r="N211" i="50"/>
  <c r="F211" i="50"/>
  <c r="I211" i="50"/>
  <c r="K211" i="50"/>
  <c r="E211" i="50"/>
  <c r="B211" i="50"/>
  <c r="L211" i="50" s="1"/>
  <c r="D211" i="50" s="1"/>
  <c r="H211" i="50"/>
  <c r="J230" i="44"/>
  <c r="L230" i="44"/>
  <c r="D230" i="44" s="1"/>
  <c r="C230" i="44" s="1"/>
  <c r="L229" i="40"/>
  <c r="D229" i="40" s="1"/>
  <c r="C229" i="40" s="1"/>
  <c r="F230" i="40" s="1"/>
  <c r="J229" i="40"/>
  <c r="D239" i="2" l="1"/>
  <c r="C239" i="2" s="1"/>
  <c r="N240" i="2" s="1"/>
  <c r="J239" i="2"/>
  <c r="M239" i="2" s="1"/>
  <c r="O239" i="2" s="1"/>
  <c r="C211" i="50"/>
  <c r="J211" i="50"/>
  <c r="M211" i="50" s="1"/>
  <c r="O211" i="50" s="1"/>
  <c r="F231" i="44"/>
  <c r="K231" i="44"/>
  <c r="G231" i="44"/>
  <c r="I231" i="44"/>
  <c r="H231" i="44"/>
  <c r="E231" i="44"/>
  <c r="M230" i="44"/>
  <c r="O230" i="44" s="1"/>
  <c r="N231" i="44"/>
  <c r="B231" i="44"/>
  <c r="M229" i="40"/>
  <c r="O229" i="40" s="1"/>
  <c r="N230" i="40"/>
  <c r="K230" i="40"/>
  <c r="E230" i="40"/>
  <c r="H230" i="40"/>
  <c r="G230" i="40"/>
  <c r="B230" i="40"/>
  <c r="L230" i="40" s="1"/>
  <c r="I230" i="40"/>
  <c r="G240" i="2" l="1"/>
  <c r="H240" i="2"/>
  <c r="F240" i="2"/>
  <c r="E240" i="2"/>
  <c r="K240" i="2"/>
  <c r="B240" i="2"/>
  <c r="L240" i="2" s="1"/>
  <c r="D240" i="2" s="1"/>
  <c r="C240" i="2" s="1"/>
  <c r="F241" i="2" s="1"/>
  <c r="I240" i="2"/>
  <c r="G212" i="50"/>
  <c r="B212" i="50"/>
  <c r="L212" i="50" s="1"/>
  <c r="F212" i="50"/>
  <c r="I212" i="50"/>
  <c r="H212" i="50"/>
  <c r="N212" i="50"/>
  <c r="E212" i="50"/>
  <c r="K212" i="50"/>
  <c r="J231" i="44"/>
  <c r="L231" i="44"/>
  <c r="D231" i="44" s="1"/>
  <c r="C231" i="44" s="1"/>
  <c r="J230" i="40"/>
  <c r="M230" i="40" s="1"/>
  <c r="O230" i="40" s="1"/>
  <c r="D230" i="40"/>
  <c r="C230" i="40" s="1"/>
  <c r="F231" i="40" s="1"/>
  <c r="G241" i="2" l="1"/>
  <c r="J240" i="2"/>
  <c r="M240" i="2" s="1"/>
  <c r="O240" i="2" s="1"/>
  <c r="K241" i="2"/>
  <c r="N241" i="2"/>
  <c r="E241" i="2"/>
  <c r="I241" i="2"/>
  <c r="H241" i="2"/>
  <c r="B241" i="2"/>
  <c r="L241" i="2" s="1"/>
  <c r="D241" i="2" s="1"/>
  <c r="C241" i="2" s="1"/>
  <c r="D212" i="50"/>
  <c r="C212" i="50" s="1"/>
  <c r="J212" i="50"/>
  <c r="M212" i="50" s="1"/>
  <c r="O212" i="50" s="1"/>
  <c r="K232" i="44"/>
  <c r="F232" i="44"/>
  <c r="G232" i="44"/>
  <c r="H232" i="44"/>
  <c r="I232" i="44"/>
  <c r="E232" i="44"/>
  <c r="M231" i="44"/>
  <c r="O231" i="44" s="1"/>
  <c r="N232" i="44"/>
  <c r="B232" i="44"/>
  <c r="N231" i="40"/>
  <c r="K231" i="40"/>
  <c r="I231" i="40"/>
  <c r="H231" i="40"/>
  <c r="G231" i="40"/>
  <c r="B231" i="40"/>
  <c r="E231" i="40"/>
  <c r="J241" i="2" l="1"/>
  <c r="M241" i="2"/>
  <c r="O241" i="2" s="1"/>
  <c r="F242" i="2"/>
  <c r="E242" i="2"/>
  <c r="B242" i="2"/>
  <c r="L242" i="2" s="1"/>
  <c r="D242" i="2" s="1"/>
  <c r="C242" i="2" s="1"/>
  <c r="G243" i="2" s="1"/>
  <c r="H242" i="2"/>
  <c r="G242" i="2"/>
  <c r="N242" i="2"/>
  <c r="K242" i="2"/>
  <c r="I242" i="2"/>
  <c r="H213" i="50"/>
  <c r="F213" i="50"/>
  <c r="N213" i="50"/>
  <c r="B213" i="50"/>
  <c r="L213" i="50" s="1"/>
  <c r="K213" i="50"/>
  <c r="I213" i="50"/>
  <c r="G213" i="50"/>
  <c r="E213" i="50"/>
  <c r="L232" i="44"/>
  <c r="D232" i="44" s="1"/>
  <c r="C232" i="44" s="1"/>
  <c r="J232" i="44"/>
  <c r="L231" i="40"/>
  <c r="D231" i="40" s="1"/>
  <c r="C231" i="40" s="1"/>
  <c r="F232" i="40" s="1"/>
  <c r="J231" i="40"/>
  <c r="I243" i="2" l="1"/>
  <c r="F243" i="2"/>
  <c r="B243" i="2"/>
  <c r="L243" i="2" s="1"/>
  <c r="E243" i="2"/>
  <c r="K243" i="2"/>
  <c r="N243" i="2"/>
  <c r="H243" i="2"/>
  <c r="J242" i="2"/>
  <c r="M242" i="2" s="1"/>
  <c r="O242" i="2" s="1"/>
  <c r="D213" i="50"/>
  <c r="C213" i="50" s="1"/>
  <c r="J213" i="50"/>
  <c r="M213" i="50" s="1"/>
  <c r="O213" i="50" s="1"/>
  <c r="K233" i="44"/>
  <c r="F233" i="44"/>
  <c r="G233" i="44"/>
  <c r="I233" i="44"/>
  <c r="H233" i="44"/>
  <c r="E233" i="44"/>
  <c r="M231" i="40"/>
  <c r="O231" i="40" s="1"/>
  <c r="N233" i="44"/>
  <c r="M232" i="44"/>
  <c r="O232" i="44" s="1"/>
  <c r="B233" i="44"/>
  <c r="N232" i="40"/>
  <c r="K232" i="40"/>
  <c r="H232" i="40"/>
  <c r="I232" i="40"/>
  <c r="E232" i="40"/>
  <c r="B232" i="40"/>
  <c r="G232" i="40"/>
  <c r="J243" i="2" l="1"/>
  <c r="M243" i="2" s="1"/>
  <c r="O243" i="2" s="1"/>
  <c r="D243" i="2"/>
  <c r="C243" i="2" s="1"/>
  <c r="B244" i="2" s="1"/>
  <c r="L244" i="2" s="1"/>
  <c r="H214" i="50"/>
  <c r="I214" i="50"/>
  <c r="N214" i="50"/>
  <c r="F214" i="50"/>
  <c r="G214" i="50"/>
  <c r="K214" i="50"/>
  <c r="E214" i="50"/>
  <c r="B214" i="50"/>
  <c r="L214" i="50" s="1"/>
  <c r="L233" i="44"/>
  <c r="D233" i="44" s="1"/>
  <c r="C233" i="44" s="1"/>
  <c r="J233" i="44"/>
  <c r="J232" i="40"/>
  <c r="L232" i="40"/>
  <c r="D232" i="40" s="1"/>
  <c r="C232" i="40" s="1"/>
  <c r="F233" i="40" s="1"/>
  <c r="E244" i="2" l="1"/>
  <c r="N244" i="2"/>
  <c r="D244" i="2"/>
  <c r="C244" i="2" s="1"/>
  <c r="H245" i="2" s="1"/>
  <c r="I244" i="2"/>
  <c r="G244" i="2"/>
  <c r="H244" i="2"/>
  <c r="F244" i="2"/>
  <c r="K244" i="2"/>
  <c r="D214" i="50"/>
  <c r="C214" i="50" s="1"/>
  <c r="J214" i="50"/>
  <c r="M214" i="50" s="1"/>
  <c r="O214" i="50" s="1"/>
  <c r="K234" i="44"/>
  <c r="F234" i="44"/>
  <c r="G234" i="44"/>
  <c r="H234" i="44"/>
  <c r="I234" i="44"/>
  <c r="E234" i="44"/>
  <c r="M233" i="44"/>
  <c r="O233" i="44" s="1"/>
  <c r="N234" i="44"/>
  <c r="B234" i="44"/>
  <c r="K233" i="40"/>
  <c r="N233" i="40"/>
  <c r="E233" i="40"/>
  <c r="B233" i="40"/>
  <c r="I233" i="40"/>
  <c r="H233" i="40"/>
  <c r="G233" i="40"/>
  <c r="M232" i="40"/>
  <c r="O232" i="40" s="1"/>
  <c r="N245" i="2" l="1"/>
  <c r="G245" i="2"/>
  <c r="I245" i="2"/>
  <c r="K245" i="2"/>
  <c r="E245" i="2"/>
  <c r="B245" i="2"/>
  <c r="L245" i="2" s="1"/>
  <c r="J244" i="2"/>
  <c r="M244" i="2" s="1"/>
  <c r="O244" i="2" s="1"/>
  <c r="F245" i="2"/>
  <c r="D245" i="2"/>
  <c r="C245" i="2" s="1"/>
  <c r="G246" i="2" s="1"/>
  <c r="E215" i="50"/>
  <c r="K215" i="50"/>
  <c r="F215" i="50"/>
  <c r="B215" i="50"/>
  <c r="L215" i="50" s="1"/>
  <c r="D215" i="50" s="1"/>
  <c r="N215" i="50"/>
  <c r="I215" i="50"/>
  <c r="H215" i="50"/>
  <c r="G215" i="50"/>
  <c r="J234" i="44"/>
  <c r="L234" i="44"/>
  <c r="D234" i="44" s="1"/>
  <c r="C234" i="44" s="1"/>
  <c r="L233" i="40"/>
  <c r="D233" i="40" s="1"/>
  <c r="C233" i="40" s="1"/>
  <c r="F234" i="40" s="1"/>
  <c r="J233" i="40"/>
  <c r="K246" i="2" l="1"/>
  <c r="J245" i="2"/>
  <c r="M245" i="2" s="1"/>
  <c r="O245" i="2" s="1"/>
  <c r="E246" i="2"/>
  <c r="H246" i="2"/>
  <c r="N246" i="2"/>
  <c r="I246" i="2"/>
  <c r="B246" i="2"/>
  <c r="L246" i="2" s="1"/>
  <c r="F246" i="2"/>
  <c r="D246" i="2"/>
  <c r="C246" i="2" s="1"/>
  <c r="H247" i="2" s="1"/>
  <c r="C215" i="50"/>
  <c r="J215" i="50"/>
  <c r="M215" i="50" s="1"/>
  <c r="O215" i="50" s="1"/>
  <c r="F235" i="44"/>
  <c r="K235" i="44"/>
  <c r="G235" i="44"/>
  <c r="I235" i="44"/>
  <c r="H235" i="44"/>
  <c r="E235" i="44"/>
  <c r="N235" i="44"/>
  <c r="B235" i="44"/>
  <c r="M234" i="44"/>
  <c r="O234" i="44" s="1"/>
  <c r="M233" i="40"/>
  <c r="O233" i="40" s="1"/>
  <c r="K234" i="40"/>
  <c r="N234" i="40"/>
  <c r="B234" i="40"/>
  <c r="H234" i="40"/>
  <c r="I234" i="40"/>
  <c r="E234" i="40"/>
  <c r="G234" i="40"/>
  <c r="N247" i="2" l="1"/>
  <c r="I247" i="2"/>
  <c r="J246" i="2"/>
  <c r="M246" i="2" s="1"/>
  <c r="O246" i="2" s="1"/>
  <c r="B247" i="2"/>
  <c r="L247" i="2" s="1"/>
  <c r="E247" i="2"/>
  <c r="G247" i="2"/>
  <c r="K247" i="2"/>
  <c r="F247" i="2"/>
  <c r="D247" i="2"/>
  <c r="C247" i="2" s="1"/>
  <c r="N248" i="2" s="1"/>
  <c r="F216" i="50"/>
  <c r="K216" i="50"/>
  <c r="E216" i="50"/>
  <c r="G216" i="50"/>
  <c r="I216" i="50"/>
  <c r="H216" i="50"/>
  <c r="N216" i="50"/>
  <c r="B216" i="50"/>
  <c r="L216" i="50" s="1"/>
  <c r="J235" i="44"/>
  <c r="L235" i="44"/>
  <c r="D235" i="44" s="1"/>
  <c r="C235" i="44" s="1"/>
  <c r="J234" i="40"/>
  <c r="L234" i="40"/>
  <c r="D234" i="40" s="1"/>
  <c r="C234" i="40" s="1"/>
  <c r="F235" i="40" s="1"/>
  <c r="I248" i="2" l="1"/>
  <c r="J247" i="2"/>
  <c r="M247" i="2" s="1"/>
  <c r="O247" i="2" s="1"/>
  <c r="G248" i="2"/>
  <c r="H248" i="2"/>
  <c r="E248" i="2"/>
  <c r="K248" i="2"/>
  <c r="F248" i="2"/>
  <c r="B248" i="2"/>
  <c r="L248" i="2" s="1"/>
  <c r="D248" i="2"/>
  <c r="C248" i="2" s="1"/>
  <c r="D216" i="50"/>
  <c r="C216" i="50" s="1"/>
  <c r="J216" i="50"/>
  <c r="M216" i="50" s="1"/>
  <c r="O216" i="50" s="1"/>
  <c r="F236" i="44"/>
  <c r="K236" i="44"/>
  <c r="G236" i="44"/>
  <c r="H236" i="44"/>
  <c r="I236" i="44"/>
  <c r="E236" i="44"/>
  <c r="N236" i="44"/>
  <c r="B236" i="44"/>
  <c r="M235" i="44"/>
  <c r="O235" i="44" s="1"/>
  <c r="K235" i="40"/>
  <c r="N235" i="40"/>
  <c r="E235" i="40"/>
  <c r="H235" i="40"/>
  <c r="I235" i="40"/>
  <c r="B235" i="40"/>
  <c r="L235" i="40" s="1"/>
  <c r="G235" i="40"/>
  <c r="M234" i="40"/>
  <c r="O234" i="40" s="1"/>
  <c r="J248" i="2" l="1"/>
  <c r="M248" i="2" s="1"/>
  <c r="O248" i="2" s="1"/>
  <c r="F249" i="2"/>
  <c r="G249" i="2"/>
  <c r="N249" i="2"/>
  <c r="B249" i="2"/>
  <c r="L249" i="2" s="1"/>
  <c r="H249" i="2"/>
  <c r="K249" i="2"/>
  <c r="E249" i="2"/>
  <c r="I249" i="2"/>
  <c r="E217" i="50"/>
  <c r="K217" i="50"/>
  <c r="F217" i="50"/>
  <c r="N217" i="50"/>
  <c r="G217" i="50"/>
  <c r="B217" i="50"/>
  <c r="L217" i="50" s="1"/>
  <c r="D217" i="50" s="1"/>
  <c r="I217" i="50"/>
  <c r="H217" i="50"/>
  <c r="D235" i="40"/>
  <c r="C235" i="40" s="1"/>
  <c r="J236" i="44"/>
  <c r="L236" i="44"/>
  <c r="D236" i="44" s="1"/>
  <c r="C236" i="44" s="1"/>
  <c r="J235" i="40"/>
  <c r="M235" i="40" s="1"/>
  <c r="O235" i="40" s="1"/>
  <c r="D249" i="2" l="1"/>
  <c r="C249" i="2" s="1"/>
  <c r="N250" i="2" s="1"/>
  <c r="J249" i="2"/>
  <c r="M249" i="2" s="1"/>
  <c r="O249" i="2" s="1"/>
  <c r="K236" i="40"/>
  <c r="F236" i="40"/>
  <c r="J217" i="50"/>
  <c r="M217" i="50" s="1"/>
  <c r="O217" i="50" s="1"/>
  <c r="C217" i="50"/>
  <c r="F237" i="44"/>
  <c r="K237" i="44"/>
  <c r="G236" i="40"/>
  <c r="E236" i="40"/>
  <c r="I236" i="40"/>
  <c r="H236" i="40"/>
  <c r="B236" i="40"/>
  <c r="L236" i="40" s="1"/>
  <c r="N236" i="40"/>
  <c r="G237" i="44"/>
  <c r="I237" i="44"/>
  <c r="H237" i="44"/>
  <c r="E237" i="44"/>
  <c r="N237" i="44"/>
  <c r="B237" i="44"/>
  <c r="M236" i="44"/>
  <c r="O236" i="44" s="1"/>
  <c r="H250" i="2" l="1"/>
  <c r="K250" i="2"/>
  <c r="G250" i="2"/>
  <c r="E250" i="2"/>
  <c r="B250" i="2"/>
  <c r="L250" i="2" s="1"/>
  <c r="F250" i="2"/>
  <c r="I250" i="2"/>
  <c r="D250" i="2"/>
  <c r="C250" i="2" s="1"/>
  <c r="D236" i="40"/>
  <c r="C236" i="40" s="1"/>
  <c r="F237" i="40" s="1"/>
  <c r="K218" i="50"/>
  <c r="F218" i="50"/>
  <c r="E218" i="50"/>
  <c r="H218" i="50"/>
  <c r="B218" i="50"/>
  <c r="L218" i="50" s="1"/>
  <c r="D218" i="50" s="1"/>
  <c r="N218" i="50"/>
  <c r="I218" i="50"/>
  <c r="G218" i="50"/>
  <c r="J236" i="40"/>
  <c r="M236" i="40" s="1"/>
  <c r="O236" i="40" s="1"/>
  <c r="J237" i="44"/>
  <c r="L237" i="44"/>
  <c r="D237" i="44" s="1"/>
  <c r="C237" i="44" s="1"/>
  <c r="J250" i="2" l="1"/>
  <c r="M250" i="2" s="1"/>
  <c r="O250" i="2" s="1"/>
  <c r="F251" i="2"/>
  <c r="E251" i="2"/>
  <c r="K251" i="2"/>
  <c r="I251" i="2"/>
  <c r="B251" i="2"/>
  <c r="L251" i="2" s="1"/>
  <c r="H251" i="2"/>
  <c r="N251" i="2"/>
  <c r="G251" i="2"/>
  <c r="B237" i="40"/>
  <c r="L237" i="40" s="1"/>
  <c r="K237" i="40"/>
  <c r="N237" i="40"/>
  <c r="E237" i="40"/>
  <c r="G237" i="40"/>
  <c r="H237" i="40"/>
  <c r="I237" i="40"/>
  <c r="C218" i="50"/>
  <c r="J218" i="50"/>
  <c r="M218" i="50" s="1"/>
  <c r="O218" i="50" s="1"/>
  <c r="F238" i="44"/>
  <c r="K238" i="44"/>
  <c r="G238" i="44"/>
  <c r="H238" i="44"/>
  <c r="I238" i="44"/>
  <c r="E238" i="44"/>
  <c r="N238" i="44"/>
  <c r="B238" i="44"/>
  <c r="M237" i="44"/>
  <c r="O237" i="44" s="1"/>
  <c r="D251" i="2" l="1"/>
  <c r="C251" i="2" s="1"/>
  <c r="J251" i="2"/>
  <c r="M251" i="2" s="1"/>
  <c r="O251" i="2" s="1"/>
  <c r="D237" i="40"/>
  <c r="C237" i="40" s="1"/>
  <c r="F238" i="40" s="1"/>
  <c r="J237" i="40"/>
  <c r="M237" i="40" s="1"/>
  <c r="O237" i="40" s="1"/>
  <c r="F219" i="50"/>
  <c r="K219" i="50"/>
  <c r="E219" i="50"/>
  <c r="N219" i="50"/>
  <c r="I219" i="50"/>
  <c r="G219" i="50"/>
  <c r="B219" i="50"/>
  <c r="L219" i="50" s="1"/>
  <c r="D219" i="50" s="1"/>
  <c r="H219" i="50"/>
  <c r="J238" i="44"/>
  <c r="L238" i="44"/>
  <c r="G238" i="40"/>
  <c r="I238" i="40" l="1"/>
  <c r="H238" i="40"/>
  <c r="J238" i="40" s="1"/>
  <c r="B252" i="2"/>
  <c r="L252" i="2" s="1"/>
  <c r="N252" i="2"/>
  <c r="F252" i="2"/>
  <c r="H252" i="2"/>
  <c r="G252" i="2"/>
  <c r="I252" i="2"/>
  <c r="E252" i="2"/>
  <c r="K252" i="2"/>
  <c r="K238" i="40"/>
  <c r="E238" i="40"/>
  <c r="N238" i="40"/>
  <c r="B238" i="40"/>
  <c r="L238" i="40" s="1"/>
  <c r="D238" i="40" s="1"/>
  <c r="C238" i="40" s="1"/>
  <c r="F239" i="40" s="1"/>
  <c r="C219" i="50"/>
  <c r="J219" i="50"/>
  <c r="M219" i="50" s="1"/>
  <c r="O219" i="50" s="1"/>
  <c r="M238" i="44"/>
  <c r="O238" i="44" s="1"/>
  <c r="D238" i="44"/>
  <c r="C238" i="44" s="1"/>
  <c r="J252" i="2" l="1"/>
  <c r="M252" i="2" s="1"/>
  <c r="O252" i="2" s="1"/>
  <c r="D252" i="2"/>
  <c r="C252" i="2" s="1"/>
  <c r="F220" i="50"/>
  <c r="E220" i="50"/>
  <c r="K220" i="50"/>
  <c r="G220" i="50"/>
  <c r="N220" i="50"/>
  <c r="I220" i="50"/>
  <c r="B220" i="50"/>
  <c r="L220" i="50" s="1"/>
  <c r="D220" i="50" s="1"/>
  <c r="H220" i="50"/>
  <c r="F239" i="44"/>
  <c r="K239" i="44"/>
  <c r="G239" i="44"/>
  <c r="I239" i="44"/>
  <c r="H239" i="44"/>
  <c r="E239" i="44"/>
  <c r="B239" i="44"/>
  <c r="L239" i="44" s="1"/>
  <c r="D239" i="44" s="1"/>
  <c r="C239" i="44" s="1"/>
  <c r="N239" i="44"/>
  <c r="N239" i="40"/>
  <c r="K239" i="40"/>
  <c r="G239" i="40"/>
  <c r="I239" i="40"/>
  <c r="B239" i="40"/>
  <c r="H239" i="40"/>
  <c r="E239" i="40"/>
  <c r="M238" i="40"/>
  <c r="O238" i="40" s="1"/>
  <c r="N253" i="2" l="1"/>
  <c r="H253" i="2"/>
  <c r="E253" i="2"/>
  <c r="G253" i="2"/>
  <c r="F253" i="2"/>
  <c r="K253" i="2"/>
  <c r="B253" i="2"/>
  <c r="L253" i="2" s="1"/>
  <c r="D253" i="2" s="1"/>
  <c r="C253" i="2" s="1"/>
  <c r="I253" i="2"/>
  <c r="C220" i="50"/>
  <c r="J220" i="50"/>
  <c r="M220" i="50" s="1"/>
  <c r="O220" i="50" s="1"/>
  <c r="K240" i="44"/>
  <c r="F240" i="44"/>
  <c r="G240" i="44"/>
  <c r="H240" i="44"/>
  <c r="I240" i="44"/>
  <c r="E240" i="44"/>
  <c r="J239" i="44"/>
  <c r="M239" i="44" s="1"/>
  <c r="O239" i="44" s="1"/>
  <c r="N240" i="44"/>
  <c r="B240" i="44"/>
  <c r="J239" i="40"/>
  <c r="L239" i="40"/>
  <c r="J253" i="2" l="1"/>
  <c r="M253" i="2" s="1"/>
  <c r="O253" i="2" s="1"/>
  <c r="E254" i="2"/>
  <c r="N254" i="2"/>
  <c r="I254" i="2"/>
  <c r="G254" i="2"/>
  <c r="F254" i="2"/>
  <c r="H254" i="2"/>
  <c r="B254" i="2"/>
  <c r="L254" i="2" s="1"/>
  <c r="K254" i="2"/>
  <c r="K221" i="50"/>
  <c r="F221" i="50"/>
  <c r="E221" i="50"/>
  <c r="N221" i="50"/>
  <c r="G221" i="50"/>
  <c r="B221" i="50"/>
  <c r="L221" i="50" s="1"/>
  <c r="H221" i="50"/>
  <c r="I221" i="50"/>
  <c r="M239" i="40"/>
  <c r="O239" i="40" s="1"/>
  <c r="J240" i="44"/>
  <c r="L240" i="44"/>
  <c r="D240" i="44" s="1"/>
  <c r="C240" i="44" s="1"/>
  <c r="D239" i="40"/>
  <c r="C239" i="40" s="1"/>
  <c r="F240" i="40" s="1"/>
  <c r="D254" i="2" l="1"/>
  <c r="C254" i="2" s="1"/>
  <c r="K255" i="2" s="1"/>
  <c r="J254" i="2"/>
  <c r="M254" i="2" s="1"/>
  <c r="O254" i="2" s="1"/>
  <c r="D221" i="50"/>
  <c r="C221" i="50" s="1"/>
  <c r="J221" i="50"/>
  <c r="M221" i="50" s="1"/>
  <c r="O221" i="50" s="1"/>
  <c r="K241" i="44"/>
  <c r="F241" i="44"/>
  <c r="G241" i="44"/>
  <c r="I241" i="44"/>
  <c r="H241" i="44"/>
  <c r="E241" i="44"/>
  <c r="M240" i="44"/>
  <c r="O240" i="44" s="1"/>
  <c r="N241" i="44"/>
  <c r="B241" i="44"/>
  <c r="N240" i="40"/>
  <c r="K240" i="40"/>
  <c r="I240" i="40"/>
  <c r="E240" i="40"/>
  <c r="B240" i="40"/>
  <c r="G240" i="40"/>
  <c r="H240" i="40"/>
  <c r="E255" i="2" l="1"/>
  <c r="G255" i="2"/>
  <c r="I255" i="2"/>
  <c r="B255" i="2"/>
  <c r="L255" i="2" s="1"/>
  <c r="H255" i="2"/>
  <c r="N255" i="2"/>
  <c r="F255" i="2"/>
  <c r="F222" i="50"/>
  <c r="E222" i="50"/>
  <c r="K222" i="50"/>
  <c r="I222" i="50"/>
  <c r="G222" i="50"/>
  <c r="H222" i="50"/>
  <c r="B222" i="50"/>
  <c r="L222" i="50" s="1"/>
  <c r="D222" i="50" s="1"/>
  <c r="N222" i="50"/>
  <c r="J241" i="44"/>
  <c r="L241" i="44"/>
  <c r="D241" i="44" s="1"/>
  <c r="C241" i="44" s="1"/>
  <c r="L240" i="40"/>
  <c r="J240" i="40"/>
  <c r="J255" i="2" l="1"/>
  <c r="M255" i="2" s="1"/>
  <c r="O255" i="2" s="1"/>
  <c r="D255" i="2"/>
  <c r="C255" i="2" s="1"/>
  <c r="E256" i="2" s="1"/>
  <c r="C222" i="50"/>
  <c r="K242" i="44"/>
  <c r="F242" i="44"/>
  <c r="G242" i="44"/>
  <c r="H242" i="44"/>
  <c r="I242" i="44"/>
  <c r="E242" i="44"/>
  <c r="N242" i="44"/>
  <c r="B242" i="44"/>
  <c r="M241" i="44"/>
  <c r="O241" i="44" s="1"/>
  <c r="M240" i="40"/>
  <c r="O240" i="40" s="1"/>
  <c r="D240" i="40"/>
  <c r="C240" i="40" s="1"/>
  <c r="F241" i="40" s="1"/>
  <c r="K256" i="2" l="1"/>
  <c r="F256" i="2"/>
  <c r="N256" i="2"/>
  <c r="G256" i="2"/>
  <c r="H256" i="2"/>
  <c r="B256" i="2"/>
  <c r="L256" i="2" s="1"/>
  <c r="D256" i="2" s="1"/>
  <c r="C256" i="2" s="1"/>
  <c r="I256" i="2"/>
  <c r="K223" i="50"/>
  <c r="E223" i="50"/>
  <c r="F223" i="50"/>
  <c r="H223" i="50"/>
  <c r="G223" i="50"/>
  <c r="N223" i="50"/>
  <c r="I223" i="50"/>
  <c r="B223" i="50"/>
  <c r="L223" i="50" s="1"/>
  <c r="D223" i="50" s="1"/>
  <c r="J222" i="50"/>
  <c r="M222" i="50" s="1"/>
  <c r="O222" i="50" s="1"/>
  <c r="J242" i="44"/>
  <c r="L242" i="44"/>
  <c r="D242" i="44" s="1"/>
  <c r="C242" i="44" s="1"/>
  <c r="K241" i="40"/>
  <c r="N241" i="40"/>
  <c r="G241" i="40"/>
  <c r="H241" i="40"/>
  <c r="E241" i="40"/>
  <c r="B241" i="40"/>
  <c r="I241" i="40"/>
  <c r="J256" i="2" l="1"/>
  <c r="M256" i="2" s="1"/>
  <c r="O256" i="2" s="1"/>
  <c r="E257" i="2"/>
  <c r="G257" i="2"/>
  <c r="F257" i="2"/>
  <c r="I257" i="2"/>
  <c r="N257" i="2"/>
  <c r="K257" i="2"/>
  <c r="H257" i="2"/>
  <c r="B257" i="2"/>
  <c r="L257" i="2" s="1"/>
  <c r="C223" i="50"/>
  <c r="F243" i="44"/>
  <c r="K243" i="44"/>
  <c r="G243" i="44"/>
  <c r="I243" i="44"/>
  <c r="H243" i="44"/>
  <c r="E243" i="44"/>
  <c r="N243" i="44"/>
  <c r="B243" i="44"/>
  <c r="M242" i="44"/>
  <c r="O242" i="44" s="1"/>
  <c r="L241" i="40"/>
  <c r="D241" i="40" s="1"/>
  <c r="C241" i="40" s="1"/>
  <c r="F242" i="40" s="1"/>
  <c r="J241" i="40"/>
  <c r="D257" i="2" l="1"/>
  <c r="C257" i="2" s="1"/>
  <c r="G258" i="2" s="1"/>
  <c r="J257" i="2"/>
  <c r="M257" i="2" s="1"/>
  <c r="O257" i="2" s="1"/>
  <c r="F224" i="50"/>
  <c r="K224" i="50"/>
  <c r="E224" i="50"/>
  <c r="H224" i="50"/>
  <c r="I224" i="50"/>
  <c r="N224" i="50"/>
  <c r="G224" i="50"/>
  <c r="B224" i="50"/>
  <c r="L224" i="50" s="1"/>
  <c r="D224" i="50" s="1"/>
  <c r="J223" i="50"/>
  <c r="M223" i="50" s="1"/>
  <c r="O223" i="50" s="1"/>
  <c r="J243" i="44"/>
  <c r="L243" i="44"/>
  <c r="D243" i="44" s="1"/>
  <c r="C243" i="44" s="1"/>
  <c r="M241" i="40"/>
  <c r="O241" i="40" s="1"/>
  <c r="K242" i="40"/>
  <c r="N242" i="40"/>
  <c r="E242" i="40"/>
  <c r="G242" i="40"/>
  <c r="B242" i="40"/>
  <c r="H242" i="40"/>
  <c r="I242" i="40"/>
  <c r="B258" i="2" l="1"/>
  <c r="L258" i="2" s="1"/>
  <c r="D258" i="2" s="1"/>
  <c r="C258" i="2" s="1"/>
  <c r="I259" i="2" s="1"/>
  <c r="H258" i="2"/>
  <c r="F258" i="2"/>
  <c r="E258" i="2"/>
  <c r="N258" i="2"/>
  <c r="K258" i="2"/>
  <c r="I258" i="2"/>
  <c r="C224" i="50"/>
  <c r="F244" i="44"/>
  <c r="K244" i="44"/>
  <c r="G244" i="44"/>
  <c r="H244" i="44"/>
  <c r="I244" i="44"/>
  <c r="E244" i="44"/>
  <c r="M243" i="44"/>
  <c r="O243" i="44" s="1"/>
  <c r="N244" i="44"/>
  <c r="B244" i="44"/>
  <c r="L242" i="40"/>
  <c r="D242" i="40" s="1"/>
  <c r="C242" i="40" s="1"/>
  <c r="F243" i="40" s="1"/>
  <c r="J242" i="40"/>
  <c r="J258" i="2" l="1"/>
  <c r="M258" i="2" s="1"/>
  <c r="O258" i="2" s="1"/>
  <c r="F259" i="2"/>
  <c r="K259" i="2"/>
  <c r="D259" i="2"/>
  <c r="C259" i="2" s="1"/>
  <c r="F260" i="2" s="1"/>
  <c r="E259" i="2"/>
  <c r="N259" i="2"/>
  <c r="G259" i="2"/>
  <c r="B259" i="2"/>
  <c r="L259" i="2" s="1"/>
  <c r="H259" i="2"/>
  <c r="F225" i="50"/>
  <c r="E225" i="50"/>
  <c r="K225" i="50"/>
  <c r="B225" i="50"/>
  <c r="L225" i="50" s="1"/>
  <c r="D225" i="50" s="1"/>
  <c r="H225" i="50"/>
  <c r="N225" i="50"/>
  <c r="I225" i="50"/>
  <c r="G225" i="50"/>
  <c r="J244" i="44"/>
  <c r="L244" i="44"/>
  <c r="D244" i="44" s="1"/>
  <c r="C244" i="44" s="1"/>
  <c r="K243" i="40"/>
  <c r="N243" i="40"/>
  <c r="E243" i="40"/>
  <c r="H243" i="40"/>
  <c r="G243" i="40"/>
  <c r="B243" i="40"/>
  <c r="L243" i="40" s="1"/>
  <c r="I243" i="40"/>
  <c r="M242" i="40"/>
  <c r="O242" i="40" s="1"/>
  <c r="N260" i="2" l="1"/>
  <c r="G260" i="2"/>
  <c r="I260" i="2"/>
  <c r="K260" i="2"/>
  <c r="H260" i="2"/>
  <c r="J259" i="2"/>
  <c r="M259" i="2" s="1"/>
  <c r="O259" i="2" s="1"/>
  <c r="E260" i="2"/>
  <c r="B260" i="2"/>
  <c r="L260" i="2" s="1"/>
  <c r="D260" i="2" s="1"/>
  <c r="C260" i="2" s="1"/>
  <c r="G261" i="2" s="1"/>
  <c r="C225" i="50"/>
  <c r="J224" i="50"/>
  <c r="M224" i="50" s="1"/>
  <c r="O224" i="50" s="1"/>
  <c r="F245" i="44"/>
  <c r="K245" i="44"/>
  <c r="G245" i="44"/>
  <c r="I245" i="44"/>
  <c r="H245" i="44"/>
  <c r="E245" i="44"/>
  <c r="D243" i="40"/>
  <c r="C243" i="40" s="1"/>
  <c r="N245" i="44"/>
  <c r="B245" i="44"/>
  <c r="M244" i="44"/>
  <c r="O244" i="44" s="1"/>
  <c r="J243" i="40"/>
  <c r="M243" i="40" s="1"/>
  <c r="O243" i="40" s="1"/>
  <c r="J260" i="2" l="1"/>
  <c r="M260" i="2" s="1"/>
  <c r="O260" i="2" s="1"/>
  <c r="K261" i="2"/>
  <c r="H261" i="2"/>
  <c r="E261" i="2"/>
  <c r="I261" i="2"/>
  <c r="B261" i="2"/>
  <c r="L261" i="2" s="1"/>
  <c r="D261" i="2" s="1"/>
  <c r="C261" i="2" s="1"/>
  <c r="F262" i="2" s="1"/>
  <c r="F261" i="2"/>
  <c r="N261" i="2"/>
  <c r="G244" i="40"/>
  <c r="F244" i="40"/>
  <c r="K226" i="50"/>
  <c r="F226" i="50"/>
  <c r="E226" i="50"/>
  <c r="H226" i="50"/>
  <c r="I226" i="50"/>
  <c r="B226" i="50"/>
  <c r="L226" i="50" s="1"/>
  <c r="D226" i="50" s="1"/>
  <c r="N226" i="50"/>
  <c r="G226" i="50"/>
  <c r="K244" i="40"/>
  <c r="N244" i="40"/>
  <c r="B244" i="40"/>
  <c r="L244" i="40" s="1"/>
  <c r="I244" i="40"/>
  <c r="H244" i="40"/>
  <c r="E244" i="40"/>
  <c r="J245" i="44"/>
  <c r="L245" i="44"/>
  <c r="D245" i="44" s="1"/>
  <c r="C245" i="44" s="1"/>
  <c r="H262" i="2" l="1"/>
  <c r="J261" i="2"/>
  <c r="M261" i="2" s="1"/>
  <c r="O261" i="2" s="1"/>
  <c r="E262" i="2"/>
  <c r="G262" i="2"/>
  <c r="I262" i="2"/>
  <c r="K262" i="2"/>
  <c r="B262" i="2"/>
  <c r="L262" i="2" s="1"/>
  <c r="N262" i="2"/>
  <c r="D262" i="2"/>
  <c r="C262" i="2" s="1"/>
  <c r="E263" i="2" s="1"/>
  <c r="C226" i="50"/>
  <c r="J225" i="50"/>
  <c r="M225" i="50" s="1"/>
  <c r="O225" i="50" s="1"/>
  <c r="F246" i="44"/>
  <c r="K246" i="44"/>
  <c r="D244" i="40"/>
  <c r="C244" i="40" s="1"/>
  <c r="J244" i="40"/>
  <c r="M244" i="40" s="1"/>
  <c r="O244" i="40" s="1"/>
  <c r="G246" i="44"/>
  <c r="H246" i="44"/>
  <c r="I246" i="44"/>
  <c r="E246" i="44"/>
  <c r="M245" i="44"/>
  <c r="O245" i="44" s="1"/>
  <c r="N246" i="44"/>
  <c r="B246" i="44"/>
  <c r="H263" i="2" l="1"/>
  <c r="G263" i="2"/>
  <c r="I263" i="2"/>
  <c r="J262" i="2"/>
  <c r="M262" i="2" s="1"/>
  <c r="O262" i="2" s="1"/>
  <c r="N263" i="2"/>
  <c r="D263" i="2"/>
  <c r="C263" i="2" s="1"/>
  <c r="D264" i="2" s="1"/>
  <c r="C264" i="2" s="1"/>
  <c r="B263" i="2"/>
  <c r="L263" i="2" s="1"/>
  <c r="K263" i="2"/>
  <c r="F263" i="2"/>
  <c r="I245" i="40"/>
  <c r="F245" i="40"/>
  <c r="F227" i="50"/>
  <c r="K227" i="50"/>
  <c r="E227" i="50"/>
  <c r="H227" i="50"/>
  <c r="I227" i="50"/>
  <c r="N227" i="50"/>
  <c r="B227" i="50"/>
  <c r="L227" i="50" s="1"/>
  <c r="G227" i="50"/>
  <c r="G245" i="40"/>
  <c r="H245" i="40"/>
  <c r="E245" i="40"/>
  <c r="B245" i="40"/>
  <c r="L245" i="40" s="1"/>
  <c r="D245" i="40" s="1"/>
  <c r="C245" i="40" s="1"/>
  <c r="K245" i="40"/>
  <c r="N245" i="40"/>
  <c r="L246" i="44"/>
  <c r="D246" i="44" s="1"/>
  <c r="C246" i="44" s="1"/>
  <c r="J246" i="44"/>
  <c r="J263" i="2" l="1"/>
  <c r="M263" i="2" s="1"/>
  <c r="O263" i="2" s="1"/>
  <c r="B264" i="2"/>
  <c r="L264" i="2" s="1"/>
  <c r="E264" i="2"/>
  <c r="K264" i="2"/>
  <c r="N264" i="2"/>
  <c r="F264" i="2"/>
  <c r="I264" i="2"/>
  <c r="H264" i="2"/>
  <c r="G264" i="2"/>
  <c r="H265" i="2"/>
  <c r="F265" i="2"/>
  <c r="B265" i="2"/>
  <c r="L265" i="2" s="1"/>
  <c r="D265" i="2" s="1"/>
  <c r="C265" i="2" s="1"/>
  <c r="K265" i="2"/>
  <c r="G265" i="2"/>
  <c r="E265" i="2"/>
  <c r="I265" i="2"/>
  <c r="N265" i="2"/>
  <c r="D227" i="50"/>
  <c r="N246" i="40"/>
  <c r="F246" i="40"/>
  <c r="C227" i="50"/>
  <c r="J226" i="50"/>
  <c r="M226" i="50" s="1"/>
  <c r="O226" i="50" s="1"/>
  <c r="F247" i="44"/>
  <c r="K247" i="44"/>
  <c r="J245" i="40"/>
  <c r="M245" i="40" s="1"/>
  <c r="O245" i="40" s="1"/>
  <c r="H246" i="40"/>
  <c r="E246" i="40"/>
  <c r="I246" i="40"/>
  <c r="G246" i="40"/>
  <c r="K246" i="40"/>
  <c r="B246" i="40"/>
  <c r="L246" i="40" s="1"/>
  <c r="G247" i="44"/>
  <c r="I247" i="44"/>
  <c r="H247" i="44"/>
  <c r="E247" i="44"/>
  <c r="M246" i="44"/>
  <c r="O246" i="44" s="1"/>
  <c r="N247" i="44"/>
  <c r="B247" i="44"/>
  <c r="J264" i="2" l="1"/>
  <c r="M264" i="2" s="1"/>
  <c r="O264" i="2" s="1"/>
  <c r="K266" i="2"/>
  <c r="E266" i="2"/>
  <c r="N266" i="2"/>
  <c r="I266" i="2"/>
  <c r="F266" i="2"/>
  <c r="B266" i="2"/>
  <c r="L266" i="2" s="1"/>
  <c r="H266" i="2"/>
  <c r="G266" i="2"/>
  <c r="D266" i="2"/>
  <c r="C266" i="2" s="1"/>
  <c r="J265" i="2"/>
  <c r="M265" i="2" s="1"/>
  <c r="O265" i="2" s="1"/>
  <c r="K228" i="50"/>
  <c r="F228" i="50"/>
  <c r="E228" i="50"/>
  <c r="G228" i="50"/>
  <c r="N228" i="50"/>
  <c r="B228" i="50"/>
  <c r="L228" i="50" s="1"/>
  <c r="D228" i="50" s="1"/>
  <c r="I228" i="50"/>
  <c r="H228" i="50"/>
  <c r="J246" i="40"/>
  <c r="M246" i="40" s="1"/>
  <c r="O246" i="40" s="1"/>
  <c r="J247" i="44"/>
  <c r="L247" i="44"/>
  <c r="D247" i="44" s="1"/>
  <c r="C247" i="44" s="1"/>
  <c r="D246" i="40"/>
  <c r="C246" i="40" s="1"/>
  <c r="F247" i="40" s="1"/>
  <c r="J266" i="2" l="1"/>
  <c r="M266" i="2" s="1"/>
  <c r="O266" i="2" s="1"/>
  <c r="F267" i="2"/>
  <c r="D267" i="2"/>
  <c r="C267" i="2" s="1"/>
  <c r="E267" i="2"/>
  <c r="H267" i="2"/>
  <c r="K267" i="2"/>
  <c r="I267" i="2"/>
  <c r="B267" i="2"/>
  <c r="L267" i="2" s="1"/>
  <c r="G267" i="2"/>
  <c r="N267" i="2"/>
  <c r="C228" i="50"/>
  <c r="J227" i="50"/>
  <c r="M227" i="50" s="1"/>
  <c r="O227" i="50" s="1"/>
  <c r="K248" i="44"/>
  <c r="F248" i="44"/>
  <c r="G248" i="44"/>
  <c r="H248" i="44"/>
  <c r="I248" i="44"/>
  <c r="E248" i="44"/>
  <c r="M247" i="44"/>
  <c r="O247" i="44" s="1"/>
  <c r="N248" i="44"/>
  <c r="B248" i="44"/>
  <c r="N247" i="40"/>
  <c r="K247" i="40"/>
  <c r="E247" i="40"/>
  <c r="H247" i="40"/>
  <c r="I247" i="40"/>
  <c r="B247" i="40"/>
  <c r="G247" i="40"/>
  <c r="N268" i="2" l="1"/>
  <c r="I268" i="2"/>
  <c r="B268" i="2"/>
  <c r="L268" i="2" s="1"/>
  <c r="G268" i="2"/>
  <c r="K268" i="2"/>
  <c r="H268" i="2"/>
  <c r="F268" i="2"/>
  <c r="E268" i="2"/>
  <c r="D268" i="2" s="1"/>
  <c r="C268" i="2" s="1"/>
  <c r="J267" i="2"/>
  <c r="M267" i="2" s="1"/>
  <c r="O267" i="2" s="1"/>
  <c r="N229" i="50"/>
  <c r="I229" i="50"/>
  <c r="G229" i="50"/>
  <c r="H229" i="50"/>
  <c r="E229" i="50"/>
  <c r="F229" i="50"/>
  <c r="B229" i="50"/>
  <c r="L229" i="50" s="1"/>
  <c r="D229" i="50" s="1"/>
  <c r="K229" i="50"/>
  <c r="J228" i="50"/>
  <c r="M228" i="50" s="1"/>
  <c r="O228" i="50" s="1"/>
  <c r="L248" i="44"/>
  <c r="D248" i="44" s="1"/>
  <c r="C248" i="44" s="1"/>
  <c r="J248" i="44"/>
  <c r="L247" i="40"/>
  <c r="D247" i="40" s="1"/>
  <c r="C247" i="40" s="1"/>
  <c r="F248" i="40" s="1"/>
  <c r="J247" i="40"/>
  <c r="N269" i="2" l="1"/>
  <c r="H269" i="2"/>
  <c r="F269" i="2"/>
  <c r="I269" i="2"/>
  <c r="E269" i="2"/>
  <c r="K269" i="2"/>
  <c r="B269" i="2"/>
  <c r="L269" i="2" s="1"/>
  <c r="D269" i="2" s="1"/>
  <c r="C269" i="2" s="1"/>
  <c r="G269" i="2"/>
  <c r="J268" i="2"/>
  <c r="M268" i="2" s="1"/>
  <c r="O268" i="2" s="1"/>
  <c r="C229" i="50"/>
  <c r="K249" i="44"/>
  <c r="F249" i="44"/>
  <c r="G249" i="44"/>
  <c r="I249" i="44"/>
  <c r="H249" i="44"/>
  <c r="E249" i="44"/>
  <c r="M248" i="44"/>
  <c r="O248" i="44" s="1"/>
  <c r="N249" i="44"/>
  <c r="B249" i="44"/>
  <c r="N248" i="40"/>
  <c r="K248" i="40"/>
  <c r="I248" i="40"/>
  <c r="B248" i="40"/>
  <c r="H248" i="40"/>
  <c r="G248" i="40"/>
  <c r="E248" i="40"/>
  <c r="M247" i="40"/>
  <c r="O247" i="40" s="1"/>
  <c r="F270" i="2" l="1"/>
  <c r="B270" i="2"/>
  <c r="L270" i="2" s="1"/>
  <c r="E270" i="2"/>
  <c r="N270" i="2"/>
  <c r="D270" i="2"/>
  <c r="C270" i="2" s="1"/>
  <c r="G270" i="2"/>
  <c r="H270" i="2"/>
  <c r="K270" i="2"/>
  <c r="I270" i="2"/>
  <c r="J269" i="2"/>
  <c r="M269" i="2" s="1"/>
  <c r="O269" i="2" s="1"/>
  <c r="H230" i="50"/>
  <c r="G230" i="50"/>
  <c r="B230" i="50"/>
  <c r="L230" i="50" s="1"/>
  <c r="F230" i="50"/>
  <c r="I230" i="50"/>
  <c r="N230" i="50"/>
  <c r="K230" i="50"/>
  <c r="E230" i="50"/>
  <c r="J229" i="50"/>
  <c r="M229" i="50" s="1"/>
  <c r="O229" i="50" s="1"/>
  <c r="J249" i="44"/>
  <c r="L249" i="44"/>
  <c r="D249" i="44" s="1"/>
  <c r="C249" i="44" s="1"/>
  <c r="J248" i="40"/>
  <c r="L248" i="40"/>
  <c r="D248" i="40" s="1"/>
  <c r="C248" i="40" s="1"/>
  <c r="F249" i="40" s="1"/>
  <c r="F271" i="2" l="1"/>
  <c r="N271" i="2"/>
  <c r="G271" i="2"/>
  <c r="B271" i="2"/>
  <c r="L271" i="2" s="1"/>
  <c r="D271" i="2" s="1"/>
  <c r="C271" i="2" s="1"/>
  <c r="E271" i="2"/>
  <c r="K271" i="2"/>
  <c r="I271" i="2"/>
  <c r="H271" i="2"/>
  <c r="J270" i="2"/>
  <c r="M270" i="2" s="1"/>
  <c r="O270" i="2" s="1"/>
  <c r="D230" i="50"/>
  <c r="C230" i="50" s="1"/>
  <c r="F250" i="44"/>
  <c r="K250" i="44"/>
  <c r="G250" i="44"/>
  <c r="H250" i="44"/>
  <c r="I250" i="44"/>
  <c r="E250" i="44"/>
  <c r="N250" i="44"/>
  <c r="B250" i="44"/>
  <c r="M249" i="44"/>
  <c r="O249" i="44" s="1"/>
  <c r="K249" i="40"/>
  <c r="N249" i="40"/>
  <c r="H249" i="40"/>
  <c r="E249" i="40"/>
  <c r="B249" i="40"/>
  <c r="G249" i="40"/>
  <c r="I249" i="40"/>
  <c r="M248" i="40"/>
  <c r="O248" i="40" s="1"/>
  <c r="K272" i="2" l="1"/>
  <c r="E272" i="2"/>
  <c r="H272" i="2"/>
  <c r="F272" i="2"/>
  <c r="N272" i="2"/>
  <c r="G272" i="2"/>
  <c r="I272" i="2"/>
  <c r="B272" i="2"/>
  <c r="L272" i="2" s="1"/>
  <c r="D272" i="2" s="1"/>
  <c r="C272" i="2" s="1"/>
  <c r="J271" i="2"/>
  <c r="M271" i="2" s="1"/>
  <c r="O271" i="2" s="1"/>
  <c r="B231" i="50"/>
  <c r="L231" i="50" s="1"/>
  <c r="G231" i="50"/>
  <c r="K231" i="50"/>
  <c r="N231" i="50"/>
  <c r="H231" i="50"/>
  <c r="F231" i="50"/>
  <c r="I231" i="50"/>
  <c r="E231" i="50"/>
  <c r="D231" i="50" s="1"/>
  <c r="J230" i="50"/>
  <c r="M230" i="50" s="1"/>
  <c r="O230" i="50" s="1"/>
  <c r="J250" i="44"/>
  <c r="L250" i="44"/>
  <c r="D250" i="44" s="1"/>
  <c r="C250" i="44" s="1"/>
  <c r="L249" i="40"/>
  <c r="D249" i="40" s="1"/>
  <c r="C249" i="40" s="1"/>
  <c r="F250" i="40" s="1"/>
  <c r="J249" i="40"/>
  <c r="F273" i="2" l="1"/>
  <c r="N273" i="2"/>
  <c r="E273" i="2"/>
  <c r="H273" i="2"/>
  <c r="G273" i="2"/>
  <c r="K273" i="2"/>
  <c r="I273" i="2"/>
  <c r="B273" i="2"/>
  <c r="L273" i="2" s="1"/>
  <c r="D273" i="2" s="1"/>
  <c r="C273" i="2" s="1"/>
  <c r="J272" i="2"/>
  <c r="M272" i="2" s="1"/>
  <c r="O272" i="2" s="1"/>
  <c r="C231" i="50"/>
  <c r="F251" i="44"/>
  <c r="K251" i="44"/>
  <c r="G251" i="44"/>
  <c r="I251" i="44"/>
  <c r="H251" i="44"/>
  <c r="E251" i="44"/>
  <c r="M250" i="44"/>
  <c r="O250" i="44" s="1"/>
  <c r="N251" i="44"/>
  <c r="B251" i="44"/>
  <c r="M249" i="40"/>
  <c r="O249" i="40" s="1"/>
  <c r="K250" i="40"/>
  <c r="N250" i="40"/>
  <c r="E250" i="40"/>
  <c r="H250" i="40"/>
  <c r="B250" i="40"/>
  <c r="I250" i="40"/>
  <c r="G250" i="40"/>
  <c r="F274" i="2" l="1"/>
  <c r="G274" i="2"/>
  <c r="H274" i="2"/>
  <c r="K274" i="2"/>
  <c r="I274" i="2"/>
  <c r="B274" i="2"/>
  <c r="L274" i="2" s="1"/>
  <c r="D274" i="2" s="1"/>
  <c r="C274" i="2" s="1"/>
  <c r="E274" i="2"/>
  <c r="N274" i="2"/>
  <c r="J273" i="2"/>
  <c r="M273" i="2" s="1"/>
  <c r="O273" i="2" s="1"/>
  <c r="N232" i="50"/>
  <c r="B232" i="50"/>
  <c r="L232" i="50" s="1"/>
  <c r="D232" i="50" s="1"/>
  <c r="K232" i="50"/>
  <c r="E232" i="50"/>
  <c r="G232" i="50"/>
  <c r="I232" i="50"/>
  <c r="F232" i="50"/>
  <c r="H232" i="50"/>
  <c r="J231" i="50"/>
  <c r="M231" i="50" s="1"/>
  <c r="O231" i="50" s="1"/>
  <c r="J251" i="44"/>
  <c r="L251" i="44"/>
  <c r="D251" i="44" s="1"/>
  <c r="C251" i="44" s="1"/>
  <c r="J250" i="40"/>
  <c r="L250" i="40"/>
  <c r="D250" i="40" s="1"/>
  <c r="C250" i="40" s="1"/>
  <c r="F251" i="40" s="1"/>
  <c r="F275" i="2" l="1"/>
  <c r="E275" i="2"/>
  <c r="H275" i="2"/>
  <c r="G275" i="2"/>
  <c r="N275" i="2"/>
  <c r="K275" i="2"/>
  <c r="D275" i="2"/>
  <c r="C275" i="2" s="1"/>
  <c r="I275" i="2"/>
  <c r="B275" i="2"/>
  <c r="L275" i="2" s="1"/>
  <c r="J274" i="2"/>
  <c r="M274" i="2" s="1"/>
  <c r="O274" i="2" s="1"/>
  <c r="C232" i="50"/>
  <c r="J232" i="50"/>
  <c r="M232" i="50" s="1"/>
  <c r="O232" i="50" s="1"/>
  <c r="F252" i="44"/>
  <c r="K252" i="44"/>
  <c r="G252" i="44"/>
  <c r="H252" i="44"/>
  <c r="I252" i="44"/>
  <c r="E252" i="44"/>
  <c r="N252" i="44"/>
  <c r="B252" i="44"/>
  <c r="M251" i="44"/>
  <c r="O251" i="44" s="1"/>
  <c r="K251" i="40"/>
  <c r="N251" i="40"/>
  <c r="B251" i="40"/>
  <c r="H251" i="40"/>
  <c r="G251" i="40"/>
  <c r="E251" i="40"/>
  <c r="I251" i="40"/>
  <c r="M250" i="40"/>
  <c r="O250" i="40" s="1"/>
  <c r="B276" i="2" l="1"/>
  <c r="L276" i="2" s="1"/>
  <c r="N276" i="2"/>
  <c r="D276" i="2"/>
  <c r="C276" i="2" s="1"/>
  <c r="G276" i="2"/>
  <c r="F276" i="2"/>
  <c r="E276" i="2"/>
  <c r="H276" i="2"/>
  <c r="I276" i="2"/>
  <c r="K276" i="2"/>
  <c r="J275" i="2"/>
  <c r="M275" i="2" s="1"/>
  <c r="O275" i="2" s="1"/>
  <c r="H233" i="50"/>
  <c r="B233" i="50"/>
  <c r="L233" i="50" s="1"/>
  <c r="D233" i="50" s="1"/>
  <c r="E233" i="50"/>
  <c r="N233" i="50"/>
  <c r="K233" i="50"/>
  <c r="G233" i="50"/>
  <c r="F233" i="50"/>
  <c r="I233" i="50"/>
  <c r="J252" i="44"/>
  <c r="L252" i="44"/>
  <c r="D252" i="44" s="1"/>
  <c r="C252" i="44" s="1"/>
  <c r="J251" i="40"/>
  <c r="L251" i="40"/>
  <c r="D251" i="40" s="1"/>
  <c r="C251" i="40" s="1"/>
  <c r="F252" i="40" s="1"/>
  <c r="J276" i="2" l="1"/>
  <c r="M276" i="2" s="1"/>
  <c r="O276" i="2" s="1"/>
  <c r="E277" i="2"/>
  <c r="N277" i="2"/>
  <c r="F277" i="2"/>
  <c r="H277" i="2"/>
  <c r="G277" i="2"/>
  <c r="K277" i="2"/>
  <c r="B277" i="2"/>
  <c r="L277" i="2" s="1"/>
  <c r="I277" i="2"/>
  <c r="D277" i="2"/>
  <c r="C277" i="2" s="1"/>
  <c r="C233" i="50"/>
  <c r="J233" i="50"/>
  <c r="M233" i="50" s="1"/>
  <c r="O233" i="50" s="1"/>
  <c r="F253" i="44"/>
  <c r="K253" i="44"/>
  <c r="G253" i="44"/>
  <c r="I253" i="44"/>
  <c r="H253" i="44"/>
  <c r="E253" i="44"/>
  <c r="N253" i="44"/>
  <c r="B253" i="44"/>
  <c r="M252" i="44"/>
  <c r="O252" i="44" s="1"/>
  <c r="K252" i="40"/>
  <c r="N252" i="40"/>
  <c r="H252" i="40"/>
  <c r="E252" i="40"/>
  <c r="I252" i="40"/>
  <c r="G252" i="40"/>
  <c r="B252" i="40"/>
  <c r="M251" i="40"/>
  <c r="O251" i="40" s="1"/>
  <c r="F278" i="2" l="1"/>
  <c r="I278" i="2"/>
  <c r="H278" i="2"/>
  <c r="G278" i="2"/>
  <c r="K278" i="2"/>
  <c r="B278" i="2"/>
  <c r="L278" i="2" s="1"/>
  <c r="N278" i="2"/>
  <c r="E278" i="2"/>
  <c r="D278" i="2"/>
  <c r="C278" i="2" s="1"/>
  <c r="J277" i="2"/>
  <c r="M277" i="2" s="1"/>
  <c r="O277" i="2" s="1"/>
  <c r="B234" i="50"/>
  <c r="L234" i="50" s="1"/>
  <c r="H234" i="50"/>
  <c r="F234" i="50"/>
  <c r="I234" i="50"/>
  <c r="K234" i="50"/>
  <c r="N234" i="50"/>
  <c r="E234" i="50"/>
  <c r="G234" i="50"/>
  <c r="J253" i="44"/>
  <c r="L253" i="44"/>
  <c r="D253" i="44" s="1"/>
  <c r="C253" i="44" s="1"/>
  <c r="L252" i="40"/>
  <c r="D252" i="40" s="1"/>
  <c r="C252" i="40" s="1"/>
  <c r="F253" i="40" s="1"/>
  <c r="J252" i="40"/>
  <c r="K279" i="2" l="1"/>
  <c r="D279" i="2"/>
  <c r="C279" i="2" s="1"/>
  <c r="E279" i="2"/>
  <c r="B279" i="2"/>
  <c r="L279" i="2" s="1"/>
  <c r="G279" i="2"/>
  <c r="N279" i="2"/>
  <c r="I279" i="2"/>
  <c r="H279" i="2"/>
  <c r="F279" i="2"/>
  <c r="J278" i="2"/>
  <c r="M278" i="2" s="1"/>
  <c r="O278" i="2" s="1"/>
  <c r="J234" i="50"/>
  <c r="M234" i="50" s="1"/>
  <c r="O234" i="50" s="1"/>
  <c r="D234" i="50"/>
  <c r="C234" i="50" s="1"/>
  <c r="F254" i="44"/>
  <c r="K254" i="44"/>
  <c r="G254" i="44"/>
  <c r="H254" i="44"/>
  <c r="I254" i="44"/>
  <c r="E254" i="44"/>
  <c r="N254" i="44"/>
  <c r="B254" i="44"/>
  <c r="M253" i="44"/>
  <c r="O253" i="44" s="1"/>
  <c r="N253" i="40"/>
  <c r="K253" i="40"/>
  <c r="H253" i="40"/>
  <c r="G253" i="40"/>
  <c r="E253" i="40"/>
  <c r="I253" i="40"/>
  <c r="B253" i="40"/>
  <c r="M252" i="40"/>
  <c r="O252" i="40" s="1"/>
  <c r="B280" i="2" l="1"/>
  <c r="L280" i="2" s="1"/>
  <c r="F280" i="2"/>
  <c r="N280" i="2"/>
  <c r="H280" i="2"/>
  <c r="E280" i="2"/>
  <c r="D280" i="2" s="1"/>
  <c r="C280" i="2" s="1"/>
  <c r="I280" i="2"/>
  <c r="K280" i="2"/>
  <c r="G280" i="2"/>
  <c r="J279" i="2"/>
  <c r="M279" i="2" s="1"/>
  <c r="O279" i="2" s="1"/>
  <c r="H235" i="50"/>
  <c r="G235" i="50"/>
  <c r="N235" i="50"/>
  <c r="B235" i="50"/>
  <c r="L235" i="50" s="1"/>
  <c r="F235" i="50"/>
  <c r="K235" i="50"/>
  <c r="E235" i="50"/>
  <c r="I235" i="50"/>
  <c r="J254" i="44"/>
  <c r="L254" i="44"/>
  <c r="D254" i="44" s="1"/>
  <c r="C254" i="44" s="1"/>
  <c r="L253" i="40"/>
  <c r="D253" i="40" s="1"/>
  <c r="C253" i="40" s="1"/>
  <c r="F254" i="40" s="1"/>
  <c r="J253" i="40"/>
  <c r="E281" i="2" l="1"/>
  <c r="H281" i="2"/>
  <c r="G281" i="2"/>
  <c r="K281" i="2"/>
  <c r="N281" i="2"/>
  <c r="I281" i="2"/>
  <c r="F281" i="2"/>
  <c r="B281" i="2"/>
  <c r="L281" i="2" s="1"/>
  <c r="D281" i="2" s="1"/>
  <c r="C281" i="2" s="1"/>
  <c r="J280" i="2"/>
  <c r="M280" i="2" s="1"/>
  <c r="O280" i="2" s="1"/>
  <c r="D235" i="50"/>
  <c r="C235" i="50" s="1"/>
  <c r="I236" i="50" s="1"/>
  <c r="J235" i="50"/>
  <c r="M235" i="50" s="1"/>
  <c r="O235" i="50" s="1"/>
  <c r="F255" i="44"/>
  <c r="K255" i="44"/>
  <c r="G255" i="44"/>
  <c r="I255" i="44"/>
  <c r="H255" i="44"/>
  <c r="E255" i="44"/>
  <c r="M254" i="44"/>
  <c r="O254" i="44" s="1"/>
  <c r="N255" i="44"/>
  <c r="B255" i="44"/>
  <c r="N254" i="40"/>
  <c r="K254" i="40"/>
  <c r="B254" i="40"/>
  <c r="L254" i="40" s="1"/>
  <c r="I254" i="40"/>
  <c r="E254" i="40"/>
  <c r="G254" i="40"/>
  <c r="H254" i="40"/>
  <c r="M253" i="40"/>
  <c r="O253" i="40" s="1"/>
  <c r="F282" i="2" l="1"/>
  <c r="I282" i="2"/>
  <c r="N282" i="2"/>
  <c r="B282" i="2"/>
  <c r="L282" i="2" s="1"/>
  <c r="D282" i="2" s="1"/>
  <c r="C282" i="2" s="1"/>
  <c r="H282" i="2"/>
  <c r="G282" i="2"/>
  <c r="K282" i="2"/>
  <c r="E282" i="2"/>
  <c r="J281" i="2"/>
  <c r="M281" i="2" s="1"/>
  <c r="O281" i="2" s="1"/>
  <c r="E236" i="50"/>
  <c r="K236" i="50"/>
  <c r="B236" i="50"/>
  <c r="L236" i="50" s="1"/>
  <c r="D236" i="50" s="1"/>
  <c r="C236" i="50" s="1"/>
  <c r="F236" i="50"/>
  <c r="N236" i="50"/>
  <c r="H236" i="50"/>
  <c r="G236" i="50"/>
  <c r="D254" i="40"/>
  <c r="C254" i="40" s="1"/>
  <c r="J255" i="44"/>
  <c r="L255" i="44"/>
  <c r="D255" i="44" s="1"/>
  <c r="C255" i="44" s="1"/>
  <c r="J254" i="40"/>
  <c r="M254" i="40" s="1"/>
  <c r="O254" i="40" s="1"/>
  <c r="K283" i="2" l="1"/>
  <c r="B283" i="2"/>
  <c r="L283" i="2" s="1"/>
  <c r="D283" i="2" s="1"/>
  <c r="C283" i="2" s="1"/>
  <c r="N283" i="2"/>
  <c r="E283" i="2"/>
  <c r="G283" i="2"/>
  <c r="H283" i="2"/>
  <c r="F283" i="2"/>
  <c r="I283" i="2"/>
  <c r="J282" i="2"/>
  <c r="M282" i="2" s="1"/>
  <c r="O282" i="2" s="1"/>
  <c r="J236" i="50"/>
  <c r="M236" i="50" s="1"/>
  <c r="O236" i="50" s="1"/>
  <c r="I255" i="40"/>
  <c r="F255" i="40"/>
  <c r="B237" i="50"/>
  <c r="L237" i="50" s="1"/>
  <c r="I237" i="50"/>
  <c r="N237" i="50"/>
  <c r="K237" i="50"/>
  <c r="H237" i="50"/>
  <c r="E237" i="50"/>
  <c r="G237" i="50"/>
  <c r="F237" i="50"/>
  <c r="K256" i="44"/>
  <c r="F256" i="44"/>
  <c r="K255" i="40"/>
  <c r="H255" i="40"/>
  <c r="N255" i="40"/>
  <c r="G256" i="44"/>
  <c r="H256" i="44"/>
  <c r="I256" i="44"/>
  <c r="E256" i="44"/>
  <c r="G255" i="40"/>
  <c r="B255" i="40"/>
  <c r="L255" i="40" s="1"/>
  <c r="D255" i="40" s="1"/>
  <c r="C255" i="40" s="1"/>
  <c r="F256" i="40" s="1"/>
  <c r="E255" i="40"/>
  <c r="M255" i="44"/>
  <c r="O255" i="44" s="1"/>
  <c r="N256" i="44"/>
  <c r="B256" i="44"/>
  <c r="J283" i="2" l="1"/>
  <c r="M283" i="2" s="1"/>
  <c r="O283" i="2" s="1"/>
  <c r="B284" i="2"/>
  <c r="L284" i="2" s="1"/>
  <c r="K284" i="2"/>
  <c r="N284" i="2"/>
  <c r="D284" i="2"/>
  <c r="C284" i="2" s="1"/>
  <c r="H284" i="2"/>
  <c r="G284" i="2"/>
  <c r="I284" i="2"/>
  <c r="E284" i="2"/>
  <c r="F284" i="2"/>
  <c r="J237" i="50"/>
  <c r="M237" i="50" s="1"/>
  <c r="O237" i="50" s="1"/>
  <c r="D237" i="50"/>
  <c r="C237" i="50" s="1"/>
  <c r="J255" i="40"/>
  <c r="M255" i="40" s="1"/>
  <c r="O255" i="40" s="1"/>
  <c r="L256" i="44"/>
  <c r="D256" i="44" s="1"/>
  <c r="C256" i="44" s="1"/>
  <c r="J256" i="44"/>
  <c r="N256" i="40"/>
  <c r="K256" i="40"/>
  <c r="E256" i="40"/>
  <c r="B256" i="40"/>
  <c r="L256" i="40" s="1"/>
  <c r="D256" i="40" s="1"/>
  <c r="C256" i="40" s="1"/>
  <c r="F257" i="40" s="1"/>
  <c r="G256" i="40"/>
  <c r="I256" i="40"/>
  <c r="H256" i="40"/>
  <c r="J284" i="2" l="1"/>
  <c r="M284" i="2" s="1"/>
  <c r="O284" i="2" s="1"/>
  <c r="G285" i="2"/>
  <c r="I285" i="2"/>
  <c r="K285" i="2"/>
  <c r="N285" i="2"/>
  <c r="E285" i="2"/>
  <c r="H285" i="2"/>
  <c r="F285" i="2"/>
  <c r="B285" i="2"/>
  <c r="L285" i="2" s="1"/>
  <c r="D285" i="2" s="1"/>
  <c r="C285" i="2" s="1"/>
  <c r="G238" i="50"/>
  <c r="N238" i="50"/>
  <c r="H238" i="50"/>
  <c r="E238" i="50"/>
  <c r="I238" i="50"/>
  <c r="K238" i="50"/>
  <c r="B238" i="50"/>
  <c r="L238" i="50" s="1"/>
  <c r="D238" i="50" s="1"/>
  <c r="F238" i="50"/>
  <c r="K257" i="44"/>
  <c r="F257" i="44"/>
  <c r="G257" i="44"/>
  <c r="I257" i="44"/>
  <c r="H257" i="44"/>
  <c r="E257" i="44"/>
  <c r="M256" i="44"/>
  <c r="O256" i="44" s="1"/>
  <c r="N257" i="44"/>
  <c r="B257" i="44"/>
  <c r="K257" i="40"/>
  <c r="N257" i="40"/>
  <c r="J256" i="40"/>
  <c r="M256" i="40" s="1"/>
  <c r="O256" i="40" s="1"/>
  <c r="H257" i="40"/>
  <c r="I257" i="40"/>
  <c r="G257" i="40"/>
  <c r="E257" i="40"/>
  <c r="B257" i="40"/>
  <c r="J285" i="2" l="1"/>
  <c r="M285" i="2" s="1"/>
  <c r="O285" i="2" s="1"/>
  <c r="F286" i="2"/>
  <c r="H286" i="2"/>
  <c r="K286" i="2"/>
  <c r="N286" i="2"/>
  <c r="B286" i="2"/>
  <c r="L286" i="2" s="1"/>
  <c r="I286" i="2"/>
  <c r="E286" i="2"/>
  <c r="D286" i="2" s="1"/>
  <c r="C286" i="2" s="1"/>
  <c r="G286" i="2"/>
  <c r="J238" i="50"/>
  <c r="M238" i="50" s="1"/>
  <c r="O238" i="50" s="1"/>
  <c r="C238" i="50"/>
  <c r="L257" i="44"/>
  <c r="D257" i="44" s="1"/>
  <c r="C257" i="44" s="1"/>
  <c r="J257" i="44"/>
  <c r="J257" i="40"/>
  <c r="L257" i="40"/>
  <c r="I287" i="2" l="1"/>
  <c r="E287" i="2"/>
  <c r="F287" i="2"/>
  <c r="H287" i="2"/>
  <c r="N287" i="2"/>
  <c r="G287" i="2"/>
  <c r="B287" i="2"/>
  <c r="L287" i="2" s="1"/>
  <c r="K287" i="2"/>
  <c r="D287" i="2"/>
  <c r="C287" i="2" s="1"/>
  <c r="J286" i="2"/>
  <c r="M286" i="2" s="1"/>
  <c r="O286" i="2" s="1"/>
  <c r="B239" i="50"/>
  <c r="L239" i="50" s="1"/>
  <c r="I239" i="50"/>
  <c r="N239" i="50"/>
  <c r="G239" i="50"/>
  <c r="K239" i="50"/>
  <c r="H239" i="50"/>
  <c r="F239" i="50"/>
  <c r="E239" i="50"/>
  <c r="F258" i="44"/>
  <c r="K258" i="44"/>
  <c r="G258" i="44"/>
  <c r="H258" i="44"/>
  <c r="I258" i="44"/>
  <c r="E258" i="44"/>
  <c r="M257" i="40"/>
  <c r="O257" i="40" s="1"/>
  <c r="M257" i="44"/>
  <c r="O257" i="44" s="1"/>
  <c r="N258" i="44"/>
  <c r="B258" i="44"/>
  <c r="L258" i="44" s="1"/>
  <c r="D257" i="40"/>
  <c r="C257" i="40" s="1"/>
  <c r="F258" i="40" s="1"/>
  <c r="J287" i="2" l="1"/>
  <c r="M287" i="2" s="1"/>
  <c r="O287" i="2" s="1"/>
  <c r="K288" i="2"/>
  <c r="N288" i="2"/>
  <c r="G288" i="2"/>
  <c r="B288" i="2"/>
  <c r="L288" i="2" s="1"/>
  <c r="D288" i="2" s="1"/>
  <c r="C288" i="2" s="1"/>
  <c r="H288" i="2"/>
  <c r="E288" i="2"/>
  <c r="F288" i="2"/>
  <c r="I288" i="2"/>
  <c r="J14" i="40"/>
  <c r="L14" i="40"/>
  <c r="J239" i="50"/>
  <c r="M239" i="50" s="1"/>
  <c r="O239" i="50" s="1"/>
  <c r="D239" i="50"/>
  <c r="C239" i="50" s="1"/>
  <c r="D258" i="44"/>
  <c r="C258" i="44" s="1"/>
  <c r="J258" i="44"/>
  <c r="M258" i="44" s="1"/>
  <c r="O258" i="44" s="1"/>
  <c r="K258" i="40"/>
  <c r="N258" i="40"/>
  <c r="G258" i="40"/>
  <c r="E258" i="40"/>
  <c r="B258" i="40"/>
  <c r="I258" i="40"/>
  <c r="H258" i="40"/>
  <c r="J288" i="2" l="1"/>
  <c r="M288" i="2" s="1"/>
  <c r="O288" i="2" s="1"/>
  <c r="N289" i="2"/>
  <c r="E289" i="2"/>
  <c r="F289" i="2"/>
  <c r="H289" i="2"/>
  <c r="G289" i="2"/>
  <c r="B289" i="2"/>
  <c r="L289" i="2" s="1"/>
  <c r="D289" i="2" s="1"/>
  <c r="C289" i="2" s="1"/>
  <c r="K289" i="2"/>
  <c r="I289" i="2"/>
  <c r="G240" i="50"/>
  <c r="I240" i="50"/>
  <c r="F240" i="50"/>
  <c r="N240" i="50"/>
  <c r="B240" i="50"/>
  <c r="L240" i="50" s="1"/>
  <c r="D240" i="50" s="1"/>
  <c r="K240" i="50"/>
  <c r="E240" i="50"/>
  <c r="H240" i="50"/>
  <c r="G259" i="44"/>
  <c r="F259" i="44"/>
  <c r="K259" i="44"/>
  <c r="B259" i="44"/>
  <c r="L259" i="44" s="1"/>
  <c r="N259" i="44"/>
  <c r="E259" i="44"/>
  <c r="H259" i="44"/>
  <c r="I259" i="44"/>
  <c r="D259" i="44"/>
  <c r="C259" i="44" s="1"/>
  <c r="D258" i="40"/>
  <c r="C258" i="40" s="1"/>
  <c r="F259" i="40" s="1"/>
  <c r="L258" i="40"/>
  <c r="J258" i="40"/>
  <c r="J289" i="2" l="1"/>
  <c r="M289" i="2" s="1"/>
  <c r="O289" i="2" s="1"/>
  <c r="H290" i="2"/>
  <c r="I290" i="2"/>
  <c r="B290" i="2"/>
  <c r="L290" i="2" s="1"/>
  <c r="D290" i="2"/>
  <c r="C290" i="2" s="1"/>
  <c r="G290" i="2"/>
  <c r="N290" i="2"/>
  <c r="E290" i="2"/>
  <c r="K290" i="2"/>
  <c r="F290" i="2"/>
  <c r="J240" i="50"/>
  <c r="M240" i="50" s="1"/>
  <c r="O240" i="50" s="1"/>
  <c r="C240" i="50"/>
  <c r="G260" i="44"/>
  <c r="F260" i="44"/>
  <c r="K260" i="44"/>
  <c r="J259" i="44"/>
  <c r="M259" i="44" s="1"/>
  <c r="O259" i="44" s="1"/>
  <c r="N260" i="44"/>
  <c r="E260" i="44"/>
  <c r="I260" i="44"/>
  <c r="B260" i="44"/>
  <c r="L260" i="44" s="1"/>
  <c r="D260" i="44" s="1"/>
  <c r="C260" i="44" s="1"/>
  <c r="H260" i="44"/>
  <c r="K259" i="40"/>
  <c r="N259" i="40"/>
  <c r="M258" i="40"/>
  <c r="O258" i="40" s="1"/>
  <c r="G259" i="40"/>
  <c r="H259" i="40"/>
  <c r="E259" i="40"/>
  <c r="I259" i="40"/>
  <c r="B259" i="40"/>
  <c r="L259" i="40" s="1"/>
  <c r="D259" i="40"/>
  <c r="C259" i="40" s="1"/>
  <c r="F260" i="40" s="1"/>
  <c r="J290" i="2" l="1"/>
  <c r="M290" i="2" s="1"/>
  <c r="O290" i="2" s="1"/>
  <c r="B291" i="2"/>
  <c r="L291" i="2" s="1"/>
  <c r="D291" i="2" s="1"/>
  <c r="C291" i="2" s="1"/>
  <c r="I291" i="2"/>
  <c r="F291" i="2"/>
  <c r="N291" i="2"/>
  <c r="K291" i="2"/>
  <c r="G291" i="2"/>
  <c r="H291" i="2"/>
  <c r="E291" i="2"/>
  <c r="G241" i="50"/>
  <c r="H241" i="50"/>
  <c r="B241" i="50"/>
  <c r="L241" i="50" s="1"/>
  <c r="I241" i="50"/>
  <c r="K241" i="50"/>
  <c r="N241" i="50"/>
  <c r="F241" i="50"/>
  <c r="E241" i="50"/>
  <c r="F261" i="44"/>
  <c r="K261" i="44"/>
  <c r="J260" i="44"/>
  <c r="M260" i="44" s="1"/>
  <c r="O260" i="44" s="1"/>
  <c r="B261" i="44"/>
  <c r="L261" i="44" s="1"/>
  <c r="H261" i="44"/>
  <c r="I261" i="44"/>
  <c r="G261" i="44"/>
  <c r="D261" i="44"/>
  <c r="C261" i="44" s="1"/>
  <c r="N261" i="44"/>
  <c r="E261" i="44"/>
  <c r="K260" i="40"/>
  <c r="N260" i="40"/>
  <c r="B260" i="40"/>
  <c r="I260" i="40"/>
  <c r="G260" i="40"/>
  <c r="E260" i="40"/>
  <c r="H260" i="40"/>
  <c r="J259" i="40"/>
  <c r="M259" i="40" s="1"/>
  <c r="O259" i="40" s="1"/>
  <c r="J291" i="2" l="1"/>
  <c r="M291" i="2" s="1"/>
  <c r="O291" i="2" s="1"/>
  <c r="K292" i="2"/>
  <c r="E292" i="2"/>
  <c r="B292" i="2"/>
  <c r="L292" i="2" s="1"/>
  <c r="D292" i="2" s="1"/>
  <c r="C292" i="2" s="1"/>
  <c r="I292" i="2"/>
  <c r="H292" i="2"/>
  <c r="N292" i="2"/>
  <c r="F292" i="2"/>
  <c r="G292" i="2"/>
  <c r="D241" i="50"/>
  <c r="J241" i="50"/>
  <c r="M241" i="50" s="1"/>
  <c r="O241" i="50" s="1"/>
  <c r="C241" i="50"/>
  <c r="G262" i="44"/>
  <c r="F262" i="44"/>
  <c r="K262" i="44"/>
  <c r="J261" i="44"/>
  <c r="M261" i="44" s="1"/>
  <c r="O261" i="44" s="1"/>
  <c r="N262" i="44"/>
  <c r="E262" i="44"/>
  <c r="I262" i="44"/>
  <c r="H262" i="44"/>
  <c r="B262" i="44"/>
  <c r="L262" i="44" s="1"/>
  <c r="D262" i="44" s="1"/>
  <c r="C262" i="44" s="1"/>
  <c r="J260" i="40"/>
  <c r="D260" i="40"/>
  <c r="C260" i="40" s="1"/>
  <c r="F261" i="40" s="1"/>
  <c r="L260" i="40"/>
  <c r="J292" i="2" l="1"/>
  <c r="M292" i="2" s="1"/>
  <c r="O292" i="2" s="1"/>
  <c r="F293" i="2"/>
  <c r="H293" i="2"/>
  <c r="B293" i="2"/>
  <c r="L293" i="2" s="1"/>
  <c r="E293" i="2"/>
  <c r="N293" i="2"/>
  <c r="G293" i="2"/>
  <c r="I293" i="2"/>
  <c r="K293" i="2"/>
  <c r="D293" i="2"/>
  <c r="C293" i="2" s="1"/>
  <c r="G242" i="50"/>
  <c r="I242" i="50"/>
  <c r="H242" i="50"/>
  <c r="B242" i="50"/>
  <c r="L242" i="50" s="1"/>
  <c r="N242" i="50"/>
  <c r="F242" i="50"/>
  <c r="K242" i="50"/>
  <c r="E242" i="50"/>
  <c r="G263" i="44"/>
  <c r="F263" i="44"/>
  <c r="K263" i="44"/>
  <c r="J262" i="44"/>
  <c r="M262" i="44" s="1"/>
  <c r="O262" i="44" s="1"/>
  <c r="B263" i="44"/>
  <c r="L263" i="44" s="1"/>
  <c r="D263" i="44" s="1"/>
  <c r="C263" i="44" s="1"/>
  <c r="H263" i="44"/>
  <c r="E263" i="44"/>
  <c r="N263" i="44"/>
  <c r="I263" i="44"/>
  <c r="N261" i="40"/>
  <c r="K261" i="40"/>
  <c r="E261" i="40"/>
  <c r="B261" i="40"/>
  <c r="G261" i="40"/>
  <c r="I261" i="40"/>
  <c r="H261" i="40"/>
  <c r="M260" i="40"/>
  <c r="O260" i="40" s="1"/>
  <c r="K294" i="2" l="1"/>
  <c r="D294" i="2"/>
  <c r="C294" i="2" s="1"/>
  <c r="H294" i="2"/>
  <c r="F294" i="2"/>
  <c r="I294" i="2"/>
  <c r="B294" i="2"/>
  <c r="L294" i="2" s="1"/>
  <c r="G294" i="2"/>
  <c r="E294" i="2"/>
  <c r="N294" i="2"/>
  <c r="J293" i="2"/>
  <c r="M293" i="2" s="1"/>
  <c r="O293" i="2" s="1"/>
  <c r="D242" i="50"/>
  <c r="C242" i="50" s="1"/>
  <c r="H243" i="50" s="1"/>
  <c r="J242" i="50"/>
  <c r="M242" i="50" s="1"/>
  <c r="O242" i="50" s="1"/>
  <c r="G264" i="44"/>
  <c r="K264" i="44"/>
  <c r="F264" i="44"/>
  <c r="J263" i="44"/>
  <c r="M263" i="44" s="1"/>
  <c r="O263" i="44" s="1"/>
  <c r="N264" i="44"/>
  <c r="E264" i="44"/>
  <c r="D264" i="44" s="1"/>
  <c r="C264" i="44" s="1"/>
  <c r="I264" i="44"/>
  <c r="H264" i="44"/>
  <c r="B264" i="44"/>
  <c r="L264" i="44" s="1"/>
  <c r="D261" i="40"/>
  <c r="C261" i="40" s="1"/>
  <c r="F262" i="40" s="1"/>
  <c r="L261" i="40"/>
  <c r="J261" i="40"/>
  <c r="J294" i="2" l="1"/>
  <c r="M294" i="2" s="1"/>
  <c r="O294" i="2" s="1"/>
  <c r="F295" i="2"/>
  <c r="E295" i="2"/>
  <c r="B295" i="2"/>
  <c r="L295" i="2" s="1"/>
  <c r="H295" i="2"/>
  <c r="N295" i="2"/>
  <c r="K295" i="2"/>
  <c r="I295" i="2"/>
  <c r="G295" i="2"/>
  <c r="D295" i="2"/>
  <c r="C295" i="2" s="1"/>
  <c r="I243" i="50"/>
  <c r="N243" i="50"/>
  <c r="B243" i="50"/>
  <c r="L243" i="50" s="1"/>
  <c r="G243" i="50"/>
  <c r="K243" i="50"/>
  <c r="F243" i="50"/>
  <c r="E243" i="50"/>
  <c r="H265" i="44"/>
  <c r="K265" i="44"/>
  <c r="F265" i="44"/>
  <c r="J264" i="44"/>
  <c r="M264" i="44" s="1"/>
  <c r="O264" i="44" s="1"/>
  <c r="G265" i="44"/>
  <c r="B265" i="44"/>
  <c r="L265" i="44" s="1"/>
  <c r="D265" i="44" s="1"/>
  <c r="C265" i="44" s="1"/>
  <c r="I265" i="44"/>
  <c r="N265" i="44"/>
  <c r="E265" i="44"/>
  <c r="M261" i="40"/>
  <c r="O261" i="40" s="1"/>
  <c r="N262" i="40"/>
  <c r="K262" i="40"/>
  <c r="G262" i="40"/>
  <c r="H262" i="40"/>
  <c r="E262" i="40"/>
  <c r="I262" i="40"/>
  <c r="B262" i="40"/>
  <c r="J295" i="2" l="1"/>
  <c r="M295" i="2" s="1"/>
  <c r="O295" i="2" s="1"/>
  <c r="E296" i="2"/>
  <c r="N296" i="2"/>
  <c r="F296" i="2"/>
  <c r="H296" i="2"/>
  <c r="B296" i="2"/>
  <c r="L296" i="2" s="1"/>
  <c r="D296" i="2" s="1"/>
  <c r="C296" i="2" s="1"/>
  <c r="I296" i="2"/>
  <c r="G296" i="2"/>
  <c r="K296" i="2"/>
  <c r="D243" i="50"/>
  <c r="C243" i="50" s="1"/>
  <c r="K244" i="50" s="1"/>
  <c r="J243" i="50"/>
  <c r="M243" i="50" s="1"/>
  <c r="O243" i="50" s="1"/>
  <c r="I266" i="44"/>
  <c r="F266" i="44"/>
  <c r="K266" i="44"/>
  <c r="J265" i="44"/>
  <c r="M265" i="44" s="1"/>
  <c r="O265" i="44" s="1"/>
  <c r="N266" i="44"/>
  <c r="G266" i="44"/>
  <c r="B266" i="44"/>
  <c r="L266" i="44" s="1"/>
  <c r="D266" i="44" s="1"/>
  <c r="C266" i="44" s="1"/>
  <c r="E266" i="44"/>
  <c r="H266" i="44"/>
  <c r="D262" i="40"/>
  <c r="C262" i="40" s="1"/>
  <c r="F263" i="40" s="1"/>
  <c r="L262" i="40"/>
  <c r="J262" i="40"/>
  <c r="E297" i="2" l="1"/>
  <c r="N297" i="2"/>
  <c r="B297" i="2"/>
  <c r="L297" i="2" s="1"/>
  <c r="D297" i="2" s="1"/>
  <c r="C297" i="2" s="1"/>
  <c r="I297" i="2"/>
  <c r="K297" i="2"/>
  <c r="H297" i="2"/>
  <c r="F297" i="2"/>
  <c r="G297" i="2"/>
  <c r="J296" i="2"/>
  <c r="M296" i="2" s="1"/>
  <c r="O296" i="2" s="1"/>
  <c r="H244" i="50"/>
  <c r="I244" i="50"/>
  <c r="G244" i="50"/>
  <c r="N244" i="50"/>
  <c r="B244" i="50"/>
  <c r="L244" i="50" s="1"/>
  <c r="D244" i="50" s="1"/>
  <c r="E244" i="50"/>
  <c r="F244" i="50"/>
  <c r="C244" i="50"/>
  <c r="F267" i="44"/>
  <c r="K267" i="44"/>
  <c r="J266" i="44"/>
  <c r="M266" i="44" s="1"/>
  <c r="O266" i="44" s="1"/>
  <c r="G267" i="44"/>
  <c r="N267" i="44"/>
  <c r="I267" i="44"/>
  <c r="B267" i="44"/>
  <c r="L267" i="44" s="1"/>
  <c r="D267" i="44" s="1"/>
  <c r="C267" i="44" s="1"/>
  <c r="E267" i="44"/>
  <c r="H267" i="44"/>
  <c r="M262" i="40"/>
  <c r="O262" i="40" s="1"/>
  <c r="N263" i="40"/>
  <c r="K263" i="40"/>
  <c r="G263" i="40"/>
  <c r="E263" i="40"/>
  <c r="H263" i="40"/>
  <c r="B263" i="40"/>
  <c r="I263" i="40"/>
  <c r="J297" i="2" l="1"/>
  <c r="M297" i="2" s="1"/>
  <c r="O297" i="2" s="1"/>
  <c r="F298" i="2"/>
  <c r="E298" i="2"/>
  <c r="G298" i="2"/>
  <c r="B298" i="2"/>
  <c r="L298" i="2" s="1"/>
  <c r="D298" i="2" s="1"/>
  <c r="C298" i="2" s="1"/>
  <c r="H298" i="2"/>
  <c r="I298" i="2"/>
  <c r="N298" i="2"/>
  <c r="K298" i="2"/>
  <c r="J244" i="50"/>
  <c r="M244" i="50" s="1"/>
  <c r="O244" i="50" s="1"/>
  <c r="F245" i="50"/>
  <c r="E245" i="50"/>
  <c r="K245" i="50"/>
  <c r="G245" i="50"/>
  <c r="H245" i="50"/>
  <c r="B245" i="50"/>
  <c r="L245" i="50" s="1"/>
  <c r="D245" i="50" s="1"/>
  <c r="I245" i="50"/>
  <c r="N245" i="50"/>
  <c r="G268" i="44"/>
  <c r="F268" i="44"/>
  <c r="K268" i="44"/>
  <c r="J267" i="44"/>
  <c r="M267" i="44" s="1"/>
  <c r="O267" i="44" s="1"/>
  <c r="N268" i="44"/>
  <c r="B268" i="44"/>
  <c r="L268" i="44" s="1"/>
  <c r="I268" i="44"/>
  <c r="H268" i="44"/>
  <c r="E268" i="44"/>
  <c r="D268" i="44" s="1"/>
  <c r="C268" i="44" s="1"/>
  <c r="D263" i="40"/>
  <c r="C263" i="40" s="1"/>
  <c r="F264" i="40" s="1"/>
  <c r="L263" i="40"/>
  <c r="J263" i="40"/>
  <c r="F299" i="2" l="1"/>
  <c r="H299" i="2"/>
  <c r="N299" i="2"/>
  <c r="E299" i="2"/>
  <c r="K299" i="2"/>
  <c r="B299" i="2"/>
  <c r="L299" i="2" s="1"/>
  <c r="D299" i="2" s="1"/>
  <c r="C299" i="2" s="1"/>
  <c r="I299" i="2"/>
  <c r="G299" i="2"/>
  <c r="J298" i="2"/>
  <c r="M298" i="2" s="1"/>
  <c r="O298" i="2" s="1"/>
  <c r="C245" i="50"/>
  <c r="J245" i="50"/>
  <c r="M245" i="50" s="1"/>
  <c r="O245" i="50" s="1"/>
  <c r="I269" i="44"/>
  <c r="F269" i="44"/>
  <c r="K269" i="44"/>
  <c r="J268" i="44"/>
  <c r="M268" i="44" s="1"/>
  <c r="O268" i="44" s="1"/>
  <c r="G269" i="44"/>
  <c r="B269" i="44"/>
  <c r="L269" i="44" s="1"/>
  <c r="D269" i="44" s="1"/>
  <c r="C269" i="44" s="1"/>
  <c r="N269" i="44"/>
  <c r="E269" i="44"/>
  <c r="H269" i="44"/>
  <c r="N264" i="40"/>
  <c r="K264" i="40"/>
  <c r="M263" i="40"/>
  <c r="O263" i="40" s="1"/>
  <c r="G264" i="40"/>
  <c r="E264" i="40"/>
  <c r="B264" i="40"/>
  <c r="H264" i="40"/>
  <c r="I264" i="40"/>
  <c r="B300" i="2" l="1"/>
  <c r="L300" i="2" s="1"/>
  <c r="F300" i="2"/>
  <c r="E300" i="2"/>
  <c r="D300" i="2" s="1"/>
  <c r="C300" i="2" s="1"/>
  <c r="G300" i="2"/>
  <c r="H300" i="2"/>
  <c r="N300" i="2"/>
  <c r="K300" i="2"/>
  <c r="I300" i="2"/>
  <c r="J299" i="2"/>
  <c r="M299" i="2" s="1"/>
  <c r="O299" i="2" s="1"/>
  <c r="E246" i="50"/>
  <c r="F246" i="50"/>
  <c r="K246" i="50"/>
  <c r="I246" i="50"/>
  <c r="B246" i="50"/>
  <c r="L246" i="50" s="1"/>
  <c r="D246" i="50" s="1"/>
  <c r="N246" i="50"/>
  <c r="H246" i="50"/>
  <c r="G246" i="50"/>
  <c r="I270" i="44"/>
  <c r="F270" i="44"/>
  <c r="K270" i="44"/>
  <c r="J269" i="44"/>
  <c r="M269" i="44" s="1"/>
  <c r="O269" i="44" s="1"/>
  <c r="B270" i="44"/>
  <c r="L270" i="44" s="1"/>
  <c r="D270" i="44" s="1"/>
  <c r="C270" i="44" s="1"/>
  <c r="G270" i="44"/>
  <c r="H270" i="44"/>
  <c r="E270" i="44"/>
  <c r="N270" i="44"/>
  <c r="D264" i="40"/>
  <c r="C264" i="40" s="1"/>
  <c r="F265" i="40" s="1"/>
  <c r="L264" i="40"/>
  <c r="J264" i="40"/>
  <c r="J300" i="2" l="1"/>
  <c r="M300" i="2" s="1"/>
  <c r="O300" i="2" s="1"/>
  <c r="I301" i="2"/>
  <c r="K301" i="2"/>
  <c r="D301" i="2"/>
  <c r="C301" i="2" s="1"/>
  <c r="D302" i="2" s="1"/>
  <c r="C302" i="2" s="1"/>
  <c r="F301" i="2"/>
  <c r="E301" i="2"/>
  <c r="G301" i="2"/>
  <c r="H301" i="2"/>
  <c r="B301" i="2"/>
  <c r="L301" i="2" s="1"/>
  <c r="N301" i="2"/>
  <c r="J246" i="50"/>
  <c r="M246" i="50" s="1"/>
  <c r="O246" i="50" s="1"/>
  <c r="C246" i="50"/>
  <c r="F271" i="44"/>
  <c r="K271" i="44"/>
  <c r="J270" i="44"/>
  <c r="M270" i="44" s="1"/>
  <c r="O270" i="44" s="1"/>
  <c r="D271" i="44"/>
  <c r="C271" i="44" s="1"/>
  <c r="B271" i="44"/>
  <c r="L271" i="44" s="1"/>
  <c r="G271" i="44"/>
  <c r="N271" i="44"/>
  <c r="H271" i="44"/>
  <c r="I271" i="44"/>
  <c r="E271" i="44"/>
  <c r="K265" i="40"/>
  <c r="N265" i="40"/>
  <c r="M264" i="40"/>
  <c r="O264" i="40" s="1"/>
  <c r="B265" i="40"/>
  <c r="I265" i="40"/>
  <c r="E265" i="40"/>
  <c r="G265" i="40"/>
  <c r="H265" i="40"/>
  <c r="J301" i="2" l="1"/>
  <c r="M301" i="2" s="1"/>
  <c r="O301" i="2" s="1"/>
  <c r="K302" i="2"/>
  <c r="E302" i="2"/>
  <c r="N302" i="2"/>
  <c r="F302" i="2"/>
  <c r="G302" i="2"/>
  <c r="B302" i="2"/>
  <c r="L302" i="2" s="1"/>
  <c r="I302" i="2"/>
  <c r="H302" i="2"/>
  <c r="F303" i="2"/>
  <c r="N303" i="2"/>
  <c r="H303" i="2"/>
  <c r="I303" i="2"/>
  <c r="E303" i="2"/>
  <c r="K303" i="2"/>
  <c r="B303" i="2"/>
  <c r="L303" i="2" s="1"/>
  <c r="D303" i="2" s="1"/>
  <c r="C303" i="2" s="1"/>
  <c r="G303" i="2"/>
  <c r="E247" i="50"/>
  <c r="K247" i="50"/>
  <c r="F247" i="50"/>
  <c r="B247" i="50"/>
  <c r="L247" i="50" s="1"/>
  <c r="D247" i="50" s="1"/>
  <c r="G247" i="50"/>
  <c r="H247" i="50"/>
  <c r="N247" i="50"/>
  <c r="I247" i="50"/>
  <c r="B272" i="44"/>
  <c r="L272" i="44" s="1"/>
  <c r="D272" i="44" s="1"/>
  <c r="C272" i="44" s="1"/>
  <c r="I273" i="44" s="1"/>
  <c r="K272" i="44"/>
  <c r="F272" i="44"/>
  <c r="N272" i="44"/>
  <c r="G272" i="44"/>
  <c r="I272" i="44"/>
  <c r="H272" i="44"/>
  <c r="E272" i="44"/>
  <c r="J271" i="44"/>
  <c r="M271" i="44" s="1"/>
  <c r="O271" i="44" s="1"/>
  <c r="D265" i="40"/>
  <c r="C265" i="40" s="1"/>
  <c r="F266" i="40" s="1"/>
  <c r="L265" i="40"/>
  <c r="J265" i="40"/>
  <c r="J302" i="2" l="1"/>
  <c r="M302" i="2" s="1"/>
  <c r="O302" i="2" s="1"/>
  <c r="E304" i="2"/>
  <c r="K304" i="2"/>
  <c r="F304" i="2"/>
  <c r="H304" i="2"/>
  <c r="B304" i="2"/>
  <c r="L304" i="2" s="1"/>
  <c r="D304" i="2" s="1"/>
  <c r="C304" i="2" s="1"/>
  <c r="I304" i="2"/>
  <c r="N304" i="2"/>
  <c r="G304" i="2"/>
  <c r="J303" i="2"/>
  <c r="M303" i="2" s="1"/>
  <c r="O303" i="2" s="1"/>
  <c r="J247" i="50"/>
  <c r="M247" i="50" s="1"/>
  <c r="O247" i="50" s="1"/>
  <c r="C247" i="50"/>
  <c r="G273" i="44"/>
  <c r="D273" i="44"/>
  <c r="C273" i="44" s="1"/>
  <c r="F274" i="44" s="1"/>
  <c r="B273" i="44"/>
  <c r="L273" i="44" s="1"/>
  <c r="N273" i="44"/>
  <c r="E273" i="44"/>
  <c r="H273" i="44"/>
  <c r="K273" i="44"/>
  <c r="F273" i="44"/>
  <c r="J272" i="44"/>
  <c r="M272" i="44" s="1"/>
  <c r="O272" i="44" s="1"/>
  <c r="K266" i="40"/>
  <c r="N266" i="40"/>
  <c r="M265" i="40"/>
  <c r="O265" i="40" s="1"/>
  <c r="H266" i="40"/>
  <c r="B266" i="40"/>
  <c r="L266" i="40" s="1"/>
  <c r="E266" i="40"/>
  <c r="G266" i="40"/>
  <c r="I266" i="40"/>
  <c r="D266" i="40"/>
  <c r="C266" i="40" s="1"/>
  <c r="F267" i="40" s="1"/>
  <c r="F305" i="2" l="1"/>
  <c r="N305" i="2"/>
  <c r="G305" i="2"/>
  <c r="K305" i="2"/>
  <c r="B305" i="2"/>
  <c r="L305" i="2" s="1"/>
  <c r="H305" i="2"/>
  <c r="I305" i="2"/>
  <c r="E305" i="2"/>
  <c r="J304" i="2"/>
  <c r="M304" i="2" s="1"/>
  <c r="O304" i="2" s="1"/>
  <c r="I274" i="44"/>
  <c r="B274" i="44"/>
  <c r="L274" i="44" s="1"/>
  <c r="D274" i="44" s="1"/>
  <c r="C274" i="44" s="1"/>
  <c r="G275" i="44" s="1"/>
  <c r="K274" i="44"/>
  <c r="F248" i="50"/>
  <c r="E248" i="50"/>
  <c r="K248" i="50"/>
  <c r="B248" i="50"/>
  <c r="L248" i="50" s="1"/>
  <c r="D248" i="50" s="1"/>
  <c r="G248" i="50"/>
  <c r="H248" i="50"/>
  <c r="N248" i="50"/>
  <c r="I248" i="50"/>
  <c r="N274" i="44"/>
  <c r="H274" i="44"/>
  <c r="G274" i="44"/>
  <c r="E274" i="44"/>
  <c r="J273" i="44"/>
  <c r="M273" i="44" s="1"/>
  <c r="O273" i="44" s="1"/>
  <c r="K267" i="40"/>
  <c r="N267" i="40"/>
  <c r="J266" i="40"/>
  <c r="M266" i="40" s="1"/>
  <c r="O266" i="40" s="1"/>
  <c r="G267" i="40"/>
  <c r="B267" i="40"/>
  <c r="L267" i="40" s="1"/>
  <c r="I267" i="40"/>
  <c r="H267" i="40"/>
  <c r="E267" i="40"/>
  <c r="D267" i="40" s="1"/>
  <c r="C267" i="40" s="1"/>
  <c r="F268" i="40" s="1"/>
  <c r="D305" i="2" l="1"/>
  <c r="C305" i="2" s="1"/>
  <c r="F306" i="2" s="1"/>
  <c r="J305" i="2"/>
  <c r="M305" i="2" s="1"/>
  <c r="O305" i="2" s="1"/>
  <c r="F275" i="44"/>
  <c r="K275" i="44"/>
  <c r="B275" i="44"/>
  <c r="L275" i="44" s="1"/>
  <c r="N275" i="44"/>
  <c r="I275" i="44"/>
  <c r="E275" i="44"/>
  <c r="H275" i="44"/>
  <c r="J248" i="50"/>
  <c r="M248" i="50" s="1"/>
  <c r="O248" i="50" s="1"/>
  <c r="C248" i="50"/>
  <c r="J274" i="44"/>
  <c r="M274" i="44" s="1"/>
  <c r="O274" i="44" s="1"/>
  <c r="D275" i="44"/>
  <c r="C275" i="44" s="1"/>
  <c r="K268" i="40"/>
  <c r="N268" i="40"/>
  <c r="J267" i="40"/>
  <c r="M267" i="40" s="1"/>
  <c r="O267" i="40" s="1"/>
  <c r="G268" i="40"/>
  <c r="E268" i="40"/>
  <c r="I268" i="40"/>
  <c r="H268" i="40"/>
  <c r="B268" i="40"/>
  <c r="K306" i="2" l="1"/>
  <c r="H306" i="2"/>
  <c r="G306" i="2"/>
  <c r="B306" i="2"/>
  <c r="L306" i="2" s="1"/>
  <c r="E306" i="2"/>
  <c r="I306" i="2"/>
  <c r="N306" i="2"/>
  <c r="J275" i="44"/>
  <c r="M275" i="44" s="1"/>
  <c r="O275" i="44" s="1"/>
  <c r="K249" i="50"/>
  <c r="F249" i="50"/>
  <c r="E249" i="50"/>
  <c r="B249" i="50"/>
  <c r="L249" i="50" s="1"/>
  <c r="D249" i="50" s="1"/>
  <c r="I249" i="50"/>
  <c r="N249" i="50"/>
  <c r="G249" i="50"/>
  <c r="H249" i="50"/>
  <c r="G276" i="44"/>
  <c r="F276" i="44"/>
  <c r="K276" i="44"/>
  <c r="B276" i="44"/>
  <c r="L276" i="44" s="1"/>
  <c r="N276" i="44"/>
  <c r="E276" i="44"/>
  <c r="I276" i="44"/>
  <c r="H276" i="44"/>
  <c r="D276" i="44"/>
  <c r="C276" i="44" s="1"/>
  <c r="J268" i="40"/>
  <c r="D268" i="40"/>
  <c r="C268" i="40" s="1"/>
  <c r="F269" i="40" s="1"/>
  <c r="L268" i="40"/>
  <c r="D306" i="2" l="1"/>
  <c r="C306" i="2" s="1"/>
  <c r="I307" i="2" s="1"/>
  <c r="J306" i="2"/>
  <c r="M306" i="2" s="1"/>
  <c r="O306" i="2" s="1"/>
  <c r="J249" i="50"/>
  <c r="M249" i="50" s="1"/>
  <c r="O249" i="50" s="1"/>
  <c r="C249" i="50"/>
  <c r="N277" i="44"/>
  <c r="F277" i="44"/>
  <c r="K277" i="44"/>
  <c r="J276" i="44"/>
  <c r="M276" i="44" s="1"/>
  <c r="O276" i="44" s="1"/>
  <c r="H277" i="44"/>
  <c r="I277" i="44"/>
  <c r="G277" i="44"/>
  <c r="B277" i="44"/>
  <c r="L277" i="44" s="1"/>
  <c r="E277" i="44"/>
  <c r="D277" i="44"/>
  <c r="C277" i="44" s="1"/>
  <c r="N269" i="40"/>
  <c r="K269" i="40"/>
  <c r="I269" i="40"/>
  <c r="E269" i="40"/>
  <c r="H269" i="40"/>
  <c r="B269" i="40"/>
  <c r="G269" i="40"/>
  <c r="M268" i="40"/>
  <c r="O268" i="40" s="1"/>
  <c r="E307" i="2" l="1"/>
  <c r="H307" i="2"/>
  <c r="K307" i="2"/>
  <c r="F307" i="2"/>
  <c r="B307" i="2"/>
  <c r="L307" i="2" s="1"/>
  <c r="D307" i="2" s="1"/>
  <c r="C307" i="2" s="1"/>
  <c r="G308" i="2" s="1"/>
  <c r="N307" i="2"/>
  <c r="G307" i="2"/>
  <c r="E250" i="50"/>
  <c r="K250" i="50"/>
  <c r="F250" i="50"/>
  <c r="N250" i="50"/>
  <c r="G250" i="50"/>
  <c r="B250" i="50"/>
  <c r="L250" i="50" s="1"/>
  <c r="D250" i="50" s="1"/>
  <c r="I250" i="50"/>
  <c r="H250" i="50"/>
  <c r="G278" i="44"/>
  <c r="F278" i="44"/>
  <c r="K278" i="44"/>
  <c r="J277" i="44"/>
  <c r="M277" i="44" s="1"/>
  <c r="O277" i="44" s="1"/>
  <c r="N278" i="44"/>
  <c r="B278" i="44"/>
  <c r="L278" i="44" s="1"/>
  <c r="E278" i="44"/>
  <c r="I278" i="44"/>
  <c r="H278" i="44"/>
  <c r="D278" i="44"/>
  <c r="C278" i="44" s="1"/>
  <c r="J269" i="40"/>
  <c r="D269" i="40"/>
  <c r="C269" i="40" s="1"/>
  <c r="F270" i="40" s="1"/>
  <c r="L269" i="40"/>
  <c r="J307" i="2" l="1"/>
  <c r="M307" i="2" s="1"/>
  <c r="O307" i="2" s="1"/>
  <c r="I308" i="2"/>
  <c r="F308" i="2"/>
  <c r="H308" i="2"/>
  <c r="E308" i="2"/>
  <c r="N308" i="2"/>
  <c r="B308" i="2"/>
  <c r="L308" i="2" s="1"/>
  <c r="D308" i="2" s="1"/>
  <c r="C308" i="2" s="1"/>
  <c r="F309" i="2" s="1"/>
  <c r="K308" i="2"/>
  <c r="J250" i="50"/>
  <c r="M250" i="50" s="1"/>
  <c r="O250" i="50" s="1"/>
  <c r="C250" i="50"/>
  <c r="G279" i="44"/>
  <c r="F279" i="44"/>
  <c r="K279" i="44"/>
  <c r="J278" i="44"/>
  <c r="M278" i="44" s="1"/>
  <c r="O278" i="44" s="1"/>
  <c r="B279" i="44"/>
  <c r="L279" i="44" s="1"/>
  <c r="D279" i="44" s="1"/>
  <c r="C279" i="44" s="1"/>
  <c r="E279" i="44"/>
  <c r="N279" i="44"/>
  <c r="I279" i="44"/>
  <c r="H279" i="44"/>
  <c r="M269" i="40"/>
  <c r="O269" i="40" s="1"/>
  <c r="N270" i="40"/>
  <c r="K270" i="40"/>
  <c r="E270" i="40"/>
  <c r="I270" i="40"/>
  <c r="H270" i="40"/>
  <c r="B270" i="40"/>
  <c r="L270" i="40" s="1"/>
  <c r="D270" i="40"/>
  <c r="C270" i="40" s="1"/>
  <c r="F271" i="40" s="1"/>
  <c r="G270" i="40"/>
  <c r="J308" i="2" l="1"/>
  <c r="K309" i="2"/>
  <c r="N309" i="2"/>
  <c r="I309" i="2"/>
  <c r="H309" i="2"/>
  <c r="G309" i="2"/>
  <c r="B309" i="2"/>
  <c r="L309" i="2" s="1"/>
  <c r="D309" i="2" s="1"/>
  <c r="C309" i="2" s="1"/>
  <c r="K310" i="2" s="1"/>
  <c r="E309" i="2"/>
  <c r="M308" i="2"/>
  <c r="O308" i="2" s="1"/>
  <c r="F251" i="50"/>
  <c r="K251" i="50"/>
  <c r="E251" i="50"/>
  <c r="B251" i="50"/>
  <c r="L251" i="50" s="1"/>
  <c r="D251" i="50" s="1"/>
  <c r="H251" i="50"/>
  <c r="N251" i="50"/>
  <c r="I251" i="50"/>
  <c r="G251" i="50"/>
  <c r="K280" i="44"/>
  <c r="F280" i="44"/>
  <c r="J279" i="44"/>
  <c r="M279" i="44" s="1"/>
  <c r="O279" i="44" s="1"/>
  <c r="N280" i="44"/>
  <c r="B280" i="44"/>
  <c r="L280" i="44" s="1"/>
  <c r="D280" i="44" s="1"/>
  <c r="C280" i="44" s="1"/>
  <c r="I280" i="44"/>
  <c r="G280" i="44"/>
  <c r="E280" i="44"/>
  <c r="H280" i="44"/>
  <c r="N271" i="40"/>
  <c r="K271" i="40"/>
  <c r="J270" i="40"/>
  <c r="M270" i="40" s="1"/>
  <c r="O270" i="40" s="1"/>
  <c r="B271" i="40"/>
  <c r="H271" i="40"/>
  <c r="G271" i="40"/>
  <c r="E271" i="40"/>
  <c r="I271" i="40"/>
  <c r="J309" i="2" l="1"/>
  <c r="M309" i="2" s="1"/>
  <c r="O309" i="2" s="1"/>
  <c r="E310" i="2"/>
  <c r="N310" i="2"/>
  <c r="G310" i="2"/>
  <c r="B310" i="2"/>
  <c r="L310" i="2" s="1"/>
  <c r="H310" i="2"/>
  <c r="I310" i="2"/>
  <c r="F310" i="2"/>
  <c r="D310" i="2"/>
  <c r="C310" i="2" s="1"/>
  <c r="F311" i="2" s="1"/>
  <c r="J251" i="50"/>
  <c r="M251" i="50" s="1"/>
  <c r="O251" i="50" s="1"/>
  <c r="C251" i="50"/>
  <c r="K281" i="44"/>
  <c r="F281" i="44"/>
  <c r="G281" i="44"/>
  <c r="J280" i="44"/>
  <c r="M280" i="44" s="1"/>
  <c r="O280" i="44" s="1"/>
  <c r="B281" i="44"/>
  <c r="L281" i="44" s="1"/>
  <c r="D281" i="44" s="1"/>
  <c r="C281" i="44" s="1"/>
  <c r="I281" i="44"/>
  <c r="N281" i="44"/>
  <c r="E281" i="44"/>
  <c r="H281" i="44"/>
  <c r="J271" i="40"/>
  <c r="D271" i="40"/>
  <c r="C271" i="40" s="1"/>
  <c r="F272" i="40" s="1"/>
  <c r="L271" i="40"/>
  <c r="J310" i="2" l="1"/>
  <c r="M310" i="2" s="1"/>
  <c r="O310" i="2" s="1"/>
  <c r="N311" i="2"/>
  <c r="I311" i="2"/>
  <c r="K311" i="2"/>
  <c r="B311" i="2"/>
  <c r="L311" i="2" s="1"/>
  <c r="G311" i="2"/>
  <c r="H311" i="2"/>
  <c r="E311" i="2"/>
  <c r="F252" i="50"/>
  <c r="K252" i="50"/>
  <c r="E252" i="50"/>
  <c r="G252" i="50"/>
  <c r="I252" i="50"/>
  <c r="B252" i="50"/>
  <c r="L252" i="50" s="1"/>
  <c r="D252" i="50" s="1"/>
  <c r="H252" i="50"/>
  <c r="N252" i="50"/>
  <c r="F282" i="44"/>
  <c r="K282" i="44"/>
  <c r="J281" i="44"/>
  <c r="M281" i="44" s="1"/>
  <c r="O281" i="44" s="1"/>
  <c r="N282" i="44"/>
  <c r="G282" i="44"/>
  <c r="B282" i="44"/>
  <c r="L282" i="44" s="1"/>
  <c r="D282" i="44" s="1"/>
  <c r="C282" i="44" s="1"/>
  <c r="E282" i="44"/>
  <c r="I282" i="44"/>
  <c r="H282" i="44"/>
  <c r="N272" i="40"/>
  <c r="K272" i="40"/>
  <c r="M271" i="40"/>
  <c r="O271" i="40" s="1"/>
  <c r="B272" i="40"/>
  <c r="L272" i="40" s="1"/>
  <c r="G272" i="40"/>
  <c r="E272" i="40"/>
  <c r="H272" i="40"/>
  <c r="I272" i="40"/>
  <c r="D272" i="40"/>
  <c r="C272" i="40" s="1"/>
  <c r="F273" i="40" s="1"/>
  <c r="D311" i="2" l="1"/>
  <c r="C311" i="2" s="1"/>
  <c r="F312" i="2" s="1"/>
  <c r="J252" i="50"/>
  <c r="M252" i="50" s="1"/>
  <c r="O252" i="50" s="1"/>
  <c r="C252" i="50"/>
  <c r="I283" i="44"/>
  <c r="F283" i="44"/>
  <c r="K283" i="44"/>
  <c r="J311" i="2"/>
  <c r="M311" i="2" s="1"/>
  <c r="O311" i="2" s="1"/>
  <c r="J282" i="44"/>
  <c r="M282" i="44" s="1"/>
  <c r="O282" i="44" s="1"/>
  <c r="H283" i="44"/>
  <c r="N283" i="44"/>
  <c r="E283" i="44"/>
  <c r="G283" i="44"/>
  <c r="D283" i="44"/>
  <c r="C283" i="44" s="1"/>
  <c r="B283" i="44"/>
  <c r="L283" i="44" s="1"/>
  <c r="K273" i="40"/>
  <c r="N273" i="40"/>
  <c r="I273" i="40"/>
  <c r="E273" i="40"/>
  <c r="G273" i="40"/>
  <c r="H273" i="40"/>
  <c r="B273" i="40"/>
  <c r="J272" i="40"/>
  <c r="M272" i="40" s="1"/>
  <c r="O272" i="40" s="1"/>
  <c r="I312" i="2" l="1"/>
  <c r="N312" i="2"/>
  <c r="K312" i="2"/>
  <c r="B312" i="2"/>
  <c r="L312" i="2" s="1"/>
  <c r="E312" i="2"/>
  <c r="H312" i="2"/>
  <c r="G312" i="2"/>
  <c r="F253" i="50"/>
  <c r="K253" i="50"/>
  <c r="E253" i="50"/>
  <c r="G253" i="50"/>
  <c r="N253" i="50"/>
  <c r="H253" i="50"/>
  <c r="B253" i="50"/>
  <c r="L253" i="50" s="1"/>
  <c r="D253" i="50" s="1"/>
  <c r="I253" i="50"/>
  <c r="G284" i="44"/>
  <c r="F284" i="44"/>
  <c r="K284" i="44"/>
  <c r="J283" i="44"/>
  <c r="M283" i="44" s="1"/>
  <c r="O283" i="44" s="1"/>
  <c r="N284" i="44"/>
  <c r="H284" i="44"/>
  <c r="E284" i="44"/>
  <c r="I284" i="44"/>
  <c r="D284" i="44"/>
  <c r="C284" i="44" s="1"/>
  <c r="B284" i="44"/>
  <c r="L284" i="44" s="1"/>
  <c r="D273" i="40"/>
  <c r="C273" i="40" s="1"/>
  <c r="F274" i="40" s="1"/>
  <c r="L273" i="40"/>
  <c r="J273" i="40"/>
  <c r="D312" i="2"/>
  <c r="C312" i="2" s="1"/>
  <c r="F313" i="2" s="1"/>
  <c r="C253" i="50" l="1"/>
  <c r="J253" i="50"/>
  <c r="M253" i="50" s="1"/>
  <c r="O253" i="50" s="1"/>
  <c r="H285" i="44"/>
  <c r="F285" i="44"/>
  <c r="K285" i="44"/>
  <c r="K313" i="2"/>
  <c r="J312" i="2"/>
  <c r="M312" i="2" s="1"/>
  <c r="O312" i="2" s="1"/>
  <c r="N313" i="2"/>
  <c r="J284" i="44"/>
  <c r="M284" i="44" s="1"/>
  <c r="O284" i="44" s="1"/>
  <c r="G285" i="44"/>
  <c r="E285" i="44"/>
  <c r="N285" i="44"/>
  <c r="I285" i="44"/>
  <c r="D285" i="44"/>
  <c r="C285" i="44" s="1"/>
  <c r="B285" i="44"/>
  <c r="L285" i="44" s="1"/>
  <c r="M273" i="40"/>
  <c r="O273" i="40" s="1"/>
  <c r="K274" i="40"/>
  <c r="N274" i="40"/>
  <c r="G274" i="40"/>
  <c r="H274" i="40"/>
  <c r="I274" i="40"/>
  <c r="E274" i="40"/>
  <c r="B274" i="40"/>
  <c r="E313" i="2"/>
  <c r="G313" i="2"/>
  <c r="B313" i="2"/>
  <c r="L313" i="2" s="1"/>
  <c r="H313" i="2"/>
  <c r="I313" i="2"/>
  <c r="F254" i="50" l="1"/>
  <c r="K254" i="50"/>
  <c r="E254" i="50"/>
  <c r="I254" i="50"/>
  <c r="G254" i="50"/>
  <c r="N254" i="50"/>
  <c r="B254" i="50"/>
  <c r="L254" i="50" s="1"/>
  <c r="D254" i="50" s="1"/>
  <c r="H254" i="50"/>
  <c r="G286" i="44"/>
  <c r="F286" i="44"/>
  <c r="K286" i="44"/>
  <c r="J285" i="44"/>
  <c r="M285" i="44" s="1"/>
  <c r="O285" i="44" s="1"/>
  <c r="B286" i="44"/>
  <c r="L286" i="44" s="1"/>
  <c r="D286" i="44" s="1"/>
  <c r="C286" i="44" s="1"/>
  <c r="I286" i="44"/>
  <c r="E286" i="44"/>
  <c r="H286" i="44"/>
  <c r="N286" i="44"/>
  <c r="J274" i="40"/>
  <c r="D274" i="40"/>
  <c r="C274" i="40" s="1"/>
  <c r="F275" i="40" s="1"/>
  <c r="L274" i="40"/>
  <c r="D313" i="2"/>
  <c r="C313" i="2" s="1"/>
  <c r="F314" i="2" s="1"/>
  <c r="C254" i="50" l="1"/>
  <c r="J254" i="50"/>
  <c r="M254" i="50" s="1"/>
  <c r="O254" i="50" s="1"/>
  <c r="I287" i="44"/>
  <c r="F287" i="44"/>
  <c r="K287" i="44"/>
  <c r="K314" i="2"/>
  <c r="J313" i="2"/>
  <c r="M313" i="2" s="1"/>
  <c r="O313" i="2" s="1"/>
  <c r="N314" i="2"/>
  <c r="G287" i="44"/>
  <c r="J286" i="44"/>
  <c r="M286" i="44" s="1"/>
  <c r="O286" i="44" s="1"/>
  <c r="B287" i="44"/>
  <c r="L287" i="44" s="1"/>
  <c r="D287" i="44" s="1"/>
  <c r="C287" i="44" s="1"/>
  <c r="H287" i="44"/>
  <c r="N287" i="44"/>
  <c r="E287" i="44"/>
  <c r="K275" i="40"/>
  <c r="N275" i="40"/>
  <c r="M274" i="40"/>
  <c r="O274" i="40" s="1"/>
  <c r="I275" i="40"/>
  <c r="B275" i="40"/>
  <c r="E275" i="40"/>
  <c r="H275" i="40"/>
  <c r="G275" i="40"/>
  <c r="E314" i="2"/>
  <c r="G314" i="2"/>
  <c r="I314" i="2"/>
  <c r="B314" i="2"/>
  <c r="L314" i="2" s="1"/>
  <c r="H314" i="2"/>
  <c r="K255" i="50" l="1"/>
  <c r="F255" i="50"/>
  <c r="E255" i="50"/>
  <c r="H255" i="50"/>
  <c r="G255" i="50"/>
  <c r="I255" i="50"/>
  <c r="B255" i="50"/>
  <c r="L255" i="50" s="1"/>
  <c r="D255" i="50" s="1"/>
  <c r="N255" i="50"/>
  <c r="H288" i="44"/>
  <c r="K288" i="44"/>
  <c r="F288" i="44"/>
  <c r="J287" i="44"/>
  <c r="M287" i="44" s="1"/>
  <c r="O287" i="44" s="1"/>
  <c r="G288" i="44"/>
  <c r="B288" i="44"/>
  <c r="L288" i="44" s="1"/>
  <c r="N288" i="44"/>
  <c r="E288" i="44"/>
  <c r="I288" i="44"/>
  <c r="D288" i="44"/>
  <c r="C288" i="44" s="1"/>
  <c r="J275" i="40"/>
  <c r="D275" i="40"/>
  <c r="C275" i="40" s="1"/>
  <c r="F276" i="40" s="1"/>
  <c r="L275" i="40"/>
  <c r="D314" i="2"/>
  <c r="C314" i="2" s="1"/>
  <c r="F315" i="2" s="1"/>
  <c r="C255" i="50" l="1"/>
  <c r="J255" i="50"/>
  <c r="M255" i="50" s="1"/>
  <c r="O255" i="50" s="1"/>
  <c r="K289" i="44"/>
  <c r="F289" i="44"/>
  <c r="K315" i="2"/>
  <c r="J314" i="2"/>
  <c r="M314" i="2" s="1"/>
  <c r="O314" i="2" s="1"/>
  <c r="N315" i="2"/>
  <c r="J288" i="44"/>
  <c r="M288" i="44" s="1"/>
  <c r="O288" i="44" s="1"/>
  <c r="B289" i="44"/>
  <c r="L289" i="44" s="1"/>
  <c r="D289" i="44" s="1"/>
  <c r="C289" i="44" s="1"/>
  <c r="N289" i="44"/>
  <c r="E289" i="44"/>
  <c r="I289" i="44"/>
  <c r="H289" i="44"/>
  <c r="G289" i="44"/>
  <c r="M275" i="40"/>
  <c r="O275" i="40" s="1"/>
  <c r="K276" i="40"/>
  <c r="N276" i="40"/>
  <c r="B276" i="40"/>
  <c r="E276" i="40"/>
  <c r="I276" i="40"/>
  <c r="H276" i="40"/>
  <c r="G276" i="40"/>
  <c r="E315" i="2"/>
  <c r="B315" i="2"/>
  <c r="L315" i="2" s="1"/>
  <c r="D315" i="2" s="1"/>
  <c r="C315" i="2" s="1"/>
  <c r="F316" i="2" s="1"/>
  <c r="I315" i="2"/>
  <c r="H315" i="2"/>
  <c r="G315" i="2"/>
  <c r="F256" i="50" l="1"/>
  <c r="E256" i="50"/>
  <c r="K256" i="50"/>
  <c r="B256" i="50"/>
  <c r="L256" i="50" s="1"/>
  <c r="D256" i="50" s="1"/>
  <c r="N256" i="50"/>
  <c r="H256" i="50"/>
  <c r="G256" i="50"/>
  <c r="I256" i="50"/>
  <c r="I290" i="44"/>
  <c r="F290" i="44"/>
  <c r="K290" i="44"/>
  <c r="K316" i="2"/>
  <c r="J315" i="2"/>
  <c r="M315" i="2" s="1"/>
  <c r="O315" i="2" s="1"/>
  <c r="N316" i="2"/>
  <c r="J289" i="44"/>
  <c r="M289" i="44" s="1"/>
  <c r="O289" i="44" s="1"/>
  <c r="H290" i="44"/>
  <c r="G290" i="44"/>
  <c r="B290" i="44"/>
  <c r="L290" i="44" s="1"/>
  <c r="D290" i="44" s="1"/>
  <c r="C290" i="44" s="1"/>
  <c r="N290" i="44"/>
  <c r="E290" i="44"/>
  <c r="J276" i="40"/>
  <c r="D276" i="40"/>
  <c r="C276" i="40" s="1"/>
  <c r="F277" i="40" s="1"/>
  <c r="L276" i="40"/>
  <c r="E316" i="2"/>
  <c r="B316" i="2"/>
  <c r="L316" i="2" s="1"/>
  <c r="H316" i="2"/>
  <c r="I316" i="2"/>
  <c r="G316" i="2"/>
  <c r="D316" i="2" l="1"/>
  <c r="C316" i="2" s="1"/>
  <c r="F317" i="2" s="1"/>
  <c r="C256" i="50"/>
  <c r="J256" i="50"/>
  <c r="M256" i="50" s="1"/>
  <c r="O256" i="50" s="1"/>
  <c r="N291" i="44"/>
  <c r="F291" i="44"/>
  <c r="K291" i="44"/>
  <c r="J316" i="2"/>
  <c r="M316" i="2" s="1"/>
  <c r="O316" i="2" s="1"/>
  <c r="J290" i="44"/>
  <c r="M290" i="44" s="1"/>
  <c r="O290" i="44" s="1"/>
  <c r="I291" i="44"/>
  <c r="G291" i="44"/>
  <c r="D291" i="44"/>
  <c r="C291" i="44" s="1"/>
  <c r="B291" i="44"/>
  <c r="L291" i="44" s="1"/>
  <c r="E291" i="44"/>
  <c r="H291" i="44"/>
  <c r="N277" i="40"/>
  <c r="K277" i="40"/>
  <c r="I277" i="40"/>
  <c r="B277" i="40"/>
  <c r="E277" i="40"/>
  <c r="G277" i="40"/>
  <c r="H277" i="40"/>
  <c r="M276" i="40"/>
  <c r="O276" i="40" s="1"/>
  <c r="E317" i="2" l="1"/>
  <c r="N317" i="2"/>
  <c r="K317" i="2"/>
  <c r="G317" i="2"/>
  <c r="B317" i="2"/>
  <c r="L317" i="2" s="1"/>
  <c r="D317" i="2" s="1"/>
  <c r="C317" i="2" s="1"/>
  <c r="F318" i="2" s="1"/>
  <c r="H317" i="2"/>
  <c r="I317" i="2"/>
  <c r="K257" i="50"/>
  <c r="E257" i="50"/>
  <c r="F257" i="50"/>
  <c r="I257" i="50"/>
  <c r="B257" i="50"/>
  <c r="L257" i="50" s="1"/>
  <c r="D257" i="50" s="1"/>
  <c r="N257" i="50"/>
  <c r="G257" i="50"/>
  <c r="H257" i="50"/>
  <c r="H292" i="44"/>
  <c r="F292" i="44"/>
  <c r="K292" i="44"/>
  <c r="J291" i="44"/>
  <c r="M291" i="44" s="1"/>
  <c r="O291" i="44" s="1"/>
  <c r="D292" i="44"/>
  <c r="C292" i="44" s="1"/>
  <c r="B292" i="44"/>
  <c r="L292" i="44" s="1"/>
  <c r="N292" i="44"/>
  <c r="G292" i="44"/>
  <c r="E292" i="44"/>
  <c r="I292" i="44"/>
  <c r="D277" i="40"/>
  <c r="C277" i="40" s="1"/>
  <c r="F278" i="40" s="1"/>
  <c r="L277" i="40"/>
  <c r="J277" i="40"/>
  <c r="C257" i="50" l="1"/>
  <c r="J257" i="50"/>
  <c r="M257" i="50" s="1"/>
  <c r="O257" i="50" s="1"/>
  <c r="G293" i="44"/>
  <c r="F293" i="44"/>
  <c r="K293" i="44"/>
  <c r="K318" i="2"/>
  <c r="J317" i="2"/>
  <c r="M317" i="2" s="1"/>
  <c r="O317" i="2" s="1"/>
  <c r="I293" i="44"/>
  <c r="H293" i="44"/>
  <c r="N318" i="2"/>
  <c r="B293" i="44"/>
  <c r="L293" i="44" s="1"/>
  <c r="D293" i="44"/>
  <c r="C293" i="44" s="1"/>
  <c r="N293" i="44"/>
  <c r="E293" i="44"/>
  <c r="J292" i="44"/>
  <c r="M292" i="44" s="1"/>
  <c r="O292" i="44" s="1"/>
  <c r="N278" i="40"/>
  <c r="K278" i="40"/>
  <c r="M277" i="40"/>
  <c r="O277" i="40" s="1"/>
  <c r="G278" i="40"/>
  <c r="I278" i="40"/>
  <c r="H278" i="40"/>
  <c r="B278" i="40"/>
  <c r="E278" i="40"/>
  <c r="E318" i="2"/>
  <c r="G318" i="2"/>
  <c r="B318" i="2"/>
  <c r="L318" i="2" s="1"/>
  <c r="H318" i="2"/>
  <c r="I318" i="2"/>
  <c r="F258" i="50" l="1"/>
  <c r="K258" i="50"/>
  <c r="E258" i="50"/>
  <c r="B258" i="50"/>
  <c r="L258" i="50" s="1"/>
  <c r="D258" i="50" s="1"/>
  <c r="N258" i="50"/>
  <c r="G258" i="50"/>
  <c r="I258" i="50"/>
  <c r="H258" i="50"/>
  <c r="J293" i="44"/>
  <c r="M293" i="44" s="1"/>
  <c r="O293" i="44" s="1"/>
  <c r="F294" i="44"/>
  <c r="K294" i="44"/>
  <c r="E294" i="44"/>
  <c r="N294" i="44"/>
  <c r="I294" i="44"/>
  <c r="H294" i="44"/>
  <c r="G294" i="44"/>
  <c r="B294" i="44"/>
  <c r="L294" i="44" s="1"/>
  <c r="D294" i="44"/>
  <c r="C294" i="44" s="1"/>
  <c r="D278" i="40"/>
  <c r="C278" i="40" s="1"/>
  <c r="F279" i="40" s="1"/>
  <c r="L278" i="40"/>
  <c r="J278" i="40"/>
  <c r="D318" i="2"/>
  <c r="C318" i="2" s="1"/>
  <c r="F319" i="2" s="1"/>
  <c r="C258" i="50" l="1"/>
  <c r="J258" i="50"/>
  <c r="M258" i="50" s="1"/>
  <c r="O258" i="50" s="1"/>
  <c r="I295" i="44"/>
  <c r="F295" i="44"/>
  <c r="K295" i="44"/>
  <c r="K319" i="2"/>
  <c r="J318" i="2"/>
  <c r="M318" i="2" s="1"/>
  <c r="O318" i="2" s="1"/>
  <c r="N319" i="2"/>
  <c r="J294" i="44"/>
  <c r="M294" i="44" s="1"/>
  <c r="O294" i="44" s="1"/>
  <c r="B295" i="44"/>
  <c r="L295" i="44" s="1"/>
  <c r="D295" i="44" s="1"/>
  <c r="C295" i="44" s="1"/>
  <c r="N295" i="44"/>
  <c r="E295" i="44"/>
  <c r="H295" i="44"/>
  <c r="G295" i="44"/>
  <c r="M278" i="40"/>
  <c r="O278" i="40" s="1"/>
  <c r="N279" i="40"/>
  <c r="K279" i="40"/>
  <c r="E279" i="40"/>
  <c r="G279" i="40"/>
  <c r="B279" i="40"/>
  <c r="H279" i="40"/>
  <c r="I279" i="40"/>
  <c r="E319" i="2"/>
  <c r="B319" i="2"/>
  <c r="L319" i="2" s="1"/>
  <c r="G319" i="2"/>
  <c r="H319" i="2"/>
  <c r="I319" i="2"/>
  <c r="F259" i="50" l="1"/>
  <c r="K259" i="50"/>
  <c r="E259" i="50"/>
  <c r="H259" i="50"/>
  <c r="I259" i="50"/>
  <c r="B259" i="50"/>
  <c r="L259" i="50" s="1"/>
  <c r="D259" i="50" s="1"/>
  <c r="N259" i="50"/>
  <c r="G259" i="50"/>
  <c r="K296" i="44"/>
  <c r="F296" i="44"/>
  <c r="G296" i="44"/>
  <c r="J295" i="44"/>
  <c r="M295" i="44" s="1"/>
  <c r="O295" i="44" s="1"/>
  <c r="B296" i="44"/>
  <c r="L296" i="44" s="1"/>
  <c r="I296" i="44"/>
  <c r="H296" i="44"/>
  <c r="E296" i="44"/>
  <c r="N296" i="44"/>
  <c r="D296" i="44"/>
  <c r="C296" i="44" s="1"/>
  <c r="D319" i="2"/>
  <c r="C319" i="2" s="1"/>
  <c r="F320" i="2" s="1"/>
  <c r="J279" i="40"/>
  <c r="D279" i="40"/>
  <c r="C279" i="40" s="1"/>
  <c r="F280" i="40" s="1"/>
  <c r="L279" i="40"/>
  <c r="C259" i="50" l="1"/>
  <c r="J259" i="50"/>
  <c r="M259" i="50" s="1"/>
  <c r="O259" i="50" s="1"/>
  <c r="I297" i="44"/>
  <c r="K297" i="44"/>
  <c r="F297" i="44"/>
  <c r="K320" i="2"/>
  <c r="J319" i="2"/>
  <c r="M319" i="2" s="1"/>
  <c r="O319" i="2" s="1"/>
  <c r="N320" i="2"/>
  <c r="J296" i="44"/>
  <c r="M296" i="44" s="1"/>
  <c r="O296" i="44" s="1"/>
  <c r="B297" i="44"/>
  <c r="L297" i="44" s="1"/>
  <c r="N297" i="44"/>
  <c r="E297" i="44"/>
  <c r="H297" i="44"/>
  <c r="G297" i="44"/>
  <c r="D297" i="44"/>
  <c r="C297" i="44" s="1"/>
  <c r="E320" i="2"/>
  <c r="H320" i="2"/>
  <c r="I320" i="2"/>
  <c r="B320" i="2"/>
  <c r="L320" i="2" s="1"/>
  <c r="G320" i="2"/>
  <c r="M279" i="40"/>
  <c r="O279" i="40" s="1"/>
  <c r="N280" i="40"/>
  <c r="K280" i="40"/>
  <c r="G280" i="40"/>
  <c r="H280" i="40"/>
  <c r="E280" i="40"/>
  <c r="I280" i="40"/>
  <c r="B280" i="40"/>
  <c r="D320" i="2" l="1"/>
  <c r="C320" i="2" s="1"/>
  <c r="F321" i="2" s="1"/>
  <c r="E260" i="50"/>
  <c r="F260" i="50"/>
  <c r="K260" i="50"/>
  <c r="G260" i="50"/>
  <c r="H260" i="50"/>
  <c r="I260" i="50"/>
  <c r="B260" i="50"/>
  <c r="L260" i="50" s="1"/>
  <c r="D260" i="50" s="1"/>
  <c r="N260" i="50"/>
  <c r="I298" i="44"/>
  <c r="K298" i="44"/>
  <c r="F298" i="44"/>
  <c r="J320" i="2"/>
  <c r="M320" i="2" s="1"/>
  <c r="O320" i="2" s="1"/>
  <c r="J297" i="44"/>
  <c r="M297" i="44" s="1"/>
  <c r="O297" i="44" s="1"/>
  <c r="E298" i="44"/>
  <c r="G298" i="44"/>
  <c r="H298" i="44"/>
  <c r="B298" i="44"/>
  <c r="L298" i="44" s="1"/>
  <c r="N298" i="44"/>
  <c r="D298" i="44"/>
  <c r="C298" i="44" s="1"/>
  <c r="D280" i="40"/>
  <c r="C280" i="40" s="1"/>
  <c r="F281" i="40" s="1"/>
  <c r="L280" i="40"/>
  <c r="J280" i="40"/>
  <c r="I321" i="2" l="1"/>
  <c r="E321" i="2"/>
  <c r="H321" i="2"/>
  <c r="N321" i="2"/>
  <c r="K321" i="2"/>
  <c r="B321" i="2"/>
  <c r="L321" i="2" s="1"/>
  <c r="D321" i="2" s="1"/>
  <c r="C321" i="2" s="1"/>
  <c r="F322" i="2" s="1"/>
  <c r="G321" i="2"/>
  <c r="C260" i="50"/>
  <c r="J260" i="50"/>
  <c r="M260" i="50" s="1"/>
  <c r="O260" i="50" s="1"/>
  <c r="I299" i="44"/>
  <c r="F299" i="44"/>
  <c r="K299" i="44"/>
  <c r="J298" i="44"/>
  <c r="M298" i="44" s="1"/>
  <c r="O298" i="44" s="1"/>
  <c r="E299" i="44"/>
  <c r="N299" i="44"/>
  <c r="B299" i="44"/>
  <c r="L299" i="44" s="1"/>
  <c r="D299" i="44" s="1"/>
  <c r="C299" i="44" s="1"/>
  <c r="G299" i="44"/>
  <c r="H299" i="44"/>
  <c r="K281" i="40"/>
  <c r="N281" i="40"/>
  <c r="M280" i="40"/>
  <c r="O280" i="40" s="1"/>
  <c r="E281" i="40"/>
  <c r="B281" i="40"/>
  <c r="H281" i="40"/>
  <c r="G281" i="40"/>
  <c r="I281" i="40"/>
  <c r="N261" i="50" l="1"/>
  <c r="F261" i="50"/>
  <c r="B261" i="50"/>
  <c r="L261" i="50" s="1"/>
  <c r="D261" i="50" s="1"/>
  <c r="K261" i="50"/>
  <c r="I261" i="50"/>
  <c r="E261" i="50"/>
  <c r="H261" i="50"/>
  <c r="G261" i="50"/>
  <c r="H300" i="44"/>
  <c r="F300" i="44"/>
  <c r="K300" i="44"/>
  <c r="K322" i="2"/>
  <c r="J321" i="2"/>
  <c r="M321" i="2" s="1"/>
  <c r="O321" i="2" s="1"/>
  <c r="E322" i="2"/>
  <c r="H322" i="2"/>
  <c r="I322" i="2"/>
  <c r="G322" i="2"/>
  <c r="B322" i="2"/>
  <c r="L322" i="2" s="1"/>
  <c r="N322" i="2"/>
  <c r="J299" i="44"/>
  <c r="M299" i="44" s="1"/>
  <c r="O299" i="44" s="1"/>
  <c r="B300" i="44"/>
  <c r="L300" i="44" s="1"/>
  <c r="D300" i="44" s="1"/>
  <c r="C300" i="44" s="1"/>
  <c r="N300" i="44"/>
  <c r="I300" i="44"/>
  <c r="E300" i="44"/>
  <c r="G300" i="44"/>
  <c r="D281" i="40"/>
  <c r="C281" i="40" s="1"/>
  <c r="F282" i="40" s="1"/>
  <c r="L281" i="40"/>
  <c r="J281" i="40"/>
  <c r="D322" i="2" l="1"/>
  <c r="C322" i="2" s="1"/>
  <c r="F323" i="2" s="1"/>
  <c r="J261" i="50"/>
  <c r="M261" i="50" s="1"/>
  <c r="O261" i="50" s="1"/>
  <c r="C261" i="50"/>
  <c r="G301" i="44"/>
  <c r="K301" i="44"/>
  <c r="F301" i="44"/>
  <c r="J322" i="2"/>
  <c r="M322" i="2" s="1"/>
  <c r="O322" i="2" s="1"/>
  <c r="J300" i="44"/>
  <c r="M300" i="44" s="1"/>
  <c r="O300" i="44" s="1"/>
  <c r="B301" i="44"/>
  <c r="L301" i="44" s="1"/>
  <c r="D301" i="44" s="1"/>
  <c r="C301" i="44" s="1"/>
  <c r="N301" i="44"/>
  <c r="E301" i="44"/>
  <c r="I301" i="44"/>
  <c r="H301" i="44"/>
  <c r="K282" i="40"/>
  <c r="N282" i="40"/>
  <c r="M281" i="40"/>
  <c r="O281" i="40" s="1"/>
  <c r="G282" i="40"/>
  <c r="I282" i="40"/>
  <c r="B282" i="40"/>
  <c r="E282" i="40"/>
  <c r="H282" i="40"/>
  <c r="K323" i="2" l="1"/>
  <c r="N323" i="2"/>
  <c r="H323" i="2"/>
  <c r="I323" i="2"/>
  <c r="E323" i="2"/>
  <c r="G323" i="2"/>
  <c r="B323" i="2"/>
  <c r="L323" i="2" s="1"/>
  <c r="D323" i="2" s="1"/>
  <c r="C323" i="2" s="1"/>
  <c r="N262" i="50"/>
  <c r="D262" i="50"/>
  <c r="C263" i="50" s="1"/>
  <c r="I262" i="50"/>
  <c r="H262" i="50"/>
  <c r="B262" i="50"/>
  <c r="L262" i="50" s="1"/>
  <c r="K262" i="50"/>
  <c r="F262" i="50"/>
  <c r="G262" i="50"/>
  <c r="E262" i="50"/>
  <c r="F302" i="44"/>
  <c r="K302" i="44"/>
  <c r="I302" i="44"/>
  <c r="H302" i="44"/>
  <c r="B302" i="44"/>
  <c r="L302" i="44" s="1"/>
  <c r="N302" i="44"/>
  <c r="E302" i="44"/>
  <c r="J301" i="44"/>
  <c r="M301" i="44" s="1"/>
  <c r="O301" i="44" s="1"/>
  <c r="G302" i="44"/>
  <c r="D302" i="44"/>
  <c r="C302" i="44" s="1"/>
  <c r="J282" i="40"/>
  <c r="D282" i="40"/>
  <c r="C282" i="40" s="1"/>
  <c r="F283" i="40" s="1"/>
  <c r="L282" i="40"/>
  <c r="C262" i="50" l="1"/>
  <c r="E263" i="50" s="1"/>
  <c r="J262" i="50"/>
  <c r="M262" i="50" s="1"/>
  <c r="B264" i="50"/>
  <c r="L264" i="50" s="1"/>
  <c r="G264" i="50"/>
  <c r="F264" i="50"/>
  <c r="I264" i="50"/>
  <c r="N264" i="50"/>
  <c r="E264" i="50"/>
  <c r="H264" i="50"/>
  <c r="K264" i="50"/>
  <c r="D264" i="50"/>
  <c r="C265" i="50" s="1"/>
  <c r="J323" i="2"/>
  <c r="M323" i="2" s="1"/>
  <c r="O323" i="2" s="1"/>
  <c r="F324" i="2"/>
  <c r="G303" i="44"/>
  <c r="F303" i="44"/>
  <c r="K303" i="44"/>
  <c r="N324" i="2"/>
  <c r="K324" i="2"/>
  <c r="I324" i="2"/>
  <c r="B324" i="2"/>
  <c r="L324" i="2" s="1"/>
  <c r="G324" i="2"/>
  <c r="E324" i="2"/>
  <c r="H324" i="2"/>
  <c r="D324" i="2"/>
  <c r="C324" i="2" s="1"/>
  <c r="F325" i="2" s="1"/>
  <c r="J302" i="44"/>
  <c r="M302" i="44" s="1"/>
  <c r="O302" i="44" s="1"/>
  <c r="B303" i="44"/>
  <c r="L303" i="44" s="1"/>
  <c r="D303" i="44" s="1"/>
  <c r="C303" i="44" s="1"/>
  <c r="N303" i="44"/>
  <c r="E303" i="44"/>
  <c r="H303" i="44"/>
  <c r="I303" i="44"/>
  <c r="M282" i="40"/>
  <c r="O282" i="40" s="1"/>
  <c r="K283" i="40"/>
  <c r="N283" i="40"/>
  <c r="H283" i="40"/>
  <c r="E283" i="40"/>
  <c r="I283" i="40"/>
  <c r="G283" i="40"/>
  <c r="B283" i="40"/>
  <c r="O262" i="50" l="1"/>
  <c r="I17" i="50"/>
  <c r="N263" i="50"/>
  <c r="B263" i="50"/>
  <c r="L263" i="50" s="1"/>
  <c r="K263" i="50"/>
  <c r="G263" i="50"/>
  <c r="D263" i="50"/>
  <c r="C264" i="50" s="1"/>
  <c r="K265" i="50" s="1"/>
  <c r="I263" i="50"/>
  <c r="H263" i="50"/>
  <c r="F263" i="50"/>
  <c r="J264" i="50"/>
  <c r="M264" i="50" s="1"/>
  <c r="O264" i="50" s="1"/>
  <c r="B266" i="50"/>
  <c r="L266" i="50" s="1"/>
  <c r="H266" i="50"/>
  <c r="G266" i="50"/>
  <c r="E266" i="50"/>
  <c r="N266" i="50"/>
  <c r="K266" i="50"/>
  <c r="D266" i="50"/>
  <c r="C267" i="50" s="1"/>
  <c r="F266" i="50"/>
  <c r="I266" i="50"/>
  <c r="K304" i="44"/>
  <c r="F304" i="44"/>
  <c r="N325" i="2"/>
  <c r="K325" i="2"/>
  <c r="J324" i="2"/>
  <c r="M324" i="2" s="1"/>
  <c r="O324" i="2" s="1"/>
  <c r="I325" i="2"/>
  <c r="B325" i="2"/>
  <c r="L325" i="2" s="1"/>
  <c r="H325" i="2"/>
  <c r="G325" i="2"/>
  <c r="E325" i="2"/>
  <c r="J303" i="44"/>
  <c r="M303" i="44" s="1"/>
  <c r="O303" i="44" s="1"/>
  <c r="G304" i="44"/>
  <c r="B304" i="44"/>
  <c r="L304" i="44" s="1"/>
  <c r="D304" i="44" s="1"/>
  <c r="C304" i="44" s="1"/>
  <c r="I304" i="44"/>
  <c r="H304" i="44"/>
  <c r="E304" i="44"/>
  <c r="N304" i="44"/>
  <c r="J283" i="40"/>
  <c r="D283" i="40"/>
  <c r="C283" i="40" s="1"/>
  <c r="F284" i="40" s="1"/>
  <c r="L283" i="40"/>
  <c r="D325" i="2" l="1"/>
  <c r="C325" i="2" s="1"/>
  <c r="F326" i="2" s="1"/>
  <c r="D265" i="50"/>
  <c r="C266" i="50" s="1"/>
  <c r="F267" i="50" s="1"/>
  <c r="B265" i="50"/>
  <c r="L265" i="50" s="1"/>
  <c r="E265" i="50"/>
  <c r="J263" i="50"/>
  <c r="M263" i="50" s="1"/>
  <c r="O263" i="50" s="1"/>
  <c r="H265" i="50"/>
  <c r="I265" i="50"/>
  <c r="F265" i="50"/>
  <c r="N265" i="50"/>
  <c r="G265" i="50"/>
  <c r="J266" i="50"/>
  <c r="M266" i="50" s="1"/>
  <c r="O266" i="50" s="1"/>
  <c r="D268" i="50"/>
  <c r="C269" i="50" s="1"/>
  <c r="B268" i="50"/>
  <c r="L268" i="50" s="1"/>
  <c r="I268" i="50"/>
  <c r="N268" i="50"/>
  <c r="K268" i="50"/>
  <c r="F268" i="50"/>
  <c r="H268" i="50"/>
  <c r="E268" i="50"/>
  <c r="G268" i="50"/>
  <c r="I305" i="44"/>
  <c r="K305" i="44"/>
  <c r="F305" i="44"/>
  <c r="J325" i="2"/>
  <c r="M325" i="2" s="1"/>
  <c r="O325" i="2" s="1"/>
  <c r="J304" i="44"/>
  <c r="M304" i="44" s="1"/>
  <c r="O304" i="44" s="1"/>
  <c r="G305" i="44"/>
  <c r="H305" i="44"/>
  <c r="B305" i="44"/>
  <c r="L305" i="44" s="1"/>
  <c r="D305" i="44" s="1"/>
  <c r="C305" i="44" s="1"/>
  <c r="N305" i="44"/>
  <c r="E305" i="44"/>
  <c r="M283" i="40"/>
  <c r="O283" i="40" s="1"/>
  <c r="K284" i="40"/>
  <c r="N284" i="40"/>
  <c r="B284" i="40"/>
  <c r="G284" i="40"/>
  <c r="H284" i="40"/>
  <c r="I284" i="40"/>
  <c r="E284" i="40"/>
  <c r="K326" i="2" l="1"/>
  <c r="H326" i="2"/>
  <c r="E326" i="2"/>
  <c r="B326" i="2"/>
  <c r="L326" i="2" s="1"/>
  <c r="D326" i="2" s="1"/>
  <c r="C326" i="2" s="1"/>
  <c r="F327" i="2" s="1"/>
  <c r="I326" i="2"/>
  <c r="G326" i="2"/>
  <c r="N326" i="2"/>
  <c r="G267" i="50"/>
  <c r="H267" i="50"/>
  <c r="D267" i="50"/>
  <c r="C268" i="50" s="1"/>
  <c r="H269" i="50" s="1"/>
  <c r="B267" i="50"/>
  <c r="L267" i="50" s="1"/>
  <c r="E267" i="50"/>
  <c r="K267" i="50"/>
  <c r="N267" i="50"/>
  <c r="I267" i="50"/>
  <c r="J265" i="50"/>
  <c r="M265" i="50" s="1"/>
  <c r="O265" i="50" s="1"/>
  <c r="J268" i="50"/>
  <c r="M268" i="50" s="1"/>
  <c r="O268" i="50" s="1"/>
  <c r="H270" i="50"/>
  <c r="G270" i="50"/>
  <c r="N270" i="50"/>
  <c r="K270" i="50"/>
  <c r="I270" i="50"/>
  <c r="E270" i="50"/>
  <c r="D270" i="50"/>
  <c r="C271" i="50" s="1"/>
  <c r="B270" i="50"/>
  <c r="L270" i="50" s="1"/>
  <c r="F270" i="50"/>
  <c r="G306" i="44"/>
  <c r="F306" i="44"/>
  <c r="K306" i="44"/>
  <c r="J305" i="44"/>
  <c r="M305" i="44" s="1"/>
  <c r="O305" i="44" s="1"/>
  <c r="B306" i="44"/>
  <c r="L306" i="44" s="1"/>
  <c r="I306" i="44"/>
  <c r="H306" i="44"/>
  <c r="N306" i="44"/>
  <c r="E306" i="44"/>
  <c r="D306" i="44"/>
  <c r="C306" i="44" s="1"/>
  <c r="J284" i="40"/>
  <c r="D284" i="40"/>
  <c r="C284" i="40" s="1"/>
  <c r="F285" i="40" s="1"/>
  <c r="L284" i="40"/>
  <c r="I269" i="50" l="1"/>
  <c r="N327" i="2"/>
  <c r="B327" i="2"/>
  <c r="L327" i="2" s="1"/>
  <c r="H327" i="2"/>
  <c r="K327" i="2"/>
  <c r="E327" i="2"/>
  <c r="I327" i="2"/>
  <c r="G327" i="2"/>
  <c r="J326" i="2"/>
  <c r="M326" i="2" s="1"/>
  <c r="O326" i="2" s="1"/>
  <c r="G269" i="50"/>
  <c r="K269" i="50"/>
  <c r="F269" i="50"/>
  <c r="B269" i="50"/>
  <c r="L269" i="50" s="1"/>
  <c r="D269" i="50"/>
  <c r="C270" i="50" s="1"/>
  <c r="G271" i="50" s="1"/>
  <c r="J267" i="50"/>
  <c r="M267" i="50" s="1"/>
  <c r="O267" i="50" s="1"/>
  <c r="E269" i="50"/>
  <c r="N269" i="50"/>
  <c r="J270" i="50"/>
  <c r="M270" i="50" s="1"/>
  <c r="O270" i="50" s="1"/>
  <c r="D272" i="50"/>
  <c r="C273" i="50" s="1"/>
  <c r="B272" i="50"/>
  <c r="L272" i="50" s="1"/>
  <c r="E272" i="50"/>
  <c r="F272" i="50"/>
  <c r="I272" i="50"/>
  <c r="N272" i="50"/>
  <c r="G272" i="50"/>
  <c r="K272" i="50"/>
  <c r="H272" i="50"/>
  <c r="I307" i="44"/>
  <c r="F307" i="44"/>
  <c r="K307" i="44"/>
  <c r="J306" i="44"/>
  <c r="M306" i="44" s="1"/>
  <c r="O306" i="44" s="1"/>
  <c r="N307" i="44"/>
  <c r="E307" i="44"/>
  <c r="G307" i="44"/>
  <c r="H307" i="44"/>
  <c r="B307" i="44"/>
  <c r="L307" i="44" s="1"/>
  <c r="D307" i="44"/>
  <c r="C307" i="44" s="1"/>
  <c r="M284" i="40"/>
  <c r="O284" i="40" s="1"/>
  <c r="N285" i="40"/>
  <c r="K285" i="40"/>
  <c r="I285" i="40"/>
  <c r="B285" i="40"/>
  <c r="E285" i="40"/>
  <c r="G285" i="40"/>
  <c r="H285" i="40"/>
  <c r="J269" i="50" l="1"/>
  <c r="D327" i="2"/>
  <c r="C327" i="2" s="1"/>
  <c r="I328" i="2" s="1"/>
  <c r="J327" i="2"/>
  <c r="M327" i="2" s="1"/>
  <c r="O327" i="2" s="1"/>
  <c r="M269" i="50"/>
  <c r="O269" i="50" s="1"/>
  <c r="H271" i="50"/>
  <c r="I271" i="50"/>
  <c r="B271" i="50"/>
  <c r="L271" i="50" s="1"/>
  <c r="K271" i="50"/>
  <c r="E271" i="50"/>
  <c r="N271" i="50"/>
  <c r="F271" i="50"/>
  <c r="D271" i="50"/>
  <c r="C272" i="50" s="1"/>
  <c r="H273" i="50" s="1"/>
  <c r="J272" i="50"/>
  <c r="M272" i="50" s="1"/>
  <c r="O272" i="50" s="1"/>
  <c r="F274" i="50"/>
  <c r="N274" i="50"/>
  <c r="E274" i="50"/>
  <c r="G274" i="50"/>
  <c r="D274" i="50"/>
  <c r="C275" i="50" s="1"/>
  <c r="I274" i="50"/>
  <c r="B274" i="50"/>
  <c r="L274" i="50" s="1"/>
  <c r="H274" i="50"/>
  <c r="K274" i="50"/>
  <c r="B308" i="44"/>
  <c r="L308" i="44" s="1"/>
  <c r="D308" i="44" s="1"/>
  <c r="C308" i="44" s="1"/>
  <c r="G309" i="44" s="1"/>
  <c r="F308" i="44"/>
  <c r="K308" i="44"/>
  <c r="J307" i="44"/>
  <c r="M307" i="44" s="1"/>
  <c r="O307" i="44" s="1"/>
  <c r="I308" i="44"/>
  <c r="H308" i="44"/>
  <c r="E308" i="44"/>
  <c r="G308" i="44"/>
  <c r="N308" i="44"/>
  <c r="J285" i="40"/>
  <c r="D285" i="40"/>
  <c r="C285" i="40" s="1"/>
  <c r="F286" i="40" s="1"/>
  <c r="L285" i="40"/>
  <c r="G328" i="2" l="1"/>
  <c r="H328" i="2"/>
  <c r="F328" i="2"/>
  <c r="B328" i="2"/>
  <c r="L328" i="2" s="1"/>
  <c r="K328" i="2"/>
  <c r="N328" i="2"/>
  <c r="E328" i="2"/>
  <c r="N273" i="50"/>
  <c r="D273" i="50"/>
  <c r="C274" i="50" s="1"/>
  <c r="F275" i="50" s="1"/>
  <c r="J271" i="50"/>
  <c r="M271" i="50" s="1"/>
  <c r="O271" i="50" s="1"/>
  <c r="E273" i="50"/>
  <c r="G273" i="50"/>
  <c r="I273" i="50"/>
  <c r="B273" i="50"/>
  <c r="L273" i="50" s="1"/>
  <c r="F273" i="50"/>
  <c r="K273" i="50"/>
  <c r="D276" i="50"/>
  <c r="C277" i="50" s="1"/>
  <c r="G276" i="50"/>
  <c r="N276" i="50"/>
  <c r="I276" i="50"/>
  <c r="E276" i="50"/>
  <c r="K276" i="50"/>
  <c r="H276" i="50"/>
  <c r="B276" i="50"/>
  <c r="L276" i="50" s="1"/>
  <c r="F276" i="50"/>
  <c r="J274" i="50"/>
  <c r="M274" i="50" s="1"/>
  <c r="O274" i="50" s="1"/>
  <c r="B309" i="44"/>
  <c r="L309" i="44" s="1"/>
  <c r="N309" i="44"/>
  <c r="E309" i="44"/>
  <c r="H309" i="44"/>
  <c r="I309" i="44"/>
  <c r="F309" i="44"/>
  <c r="K309" i="44"/>
  <c r="J308" i="44"/>
  <c r="M308" i="44" s="1"/>
  <c r="O308" i="44" s="1"/>
  <c r="D309" i="44"/>
  <c r="C309" i="44" s="1"/>
  <c r="N286" i="40"/>
  <c r="K286" i="40"/>
  <c r="H286" i="40"/>
  <c r="E286" i="40"/>
  <c r="B286" i="40"/>
  <c r="G286" i="40"/>
  <c r="I286" i="40"/>
  <c r="M285" i="40"/>
  <c r="O285" i="40" s="1"/>
  <c r="J328" i="2" l="1"/>
  <c r="M328" i="2"/>
  <c r="O328" i="2" s="1"/>
  <c r="D328" i="2"/>
  <c r="C328" i="2" s="1"/>
  <c r="K275" i="50"/>
  <c r="B275" i="50"/>
  <c r="L275" i="50" s="1"/>
  <c r="H275" i="50"/>
  <c r="I275" i="50"/>
  <c r="E275" i="50"/>
  <c r="D275" i="50"/>
  <c r="C276" i="50" s="1"/>
  <c r="G277" i="50" s="1"/>
  <c r="G275" i="50"/>
  <c r="J273" i="50"/>
  <c r="M273" i="50" s="1"/>
  <c r="O273" i="50" s="1"/>
  <c r="N275" i="50"/>
  <c r="J276" i="50"/>
  <c r="M276" i="50" s="1"/>
  <c r="O276" i="50" s="1"/>
  <c r="D278" i="50"/>
  <c r="C279" i="50" s="1"/>
  <c r="E278" i="50"/>
  <c r="K278" i="50"/>
  <c r="G278" i="50"/>
  <c r="N278" i="50"/>
  <c r="I278" i="50"/>
  <c r="B278" i="50"/>
  <c r="L278" i="50" s="1"/>
  <c r="F278" i="50"/>
  <c r="H278" i="50"/>
  <c r="J309" i="44"/>
  <c r="M309" i="44" s="1"/>
  <c r="O309" i="44" s="1"/>
  <c r="H310" i="44"/>
  <c r="F310" i="44"/>
  <c r="K310" i="44"/>
  <c r="B310" i="44"/>
  <c r="L310" i="44" s="1"/>
  <c r="N310" i="44"/>
  <c r="E310" i="44"/>
  <c r="G310" i="44"/>
  <c r="I310" i="44"/>
  <c r="D310" i="44"/>
  <c r="C310" i="44" s="1"/>
  <c r="D286" i="40"/>
  <c r="C286" i="40" s="1"/>
  <c r="F287" i="40" s="1"/>
  <c r="L286" i="40"/>
  <c r="J286" i="40"/>
  <c r="F329" i="2" l="1"/>
  <c r="H329" i="2"/>
  <c r="I329" i="2"/>
  <c r="E329" i="2"/>
  <c r="B329" i="2"/>
  <c r="L329" i="2" s="1"/>
  <c r="D329" i="2" s="1"/>
  <c r="C329" i="2" s="1"/>
  <c r="N329" i="2"/>
  <c r="G329" i="2"/>
  <c r="K329" i="2"/>
  <c r="J275" i="50"/>
  <c r="M275" i="50" s="1"/>
  <c r="O275" i="50" s="1"/>
  <c r="K277" i="50"/>
  <c r="B277" i="50"/>
  <c r="L277" i="50" s="1"/>
  <c r="H277" i="50"/>
  <c r="E277" i="50"/>
  <c r="D277" i="50"/>
  <c r="C278" i="50" s="1"/>
  <c r="K279" i="50" s="1"/>
  <c r="N277" i="50"/>
  <c r="F277" i="50"/>
  <c r="I277" i="50"/>
  <c r="G280" i="50"/>
  <c r="N280" i="50"/>
  <c r="H280" i="50"/>
  <c r="E280" i="50"/>
  <c r="D280" i="50"/>
  <c r="C281" i="50" s="1"/>
  <c r="K280" i="50"/>
  <c r="I280" i="50"/>
  <c r="F280" i="50"/>
  <c r="B280" i="50"/>
  <c r="L280" i="50" s="1"/>
  <c r="J278" i="50"/>
  <c r="M278" i="50" s="1"/>
  <c r="O278" i="50" s="1"/>
  <c r="G311" i="44"/>
  <c r="F311" i="44"/>
  <c r="K311" i="44"/>
  <c r="J310" i="44"/>
  <c r="M310" i="44" s="1"/>
  <c r="O310" i="44" s="1"/>
  <c r="I311" i="44"/>
  <c r="B311" i="44"/>
  <c r="L311" i="44" s="1"/>
  <c r="D311" i="44" s="1"/>
  <c r="C311" i="44" s="1"/>
  <c r="H311" i="44"/>
  <c r="N311" i="44"/>
  <c r="E311" i="44"/>
  <c r="M286" i="40"/>
  <c r="O286" i="40" s="1"/>
  <c r="N287" i="40"/>
  <c r="K287" i="40"/>
  <c r="E287" i="40"/>
  <c r="G287" i="40"/>
  <c r="B287" i="40"/>
  <c r="I287" i="40"/>
  <c r="H287" i="40"/>
  <c r="F330" i="2" l="1"/>
  <c r="K330" i="2"/>
  <c r="G330" i="2"/>
  <c r="H330" i="2"/>
  <c r="I330" i="2"/>
  <c r="N330" i="2"/>
  <c r="B330" i="2"/>
  <c r="L330" i="2" s="1"/>
  <c r="E330" i="2"/>
  <c r="J329" i="2"/>
  <c r="M329" i="2" s="1"/>
  <c r="O329" i="2" s="1"/>
  <c r="I279" i="50"/>
  <c r="J277" i="50"/>
  <c r="M277" i="50" s="1"/>
  <c r="O277" i="50" s="1"/>
  <c r="D279" i="50"/>
  <c r="C280" i="50" s="1"/>
  <c r="B281" i="50" s="1"/>
  <c r="L281" i="50" s="1"/>
  <c r="B279" i="50"/>
  <c r="L279" i="50" s="1"/>
  <c r="G279" i="50"/>
  <c r="H279" i="50"/>
  <c r="E279" i="50"/>
  <c r="F279" i="50"/>
  <c r="N279" i="50"/>
  <c r="J280" i="50"/>
  <c r="M280" i="50" s="1"/>
  <c r="O280" i="50" s="1"/>
  <c r="I282" i="50"/>
  <c r="F282" i="50"/>
  <c r="N282" i="50"/>
  <c r="B282" i="50"/>
  <c r="L282" i="50" s="1"/>
  <c r="K282" i="50"/>
  <c r="E282" i="50"/>
  <c r="D282" i="50"/>
  <c r="C283" i="50" s="1"/>
  <c r="H282" i="50"/>
  <c r="G282" i="50"/>
  <c r="K312" i="44"/>
  <c r="F312" i="44"/>
  <c r="J311" i="44"/>
  <c r="M311" i="44" s="1"/>
  <c r="O311" i="44" s="1"/>
  <c r="G312" i="44"/>
  <c r="I312" i="44"/>
  <c r="B312" i="44"/>
  <c r="L312" i="44" s="1"/>
  <c r="D312" i="44" s="1"/>
  <c r="C312" i="44" s="1"/>
  <c r="N312" i="44"/>
  <c r="H312" i="44"/>
  <c r="E312" i="44"/>
  <c r="J287" i="40"/>
  <c r="D287" i="40"/>
  <c r="C287" i="40" s="1"/>
  <c r="F288" i="40" s="1"/>
  <c r="L287" i="40"/>
  <c r="D330" i="2" l="1"/>
  <c r="C330" i="2" s="1"/>
  <c r="G331" i="2" s="1"/>
  <c r="J330" i="2"/>
  <c r="M330" i="2" s="1"/>
  <c r="O330" i="2" s="1"/>
  <c r="F281" i="50"/>
  <c r="N281" i="50"/>
  <c r="K281" i="50"/>
  <c r="H281" i="50"/>
  <c r="D281" i="50"/>
  <c r="C282" i="50" s="1"/>
  <c r="E283" i="50" s="1"/>
  <c r="G281" i="50"/>
  <c r="I281" i="50"/>
  <c r="E281" i="50"/>
  <c r="J279" i="50"/>
  <c r="M279" i="50" s="1"/>
  <c r="O279" i="50" s="1"/>
  <c r="I284" i="50"/>
  <c r="B284" i="50"/>
  <c r="L284" i="50" s="1"/>
  <c r="D284" i="50"/>
  <c r="C285" i="50" s="1"/>
  <c r="K284" i="50"/>
  <c r="G284" i="50"/>
  <c r="E284" i="50"/>
  <c r="N284" i="50"/>
  <c r="H284" i="50"/>
  <c r="F284" i="50"/>
  <c r="J282" i="50"/>
  <c r="M282" i="50" s="1"/>
  <c r="O282" i="50" s="1"/>
  <c r="H313" i="44"/>
  <c r="K313" i="44"/>
  <c r="F313" i="44"/>
  <c r="J312" i="44"/>
  <c r="M312" i="44" s="1"/>
  <c r="O312" i="44" s="1"/>
  <c r="N313" i="44"/>
  <c r="E313" i="44"/>
  <c r="D313" i="44"/>
  <c r="C313" i="44" s="1"/>
  <c r="I313" i="44"/>
  <c r="G313" i="44"/>
  <c r="B313" i="44"/>
  <c r="L313" i="44" s="1"/>
  <c r="M287" i="40"/>
  <c r="O287" i="40" s="1"/>
  <c r="N288" i="40"/>
  <c r="K288" i="40"/>
  <c r="I288" i="40"/>
  <c r="E288" i="40"/>
  <c r="G288" i="40"/>
  <c r="B288" i="40"/>
  <c r="H288" i="40"/>
  <c r="E331" i="2" l="1"/>
  <c r="N331" i="2"/>
  <c r="K331" i="2"/>
  <c r="H331" i="2"/>
  <c r="B331" i="2"/>
  <c r="L331" i="2" s="1"/>
  <c r="I331" i="2"/>
  <c r="F331" i="2"/>
  <c r="D331" i="2"/>
  <c r="C331" i="2" s="1"/>
  <c r="F332" i="2" s="1"/>
  <c r="H283" i="50"/>
  <c r="D283" i="50"/>
  <c r="C284" i="50" s="1"/>
  <c r="N285" i="50" s="1"/>
  <c r="I283" i="50"/>
  <c r="N283" i="50"/>
  <c r="G283" i="50"/>
  <c r="J281" i="50"/>
  <c r="M281" i="50" s="1"/>
  <c r="O281" i="50" s="1"/>
  <c r="K283" i="50"/>
  <c r="B283" i="50"/>
  <c r="L283" i="50" s="1"/>
  <c r="F283" i="50"/>
  <c r="N286" i="50"/>
  <c r="G286" i="50"/>
  <c r="I286" i="50"/>
  <c r="H286" i="50"/>
  <c r="B286" i="50"/>
  <c r="L286" i="50" s="1"/>
  <c r="D286" i="50"/>
  <c r="C287" i="50" s="1"/>
  <c r="K286" i="50"/>
  <c r="F286" i="50"/>
  <c r="E286" i="50"/>
  <c r="H314" i="44"/>
  <c r="F314" i="44"/>
  <c r="K314" i="44"/>
  <c r="J313" i="44"/>
  <c r="M313" i="44" s="1"/>
  <c r="O313" i="44" s="1"/>
  <c r="N314" i="44"/>
  <c r="I314" i="44"/>
  <c r="E314" i="44"/>
  <c r="G314" i="44"/>
  <c r="B314" i="44"/>
  <c r="L314" i="44" s="1"/>
  <c r="D314" i="44"/>
  <c r="C314" i="44" s="1"/>
  <c r="D288" i="40"/>
  <c r="C288" i="40" s="1"/>
  <c r="F289" i="40" s="1"/>
  <c r="L288" i="40"/>
  <c r="J288" i="40"/>
  <c r="J331" i="2" l="1"/>
  <c r="M331" i="2" s="1"/>
  <c r="O331" i="2" s="1"/>
  <c r="I332" i="2"/>
  <c r="G332" i="2"/>
  <c r="H332" i="2"/>
  <c r="N332" i="2"/>
  <c r="B332" i="2"/>
  <c r="L332" i="2" s="1"/>
  <c r="K332" i="2"/>
  <c r="E332" i="2"/>
  <c r="D332" i="2" s="1"/>
  <c r="C332" i="2" s="1"/>
  <c r="E333" i="2" s="1"/>
  <c r="K285" i="50"/>
  <c r="I285" i="50"/>
  <c r="D285" i="50"/>
  <c r="C286" i="50" s="1"/>
  <c r="G287" i="50" s="1"/>
  <c r="B285" i="50"/>
  <c r="L285" i="50" s="1"/>
  <c r="F285" i="50"/>
  <c r="H285" i="50"/>
  <c r="E285" i="50"/>
  <c r="G285" i="50"/>
  <c r="J283" i="50"/>
  <c r="M283" i="50" s="1"/>
  <c r="O283" i="50" s="1"/>
  <c r="G288" i="50"/>
  <c r="D288" i="50"/>
  <c r="C289" i="50" s="1"/>
  <c r="N288" i="50"/>
  <c r="H288" i="50"/>
  <c r="K288" i="50"/>
  <c r="B288" i="50"/>
  <c r="L288" i="50" s="1"/>
  <c r="E288" i="50"/>
  <c r="F288" i="50"/>
  <c r="I288" i="50"/>
  <c r="J284" i="50"/>
  <c r="M284" i="50" s="1"/>
  <c r="O284" i="50" s="1"/>
  <c r="F315" i="44"/>
  <c r="K315" i="44"/>
  <c r="J314" i="44"/>
  <c r="M314" i="44" s="1"/>
  <c r="O314" i="44" s="1"/>
  <c r="B315" i="44"/>
  <c r="L315" i="44" s="1"/>
  <c r="D315" i="44" s="1"/>
  <c r="C315" i="44" s="1"/>
  <c r="E315" i="44"/>
  <c r="N315" i="44"/>
  <c r="H315" i="44"/>
  <c r="I315" i="44"/>
  <c r="G315" i="44"/>
  <c r="K289" i="40"/>
  <c r="N289" i="40"/>
  <c r="M288" i="40"/>
  <c r="O288" i="40" s="1"/>
  <c r="B289" i="40"/>
  <c r="L289" i="40" s="1"/>
  <c r="H289" i="40"/>
  <c r="G289" i="40"/>
  <c r="E289" i="40"/>
  <c r="I289" i="40"/>
  <c r="D289" i="40"/>
  <c r="C289" i="40" s="1"/>
  <c r="F290" i="40" s="1"/>
  <c r="J285" i="50" l="1"/>
  <c r="M285" i="50" s="1"/>
  <c r="O285" i="50" s="1"/>
  <c r="J332" i="2"/>
  <c r="M332" i="2" s="1"/>
  <c r="O332" i="2" s="1"/>
  <c r="G333" i="2"/>
  <c r="H333" i="2"/>
  <c r="B333" i="2"/>
  <c r="L333" i="2" s="1"/>
  <c r="I333" i="2"/>
  <c r="K333" i="2"/>
  <c r="F333" i="2"/>
  <c r="N333" i="2"/>
  <c r="N287" i="50"/>
  <c r="D333" i="2"/>
  <c r="C333" i="2" s="1"/>
  <c r="F334" i="2" s="1"/>
  <c r="K287" i="50"/>
  <c r="E287" i="50"/>
  <c r="H287" i="50"/>
  <c r="I287" i="50"/>
  <c r="F287" i="50"/>
  <c r="D287" i="50"/>
  <c r="C288" i="50" s="1"/>
  <c r="F289" i="50" s="1"/>
  <c r="B287" i="50"/>
  <c r="L287" i="50" s="1"/>
  <c r="H290" i="50"/>
  <c r="D290" i="50"/>
  <c r="C291" i="50" s="1"/>
  <c r="I290" i="50"/>
  <c r="K290" i="50"/>
  <c r="N290" i="50"/>
  <c r="F290" i="50"/>
  <c r="G290" i="50"/>
  <c r="E290" i="50"/>
  <c r="B290" i="50"/>
  <c r="L290" i="50" s="1"/>
  <c r="J286" i="50"/>
  <c r="M286" i="50" s="1"/>
  <c r="O286" i="50" s="1"/>
  <c r="H316" i="44"/>
  <c r="F316" i="44"/>
  <c r="K316" i="44"/>
  <c r="J315" i="44"/>
  <c r="M315" i="44" s="1"/>
  <c r="O315" i="44" s="1"/>
  <c r="E316" i="44"/>
  <c r="G316" i="44"/>
  <c r="B316" i="44"/>
  <c r="L316" i="44" s="1"/>
  <c r="D316" i="44" s="1"/>
  <c r="C316" i="44" s="1"/>
  <c r="N316" i="44"/>
  <c r="I316" i="44"/>
  <c r="K290" i="40"/>
  <c r="N290" i="40"/>
  <c r="J289" i="40"/>
  <c r="M289" i="40" s="1"/>
  <c r="O289" i="40" s="1"/>
  <c r="H290" i="40"/>
  <c r="G290" i="40"/>
  <c r="I290" i="40"/>
  <c r="E290" i="40"/>
  <c r="B290" i="40"/>
  <c r="J333" i="2" l="1"/>
  <c r="M333" i="2" s="1"/>
  <c r="O333" i="2" s="1"/>
  <c r="K334" i="2"/>
  <c r="H334" i="2"/>
  <c r="B334" i="2"/>
  <c r="L334" i="2" s="1"/>
  <c r="I334" i="2"/>
  <c r="N334" i="2"/>
  <c r="E334" i="2"/>
  <c r="G334" i="2"/>
  <c r="G289" i="50"/>
  <c r="H289" i="50"/>
  <c r="K289" i="50"/>
  <c r="B289" i="50"/>
  <c r="L289" i="50" s="1"/>
  <c r="N289" i="50"/>
  <c r="D289" i="50"/>
  <c r="C290" i="50" s="1"/>
  <c r="G291" i="50" s="1"/>
  <c r="E289" i="50"/>
  <c r="I289" i="50"/>
  <c r="D292" i="50"/>
  <c r="C293" i="50" s="1"/>
  <c r="G292" i="50"/>
  <c r="I292" i="50"/>
  <c r="B292" i="50"/>
  <c r="L292" i="50" s="1"/>
  <c r="H292" i="50"/>
  <c r="K292" i="50"/>
  <c r="N292" i="50"/>
  <c r="E292" i="50"/>
  <c r="F292" i="50"/>
  <c r="J287" i="50"/>
  <c r="M287" i="50" s="1"/>
  <c r="O287" i="50" s="1"/>
  <c r="K317" i="44"/>
  <c r="F317" i="44"/>
  <c r="J316" i="44"/>
  <c r="M316" i="44" s="1"/>
  <c r="O316" i="44" s="1"/>
  <c r="H317" i="44"/>
  <c r="B317" i="44"/>
  <c r="L317" i="44" s="1"/>
  <c r="D317" i="44" s="1"/>
  <c r="C317" i="44" s="1"/>
  <c r="E317" i="44"/>
  <c r="N317" i="44"/>
  <c r="I317" i="44"/>
  <c r="G317" i="44"/>
  <c r="J290" i="40"/>
  <c r="D290" i="40"/>
  <c r="C290" i="40" s="1"/>
  <c r="F291" i="40" s="1"/>
  <c r="L290" i="40"/>
  <c r="D334" i="2"/>
  <c r="C334" i="2" s="1"/>
  <c r="F335" i="2" s="1"/>
  <c r="N291" i="50" l="1"/>
  <c r="K291" i="50"/>
  <c r="B291" i="50"/>
  <c r="L291" i="50" s="1"/>
  <c r="F291" i="50"/>
  <c r="D291" i="50"/>
  <c r="C292" i="50" s="1"/>
  <c r="H293" i="50" s="1"/>
  <c r="I291" i="50"/>
  <c r="H291" i="50"/>
  <c r="E291" i="50"/>
  <c r="H294" i="50"/>
  <c r="G294" i="50"/>
  <c r="F294" i="50"/>
  <c r="D294" i="50"/>
  <c r="C295" i="50" s="1"/>
  <c r="I294" i="50"/>
  <c r="B294" i="50"/>
  <c r="L294" i="50" s="1"/>
  <c r="K294" i="50"/>
  <c r="E294" i="50"/>
  <c r="N294" i="50"/>
  <c r="J288" i="50"/>
  <c r="M288" i="50" s="1"/>
  <c r="O288" i="50" s="1"/>
  <c r="I318" i="44"/>
  <c r="F318" i="44"/>
  <c r="K318" i="44"/>
  <c r="K335" i="2"/>
  <c r="J334" i="2"/>
  <c r="M334" i="2" s="1"/>
  <c r="O334" i="2" s="1"/>
  <c r="N335" i="2"/>
  <c r="J317" i="44"/>
  <c r="M317" i="44" s="1"/>
  <c r="O317" i="44" s="1"/>
  <c r="B318" i="44"/>
  <c r="L318" i="44" s="1"/>
  <c r="D318" i="44" s="1"/>
  <c r="C318" i="44" s="1"/>
  <c r="H318" i="44"/>
  <c r="N318" i="44"/>
  <c r="E318" i="44"/>
  <c r="G318" i="44"/>
  <c r="M290" i="40"/>
  <c r="O290" i="40" s="1"/>
  <c r="K291" i="40"/>
  <c r="N291" i="40"/>
  <c r="I291" i="40"/>
  <c r="H291" i="40"/>
  <c r="E291" i="40"/>
  <c r="G291" i="40"/>
  <c r="B291" i="40"/>
  <c r="E335" i="2"/>
  <c r="H335" i="2"/>
  <c r="I335" i="2"/>
  <c r="B335" i="2"/>
  <c r="L335" i="2" s="1"/>
  <c r="G335" i="2"/>
  <c r="F293" i="50" l="1"/>
  <c r="K293" i="50"/>
  <c r="E293" i="50"/>
  <c r="I293" i="50"/>
  <c r="D293" i="50"/>
  <c r="C294" i="50" s="1"/>
  <c r="N295" i="50" s="1"/>
  <c r="N293" i="50"/>
  <c r="B293" i="50"/>
  <c r="L293" i="50" s="1"/>
  <c r="G293" i="50"/>
  <c r="I296" i="50"/>
  <c r="B296" i="50"/>
  <c r="L296" i="50" s="1"/>
  <c r="H296" i="50"/>
  <c r="N296" i="50"/>
  <c r="G296" i="50"/>
  <c r="E296" i="50"/>
  <c r="K296" i="50"/>
  <c r="D296" i="50"/>
  <c r="C297" i="50" s="1"/>
  <c r="F296" i="50"/>
  <c r="J289" i="50"/>
  <c r="M289" i="50" s="1"/>
  <c r="O289" i="50" s="1"/>
  <c r="G319" i="44"/>
  <c r="F319" i="44"/>
  <c r="K319" i="44"/>
  <c r="J318" i="44"/>
  <c r="M318" i="44" s="1"/>
  <c r="O318" i="44" s="1"/>
  <c r="N319" i="44"/>
  <c r="B319" i="44"/>
  <c r="L319" i="44" s="1"/>
  <c r="D319" i="44" s="1"/>
  <c r="C319" i="44" s="1"/>
  <c r="I319" i="44"/>
  <c r="E319" i="44"/>
  <c r="H319" i="44"/>
  <c r="D291" i="40"/>
  <c r="C291" i="40" s="1"/>
  <c r="F292" i="40" s="1"/>
  <c r="L291" i="40"/>
  <c r="J291" i="40"/>
  <c r="D335" i="2"/>
  <c r="C335" i="2" s="1"/>
  <c r="F336" i="2" s="1"/>
  <c r="E295" i="50" l="1"/>
  <c r="D295" i="50"/>
  <c r="C296" i="50" s="1"/>
  <c r="G297" i="50" s="1"/>
  <c r="K295" i="50"/>
  <c r="F295" i="50"/>
  <c r="G295" i="50"/>
  <c r="I295" i="50"/>
  <c r="B295" i="50"/>
  <c r="L295" i="50" s="1"/>
  <c r="H295" i="50"/>
  <c r="N298" i="50"/>
  <c r="I298" i="50"/>
  <c r="G298" i="50"/>
  <c r="H298" i="50"/>
  <c r="E298" i="50"/>
  <c r="B298" i="50"/>
  <c r="L298" i="50" s="1"/>
  <c r="K298" i="50"/>
  <c r="F298" i="50"/>
  <c r="D298" i="50"/>
  <c r="C299" i="50" s="1"/>
  <c r="J290" i="50"/>
  <c r="M290" i="50" s="1"/>
  <c r="O290" i="50" s="1"/>
  <c r="G320" i="44"/>
  <c r="K320" i="44"/>
  <c r="F320" i="44"/>
  <c r="K336" i="2"/>
  <c r="J335" i="2"/>
  <c r="M335" i="2" s="1"/>
  <c r="O335" i="2" s="1"/>
  <c r="N336" i="2"/>
  <c r="J319" i="44"/>
  <c r="M319" i="44" s="1"/>
  <c r="O319" i="44" s="1"/>
  <c r="D320" i="44"/>
  <c r="C320" i="44" s="1"/>
  <c r="N320" i="44"/>
  <c r="I320" i="44"/>
  <c r="H320" i="44"/>
  <c r="E320" i="44"/>
  <c r="B320" i="44"/>
  <c r="L320" i="44" s="1"/>
  <c r="K292" i="40"/>
  <c r="N292" i="40"/>
  <c r="M291" i="40"/>
  <c r="O291" i="40" s="1"/>
  <c r="I292" i="40"/>
  <c r="H292" i="40"/>
  <c r="G292" i="40"/>
  <c r="E292" i="40"/>
  <c r="B292" i="40"/>
  <c r="E336" i="2"/>
  <c r="G336" i="2"/>
  <c r="H336" i="2"/>
  <c r="I336" i="2"/>
  <c r="B336" i="2"/>
  <c r="L336" i="2" s="1"/>
  <c r="I297" i="50" l="1"/>
  <c r="E297" i="50"/>
  <c r="K297" i="50"/>
  <c r="D297" i="50"/>
  <c r="C298" i="50" s="1"/>
  <c r="D299" i="50" s="1"/>
  <c r="C300" i="50" s="1"/>
  <c r="F297" i="50"/>
  <c r="H297" i="50"/>
  <c r="B297" i="50"/>
  <c r="L297" i="50" s="1"/>
  <c r="N297" i="50"/>
  <c r="D300" i="50"/>
  <c r="C301" i="50" s="1"/>
  <c r="K300" i="50"/>
  <c r="H300" i="50"/>
  <c r="F300" i="50"/>
  <c r="G300" i="50"/>
  <c r="E300" i="50"/>
  <c r="N300" i="50"/>
  <c r="B300" i="50"/>
  <c r="L300" i="50" s="1"/>
  <c r="I300" i="50"/>
  <c r="J291" i="50"/>
  <c r="M291" i="50" s="1"/>
  <c r="O291" i="50" s="1"/>
  <c r="H321" i="44"/>
  <c r="K321" i="44"/>
  <c r="F321" i="44"/>
  <c r="G321" i="44"/>
  <c r="N321" i="44"/>
  <c r="E321" i="44"/>
  <c r="B321" i="44"/>
  <c r="L321" i="44" s="1"/>
  <c r="D321" i="44" s="1"/>
  <c r="C321" i="44" s="1"/>
  <c r="I321" i="44"/>
  <c r="J320" i="44"/>
  <c r="M320" i="44" s="1"/>
  <c r="O320" i="44" s="1"/>
  <c r="D336" i="2"/>
  <c r="C336" i="2" s="1"/>
  <c r="F337" i="2" s="1"/>
  <c r="J292" i="40"/>
  <c r="D292" i="40"/>
  <c r="C292" i="40" s="1"/>
  <c r="F293" i="40" s="1"/>
  <c r="L292" i="40"/>
  <c r="B299" i="50" l="1"/>
  <c r="L299" i="50" s="1"/>
  <c r="N299" i="50"/>
  <c r="I299" i="50"/>
  <c r="G299" i="50"/>
  <c r="K299" i="50"/>
  <c r="F299" i="50"/>
  <c r="E299" i="50"/>
  <c r="H299" i="50"/>
  <c r="F301" i="50"/>
  <c r="E301" i="50"/>
  <c r="K301" i="50"/>
  <c r="I301" i="50"/>
  <c r="G301" i="50"/>
  <c r="H301" i="50"/>
  <c r="D301" i="50"/>
  <c r="C302" i="50" s="1"/>
  <c r="H303" i="50" s="1"/>
  <c r="N301" i="50"/>
  <c r="B301" i="50"/>
  <c r="L301" i="50" s="1"/>
  <c r="K302" i="50"/>
  <c r="E302" i="50"/>
  <c r="F302" i="50"/>
  <c r="N302" i="50"/>
  <c r="G302" i="50"/>
  <c r="B302" i="50"/>
  <c r="L302" i="50" s="1"/>
  <c r="H302" i="50"/>
  <c r="D302" i="50"/>
  <c r="C303" i="50" s="1"/>
  <c r="I302" i="50"/>
  <c r="B322" i="44"/>
  <c r="L322" i="44" s="1"/>
  <c r="D322" i="44" s="1"/>
  <c r="C322" i="44" s="1"/>
  <c r="I323" i="44" s="1"/>
  <c r="K322" i="44"/>
  <c r="F322" i="44"/>
  <c r="K337" i="2"/>
  <c r="J336" i="2"/>
  <c r="M336" i="2" s="1"/>
  <c r="O336" i="2" s="1"/>
  <c r="N337" i="2"/>
  <c r="H322" i="44"/>
  <c r="I322" i="44"/>
  <c r="N322" i="44"/>
  <c r="E322" i="44"/>
  <c r="G322" i="44"/>
  <c r="J321" i="44"/>
  <c r="M321" i="44" s="1"/>
  <c r="O321" i="44" s="1"/>
  <c r="B337" i="2"/>
  <c r="L337" i="2" s="1"/>
  <c r="E337" i="2"/>
  <c r="I337" i="2"/>
  <c r="H337" i="2"/>
  <c r="G337" i="2"/>
  <c r="N293" i="40"/>
  <c r="K293" i="40"/>
  <c r="G293" i="40"/>
  <c r="H293" i="40"/>
  <c r="E293" i="40"/>
  <c r="I293" i="40"/>
  <c r="B293" i="40"/>
  <c r="M292" i="40"/>
  <c r="O292" i="40" s="1"/>
  <c r="D337" i="2" l="1"/>
  <c r="C337" i="2" s="1"/>
  <c r="F338" i="2" s="1"/>
  <c r="K303" i="50"/>
  <c r="E303" i="50"/>
  <c r="F303" i="50"/>
  <c r="G303" i="50"/>
  <c r="I303" i="50"/>
  <c r="N303" i="50"/>
  <c r="B303" i="50"/>
  <c r="L303" i="50" s="1"/>
  <c r="D303" i="50"/>
  <c r="C304" i="50" s="1"/>
  <c r="E305" i="50" s="1"/>
  <c r="F304" i="50"/>
  <c r="E304" i="50"/>
  <c r="K304" i="50"/>
  <c r="D304" i="50"/>
  <c r="C305" i="50" s="1"/>
  <c r="I304" i="50"/>
  <c r="J292" i="50"/>
  <c r="M292" i="50" s="1"/>
  <c r="O292" i="50" s="1"/>
  <c r="G304" i="50"/>
  <c r="B304" i="50"/>
  <c r="N304" i="50"/>
  <c r="H304" i="50"/>
  <c r="N323" i="44"/>
  <c r="E323" i="44"/>
  <c r="H323" i="44"/>
  <c r="B323" i="44"/>
  <c r="L323" i="44" s="1"/>
  <c r="D323" i="44" s="1"/>
  <c r="C323" i="44" s="1"/>
  <c r="E324" i="44" s="1"/>
  <c r="D324" i="44" s="1"/>
  <c r="C324" i="44" s="1"/>
  <c r="G323" i="44"/>
  <c r="F323" i="44"/>
  <c r="K323" i="44"/>
  <c r="J337" i="2"/>
  <c r="M337" i="2" s="1"/>
  <c r="O337" i="2" s="1"/>
  <c r="J322" i="44"/>
  <c r="M322" i="44" s="1"/>
  <c r="O322" i="44" s="1"/>
  <c r="D293" i="40"/>
  <c r="C293" i="40" s="1"/>
  <c r="F294" i="40" s="1"/>
  <c r="L293" i="40"/>
  <c r="J293" i="40"/>
  <c r="I338" i="2" l="1"/>
  <c r="B338" i="2"/>
  <c r="L338" i="2" s="1"/>
  <c r="G338" i="2"/>
  <c r="N338" i="2"/>
  <c r="H338" i="2"/>
  <c r="K338" i="2"/>
  <c r="E338" i="2"/>
  <c r="D338" i="2" s="1"/>
  <c r="C338" i="2" s="1"/>
  <c r="F339" i="2" s="1"/>
  <c r="F305" i="50"/>
  <c r="K305" i="50"/>
  <c r="D305" i="50"/>
  <c r="C306" i="50" s="1"/>
  <c r="F307" i="50" s="1"/>
  <c r="L304" i="50"/>
  <c r="K306" i="50"/>
  <c r="F306" i="50"/>
  <c r="E306" i="50"/>
  <c r="H305" i="50"/>
  <c r="D306" i="50"/>
  <c r="C307" i="50" s="1"/>
  <c r="J293" i="50"/>
  <c r="M293" i="50" s="1"/>
  <c r="O293" i="50" s="1"/>
  <c r="N305" i="50"/>
  <c r="B305" i="50"/>
  <c r="L305" i="50" s="1"/>
  <c r="G305" i="50"/>
  <c r="I305" i="50"/>
  <c r="I306" i="50"/>
  <c r="N306" i="50"/>
  <c r="J294" i="50"/>
  <c r="M294" i="50" s="1"/>
  <c r="O294" i="50" s="1"/>
  <c r="G306" i="50"/>
  <c r="H306" i="50"/>
  <c r="B306" i="50"/>
  <c r="J323" i="44"/>
  <c r="M323" i="44" s="1"/>
  <c r="O323" i="44" s="1"/>
  <c r="I324" i="44"/>
  <c r="H324" i="44"/>
  <c r="K324" i="44"/>
  <c r="G324" i="44"/>
  <c r="F324" i="44"/>
  <c r="B324" i="44"/>
  <c r="L324" i="44" s="1"/>
  <c r="N324" i="44"/>
  <c r="F325" i="44"/>
  <c r="K325" i="44"/>
  <c r="H325" i="44"/>
  <c r="I325" i="44"/>
  <c r="G325" i="44"/>
  <c r="E325" i="44"/>
  <c r="N325" i="44"/>
  <c r="B325" i="44"/>
  <c r="L325" i="44" s="1"/>
  <c r="D325" i="44" s="1"/>
  <c r="C325" i="44" s="1"/>
  <c r="N294" i="40"/>
  <c r="K294" i="40"/>
  <c r="M293" i="40"/>
  <c r="O293" i="40" s="1"/>
  <c r="I294" i="40"/>
  <c r="G294" i="40"/>
  <c r="B294" i="40"/>
  <c r="E294" i="40"/>
  <c r="H294" i="40"/>
  <c r="E307" i="50" l="1"/>
  <c r="K307" i="50"/>
  <c r="D307" i="50"/>
  <c r="C308" i="50" s="1"/>
  <c r="E309" i="50" s="1"/>
  <c r="L306" i="50"/>
  <c r="K308" i="50"/>
  <c r="F308" i="50"/>
  <c r="E308" i="50"/>
  <c r="B307" i="50"/>
  <c r="L307" i="50" s="1"/>
  <c r="G307" i="50"/>
  <c r="I307" i="50"/>
  <c r="H307" i="50"/>
  <c r="J295" i="50"/>
  <c r="M295" i="50" s="1"/>
  <c r="O295" i="50" s="1"/>
  <c r="N307" i="50"/>
  <c r="D308" i="50"/>
  <c r="C309" i="50" s="1"/>
  <c r="J324" i="44"/>
  <c r="M324" i="44" s="1"/>
  <c r="O324" i="44" s="1"/>
  <c r="F326" i="44"/>
  <c r="K326" i="44"/>
  <c r="K339" i="2"/>
  <c r="J338" i="2"/>
  <c r="M338" i="2" s="1"/>
  <c r="O338" i="2" s="1"/>
  <c r="N339" i="2"/>
  <c r="H326" i="44"/>
  <c r="I326" i="44"/>
  <c r="G326" i="44"/>
  <c r="E326" i="44"/>
  <c r="N326" i="44"/>
  <c r="J325" i="44"/>
  <c r="M325" i="44" s="1"/>
  <c r="O325" i="44" s="1"/>
  <c r="B326" i="44"/>
  <c r="L326" i="44" s="1"/>
  <c r="D326" i="44" s="1"/>
  <c r="C326" i="44" s="1"/>
  <c r="D294" i="40"/>
  <c r="C294" i="40" s="1"/>
  <c r="F295" i="40" s="1"/>
  <c r="L294" i="40"/>
  <c r="J294" i="40"/>
  <c r="E339" i="2"/>
  <c r="H339" i="2"/>
  <c r="B339" i="2"/>
  <c r="L339" i="2" s="1"/>
  <c r="I339" i="2"/>
  <c r="G339" i="2"/>
  <c r="K309" i="50" l="1"/>
  <c r="F309" i="50"/>
  <c r="F310" i="50"/>
  <c r="K310" i="50"/>
  <c r="E310" i="50"/>
  <c r="B308" i="50"/>
  <c r="L308" i="50" s="1"/>
  <c r="J296" i="50"/>
  <c r="M296" i="50" s="1"/>
  <c r="O296" i="50" s="1"/>
  <c r="N308" i="50"/>
  <c r="I308" i="50"/>
  <c r="G308" i="50"/>
  <c r="D309" i="50"/>
  <c r="C310" i="50" s="1"/>
  <c r="H308" i="50"/>
  <c r="F327" i="44"/>
  <c r="K327" i="44"/>
  <c r="G327" i="44"/>
  <c r="I327" i="44"/>
  <c r="H327" i="44"/>
  <c r="E327" i="44"/>
  <c r="N327" i="44"/>
  <c r="B327" i="44"/>
  <c r="L327" i="44" s="1"/>
  <c r="D327" i="44" s="1"/>
  <c r="C327" i="44" s="1"/>
  <c r="J326" i="44"/>
  <c r="M326" i="44" s="1"/>
  <c r="O326" i="44" s="1"/>
  <c r="N295" i="40"/>
  <c r="K295" i="40"/>
  <c r="M294" i="40"/>
  <c r="O294" i="40" s="1"/>
  <c r="H295" i="40"/>
  <c r="I295" i="40"/>
  <c r="B295" i="40"/>
  <c r="L295" i="40" s="1"/>
  <c r="G295" i="40"/>
  <c r="E295" i="40"/>
  <c r="D295" i="40" s="1"/>
  <c r="C295" i="40" s="1"/>
  <c r="F296" i="40" s="1"/>
  <c r="D339" i="2"/>
  <c r="C339" i="2" s="1"/>
  <c r="F340" i="2" s="1"/>
  <c r="K311" i="50" l="1"/>
  <c r="F311" i="50"/>
  <c r="E311" i="50"/>
  <c r="H309" i="50"/>
  <c r="I309" i="50"/>
  <c r="J297" i="50"/>
  <c r="M297" i="50" s="1"/>
  <c r="O297" i="50" s="1"/>
  <c r="G309" i="50"/>
  <c r="B309" i="50"/>
  <c r="N309" i="50"/>
  <c r="K328" i="44"/>
  <c r="F328" i="44"/>
  <c r="K340" i="2"/>
  <c r="J339" i="2"/>
  <c r="M339" i="2" s="1"/>
  <c r="O339" i="2" s="1"/>
  <c r="N340" i="2"/>
  <c r="H328" i="44"/>
  <c r="I328" i="44"/>
  <c r="G328" i="44"/>
  <c r="E328" i="44"/>
  <c r="N328" i="44"/>
  <c r="D328" i="44"/>
  <c r="C328" i="44" s="1"/>
  <c r="B328" i="44"/>
  <c r="L328" i="44" s="1"/>
  <c r="J327" i="44"/>
  <c r="M327" i="44" s="1"/>
  <c r="O327" i="44" s="1"/>
  <c r="N296" i="40"/>
  <c r="K296" i="40"/>
  <c r="J295" i="40"/>
  <c r="M295" i="40" s="1"/>
  <c r="O295" i="40" s="1"/>
  <c r="H296" i="40"/>
  <c r="G296" i="40"/>
  <c r="B296" i="40"/>
  <c r="E296" i="40"/>
  <c r="I296" i="40"/>
  <c r="E340" i="2"/>
  <c r="H340" i="2"/>
  <c r="I340" i="2"/>
  <c r="G340" i="2"/>
  <c r="B340" i="2"/>
  <c r="L340" i="2" s="1"/>
  <c r="D310" i="50" l="1"/>
  <c r="C311" i="50" s="1"/>
  <c r="F312" i="50" s="1"/>
  <c r="L309" i="50"/>
  <c r="N310" i="50"/>
  <c r="H310" i="50"/>
  <c r="I310" i="50"/>
  <c r="J298" i="50"/>
  <c r="M298" i="50" s="1"/>
  <c r="O298" i="50" s="1"/>
  <c r="G310" i="50"/>
  <c r="B310" i="50"/>
  <c r="K329" i="44"/>
  <c r="F329" i="44"/>
  <c r="D340" i="2"/>
  <c r="C340" i="2" s="1"/>
  <c r="F341" i="2" s="1"/>
  <c r="H329" i="44"/>
  <c r="G329" i="44"/>
  <c r="I329" i="44"/>
  <c r="E329" i="44"/>
  <c r="N329" i="44"/>
  <c r="J328" i="44"/>
  <c r="M328" i="44" s="1"/>
  <c r="O328" i="44" s="1"/>
  <c r="B329" i="44"/>
  <c r="L329" i="44" s="1"/>
  <c r="D329" i="44" s="1"/>
  <c r="C329" i="44" s="1"/>
  <c r="J296" i="40"/>
  <c r="D296" i="40"/>
  <c r="C296" i="40" s="1"/>
  <c r="F297" i="40" s="1"/>
  <c r="L296" i="40"/>
  <c r="E312" i="50" l="1"/>
  <c r="K312" i="50"/>
  <c r="D311" i="50"/>
  <c r="C312" i="50" s="1"/>
  <c r="F313" i="50" s="1"/>
  <c r="L310" i="50"/>
  <c r="H311" i="50"/>
  <c r="J299" i="50"/>
  <c r="M299" i="50" s="1"/>
  <c r="O299" i="50" s="1"/>
  <c r="G311" i="50"/>
  <c r="N311" i="50"/>
  <c r="B311" i="50"/>
  <c r="I311" i="50"/>
  <c r="F330" i="44"/>
  <c r="K330" i="44"/>
  <c r="K341" i="2"/>
  <c r="J340" i="2"/>
  <c r="M340" i="2" s="1"/>
  <c r="O340" i="2" s="1"/>
  <c r="N341" i="2"/>
  <c r="E341" i="2"/>
  <c r="G341" i="2"/>
  <c r="I341" i="2"/>
  <c r="H341" i="2"/>
  <c r="B341" i="2"/>
  <c r="L341" i="2" s="1"/>
  <c r="G330" i="44"/>
  <c r="H330" i="44"/>
  <c r="I330" i="44"/>
  <c r="E330" i="44"/>
  <c r="N330" i="44"/>
  <c r="B330" i="44"/>
  <c r="L330" i="44" s="1"/>
  <c r="D330" i="44" s="1"/>
  <c r="C330" i="44" s="1"/>
  <c r="J329" i="44"/>
  <c r="M329" i="44" s="1"/>
  <c r="O329" i="44" s="1"/>
  <c r="K297" i="40"/>
  <c r="N297" i="40"/>
  <c r="G297" i="40"/>
  <c r="B297" i="40"/>
  <c r="L297" i="40" s="1"/>
  <c r="I297" i="40"/>
  <c r="E297" i="40"/>
  <c r="H297" i="40"/>
  <c r="D297" i="40"/>
  <c r="C297" i="40" s="1"/>
  <c r="F298" i="40" s="1"/>
  <c r="M296" i="40"/>
  <c r="O296" i="40" s="1"/>
  <c r="E313" i="50" l="1"/>
  <c r="K313" i="50"/>
  <c r="D312" i="50"/>
  <c r="C313" i="50" s="1"/>
  <c r="K314" i="50" s="1"/>
  <c r="L311" i="50"/>
  <c r="G312" i="50"/>
  <c r="J300" i="50"/>
  <c r="M300" i="50" s="1"/>
  <c r="O300" i="50" s="1"/>
  <c r="H312" i="50"/>
  <c r="I312" i="50"/>
  <c r="B312" i="50"/>
  <c r="N312" i="50"/>
  <c r="F331" i="44"/>
  <c r="K331" i="44"/>
  <c r="D341" i="2"/>
  <c r="C341" i="2" s="1"/>
  <c r="F342" i="2" s="1"/>
  <c r="I331" i="44"/>
  <c r="G331" i="44"/>
  <c r="H331" i="44"/>
  <c r="E331" i="44"/>
  <c r="N331" i="44"/>
  <c r="B331" i="44"/>
  <c r="L331" i="44" s="1"/>
  <c r="D331" i="44" s="1"/>
  <c r="C331" i="44" s="1"/>
  <c r="J330" i="44"/>
  <c r="M330" i="44" s="1"/>
  <c r="O330" i="44" s="1"/>
  <c r="K298" i="40"/>
  <c r="N298" i="40"/>
  <c r="J297" i="40"/>
  <c r="M297" i="40" s="1"/>
  <c r="O297" i="40" s="1"/>
  <c r="B298" i="40"/>
  <c r="L298" i="40" s="1"/>
  <c r="I298" i="40"/>
  <c r="G298" i="40"/>
  <c r="H298" i="40"/>
  <c r="E298" i="40"/>
  <c r="D298" i="40" s="1"/>
  <c r="C298" i="40" s="1"/>
  <c r="F299" i="40" s="1"/>
  <c r="E314" i="50" l="1"/>
  <c r="F314" i="50"/>
  <c r="D313" i="50"/>
  <c r="C314" i="50" s="1"/>
  <c r="K315" i="50" s="1"/>
  <c r="L312" i="50"/>
  <c r="H313" i="50"/>
  <c r="J301" i="50"/>
  <c r="M301" i="50" s="1"/>
  <c r="O301" i="50" s="1"/>
  <c r="B313" i="50"/>
  <c r="L313" i="50" s="1"/>
  <c r="G313" i="50"/>
  <c r="I313" i="50"/>
  <c r="D314" i="50"/>
  <c r="C315" i="50" s="1"/>
  <c r="N313" i="50"/>
  <c r="F332" i="44"/>
  <c r="K332" i="44"/>
  <c r="K342" i="2"/>
  <c r="J341" i="2"/>
  <c r="M341" i="2" s="1"/>
  <c r="O341" i="2" s="1"/>
  <c r="N342" i="2"/>
  <c r="I342" i="2"/>
  <c r="B342" i="2"/>
  <c r="L342" i="2" s="1"/>
  <c r="E342" i="2"/>
  <c r="H342" i="2"/>
  <c r="G342" i="2"/>
  <c r="H332" i="44"/>
  <c r="I332" i="44"/>
  <c r="G332" i="44"/>
  <c r="E332" i="44"/>
  <c r="N332" i="44"/>
  <c r="J331" i="44"/>
  <c r="M331" i="44" s="1"/>
  <c r="O331" i="44" s="1"/>
  <c r="B332" i="44"/>
  <c r="L332" i="44" s="1"/>
  <c r="K299" i="40"/>
  <c r="N299" i="40"/>
  <c r="J298" i="40"/>
  <c r="M298" i="40" s="1"/>
  <c r="O298" i="40" s="1"/>
  <c r="H299" i="40"/>
  <c r="G299" i="40"/>
  <c r="I299" i="40"/>
  <c r="E299" i="40"/>
  <c r="B299" i="40"/>
  <c r="E315" i="50" l="1"/>
  <c r="F315" i="50"/>
  <c r="K316" i="50"/>
  <c r="F316" i="50"/>
  <c r="E316" i="50"/>
  <c r="J302" i="50"/>
  <c r="M302" i="50" s="1"/>
  <c r="O302" i="50" s="1"/>
  <c r="H314" i="50"/>
  <c r="N314" i="50"/>
  <c r="I314" i="50"/>
  <c r="B314" i="50"/>
  <c r="G314" i="50"/>
  <c r="D342" i="2"/>
  <c r="C342" i="2" s="1"/>
  <c r="D332" i="44"/>
  <c r="C332" i="44" s="1"/>
  <c r="J332" i="44"/>
  <c r="M332" i="44" s="1"/>
  <c r="O332" i="44" s="1"/>
  <c r="J299" i="40"/>
  <c r="D299" i="40"/>
  <c r="C299" i="40" s="1"/>
  <c r="F300" i="40" s="1"/>
  <c r="L299" i="40"/>
  <c r="D315" i="50" l="1"/>
  <c r="C316" i="50" s="1"/>
  <c r="K317" i="50" s="1"/>
  <c r="L314" i="50"/>
  <c r="H315" i="50"/>
  <c r="N315" i="50"/>
  <c r="J303" i="50"/>
  <c r="M303" i="50" s="1"/>
  <c r="O303" i="50" s="1"/>
  <c r="B315" i="50"/>
  <c r="G315" i="50"/>
  <c r="I315" i="50"/>
  <c r="J342" i="2"/>
  <c r="M342" i="2" s="1"/>
  <c r="O342" i="2" s="1"/>
  <c r="F343" i="2"/>
  <c r="K333" i="44"/>
  <c r="F333" i="44"/>
  <c r="N343" i="2"/>
  <c r="K343" i="2"/>
  <c r="I343" i="2"/>
  <c r="E343" i="2"/>
  <c r="B343" i="2"/>
  <c r="L343" i="2" s="1"/>
  <c r="G343" i="2"/>
  <c r="H343" i="2"/>
  <c r="B333" i="44"/>
  <c r="L333" i="44" s="1"/>
  <c r="N333" i="44"/>
  <c r="H333" i="44"/>
  <c r="E333" i="44"/>
  <c r="I333" i="44"/>
  <c r="G333" i="44"/>
  <c r="D333" i="44"/>
  <c r="C333" i="44" s="1"/>
  <c r="K300" i="40"/>
  <c r="N300" i="40"/>
  <c r="I300" i="40"/>
  <c r="G300" i="40"/>
  <c r="B300" i="40"/>
  <c r="L300" i="40" s="1"/>
  <c r="H300" i="40"/>
  <c r="E300" i="40"/>
  <c r="D300" i="40" s="1"/>
  <c r="C300" i="40" s="1"/>
  <c r="F301" i="40" s="1"/>
  <c r="M299" i="40"/>
  <c r="O299" i="40" s="1"/>
  <c r="D343" i="2" l="1"/>
  <c r="C343" i="2" s="1"/>
  <c r="F344" i="2" s="1"/>
  <c r="E317" i="50"/>
  <c r="F317" i="50"/>
  <c r="D316" i="50"/>
  <c r="C317" i="50" s="1"/>
  <c r="K318" i="50" s="1"/>
  <c r="L315" i="50"/>
  <c r="H316" i="50"/>
  <c r="I316" i="50"/>
  <c r="J304" i="50"/>
  <c r="M304" i="50" s="1"/>
  <c r="O304" i="50" s="1"/>
  <c r="G316" i="50"/>
  <c r="B316" i="50"/>
  <c r="N316" i="50"/>
  <c r="G334" i="44"/>
  <c r="F334" i="44"/>
  <c r="K334" i="44"/>
  <c r="J343" i="2"/>
  <c r="M343" i="2" s="1"/>
  <c r="O343" i="2" s="1"/>
  <c r="J333" i="44"/>
  <c r="M333" i="44" s="1"/>
  <c r="O333" i="44" s="1"/>
  <c r="H334" i="44"/>
  <c r="B334" i="44"/>
  <c r="L334" i="44" s="1"/>
  <c r="N334" i="44"/>
  <c r="E334" i="44"/>
  <c r="I334" i="44"/>
  <c r="D334" i="44"/>
  <c r="C334" i="44" s="1"/>
  <c r="N301" i="40"/>
  <c r="K301" i="40"/>
  <c r="I301" i="40"/>
  <c r="G301" i="40"/>
  <c r="E301" i="40"/>
  <c r="H301" i="40"/>
  <c r="B301" i="40"/>
  <c r="J300" i="40"/>
  <c r="M300" i="40" s="1"/>
  <c r="O300" i="40" s="1"/>
  <c r="B344" i="2" l="1"/>
  <c r="L344" i="2" s="1"/>
  <c r="K344" i="2"/>
  <c r="H344" i="2"/>
  <c r="N344" i="2"/>
  <c r="E344" i="2"/>
  <c r="D344" i="2" s="1"/>
  <c r="C344" i="2" s="1"/>
  <c r="F345" i="2" s="1"/>
  <c r="I344" i="2"/>
  <c r="G344" i="2"/>
  <c r="E318" i="50"/>
  <c r="F318" i="50"/>
  <c r="D317" i="50"/>
  <c r="C318" i="50" s="1"/>
  <c r="K319" i="50" s="1"/>
  <c r="L316" i="50"/>
  <c r="H317" i="50"/>
  <c r="J305" i="50"/>
  <c r="M305" i="50" s="1"/>
  <c r="O305" i="50" s="1"/>
  <c r="I317" i="50"/>
  <c r="N317" i="50"/>
  <c r="B317" i="50"/>
  <c r="G317" i="50"/>
  <c r="G335" i="44"/>
  <c r="F335" i="44"/>
  <c r="K335" i="44"/>
  <c r="J334" i="44"/>
  <c r="M334" i="44" s="1"/>
  <c r="O334" i="44" s="1"/>
  <c r="N335" i="44"/>
  <c r="I335" i="44"/>
  <c r="E335" i="44"/>
  <c r="H335" i="44"/>
  <c r="B335" i="44"/>
  <c r="L335" i="44" s="1"/>
  <c r="D335" i="44"/>
  <c r="C335" i="44" s="1"/>
  <c r="D301" i="40"/>
  <c r="C301" i="40" s="1"/>
  <c r="F302" i="40" s="1"/>
  <c r="L301" i="40"/>
  <c r="J301" i="40"/>
  <c r="J344" i="2" l="1"/>
  <c r="M344" i="2" s="1"/>
  <c r="O344" i="2" s="1"/>
  <c r="H345" i="2"/>
  <c r="E345" i="2"/>
  <c r="N345" i="2"/>
  <c r="I345" i="2"/>
  <c r="B345" i="2"/>
  <c r="L345" i="2" s="1"/>
  <c r="K345" i="2"/>
  <c r="G345" i="2"/>
  <c r="E319" i="50"/>
  <c r="F319" i="50"/>
  <c r="D318" i="50"/>
  <c r="C319" i="50" s="1"/>
  <c r="K320" i="50" s="1"/>
  <c r="L317" i="50"/>
  <c r="N318" i="50"/>
  <c r="G318" i="50"/>
  <c r="J306" i="50"/>
  <c r="M306" i="50" s="1"/>
  <c r="O306" i="50" s="1"/>
  <c r="H318" i="50"/>
  <c r="I318" i="50"/>
  <c r="B318" i="50"/>
  <c r="H336" i="44"/>
  <c r="K336" i="44"/>
  <c r="F336" i="44"/>
  <c r="J335" i="44"/>
  <c r="M335" i="44" s="1"/>
  <c r="O335" i="44" s="1"/>
  <c r="N336" i="44"/>
  <c r="G336" i="44"/>
  <c r="E336" i="44"/>
  <c r="I336" i="44"/>
  <c r="B336" i="44"/>
  <c r="L336" i="44" s="1"/>
  <c r="D336" i="44" s="1"/>
  <c r="C336" i="44" s="1"/>
  <c r="D345" i="2"/>
  <c r="C345" i="2" s="1"/>
  <c r="F346" i="2" s="1"/>
  <c r="N302" i="40"/>
  <c r="K302" i="40"/>
  <c r="M301" i="40"/>
  <c r="O301" i="40" s="1"/>
  <c r="I302" i="40"/>
  <c r="B302" i="40"/>
  <c r="G302" i="40"/>
  <c r="E302" i="40"/>
  <c r="H302" i="40"/>
  <c r="E320" i="50" l="1"/>
  <c r="F320" i="50"/>
  <c r="D319" i="50"/>
  <c r="C320" i="50" s="1"/>
  <c r="F321" i="50" s="1"/>
  <c r="L318" i="50"/>
  <c r="H319" i="50"/>
  <c r="I319" i="50"/>
  <c r="G319" i="50"/>
  <c r="J307" i="50"/>
  <c r="M307" i="50" s="1"/>
  <c r="O307" i="50" s="1"/>
  <c r="B319" i="50"/>
  <c r="N319" i="50"/>
  <c r="H337" i="44"/>
  <c r="F337" i="44"/>
  <c r="K337" i="44"/>
  <c r="K346" i="2"/>
  <c r="J345" i="2"/>
  <c r="M345" i="2" s="1"/>
  <c r="O345" i="2" s="1"/>
  <c r="N346" i="2"/>
  <c r="J336" i="44"/>
  <c r="M336" i="44" s="1"/>
  <c r="O336" i="44" s="1"/>
  <c r="N337" i="44"/>
  <c r="E337" i="44"/>
  <c r="G337" i="44"/>
  <c r="I337" i="44"/>
  <c r="B337" i="44"/>
  <c r="L337" i="44" s="1"/>
  <c r="D337" i="44" s="1"/>
  <c r="C337" i="44" s="1"/>
  <c r="I346" i="2"/>
  <c r="E346" i="2"/>
  <c r="B346" i="2"/>
  <c r="L346" i="2" s="1"/>
  <c r="G346" i="2"/>
  <c r="H346" i="2"/>
  <c r="J302" i="40"/>
  <c r="D302" i="40"/>
  <c r="C302" i="40" s="1"/>
  <c r="F303" i="40" s="1"/>
  <c r="L302" i="40"/>
  <c r="D346" i="2" l="1"/>
  <c r="C346" i="2" s="1"/>
  <c r="F347" i="2" s="1"/>
  <c r="E321" i="50"/>
  <c r="K321" i="50"/>
  <c r="D320" i="50"/>
  <c r="C321" i="50" s="1"/>
  <c r="K322" i="50" s="1"/>
  <c r="L319" i="50"/>
  <c r="B320" i="50"/>
  <c r="L320" i="50" s="1"/>
  <c r="N320" i="50"/>
  <c r="G320" i="50"/>
  <c r="J308" i="50"/>
  <c r="M308" i="50" s="1"/>
  <c r="O308" i="50" s="1"/>
  <c r="D321" i="50"/>
  <c r="C322" i="50" s="1"/>
  <c r="H320" i="50"/>
  <c r="I320" i="50"/>
  <c r="H338" i="44"/>
  <c r="F338" i="44"/>
  <c r="K338" i="44"/>
  <c r="J346" i="2"/>
  <c r="M346" i="2" s="1"/>
  <c r="O346" i="2" s="1"/>
  <c r="J337" i="44"/>
  <c r="M337" i="44" s="1"/>
  <c r="O337" i="44" s="1"/>
  <c r="E338" i="44"/>
  <c r="G338" i="44"/>
  <c r="B338" i="44"/>
  <c r="L338" i="44" s="1"/>
  <c r="D338" i="44" s="1"/>
  <c r="C338" i="44" s="1"/>
  <c r="N338" i="44"/>
  <c r="I338" i="44"/>
  <c r="M302" i="40"/>
  <c r="O302" i="40" s="1"/>
  <c r="N303" i="40"/>
  <c r="K303" i="40"/>
  <c r="I303" i="40"/>
  <c r="E303" i="40"/>
  <c r="H303" i="40"/>
  <c r="B303" i="40"/>
  <c r="L303" i="40" s="1"/>
  <c r="G303" i="40"/>
  <c r="D303" i="40"/>
  <c r="C303" i="40" s="1"/>
  <c r="F304" i="40" s="1"/>
  <c r="K347" i="2" l="1"/>
  <c r="H347" i="2"/>
  <c r="G347" i="2"/>
  <c r="I347" i="2"/>
  <c r="B347" i="2"/>
  <c r="L347" i="2" s="1"/>
  <c r="E347" i="2"/>
  <c r="N347" i="2"/>
  <c r="E322" i="50"/>
  <c r="F322" i="50"/>
  <c r="F323" i="50"/>
  <c r="K323" i="50"/>
  <c r="E323" i="50"/>
  <c r="I321" i="50"/>
  <c r="G321" i="50"/>
  <c r="N321" i="50"/>
  <c r="J309" i="50"/>
  <c r="M309" i="50" s="1"/>
  <c r="O309" i="50" s="1"/>
  <c r="H321" i="50"/>
  <c r="B321" i="50"/>
  <c r="H339" i="44"/>
  <c r="F339" i="44"/>
  <c r="K339" i="44"/>
  <c r="J338" i="44"/>
  <c r="M338" i="44" s="1"/>
  <c r="O338" i="44" s="1"/>
  <c r="N339" i="44"/>
  <c r="E339" i="44"/>
  <c r="G339" i="44"/>
  <c r="B339" i="44"/>
  <c r="L339" i="44" s="1"/>
  <c r="I339" i="44"/>
  <c r="D339" i="44"/>
  <c r="C339" i="44" s="1"/>
  <c r="N304" i="40"/>
  <c r="K304" i="40"/>
  <c r="H304" i="40"/>
  <c r="I304" i="40"/>
  <c r="G304" i="40"/>
  <c r="B304" i="40"/>
  <c r="E304" i="40"/>
  <c r="J303" i="40"/>
  <c r="M303" i="40" s="1"/>
  <c r="O303" i="40" s="1"/>
  <c r="D347" i="2" l="1"/>
  <c r="C347" i="2" s="1"/>
  <c r="F348" i="2" s="1"/>
  <c r="D322" i="50"/>
  <c r="C323" i="50" s="1"/>
  <c r="K324" i="50" s="1"/>
  <c r="L321" i="50"/>
  <c r="I322" i="50"/>
  <c r="H322" i="50"/>
  <c r="N322" i="50"/>
  <c r="J310" i="50"/>
  <c r="M310" i="50" s="1"/>
  <c r="O310" i="50" s="1"/>
  <c r="B322" i="50"/>
  <c r="G322" i="50"/>
  <c r="E340" i="44"/>
  <c r="F340" i="44"/>
  <c r="K340" i="44"/>
  <c r="J347" i="2"/>
  <c r="M347" i="2" s="1"/>
  <c r="O347" i="2" s="1"/>
  <c r="B340" i="44"/>
  <c r="L340" i="44" s="1"/>
  <c r="J339" i="44"/>
  <c r="M339" i="44" s="1"/>
  <c r="O339" i="44" s="1"/>
  <c r="N340" i="44"/>
  <c r="I340" i="44"/>
  <c r="H340" i="44"/>
  <c r="G340" i="44"/>
  <c r="D340" i="44"/>
  <c r="C340" i="44" s="1"/>
  <c r="D304" i="40"/>
  <c r="C304" i="40" s="1"/>
  <c r="F305" i="40" s="1"/>
  <c r="L304" i="40"/>
  <c r="J304" i="40"/>
  <c r="E348" i="2" l="1"/>
  <c r="K348" i="2"/>
  <c r="H348" i="2"/>
  <c r="G348" i="2"/>
  <c r="B348" i="2"/>
  <c r="L348" i="2" s="1"/>
  <c r="D348" i="2" s="1"/>
  <c r="C348" i="2" s="1"/>
  <c r="F349" i="2" s="1"/>
  <c r="N348" i="2"/>
  <c r="I348" i="2"/>
  <c r="E324" i="50"/>
  <c r="F324" i="50"/>
  <c r="D323" i="50"/>
  <c r="C324" i="50" s="1"/>
  <c r="F325" i="50" s="1"/>
  <c r="L322" i="50"/>
  <c r="I323" i="50"/>
  <c r="J311" i="50"/>
  <c r="M311" i="50" s="1"/>
  <c r="O311" i="50" s="1"/>
  <c r="G323" i="50"/>
  <c r="N323" i="50"/>
  <c r="H323" i="50"/>
  <c r="B323" i="50"/>
  <c r="L323" i="50" s="1"/>
  <c r="F341" i="44"/>
  <c r="K341" i="44"/>
  <c r="J340" i="44"/>
  <c r="M340" i="44" s="1"/>
  <c r="O340" i="44" s="1"/>
  <c r="N341" i="44"/>
  <c r="H341" i="44"/>
  <c r="E341" i="44"/>
  <c r="I341" i="44"/>
  <c r="G341" i="44"/>
  <c r="B341" i="44"/>
  <c r="L341" i="44" s="1"/>
  <c r="D341" i="44" s="1"/>
  <c r="C341" i="44" s="1"/>
  <c r="K305" i="40"/>
  <c r="N305" i="40"/>
  <c r="M304" i="40"/>
  <c r="O304" i="40" s="1"/>
  <c r="E305" i="40"/>
  <c r="B305" i="40"/>
  <c r="H305" i="40"/>
  <c r="G305" i="40"/>
  <c r="I305" i="40"/>
  <c r="E325" i="50" l="1"/>
  <c r="K325" i="50"/>
  <c r="G324" i="50"/>
  <c r="J312" i="50"/>
  <c r="M312" i="50" s="1"/>
  <c r="O312" i="50" s="1"/>
  <c r="B324" i="50"/>
  <c r="L324" i="50" s="1"/>
  <c r="H324" i="50"/>
  <c r="I324" i="50"/>
  <c r="N324" i="50"/>
  <c r="I342" i="44"/>
  <c r="F342" i="44"/>
  <c r="K342" i="44"/>
  <c r="K349" i="2"/>
  <c r="J348" i="2"/>
  <c r="M348" i="2" s="1"/>
  <c r="O348" i="2" s="1"/>
  <c r="N349" i="2"/>
  <c r="J341" i="44"/>
  <c r="M341" i="44" s="1"/>
  <c r="O341" i="44" s="1"/>
  <c r="B342" i="44"/>
  <c r="L342" i="44" s="1"/>
  <c r="H342" i="44"/>
  <c r="E342" i="44"/>
  <c r="N342" i="44"/>
  <c r="G342" i="44"/>
  <c r="D342" i="44"/>
  <c r="C342" i="44" s="1"/>
  <c r="J305" i="40"/>
  <c r="D305" i="40"/>
  <c r="C305" i="40" s="1"/>
  <c r="F306" i="40" s="1"/>
  <c r="L305" i="40"/>
  <c r="E349" i="2"/>
  <c r="B349" i="2"/>
  <c r="L349" i="2" s="1"/>
  <c r="D349" i="2" s="1"/>
  <c r="C349" i="2" s="1"/>
  <c r="F350" i="2" s="1"/>
  <c r="H349" i="2"/>
  <c r="G349" i="2"/>
  <c r="I349" i="2"/>
  <c r="D324" i="50" l="1"/>
  <c r="C325" i="50" s="1"/>
  <c r="I343" i="44"/>
  <c r="F343" i="44"/>
  <c r="K343" i="44"/>
  <c r="K350" i="2"/>
  <c r="J349" i="2"/>
  <c r="M349" i="2" s="1"/>
  <c r="O349" i="2" s="1"/>
  <c r="N350" i="2"/>
  <c r="H343" i="44"/>
  <c r="J342" i="44"/>
  <c r="M342" i="44" s="1"/>
  <c r="O342" i="44" s="1"/>
  <c r="G343" i="44"/>
  <c r="B343" i="44"/>
  <c r="L343" i="44" s="1"/>
  <c r="N343" i="44"/>
  <c r="E343" i="44"/>
  <c r="D343" i="44"/>
  <c r="C343" i="44" s="1"/>
  <c r="M305" i="40"/>
  <c r="O305" i="40" s="1"/>
  <c r="K306" i="40"/>
  <c r="N306" i="40"/>
  <c r="I306" i="40"/>
  <c r="B306" i="40"/>
  <c r="H306" i="40"/>
  <c r="E306" i="40"/>
  <c r="G306" i="40"/>
  <c r="E350" i="2"/>
  <c r="G350" i="2"/>
  <c r="B350" i="2"/>
  <c r="L350" i="2" s="1"/>
  <c r="H350" i="2"/>
  <c r="I350" i="2"/>
  <c r="D350" i="2" l="1"/>
  <c r="C350" i="2" s="1"/>
  <c r="F351" i="2" s="1"/>
  <c r="F326" i="50"/>
  <c r="K326" i="50"/>
  <c r="E326" i="50"/>
  <c r="H325" i="50"/>
  <c r="G325" i="50"/>
  <c r="N325" i="50"/>
  <c r="B325" i="50"/>
  <c r="L325" i="50" s="1"/>
  <c r="J313" i="50"/>
  <c r="M313" i="50" s="1"/>
  <c r="O313" i="50" s="1"/>
  <c r="D325" i="50"/>
  <c r="C326" i="50" s="1"/>
  <c r="I325" i="50"/>
  <c r="I344" i="44"/>
  <c r="K344" i="44"/>
  <c r="F344" i="44"/>
  <c r="J350" i="2"/>
  <c r="M350" i="2" s="1"/>
  <c r="O350" i="2" s="1"/>
  <c r="J343" i="44"/>
  <c r="M343" i="44" s="1"/>
  <c r="O343" i="44" s="1"/>
  <c r="H344" i="44"/>
  <c r="B344" i="44"/>
  <c r="L344" i="44" s="1"/>
  <c r="D344" i="44" s="1"/>
  <c r="C344" i="44" s="1"/>
  <c r="G344" i="44"/>
  <c r="N344" i="44"/>
  <c r="E344" i="44"/>
  <c r="D306" i="40"/>
  <c r="C306" i="40" s="1"/>
  <c r="F307" i="40" s="1"/>
  <c r="L306" i="40"/>
  <c r="J306" i="40"/>
  <c r="K351" i="2" l="1"/>
  <c r="H351" i="2"/>
  <c r="N351" i="2"/>
  <c r="E351" i="2"/>
  <c r="B351" i="2"/>
  <c r="L351" i="2" s="1"/>
  <c r="D351" i="2" s="1"/>
  <c r="C351" i="2" s="1"/>
  <c r="G351" i="2"/>
  <c r="I351" i="2"/>
  <c r="K327" i="50"/>
  <c r="F327" i="50"/>
  <c r="E327" i="50"/>
  <c r="J314" i="50"/>
  <c r="M314" i="50" s="1"/>
  <c r="O314" i="50" s="1"/>
  <c r="B326" i="50"/>
  <c r="L326" i="50" s="1"/>
  <c r="H326" i="50"/>
  <c r="I326" i="50"/>
  <c r="N326" i="50"/>
  <c r="D326" i="50"/>
  <c r="C327" i="50" s="1"/>
  <c r="G326" i="50"/>
  <c r="K345" i="44"/>
  <c r="F345" i="44"/>
  <c r="J344" i="44"/>
  <c r="M344" i="44" s="1"/>
  <c r="O344" i="44" s="1"/>
  <c r="B345" i="44"/>
  <c r="L345" i="44" s="1"/>
  <c r="H345" i="44"/>
  <c r="N345" i="44"/>
  <c r="E345" i="44"/>
  <c r="I345" i="44"/>
  <c r="D345" i="44"/>
  <c r="C345" i="44" s="1"/>
  <c r="G345" i="44"/>
  <c r="M306" i="40"/>
  <c r="O306" i="40" s="1"/>
  <c r="K307" i="40"/>
  <c r="N307" i="40"/>
  <c r="B307" i="40"/>
  <c r="H307" i="40"/>
  <c r="E307" i="40"/>
  <c r="G307" i="40"/>
  <c r="I307" i="40"/>
  <c r="F328" i="50" l="1"/>
  <c r="K328" i="50"/>
  <c r="E328" i="50"/>
  <c r="D327" i="50"/>
  <c r="C328" i="50" s="1"/>
  <c r="I327" i="50"/>
  <c r="D328" i="50"/>
  <c r="C329" i="50" s="1"/>
  <c r="G327" i="50"/>
  <c r="H327" i="50"/>
  <c r="J315" i="50"/>
  <c r="M315" i="50" s="1"/>
  <c r="O315" i="50" s="1"/>
  <c r="N327" i="50"/>
  <c r="B327" i="50"/>
  <c r="L327" i="50" s="1"/>
  <c r="I328" i="50"/>
  <c r="H328" i="50"/>
  <c r="G328" i="50"/>
  <c r="N328" i="50"/>
  <c r="J316" i="50"/>
  <c r="M316" i="50" s="1"/>
  <c r="O316" i="50" s="1"/>
  <c r="J351" i="2"/>
  <c r="M351" i="2" s="1"/>
  <c r="O351" i="2" s="1"/>
  <c r="F352" i="2"/>
  <c r="H346" i="44"/>
  <c r="K346" i="44"/>
  <c r="F346" i="44"/>
  <c r="K352" i="2"/>
  <c r="J345" i="44"/>
  <c r="M345" i="44" s="1"/>
  <c r="O345" i="44" s="1"/>
  <c r="D346" i="44"/>
  <c r="C346" i="44" s="1"/>
  <c r="E346" i="44"/>
  <c r="G346" i="44"/>
  <c r="N346" i="44"/>
  <c r="I346" i="44"/>
  <c r="B346" i="44"/>
  <c r="L346" i="44" s="1"/>
  <c r="J307" i="40"/>
  <c r="D307" i="40"/>
  <c r="C307" i="40" s="1"/>
  <c r="F308" i="40" s="1"/>
  <c r="L307" i="40"/>
  <c r="E352" i="2"/>
  <c r="N352" i="2"/>
  <c r="G352" i="2"/>
  <c r="I352" i="2"/>
  <c r="B352" i="2"/>
  <c r="L352" i="2" s="1"/>
  <c r="H352" i="2"/>
  <c r="F329" i="50" l="1"/>
  <c r="K329" i="50"/>
  <c r="K330" i="50"/>
  <c r="F330" i="50"/>
  <c r="E330" i="50"/>
  <c r="E329" i="50"/>
  <c r="B328" i="50"/>
  <c r="H329" i="50"/>
  <c r="N329" i="50"/>
  <c r="B329" i="50"/>
  <c r="L329" i="50" s="1"/>
  <c r="J317" i="50"/>
  <c r="M317" i="50" s="1"/>
  <c r="O317" i="50" s="1"/>
  <c r="I329" i="50"/>
  <c r="H347" i="44"/>
  <c r="F347" i="44"/>
  <c r="K347" i="44"/>
  <c r="G347" i="44"/>
  <c r="J346" i="44"/>
  <c r="M346" i="44" s="1"/>
  <c r="O346" i="44" s="1"/>
  <c r="B347" i="44"/>
  <c r="L347" i="44" s="1"/>
  <c r="D347" i="44" s="1"/>
  <c r="C347" i="44" s="1"/>
  <c r="N347" i="44"/>
  <c r="E347" i="44"/>
  <c r="I347" i="44"/>
  <c r="D352" i="2"/>
  <c r="C352" i="2" s="1"/>
  <c r="F353" i="2" s="1"/>
  <c r="K308" i="40"/>
  <c r="N308" i="40"/>
  <c r="I308" i="40"/>
  <c r="H308" i="40"/>
  <c r="G308" i="40"/>
  <c r="E308" i="40"/>
  <c r="B308" i="40"/>
  <c r="L308" i="40" s="1"/>
  <c r="D308" i="40"/>
  <c r="C308" i="40" s="1"/>
  <c r="F309" i="40" s="1"/>
  <c r="M307" i="40"/>
  <c r="O307" i="40" s="1"/>
  <c r="D329" i="50" l="1"/>
  <c r="C330" i="50" s="1"/>
  <c r="F331" i="50" s="1"/>
  <c r="L328" i="50"/>
  <c r="G329" i="50"/>
  <c r="D330" i="50"/>
  <c r="C331" i="50" s="1"/>
  <c r="G330" i="50"/>
  <c r="N330" i="50"/>
  <c r="I330" i="50"/>
  <c r="H330" i="50"/>
  <c r="F348" i="44"/>
  <c r="K348" i="44"/>
  <c r="K353" i="2"/>
  <c r="J352" i="2"/>
  <c r="M352" i="2" s="1"/>
  <c r="O352" i="2" s="1"/>
  <c r="E353" i="2"/>
  <c r="G348" i="44"/>
  <c r="J347" i="44"/>
  <c r="M347" i="44" s="1"/>
  <c r="O347" i="44" s="1"/>
  <c r="I348" i="44"/>
  <c r="H348" i="44"/>
  <c r="B348" i="44"/>
  <c r="L348" i="44" s="1"/>
  <c r="N348" i="44"/>
  <c r="D348" i="44"/>
  <c r="C348" i="44" s="1"/>
  <c r="E348" i="44"/>
  <c r="N353" i="2"/>
  <c r="I353" i="2"/>
  <c r="G353" i="2"/>
  <c r="B353" i="2"/>
  <c r="L353" i="2" s="1"/>
  <c r="H353" i="2"/>
  <c r="N309" i="40"/>
  <c r="K309" i="40"/>
  <c r="J308" i="40"/>
  <c r="M308" i="40" s="1"/>
  <c r="O308" i="40" s="1"/>
  <c r="B309" i="40"/>
  <c r="G309" i="40"/>
  <c r="H309" i="40"/>
  <c r="I309" i="40"/>
  <c r="E309" i="40"/>
  <c r="D353" i="2" l="1"/>
  <c r="C353" i="2" s="1"/>
  <c r="F354" i="2" s="1"/>
  <c r="E331" i="50"/>
  <c r="K331" i="50"/>
  <c r="K332" i="50"/>
  <c r="F332" i="50"/>
  <c r="E332" i="50"/>
  <c r="B330" i="50"/>
  <c r="J318" i="50"/>
  <c r="M318" i="50" s="1"/>
  <c r="O318" i="50" s="1"/>
  <c r="J319" i="50"/>
  <c r="M319" i="50" s="1"/>
  <c r="O319" i="50" s="1"/>
  <c r="I331" i="50"/>
  <c r="B331" i="50"/>
  <c r="N331" i="50"/>
  <c r="G331" i="50"/>
  <c r="H349" i="44"/>
  <c r="F349" i="44"/>
  <c r="K349" i="44"/>
  <c r="J353" i="2"/>
  <c r="M353" i="2" s="1"/>
  <c r="O353" i="2" s="1"/>
  <c r="J348" i="44"/>
  <c r="M348" i="44" s="1"/>
  <c r="O348" i="44" s="1"/>
  <c r="E349" i="44"/>
  <c r="I349" i="44"/>
  <c r="B349" i="44"/>
  <c r="L349" i="44" s="1"/>
  <c r="D349" i="44" s="1"/>
  <c r="C349" i="44" s="1"/>
  <c r="G349" i="44"/>
  <c r="N349" i="44"/>
  <c r="J309" i="40"/>
  <c r="D309" i="40"/>
  <c r="C309" i="40" s="1"/>
  <c r="F310" i="40" s="1"/>
  <c r="L309" i="40"/>
  <c r="I354" i="2" l="1"/>
  <c r="K354" i="2"/>
  <c r="G354" i="2"/>
  <c r="N354" i="2"/>
  <c r="E354" i="2"/>
  <c r="H354" i="2"/>
  <c r="B354" i="2"/>
  <c r="L354" i="2" s="1"/>
  <c r="D354" i="2" s="1"/>
  <c r="C354" i="2" s="1"/>
  <c r="F355" i="2" s="1"/>
  <c r="D332" i="50"/>
  <c r="C333" i="50" s="1"/>
  <c r="E334" i="50" s="1"/>
  <c r="L331" i="50"/>
  <c r="D331" i="50"/>
  <c r="C332" i="50" s="1"/>
  <c r="E333" i="50" s="1"/>
  <c r="L330" i="50"/>
  <c r="H331" i="50"/>
  <c r="G332" i="50"/>
  <c r="I332" i="50"/>
  <c r="H332" i="50"/>
  <c r="J320" i="50"/>
  <c r="M320" i="50" s="1"/>
  <c r="O320" i="50" s="1"/>
  <c r="B332" i="50"/>
  <c r="L332" i="50" s="1"/>
  <c r="N332" i="50"/>
  <c r="I350" i="44"/>
  <c r="F350" i="44"/>
  <c r="K350" i="44"/>
  <c r="J349" i="44"/>
  <c r="M349" i="44" s="1"/>
  <c r="O349" i="44" s="1"/>
  <c r="H350" i="44"/>
  <c r="B350" i="44"/>
  <c r="L350" i="44" s="1"/>
  <c r="D350" i="44" s="1"/>
  <c r="C350" i="44" s="1"/>
  <c r="N350" i="44"/>
  <c r="E350" i="44"/>
  <c r="G350" i="44"/>
  <c r="N310" i="40"/>
  <c r="K310" i="40"/>
  <c r="G310" i="40"/>
  <c r="H310" i="40"/>
  <c r="I310" i="40"/>
  <c r="B310" i="40"/>
  <c r="E310" i="40"/>
  <c r="M309" i="40"/>
  <c r="O309" i="40" s="1"/>
  <c r="J354" i="2" l="1"/>
  <c r="M354" i="2" s="1"/>
  <c r="O354" i="2" s="1"/>
  <c r="N355" i="2"/>
  <c r="G355" i="2"/>
  <c r="I355" i="2"/>
  <c r="E355" i="2"/>
  <c r="B355" i="2"/>
  <c r="L355" i="2" s="1"/>
  <c r="D355" i="2" s="1"/>
  <c r="C355" i="2" s="1"/>
  <c r="H355" i="2"/>
  <c r="K355" i="2"/>
  <c r="D333" i="50"/>
  <c r="C334" i="50" s="1"/>
  <c r="E335" i="50" s="1"/>
  <c r="F333" i="50"/>
  <c r="K333" i="50"/>
  <c r="F334" i="50"/>
  <c r="K334" i="50"/>
  <c r="B333" i="50"/>
  <c r="L333" i="50" s="1"/>
  <c r="I333" i="50"/>
  <c r="N333" i="50"/>
  <c r="J321" i="50"/>
  <c r="M321" i="50" s="1"/>
  <c r="O321" i="50" s="1"/>
  <c r="H333" i="50"/>
  <c r="G333" i="50"/>
  <c r="I351" i="44"/>
  <c r="F351" i="44"/>
  <c r="K351" i="44"/>
  <c r="J350" i="44"/>
  <c r="M350" i="44" s="1"/>
  <c r="O350" i="44" s="1"/>
  <c r="H351" i="44"/>
  <c r="G351" i="44"/>
  <c r="N351" i="44"/>
  <c r="E351" i="44"/>
  <c r="B351" i="44"/>
  <c r="L351" i="44" s="1"/>
  <c r="D351" i="44"/>
  <c r="C351" i="44" s="1"/>
  <c r="J310" i="40"/>
  <c r="D310" i="40"/>
  <c r="C310" i="40" s="1"/>
  <c r="F311" i="40" s="1"/>
  <c r="L310" i="40"/>
  <c r="F335" i="50" l="1"/>
  <c r="K335" i="50"/>
  <c r="N334" i="50"/>
  <c r="G334" i="50"/>
  <c r="H334" i="50"/>
  <c r="B334" i="50"/>
  <c r="L334" i="50" s="1"/>
  <c r="I334" i="50"/>
  <c r="J355" i="2"/>
  <c r="M355" i="2" s="1"/>
  <c r="O355" i="2" s="1"/>
  <c r="F356" i="2"/>
  <c r="G352" i="44"/>
  <c r="K352" i="44"/>
  <c r="F352" i="44"/>
  <c r="K356" i="2"/>
  <c r="J351" i="44"/>
  <c r="M351" i="44" s="1"/>
  <c r="O351" i="44" s="1"/>
  <c r="B352" i="44"/>
  <c r="L352" i="44" s="1"/>
  <c r="D352" i="44" s="1"/>
  <c r="C352" i="44" s="1"/>
  <c r="N352" i="44"/>
  <c r="E352" i="44"/>
  <c r="I352" i="44"/>
  <c r="H352" i="44"/>
  <c r="M310" i="40"/>
  <c r="O310" i="40" s="1"/>
  <c r="N311" i="40"/>
  <c r="K311" i="40"/>
  <c r="I311" i="40"/>
  <c r="B311" i="40"/>
  <c r="L311" i="40" s="1"/>
  <c r="D311" i="40"/>
  <c r="C311" i="40" s="1"/>
  <c r="F312" i="40" s="1"/>
  <c r="E311" i="40"/>
  <c r="G311" i="40"/>
  <c r="H311" i="40"/>
  <c r="N356" i="2"/>
  <c r="H356" i="2"/>
  <c r="G356" i="2"/>
  <c r="B356" i="2"/>
  <c r="L356" i="2" s="1"/>
  <c r="I356" i="2"/>
  <c r="E356" i="2"/>
  <c r="J322" i="50" l="1"/>
  <c r="M322" i="50" s="1"/>
  <c r="O322" i="50" s="1"/>
  <c r="D334" i="50"/>
  <c r="C335" i="50" s="1"/>
  <c r="F353" i="44"/>
  <c r="K353" i="44"/>
  <c r="G353" i="44"/>
  <c r="B353" i="44"/>
  <c r="L353" i="44" s="1"/>
  <c r="D353" i="44" s="1"/>
  <c r="C353" i="44" s="1"/>
  <c r="N353" i="44"/>
  <c r="I353" i="44"/>
  <c r="E353" i="44"/>
  <c r="H353" i="44"/>
  <c r="J352" i="44"/>
  <c r="M352" i="44" s="1"/>
  <c r="O352" i="44" s="1"/>
  <c r="N312" i="40"/>
  <c r="K312" i="40"/>
  <c r="J311" i="40"/>
  <c r="M311" i="40" s="1"/>
  <c r="O311" i="40" s="1"/>
  <c r="E312" i="40"/>
  <c r="G312" i="40"/>
  <c r="H312" i="40"/>
  <c r="I312" i="40"/>
  <c r="B312" i="40"/>
  <c r="D356" i="2"/>
  <c r="C356" i="2" s="1"/>
  <c r="F336" i="50" l="1"/>
  <c r="K336" i="50"/>
  <c r="E336" i="50"/>
  <c r="D335" i="50"/>
  <c r="C336" i="50" s="1"/>
  <c r="G335" i="50"/>
  <c r="H335" i="50"/>
  <c r="J323" i="50"/>
  <c r="M323" i="50" s="1"/>
  <c r="O323" i="50" s="1"/>
  <c r="B335" i="50"/>
  <c r="N335" i="50"/>
  <c r="I335" i="50"/>
  <c r="N336" i="50"/>
  <c r="J356" i="2"/>
  <c r="M356" i="2" s="1"/>
  <c r="O356" i="2" s="1"/>
  <c r="F357" i="2"/>
  <c r="H354" i="44"/>
  <c r="F354" i="44"/>
  <c r="K354" i="44"/>
  <c r="K357" i="2"/>
  <c r="J353" i="44"/>
  <c r="M353" i="44" s="1"/>
  <c r="O353" i="44" s="1"/>
  <c r="N354" i="44"/>
  <c r="B354" i="44"/>
  <c r="L354" i="44" s="1"/>
  <c r="D354" i="44" s="1"/>
  <c r="C354" i="44" s="1"/>
  <c r="G354" i="44"/>
  <c r="E354" i="44"/>
  <c r="I354" i="44"/>
  <c r="J312" i="40"/>
  <c r="D312" i="40"/>
  <c r="C312" i="40" s="1"/>
  <c r="F313" i="40" s="1"/>
  <c r="L312" i="40"/>
  <c r="I357" i="2"/>
  <c r="N357" i="2"/>
  <c r="B357" i="2"/>
  <c r="L357" i="2" s="1"/>
  <c r="H357" i="2"/>
  <c r="G357" i="2"/>
  <c r="E357" i="2"/>
  <c r="D357" i="2" l="1"/>
  <c r="C357" i="2" s="1"/>
  <c r="F358" i="2" s="1"/>
  <c r="D336" i="50"/>
  <c r="C337" i="50" s="1"/>
  <c r="K338" i="50" s="1"/>
  <c r="L335" i="50"/>
  <c r="K337" i="50"/>
  <c r="F337" i="50"/>
  <c r="E337" i="50"/>
  <c r="J324" i="50"/>
  <c r="M324" i="50" s="1"/>
  <c r="O324" i="50" s="1"/>
  <c r="B336" i="50"/>
  <c r="L336" i="50" s="1"/>
  <c r="I336" i="50"/>
  <c r="G336" i="50"/>
  <c r="H336" i="50"/>
  <c r="D337" i="50"/>
  <c r="C338" i="50" s="1"/>
  <c r="F355" i="44"/>
  <c r="K355" i="44"/>
  <c r="J357" i="2"/>
  <c r="M357" i="2" s="1"/>
  <c r="O357" i="2" s="1"/>
  <c r="J354" i="44"/>
  <c r="M354" i="44" s="1"/>
  <c r="O354" i="44" s="1"/>
  <c r="I355" i="44"/>
  <c r="B355" i="44"/>
  <c r="L355" i="44" s="1"/>
  <c r="D355" i="44" s="1"/>
  <c r="C355" i="44" s="1"/>
  <c r="N355" i="44"/>
  <c r="G355" i="44"/>
  <c r="E355" i="44"/>
  <c r="H355" i="44"/>
  <c r="M312" i="40"/>
  <c r="O312" i="40" s="1"/>
  <c r="K313" i="40"/>
  <c r="N313" i="40"/>
  <c r="H313" i="40"/>
  <c r="I313" i="40"/>
  <c r="E313" i="40"/>
  <c r="B313" i="40"/>
  <c r="G313" i="40"/>
  <c r="E358" i="2" l="1"/>
  <c r="N358" i="2"/>
  <c r="K358" i="2"/>
  <c r="B358" i="2"/>
  <c r="L358" i="2" s="1"/>
  <c r="D358" i="2" s="1"/>
  <c r="C358" i="2" s="1"/>
  <c r="F359" i="2" s="1"/>
  <c r="I358" i="2"/>
  <c r="G358" i="2"/>
  <c r="H358" i="2"/>
  <c r="E338" i="50"/>
  <c r="F338" i="50"/>
  <c r="F339" i="50"/>
  <c r="K339" i="50"/>
  <c r="E339" i="50"/>
  <c r="G337" i="50"/>
  <c r="J325" i="50"/>
  <c r="M325" i="50" s="1"/>
  <c r="O325" i="50" s="1"/>
  <c r="B337" i="50"/>
  <c r="H337" i="50"/>
  <c r="N337" i="50"/>
  <c r="I337" i="50"/>
  <c r="H338" i="50"/>
  <c r="J326" i="50"/>
  <c r="M326" i="50" s="1"/>
  <c r="O326" i="50" s="1"/>
  <c r="N338" i="50"/>
  <c r="F356" i="44"/>
  <c r="K356" i="44"/>
  <c r="J355" i="44"/>
  <c r="M355" i="44" s="1"/>
  <c r="O355" i="44" s="1"/>
  <c r="G356" i="44"/>
  <c r="I356" i="44"/>
  <c r="B356" i="44"/>
  <c r="L356" i="44" s="1"/>
  <c r="D356" i="44" s="1"/>
  <c r="C356" i="44" s="1"/>
  <c r="N356" i="44"/>
  <c r="H356" i="44"/>
  <c r="E356" i="44"/>
  <c r="J313" i="40"/>
  <c r="D313" i="40"/>
  <c r="C313" i="40" s="1"/>
  <c r="F314" i="40" s="1"/>
  <c r="L313" i="40"/>
  <c r="D338" i="50" l="1"/>
  <c r="C339" i="50" s="1"/>
  <c r="K340" i="50" s="1"/>
  <c r="L337" i="50"/>
  <c r="I338" i="50"/>
  <c r="G338" i="50"/>
  <c r="B338" i="50"/>
  <c r="L338" i="50" s="1"/>
  <c r="J327" i="50"/>
  <c r="M327" i="50" s="1"/>
  <c r="O327" i="50" s="1"/>
  <c r="N339" i="50"/>
  <c r="G339" i="50"/>
  <c r="H339" i="50"/>
  <c r="N357" i="44"/>
  <c r="F357" i="44"/>
  <c r="K357" i="44"/>
  <c r="K359" i="2"/>
  <c r="J358" i="2"/>
  <c r="M358" i="2" s="1"/>
  <c r="O358" i="2" s="1"/>
  <c r="N359" i="2"/>
  <c r="J356" i="44"/>
  <c r="M356" i="44" s="1"/>
  <c r="O356" i="44" s="1"/>
  <c r="G357" i="44"/>
  <c r="E357" i="44"/>
  <c r="I357" i="44"/>
  <c r="H357" i="44"/>
  <c r="B357" i="44"/>
  <c r="L357" i="44" s="1"/>
  <c r="D357" i="44" s="1"/>
  <c r="C357" i="44" s="1"/>
  <c r="K314" i="40"/>
  <c r="N314" i="40"/>
  <c r="E314" i="40"/>
  <c r="G314" i="40"/>
  <c r="H314" i="40"/>
  <c r="I314" i="40"/>
  <c r="B314" i="40"/>
  <c r="L314" i="40" s="1"/>
  <c r="D314" i="40"/>
  <c r="C314" i="40" s="1"/>
  <c r="F315" i="40" s="1"/>
  <c r="M313" i="40"/>
  <c r="O313" i="40" s="1"/>
  <c r="E359" i="2"/>
  <c r="H359" i="2"/>
  <c r="B359" i="2"/>
  <c r="L359" i="2" s="1"/>
  <c r="I359" i="2"/>
  <c r="G359" i="2"/>
  <c r="E340" i="50" l="1"/>
  <c r="F340" i="50"/>
  <c r="I339" i="50"/>
  <c r="D339" i="50"/>
  <c r="C340" i="50" s="1"/>
  <c r="B339" i="50"/>
  <c r="G340" i="50"/>
  <c r="G358" i="44"/>
  <c r="F358" i="44"/>
  <c r="K358" i="44"/>
  <c r="J357" i="44"/>
  <c r="M357" i="44" s="1"/>
  <c r="O357" i="44" s="1"/>
  <c r="I358" i="44"/>
  <c r="H358" i="44"/>
  <c r="B358" i="44"/>
  <c r="L358" i="44" s="1"/>
  <c r="D358" i="44" s="1"/>
  <c r="C358" i="44" s="1"/>
  <c r="N358" i="44"/>
  <c r="E358" i="44"/>
  <c r="K315" i="40"/>
  <c r="N315" i="40"/>
  <c r="J314" i="40"/>
  <c r="M314" i="40" s="1"/>
  <c r="O314" i="40" s="1"/>
  <c r="E315" i="40"/>
  <c r="B315" i="40"/>
  <c r="H315" i="40"/>
  <c r="I315" i="40"/>
  <c r="G315" i="40"/>
  <c r="D359" i="2"/>
  <c r="C359" i="2" s="1"/>
  <c r="F360" i="2" s="1"/>
  <c r="I340" i="50" l="1"/>
  <c r="L339" i="50"/>
  <c r="K341" i="50"/>
  <c r="F341" i="50"/>
  <c r="E341" i="50"/>
  <c r="B340" i="50"/>
  <c r="L340" i="50" s="1"/>
  <c r="N340" i="50"/>
  <c r="J328" i="50"/>
  <c r="M328" i="50" s="1"/>
  <c r="O328" i="50" s="1"/>
  <c r="H340" i="50"/>
  <c r="D340" i="50"/>
  <c r="C341" i="50" s="1"/>
  <c r="D341" i="50"/>
  <c r="C342" i="50" s="1"/>
  <c r="J358" i="44"/>
  <c r="M358" i="44" s="1"/>
  <c r="O358" i="44" s="1"/>
  <c r="G359" i="44"/>
  <c r="F359" i="44"/>
  <c r="K359" i="44"/>
  <c r="K360" i="2"/>
  <c r="J359" i="2"/>
  <c r="M359" i="2" s="1"/>
  <c r="O359" i="2" s="1"/>
  <c r="N360" i="2"/>
  <c r="H359" i="44"/>
  <c r="B359" i="44"/>
  <c r="L359" i="44" s="1"/>
  <c r="D359" i="44" s="1"/>
  <c r="C359" i="44" s="1"/>
  <c r="E359" i="44"/>
  <c r="I359" i="44"/>
  <c r="N359" i="44"/>
  <c r="J315" i="40"/>
  <c r="D315" i="40"/>
  <c r="C315" i="40" s="1"/>
  <c r="F316" i="40" s="1"/>
  <c r="L315" i="40"/>
  <c r="E360" i="2"/>
  <c r="H360" i="2"/>
  <c r="B360" i="2"/>
  <c r="L360" i="2" s="1"/>
  <c r="G360" i="2"/>
  <c r="I360" i="2"/>
  <c r="F342" i="50" l="1"/>
  <c r="K342" i="50"/>
  <c r="K343" i="50"/>
  <c r="F343" i="50"/>
  <c r="E342" i="50"/>
  <c r="E343" i="50"/>
  <c r="I341" i="50"/>
  <c r="N341" i="50"/>
  <c r="J329" i="50"/>
  <c r="M329" i="50" s="1"/>
  <c r="O329" i="50" s="1"/>
  <c r="H341" i="50"/>
  <c r="B341" i="50"/>
  <c r="L341" i="50" s="1"/>
  <c r="D342" i="50"/>
  <c r="C343" i="50" s="1"/>
  <c r="G341" i="50"/>
  <c r="I360" i="44"/>
  <c r="K360" i="44"/>
  <c r="F360" i="44"/>
  <c r="J359" i="44"/>
  <c r="M359" i="44" s="1"/>
  <c r="O359" i="44" s="1"/>
  <c r="H360" i="44"/>
  <c r="B360" i="44"/>
  <c r="L360" i="44" s="1"/>
  <c r="D360" i="44" s="1"/>
  <c r="C360" i="44" s="1"/>
  <c r="E360" i="44"/>
  <c r="N360" i="44"/>
  <c r="G360" i="44"/>
  <c r="M315" i="40"/>
  <c r="O315" i="40" s="1"/>
  <c r="K316" i="40"/>
  <c r="N316" i="40"/>
  <c r="H316" i="40"/>
  <c r="G316" i="40"/>
  <c r="I316" i="40"/>
  <c r="E316" i="40"/>
  <c r="B316" i="40"/>
  <c r="L316" i="40" s="1"/>
  <c r="D316" i="40"/>
  <c r="C316" i="40" s="1"/>
  <c r="F317" i="40" s="1"/>
  <c r="D360" i="2"/>
  <c r="C360" i="2" s="1"/>
  <c r="F361" i="2" s="1"/>
  <c r="F344" i="50" l="1"/>
  <c r="K344" i="50"/>
  <c r="E344" i="50"/>
  <c r="G342" i="50"/>
  <c r="H342" i="50"/>
  <c r="J330" i="50"/>
  <c r="M330" i="50" s="1"/>
  <c r="O330" i="50" s="1"/>
  <c r="B342" i="50"/>
  <c r="L342" i="50" s="1"/>
  <c r="I342" i="50"/>
  <c r="N342" i="50"/>
  <c r="H343" i="50"/>
  <c r="B343" i="50"/>
  <c r="L343" i="50" s="1"/>
  <c r="K361" i="44"/>
  <c r="F361" i="44"/>
  <c r="K361" i="2"/>
  <c r="J360" i="2"/>
  <c r="M360" i="2" s="1"/>
  <c r="O360" i="2" s="1"/>
  <c r="N361" i="2"/>
  <c r="J360" i="44"/>
  <c r="M360" i="44" s="1"/>
  <c r="O360" i="44" s="1"/>
  <c r="H361" i="44"/>
  <c r="B361" i="44"/>
  <c r="L361" i="44" s="1"/>
  <c r="D361" i="44" s="1"/>
  <c r="C361" i="44" s="1"/>
  <c r="G361" i="44"/>
  <c r="N361" i="44"/>
  <c r="E361" i="44"/>
  <c r="I361" i="44"/>
  <c r="N317" i="40"/>
  <c r="K317" i="40"/>
  <c r="G317" i="40"/>
  <c r="B317" i="40"/>
  <c r="I317" i="40"/>
  <c r="E317" i="40"/>
  <c r="H317" i="40"/>
  <c r="J316" i="40"/>
  <c r="M316" i="40" s="1"/>
  <c r="O316" i="40" s="1"/>
  <c r="E361" i="2"/>
  <c r="G361" i="2"/>
  <c r="B361" i="2"/>
  <c r="L361" i="2" s="1"/>
  <c r="I361" i="2"/>
  <c r="H361" i="2"/>
  <c r="N343" i="50" l="1"/>
  <c r="I343" i="50"/>
  <c r="J331" i="50"/>
  <c r="M331" i="50" s="1"/>
  <c r="O331" i="50" s="1"/>
  <c r="G343" i="50"/>
  <c r="D343" i="50"/>
  <c r="C344" i="50" s="1"/>
  <c r="H362" i="44"/>
  <c r="K362" i="44"/>
  <c r="F362" i="44"/>
  <c r="G362" i="44"/>
  <c r="J361" i="44"/>
  <c r="M361" i="44" s="1"/>
  <c r="O361" i="44" s="1"/>
  <c r="B362" i="44"/>
  <c r="L362" i="44" s="1"/>
  <c r="D362" i="44" s="1"/>
  <c r="C362" i="44" s="1"/>
  <c r="E362" i="44"/>
  <c r="N362" i="44"/>
  <c r="I362" i="44"/>
  <c r="J317" i="40"/>
  <c r="D317" i="40"/>
  <c r="C317" i="40" s="1"/>
  <c r="F318" i="40" s="1"/>
  <c r="L317" i="40"/>
  <c r="D361" i="2"/>
  <c r="C361" i="2" s="1"/>
  <c r="F362" i="2" s="1"/>
  <c r="K345" i="50" l="1"/>
  <c r="F345" i="50"/>
  <c r="E345" i="50"/>
  <c r="D344" i="50"/>
  <c r="C345" i="50" s="1"/>
  <c r="J332" i="50"/>
  <c r="M332" i="50" s="1"/>
  <c r="O332" i="50" s="1"/>
  <c r="H344" i="50"/>
  <c r="D345" i="50"/>
  <c r="C346" i="50" s="1"/>
  <c r="N344" i="50"/>
  <c r="I344" i="50"/>
  <c r="B344" i="50"/>
  <c r="L344" i="50" s="1"/>
  <c r="G344" i="50"/>
  <c r="G345" i="50"/>
  <c r="I345" i="50"/>
  <c r="H345" i="50"/>
  <c r="G363" i="44"/>
  <c r="F363" i="44"/>
  <c r="K363" i="44"/>
  <c r="K362" i="2"/>
  <c r="J361" i="2"/>
  <c r="M361" i="2" s="1"/>
  <c r="O361" i="2" s="1"/>
  <c r="N362" i="2"/>
  <c r="N363" i="44"/>
  <c r="H363" i="44"/>
  <c r="B363" i="44"/>
  <c r="L363" i="44" s="1"/>
  <c r="D363" i="44" s="1"/>
  <c r="C363" i="44" s="1"/>
  <c r="E363" i="44"/>
  <c r="I363" i="44"/>
  <c r="J362" i="44"/>
  <c r="M362" i="44" s="1"/>
  <c r="O362" i="44" s="1"/>
  <c r="N318" i="40"/>
  <c r="K318" i="40"/>
  <c r="B318" i="40"/>
  <c r="E318" i="40"/>
  <c r="G318" i="40"/>
  <c r="I318" i="40"/>
  <c r="H318" i="40"/>
  <c r="M317" i="40"/>
  <c r="O317" i="40" s="1"/>
  <c r="E362" i="2"/>
  <c r="H362" i="2"/>
  <c r="G362" i="2"/>
  <c r="B362" i="2"/>
  <c r="L362" i="2" s="1"/>
  <c r="I362" i="2"/>
  <c r="F347" i="50" l="1"/>
  <c r="K347" i="50"/>
  <c r="K346" i="50"/>
  <c r="F346" i="50"/>
  <c r="E347" i="50"/>
  <c r="E346" i="50"/>
  <c r="D346" i="50"/>
  <c r="C347" i="50" s="1"/>
  <c r="N345" i="50"/>
  <c r="B345" i="50"/>
  <c r="L345" i="50" s="1"/>
  <c r="J333" i="50"/>
  <c r="M333" i="50" s="1"/>
  <c r="O333" i="50" s="1"/>
  <c r="H346" i="50"/>
  <c r="B346" i="50"/>
  <c r="L346" i="50" s="1"/>
  <c r="J334" i="50"/>
  <c r="M334" i="50" s="1"/>
  <c r="O334" i="50" s="1"/>
  <c r="I346" i="50"/>
  <c r="G346" i="50"/>
  <c r="N346" i="50"/>
  <c r="H364" i="44"/>
  <c r="F364" i="44"/>
  <c r="K364" i="44"/>
  <c r="J363" i="44"/>
  <c r="M363" i="44" s="1"/>
  <c r="O363" i="44" s="1"/>
  <c r="B364" i="44"/>
  <c r="L364" i="44" s="1"/>
  <c r="D364" i="44" s="1"/>
  <c r="C364" i="44" s="1"/>
  <c r="E364" i="44"/>
  <c r="N364" i="44"/>
  <c r="G364" i="44"/>
  <c r="I364" i="44"/>
  <c r="J318" i="40"/>
  <c r="D318" i="40"/>
  <c r="C318" i="40" s="1"/>
  <c r="F319" i="40" s="1"/>
  <c r="L318" i="40"/>
  <c r="D362" i="2"/>
  <c r="C362" i="2" s="1"/>
  <c r="K348" i="50" l="1"/>
  <c r="F348" i="50"/>
  <c r="E348" i="50"/>
  <c r="D347" i="50"/>
  <c r="C348" i="50" s="1"/>
  <c r="H347" i="50"/>
  <c r="G347" i="50"/>
  <c r="I347" i="50"/>
  <c r="J362" i="2"/>
  <c r="M362" i="2" s="1"/>
  <c r="O362" i="2" s="1"/>
  <c r="F363" i="2"/>
  <c r="H365" i="44"/>
  <c r="K365" i="44"/>
  <c r="F365" i="44"/>
  <c r="K363" i="2"/>
  <c r="G365" i="44"/>
  <c r="B365" i="44"/>
  <c r="L365" i="44" s="1"/>
  <c r="D365" i="44" s="1"/>
  <c r="C365" i="44" s="1"/>
  <c r="N365" i="44"/>
  <c r="E365" i="44"/>
  <c r="I365" i="44"/>
  <c r="J364" i="44"/>
  <c r="M364" i="44" s="1"/>
  <c r="O364" i="44" s="1"/>
  <c r="N319" i="40"/>
  <c r="K319" i="40"/>
  <c r="B319" i="40"/>
  <c r="I319" i="40"/>
  <c r="H319" i="40"/>
  <c r="E319" i="40"/>
  <c r="G319" i="40"/>
  <c r="M318" i="40"/>
  <c r="O318" i="40" s="1"/>
  <c r="E363" i="2"/>
  <c r="N363" i="2"/>
  <c r="H363" i="2"/>
  <c r="B363" i="2"/>
  <c r="L363" i="2" s="1"/>
  <c r="I363" i="2"/>
  <c r="G363" i="2"/>
  <c r="K349" i="50" l="1"/>
  <c r="F349" i="50"/>
  <c r="E349" i="50"/>
  <c r="J335" i="50"/>
  <c r="M335" i="50" s="1"/>
  <c r="O335" i="50" s="1"/>
  <c r="B347" i="50"/>
  <c r="L347" i="50" s="1"/>
  <c r="N347" i="50"/>
  <c r="D348" i="50"/>
  <c r="C349" i="50" s="1"/>
  <c r="G348" i="50"/>
  <c r="J336" i="50"/>
  <c r="M336" i="50" s="1"/>
  <c r="O336" i="50" s="1"/>
  <c r="H348" i="50"/>
  <c r="G366" i="44"/>
  <c r="F366" i="44"/>
  <c r="K366" i="44"/>
  <c r="B366" i="44"/>
  <c r="L366" i="44" s="1"/>
  <c r="D366" i="44" s="1"/>
  <c r="C366" i="44" s="1"/>
  <c r="N366" i="44"/>
  <c r="J365" i="44"/>
  <c r="M365" i="44" s="1"/>
  <c r="O365" i="44" s="1"/>
  <c r="I366" i="44"/>
  <c r="E366" i="44"/>
  <c r="H366" i="44"/>
  <c r="D363" i="2"/>
  <c r="C363" i="2" s="1"/>
  <c r="F364" i="2" s="1"/>
  <c r="J319" i="40"/>
  <c r="D319" i="40"/>
  <c r="C319" i="40" s="1"/>
  <c r="F320" i="40" s="1"/>
  <c r="L319" i="40"/>
  <c r="F350" i="50" l="1"/>
  <c r="K350" i="50"/>
  <c r="E350" i="50"/>
  <c r="I348" i="50"/>
  <c r="N348" i="50"/>
  <c r="B348" i="50"/>
  <c r="I349" i="50"/>
  <c r="J337" i="50"/>
  <c r="M337" i="50" s="1"/>
  <c r="O337" i="50" s="1"/>
  <c r="B367" i="44"/>
  <c r="L367" i="44" s="1"/>
  <c r="F367" i="44"/>
  <c r="K367" i="44"/>
  <c r="K364" i="2"/>
  <c r="J363" i="2"/>
  <c r="M363" i="2" s="1"/>
  <c r="O363" i="2" s="1"/>
  <c r="N367" i="44"/>
  <c r="E367" i="44"/>
  <c r="H367" i="44"/>
  <c r="G367" i="44"/>
  <c r="I367" i="44"/>
  <c r="N364" i="2"/>
  <c r="J366" i="44"/>
  <c r="M366" i="44" s="1"/>
  <c r="O366" i="44" s="1"/>
  <c r="G364" i="2"/>
  <c r="H364" i="2"/>
  <c r="E364" i="2"/>
  <c r="B364" i="2"/>
  <c r="L364" i="2" s="1"/>
  <c r="D364" i="2" s="1"/>
  <c r="C364" i="2" s="1"/>
  <c r="F365" i="2" s="1"/>
  <c r="I364" i="2"/>
  <c r="D367" i="44"/>
  <c r="C367" i="44" s="1"/>
  <c r="N320" i="40"/>
  <c r="K320" i="40"/>
  <c r="E320" i="40"/>
  <c r="B320" i="40"/>
  <c r="L320" i="40" s="1"/>
  <c r="G320" i="40"/>
  <c r="H320" i="40"/>
  <c r="I320" i="40"/>
  <c r="D320" i="40"/>
  <c r="C320" i="40" s="1"/>
  <c r="F321" i="40" s="1"/>
  <c r="M319" i="40"/>
  <c r="O319" i="40" s="1"/>
  <c r="D349" i="50" l="1"/>
  <c r="C350" i="50" s="1"/>
  <c r="K351" i="50" s="1"/>
  <c r="L348" i="50"/>
  <c r="H349" i="50"/>
  <c r="G349" i="50"/>
  <c r="N349" i="50"/>
  <c r="B349" i="50"/>
  <c r="I350" i="50"/>
  <c r="H368" i="44"/>
  <c r="K368" i="44"/>
  <c r="F368" i="44"/>
  <c r="K365" i="2"/>
  <c r="J364" i="2"/>
  <c r="M364" i="2" s="1"/>
  <c r="O364" i="2" s="1"/>
  <c r="J367" i="44"/>
  <c r="M367" i="44" s="1"/>
  <c r="O367" i="44" s="1"/>
  <c r="N365" i="2"/>
  <c r="N368" i="44"/>
  <c r="G368" i="44"/>
  <c r="B368" i="44"/>
  <c r="L368" i="44" s="1"/>
  <c r="D368" i="44" s="1"/>
  <c r="C368" i="44" s="1"/>
  <c r="E368" i="44"/>
  <c r="I368" i="44"/>
  <c r="H365" i="2"/>
  <c r="B365" i="2"/>
  <c r="L365" i="2" s="1"/>
  <c r="I365" i="2"/>
  <c r="E365" i="2"/>
  <c r="G365" i="2"/>
  <c r="K321" i="40"/>
  <c r="N321" i="40"/>
  <c r="J320" i="40"/>
  <c r="M320" i="40" s="1"/>
  <c r="O320" i="40" s="1"/>
  <c r="G321" i="40"/>
  <c r="E321" i="40"/>
  <c r="H321" i="40"/>
  <c r="I321" i="40"/>
  <c r="B321" i="40"/>
  <c r="L321" i="40" s="1"/>
  <c r="D321" i="40"/>
  <c r="C321" i="40" s="1"/>
  <c r="F322" i="40" s="1"/>
  <c r="E351" i="50" l="1"/>
  <c r="F351" i="50"/>
  <c r="D350" i="50"/>
  <c r="C351" i="50" s="1"/>
  <c r="F352" i="50" s="1"/>
  <c r="L349" i="50"/>
  <c r="H350" i="50"/>
  <c r="J338" i="50"/>
  <c r="M338" i="50" s="1"/>
  <c r="O338" i="50" s="1"/>
  <c r="G350" i="50"/>
  <c r="N350" i="50"/>
  <c r="B350" i="50"/>
  <c r="H369" i="44"/>
  <c r="F369" i="44"/>
  <c r="K369" i="44"/>
  <c r="D365" i="2"/>
  <c r="C365" i="2" s="1"/>
  <c r="J368" i="44"/>
  <c r="M368" i="44" s="1"/>
  <c r="O368" i="44" s="1"/>
  <c r="B369" i="44"/>
  <c r="L369" i="44" s="1"/>
  <c r="D369" i="44" s="1"/>
  <c r="C369" i="44" s="1"/>
  <c r="N369" i="44"/>
  <c r="G369" i="44"/>
  <c r="E369" i="44"/>
  <c r="I369" i="44"/>
  <c r="K322" i="40"/>
  <c r="N322" i="40"/>
  <c r="I322" i="40"/>
  <c r="B322" i="40"/>
  <c r="G322" i="40"/>
  <c r="E322" i="40"/>
  <c r="H322" i="40"/>
  <c r="J321" i="40"/>
  <c r="M321" i="40" s="1"/>
  <c r="O321" i="40" s="1"/>
  <c r="E352" i="50" l="1"/>
  <c r="K352" i="50"/>
  <c r="D351" i="50"/>
  <c r="C352" i="50" s="1"/>
  <c r="F353" i="50" s="1"/>
  <c r="L350" i="50"/>
  <c r="G351" i="50"/>
  <c r="B351" i="50"/>
  <c r="H351" i="50"/>
  <c r="J339" i="50"/>
  <c r="M339" i="50" s="1"/>
  <c r="O339" i="50" s="1"/>
  <c r="I351" i="50"/>
  <c r="N351" i="50"/>
  <c r="I352" i="50"/>
  <c r="G352" i="50"/>
  <c r="J340" i="50"/>
  <c r="M340" i="50" s="1"/>
  <c r="O340" i="50" s="1"/>
  <c r="H352" i="50"/>
  <c r="N352" i="50"/>
  <c r="B352" i="50"/>
  <c r="J365" i="2"/>
  <c r="M365" i="2" s="1"/>
  <c r="O365" i="2" s="1"/>
  <c r="F366" i="2"/>
  <c r="F370" i="44"/>
  <c r="K370" i="44"/>
  <c r="N366" i="2"/>
  <c r="K366" i="2"/>
  <c r="H366" i="2"/>
  <c r="B366" i="2"/>
  <c r="L366" i="2" s="1"/>
  <c r="G366" i="2"/>
  <c r="I366" i="2"/>
  <c r="E366" i="2"/>
  <c r="G370" i="44"/>
  <c r="J369" i="44"/>
  <c r="M369" i="44" s="1"/>
  <c r="O369" i="44" s="1"/>
  <c r="N370" i="44"/>
  <c r="B370" i="44"/>
  <c r="L370" i="44" s="1"/>
  <c r="D370" i="44" s="1"/>
  <c r="C370" i="44" s="1"/>
  <c r="I370" i="44"/>
  <c r="H370" i="44"/>
  <c r="E370" i="44"/>
  <c r="J322" i="40"/>
  <c r="D322" i="40"/>
  <c r="C322" i="40" s="1"/>
  <c r="F323" i="40" s="1"/>
  <c r="L322" i="40"/>
  <c r="D366" i="2" l="1"/>
  <c r="C366" i="2" s="1"/>
  <c r="F367" i="2" s="1"/>
  <c r="E353" i="50"/>
  <c r="K353" i="50"/>
  <c r="D352" i="50"/>
  <c r="C353" i="50" s="1"/>
  <c r="E354" i="50" s="1"/>
  <c r="L351" i="50"/>
  <c r="D353" i="50"/>
  <c r="C354" i="50" s="1"/>
  <c r="E355" i="50" s="1"/>
  <c r="L352" i="50"/>
  <c r="G353" i="50"/>
  <c r="J341" i="50"/>
  <c r="M341" i="50" s="1"/>
  <c r="O341" i="50" s="1"/>
  <c r="N353" i="50"/>
  <c r="B353" i="50"/>
  <c r="H353" i="50"/>
  <c r="I353" i="50"/>
  <c r="G371" i="44"/>
  <c r="F371" i="44"/>
  <c r="K371" i="44"/>
  <c r="J366" i="2"/>
  <c r="M366" i="2" s="1"/>
  <c r="O366" i="2" s="1"/>
  <c r="J370" i="44"/>
  <c r="M370" i="44" s="1"/>
  <c r="O370" i="44" s="1"/>
  <c r="B371" i="44"/>
  <c r="L371" i="44" s="1"/>
  <c r="I371" i="44"/>
  <c r="H371" i="44"/>
  <c r="N371" i="44"/>
  <c r="E371" i="44"/>
  <c r="D371" i="44"/>
  <c r="C371" i="44" s="1"/>
  <c r="K323" i="40"/>
  <c r="N323" i="40"/>
  <c r="E323" i="40"/>
  <c r="G323" i="40"/>
  <c r="B323" i="40"/>
  <c r="H323" i="40"/>
  <c r="I323" i="40"/>
  <c r="M322" i="40"/>
  <c r="O322" i="40" s="1"/>
  <c r="D367" i="2" l="1"/>
  <c r="C367" i="2" s="1"/>
  <c r="F368" i="2" s="1"/>
  <c r="H367" i="2"/>
  <c r="E367" i="2"/>
  <c r="N367" i="2"/>
  <c r="G367" i="2"/>
  <c r="I367" i="2"/>
  <c r="B367" i="2"/>
  <c r="L367" i="2" s="1"/>
  <c r="K367" i="2"/>
  <c r="F354" i="50"/>
  <c r="K354" i="50"/>
  <c r="K355" i="50"/>
  <c r="F355" i="50"/>
  <c r="D354" i="50"/>
  <c r="C355" i="50" s="1"/>
  <c r="K356" i="50" s="1"/>
  <c r="L353" i="50"/>
  <c r="G354" i="50"/>
  <c r="J342" i="50"/>
  <c r="M342" i="50" s="1"/>
  <c r="O342" i="50" s="1"/>
  <c r="H354" i="50"/>
  <c r="B354" i="50"/>
  <c r="N354" i="50"/>
  <c r="I354" i="50"/>
  <c r="H372" i="44"/>
  <c r="F372" i="44"/>
  <c r="K372" i="44"/>
  <c r="J371" i="44"/>
  <c r="M371" i="44" s="1"/>
  <c r="O371" i="44" s="1"/>
  <c r="N372" i="44"/>
  <c r="B372" i="44"/>
  <c r="L372" i="44" s="1"/>
  <c r="G372" i="44"/>
  <c r="E372" i="44"/>
  <c r="I372" i="44"/>
  <c r="D372" i="44"/>
  <c r="C372" i="44" s="1"/>
  <c r="D323" i="40"/>
  <c r="C323" i="40" s="1"/>
  <c r="F324" i="40" s="1"/>
  <c r="L323" i="40"/>
  <c r="J323" i="40"/>
  <c r="N368" i="2" l="1"/>
  <c r="B368" i="2"/>
  <c r="L368" i="2" s="1"/>
  <c r="J367" i="2"/>
  <c r="M367" i="2" s="1"/>
  <c r="O367" i="2" s="1"/>
  <c r="I368" i="2"/>
  <c r="E368" i="2"/>
  <c r="G368" i="2"/>
  <c r="K368" i="2"/>
  <c r="H368" i="2"/>
  <c r="F356" i="50"/>
  <c r="E356" i="50"/>
  <c r="D355" i="50"/>
  <c r="C356" i="50" s="1"/>
  <c r="F357" i="50" s="1"/>
  <c r="L354" i="50"/>
  <c r="H355" i="50"/>
  <c r="J343" i="50"/>
  <c r="M343" i="50" s="1"/>
  <c r="O343" i="50" s="1"/>
  <c r="G355" i="50"/>
  <c r="B355" i="50"/>
  <c r="I355" i="50"/>
  <c r="N355" i="50"/>
  <c r="H373" i="44"/>
  <c r="F373" i="44"/>
  <c r="K373" i="44"/>
  <c r="J372" i="44"/>
  <c r="M372" i="44" s="1"/>
  <c r="O372" i="44" s="1"/>
  <c r="B373" i="44"/>
  <c r="L373" i="44" s="1"/>
  <c r="D373" i="44" s="1"/>
  <c r="C373" i="44" s="1"/>
  <c r="G373" i="44"/>
  <c r="I373" i="44"/>
  <c r="N373" i="44"/>
  <c r="E373" i="44"/>
  <c r="K324" i="40"/>
  <c r="N324" i="40"/>
  <c r="M323" i="40"/>
  <c r="O323" i="40" s="1"/>
  <c r="B324" i="40"/>
  <c r="I324" i="40"/>
  <c r="H324" i="40"/>
  <c r="E324" i="40"/>
  <c r="G324" i="40"/>
  <c r="D368" i="2"/>
  <c r="C368" i="2" s="1"/>
  <c r="F369" i="2" s="1"/>
  <c r="E357" i="50" l="1"/>
  <c r="K357" i="50"/>
  <c r="D356" i="50"/>
  <c r="C357" i="50" s="1"/>
  <c r="F358" i="50" s="1"/>
  <c r="L355" i="50"/>
  <c r="G356" i="50"/>
  <c r="H356" i="50"/>
  <c r="J344" i="50"/>
  <c r="M344" i="50" s="1"/>
  <c r="O344" i="50" s="1"/>
  <c r="I356" i="50"/>
  <c r="B356" i="50"/>
  <c r="L356" i="50" s="1"/>
  <c r="N356" i="50"/>
  <c r="I374" i="44"/>
  <c r="F374" i="44"/>
  <c r="K374" i="44"/>
  <c r="K369" i="2"/>
  <c r="J368" i="2"/>
  <c r="M368" i="2" s="1"/>
  <c r="O368" i="2" s="1"/>
  <c r="N369" i="2"/>
  <c r="J373" i="44"/>
  <c r="M373" i="44" s="1"/>
  <c r="O373" i="44" s="1"/>
  <c r="B374" i="44"/>
  <c r="L374" i="44" s="1"/>
  <c r="D374" i="44" s="1"/>
  <c r="C374" i="44" s="1"/>
  <c r="N374" i="44"/>
  <c r="E374" i="44"/>
  <c r="H374" i="44"/>
  <c r="G374" i="44"/>
  <c r="J324" i="40"/>
  <c r="D324" i="40"/>
  <c r="C324" i="40" s="1"/>
  <c r="F325" i="40" s="1"/>
  <c r="L324" i="40"/>
  <c r="E369" i="2"/>
  <c r="H369" i="2"/>
  <c r="B369" i="2"/>
  <c r="L369" i="2" s="1"/>
  <c r="I369" i="2"/>
  <c r="G369" i="2"/>
  <c r="E358" i="50" l="1"/>
  <c r="K358" i="50"/>
  <c r="D357" i="50"/>
  <c r="C358" i="50" s="1"/>
  <c r="H357" i="50"/>
  <c r="G357" i="50"/>
  <c r="G375" i="44"/>
  <c r="F375" i="44"/>
  <c r="K375" i="44"/>
  <c r="B375" i="44"/>
  <c r="L375" i="44" s="1"/>
  <c r="J374" i="44"/>
  <c r="M374" i="44" s="1"/>
  <c r="O374" i="44" s="1"/>
  <c r="D375" i="44"/>
  <c r="C375" i="44" s="1"/>
  <c r="N375" i="44"/>
  <c r="I375" i="44"/>
  <c r="E375" i="44"/>
  <c r="H375" i="44"/>
  <c r="M324" i="40"/>
  <c r="O324" i="40" s="1"/>
  <c r="N325" i="40"/>
  <c r="K325" i="40"/>
  <c r="G325" i="40"/>
  <c r="B325" i="40"/>
  <c r="L325" i="40" s="1"/>
  <c r="H325" i="40"/>
  <c r="E325" i="40"/>
  <c r="I325" i="40"/>
  <c r="D325" i="40"/>
  <c r="C325" i="40" s="1"/>
  <c r="F326" i="40" s="1"/>
  <c r="D369" i="2"/>
  <c r="C369" i="2" s="1"/>
  <c r="K359" i="50" l="1"/>
  <c r="F359" i="50"/>
  <c r="E359" i="50"/>
  <c r="I357" i="50"/>
  <c r="J345" i="50"/>
  <c r="M345" i="50" s="1"/>
  <c r="O345" i="50" s="1"/>
  <c r="B357" i="50"/>
  <c r="N357" i="50"/>
  <c r="J369" i="2"/>
  <c r="M369" i="2" s="1"/>
  <c r="O369" i="2" s="1"/>
  <c r="F370" i="2"/>
  <c r="I376" i="44"/>
  <c r="K376" i="44"/>
  <c r="F376" i="44"/>
  <c r="K370" i="2"/>
  <c r="N376" i="44"/>
  <c r="H376" i="44"/>
  <c r="J375" i="44"/>
  <c r="M375" i="44" s="1"/>
  <c r="O375" i="44" s="1"/>
  <c r="E376" i="44"/>
  <c r="G376" i="44"/>
  <c r="B376" i="44"/>
  <c r="L376" i="44" s="1"/>
  <c r="D376" i="44" s="1"/>
  <c r="C376" i="44" s="1"/>
  <c r="N326" i="40"/>
  <c r="K326" i="40"/>
  <c r="B326" i="40"/>
  <c r="E326" i="40"/>
  <c r="G326" i="40"/>
  <c r="H326" i="40"/>
  <c r="I326" i="40"/>
  <c r="J325" i="40"/>
  <c r="M325" i="40" s="1"/>
  <c r="O325" i="40" s="1"/>
  <c r="N370" i="2"/>
  <c r="H370" i="2"/>
  <c r="I370" i="2"/>
  <c r="G370" i="2"/>
  <c r="E370" i="2"/>
  <c r="B370" i="2"/>
  <c r="L370" i="2" s="1"/>
  <c r="D358" i="50" l="1"/>
  <c r="C359" i="50" s="1"/>
  <c r="F360" i="50" s="1"/>
  <c r="L357" i="50"/>
  <c r="H358" i="50"/>
  <c r="G358" i="50"/>
  <c r="N358" i="50"/>
  <c r="B358" i="50"/>
  <c r="I358" i="50"/>
  <c r="J346" i="50"/>
  <c r="M346" i="50" s="1"/>
  <c r="O346" i="50" s="1"/>
  <c r="H359" i="50"/>
  <c r="I359" i="50"/>
  <c r="E377" i="44"/>
  <c r="F377" i="44"/>
  <c r="K377" i="44"/>
  <c r="J376" i="44"/>
  <c r="M376" i="44" s="1"/>
  <c r="O376" i="44" s="1"/>
  <c r="H377" i="44"/>
  <c r="I377" i="44"/>
  <c r="G377" i="44"/>
  <c r="B377" i="44"/>
  <c r="L377" i="44" s="1"/>
  <c r="D377" i="44" s="1"/>
  <c r="C377" i="44" s="1"/>
  <c r="N377" i="44"/>
  <c r="D370" i="2"/>
  <c r="C370" i="2" s="1"/>
  <c r="F371" i="2" s="1"/>
  <c r="J326" i="40"/>
  <c r="D326" i="40"/>
  <c r="C326" i="40" s="1"/>
  <c r="F327" i="40" s="1"/>
  <c r="L326" i="40"/>
  <c r="E360" i="50" l="1"/>
  <c r="K360" i="50"/>
  <c r="D359" i="50"/>
  <c r="C360" i="50" s="1"/>
  <c r="K361" i="50" s="1"/>
  <c r="L358" i="50"/>
  <c r="D360" i="50"/>
  <c r="C361" i="50" s="1"/>
  <c r="J347" i="50"/>
  <c r="M347" i="50" s="1"/>
  <c r="O347" i="50" s="1"/>
  <c r="G359" i="50"/>
  <c r="N359" i="50"/>
  <c r="B359" i="50"/>
  <c r="L359" i="50" s="1"/>
  <c r="B360" i="50"/>
  <c r="L360" i="50" s="1"/>
  <c r="G360" i="50"/>
  <c r="N360" i="50"/>
  <c r="J348" i="50"/>
  <c r="M348" i="50" s="1"/>
  <c r="O348" i="50" s="1"/>
  <c r="D361" i="50"/>
  <c r="C362" i="50" s="1"/>
  <c r="I360" i="50"/>
  <c r="H360" i="50"/>
  <c r="K371" i="2"/>
  <c r="J370" i="2"/>
  <c r="M370" i="2" s="1"/>
  <c r="O370" i="2" s="1"/>
  <c r="I371" i="2"/>
  <c r="H371" i="2"/>
  <c r="J377" i="44"/>
  <c r="M377" i="44" s="1"/>
  <c r="O377" i="44" s="1"/>
  <c r="G371" i="2"/>
  <c r="N371" i="2"/>
  <c r="B371" i="2"/>
  <c r="L371" i="2" s="1"/>
  <c r="E371" i="2"/>
  <c r="N327" i="40"/>
  <c r="K327" i="40"/>
  <c r="I327" i="40"/>
  <c r="B327" i="40"/>
  <c r="G327" i="40"/>
  <c r="E327" i="40"/>
  <c r="H327" i="40"/>
  <c r="M326" i="40"/>
  <c r="O326" i="40" s="1"/>
  <c r="E361" i="50" l="1"/>
  <c r="F361" i="50"/>
  <c r="K362" i="50"/>
  <c r="F362" i="50"/>
  <c r="F363" i="50"/>
  <c r="K363" i="50"/>
  <c r="E363" i="50"/>
  <c r="E362" i="50"/>
  <c r="H361" i="50"/>
  <c r="I361" i="50"/>
  <c r="G361" i="50"/>
  <c r="J349" i="50"/>
  <c r="M349" i="50" s="1"/>
  <c r="O349" i="50" s="1"/>
  <c r="B361" i="50"/>
  <c r="N361" i="50"/>
  <c r="D371" i="2"/>
  <c r="C371" i="2" s="1"/>
  <c r="F372" i="2" s="1"/>
  <c r="J327" i="40"/>
  <c r="D327" i="40"/>
  <c r="C327" i="40" s="1"/>
  <c r="F328" i="40" s="1"/>
  <c r="L327" i="40"/>
  <c r="D362" i="50" l="1"/>
  <c r="C363" i="50" s="1"/>
  <c r="K364" i="50" s="1"/>
  <c r="L361" i="50"/>
  <c r="I362" i="50"/>
  <c r="B362" i="50"/>
  <c r="L362" i="50" s="1"/>
  <c r="G362" i="50"/>
  <c r="J350" i="50"/>
  <c r="M350" i="50" s="1"/>
  <c r="O350" i="50" s="1"/>
  <c r="N362" i="50"/>
  <c r="H362" i="50"/>
  <c r="D363" i="50"/>
  <c r="C364" i="50" s="1"/>
  <c r="K372" i="2"/>
  <c r="J371" i="2"/>
  <c r="M371" i="2" s="1"/>
  <c r="O371" i="2" s="1"/>
  <c r="N372" i="2"/>
  <c r="I372" i="2"/>
  <c r="G372" i="2"/>
  <c r="E372" i="2"/>
  <c r="H372" i="2"/>
  <c r="B372" i="2"/>
  <c r="L372" i="2" s="1"/>
  <c r="N328" i="40"/>
  <c r="K328" i="40"/>
  <c r="H328" i="40"/>
  <c r="G328" i="40"/>
  <c r="B328" i="40"/>
  <c r="E328" i="40"/>
  <c r="I328" i="40"/>
  <c r="M327" i="40"/>
  <c r="O327" i="40" s="1"/>
  <c r="D372" i="2" l="1"/>
  <c r="C372" i="2" s="1"/>
  <c r="F373" i="2" s="1"/>
  <c r="E364" i="50"/>
  <c r="F364" i="50"/>
  <c r="F365" i="50"/>
  <c r="K365" i="50"/>
  <c r="E365" i="50"/>
  <c r="J351" i="50"/>
  <c r="M351" i="50" s="1"/>
  <c r="O351" i="50" s="1"/>
  <c r="N363" i="50"/>
  <c r="H363" i="50"/>
  <c r="G363" i="50"/>
  <c r="B363" i="50"/>
  <c r="I363" i="50"/>
  <c r="J372" i="2"/>
  <c r="M372" i="2" s="1"/>
  <c r="O372" i="2" s="1"/>
  <c r="J328" i="40"/>
  <c r="D328" i="40"/>
  <c r="C328" i="40" s="1"/>
  <c r="F329" i="40" s="1"/>
  <c r="L328" i="40"/>
  <c r="H373" i="2" l="1"/>
  <c r="I373" i="2"/>
  <c r="E373" i="2"/>
  <c r="N373" i="2"/>
  <c r="K373" i="2"/>
  <c r="G373" i="2"/>
  <c r="B373" i="2"/>
  <c r="L373" i="2" s="1"/>
  <c r="D373" i="2" s="1"/>
  <c r="C373" i="2" s="1"/>
  <c r="F374" i="2" s="1"/>
  <c r="D364" i="50"/>
  <c r="C365" i="50" s="1"/>
  <c r="F366" i="50" s="1"/>
  <c r="L363" i="50"/>
  <c r="I364" i="50"/>
  <c r="G364" i="50"/>
  <c r="H364" i="50"/>
  <c r="N364" i="50"/>
  <c r="J352" i="50"/>
  <c r="M352" i="50" s="1"/>
  <c r="O352" i="50" s="1"/>
  <c r="B364" i="50"/>
  <c r="M328" i="40"/>
  <c r="O328" i="40" s="1"/>
  <c r="K329" i="40"/>
  <c r="N329" i="40"/>
  <c r="E329" i="40"/>
  <c r="I329" i="40"/>
  <c r="B329" i="40"/>
  <c r="L329" i="40" s="1"/>
  <c r="G329" i="40"/>
  <c r="H329" i="40"/>
  <c r="D329" i="40"/>
  <c r="C329" i="40" s="1"/>
  <c r="F330" i="40" s="1"/>
  <c r="G374" i="2" l="1"/>
  <c r="E374" i="2"/>
  <c r="J373" i="2"/>
  <c r="M373" i="2" s="1"/>
  <c r="O373" i="2" s="1"/>
  <c r="N374" i="2"/>
  <c r="K374" i="2"/>
  <c r="H374" i="2"/>
  <c r="I374" i="2"/>
  <c r="B374" i="2"/>
  <c r="L374" i="2" s="1"/>
  <c r="D374" i="2" s="1"/>
  <c r="C374" i="2" s="1"/>
  <c r="F375" i="2" s="1"/>
  <c r="E366" i="50"/>
  <c r="K366" i="50"/>
  <c r="D365" i="50"/>
  <c r="C366" i="50" s="1"/>
  <c r="K367" i="50" s="1"/>
  <c r="L364" i="50"/>
  <c r="J353" i="50"/>
  <c r="M353" i="50" s="1"/>
  <c r="O353" i="50" s="1"/>
  <c r="H365" i="50"/>
  <c r="G365" i="50"/>
  <c r="I365" i="50"/>
  <c r="N365" i="50"/>
  <c r="D366" i="50"/>
  <c r="C367" i="50" s="1"/>
  <c r="B365" i="50"/>
  <c r="L365" i="50" s="1"/>
  <c r="K330" i="40"/>
  <c r="N330" i="40"/>
  <c r="J329" i="40"/>
  <c r="M329" i="40" s="1"/>
  <c r="O329" i="40" s="1"/>
  <c r="B330" i="40"/>
  <c r="E330" i="40"/>
  <c r="I330" i="40"/>
  <c r="H330" i="40"/>
  <c r="G330" i="40"/>
  <c r="J374" i="2" l="1"/>
  <c r="M374" i="2" s="1"/>
  <c r="O374" i="2" s="1"/>
  <c r="K375" i="2"/>
  <c r="I375" i="2"/>
  <c r="B375" i="2"/>
  <c r="L375" i="2" s="1"/>
  <c r="E375" i="2"/>
  <c r="N375" i="2"/>
  <c r="G375" i="2"/>
  <c r="H375" i="2"/>
  <c r="E367" i="50"/>
  <c r="F367" i="50"/>
  <c r="F368" i="50"/>
  <c r="K368" i="50"/>
  <c r="E368" i="50"/>
  <c r="I366" i="50"/>
  <c r="G366" i="50"/>
  <c r="J354" i="50"/>
  <c r="M354" i="50" s="1"/>
  <c r="O354" i="50" s="1"/>
  <c r="N366" i="50"/>
  <c r="B366" i="50"/>
  <c r="H366" i="50"/>
  <c r="D330" i="40"/>
  <c r="C330" i="40" s="1"/>
  <c r="F331" i="40" s="1"/>
  <c r="L330" i="40"/>
  <c r="J330" i="40"/>
  <c r="D375" i="2"/>
  <c r="C375" i="2" s="1"/>
  <c r="D367" i="50" l="1"/>
  <c r="C368" i="50" s="1"/>
  <c r="K369" i="50" s="1"/>
  <c r="L366" i="50"/>
  <c r="G367" i="50"/>
  <c r="B367" i="50"/>
  <c r="J355" i="50"/>
  <c r="M355" i="50" s="1"/>
  <c r="O355" i="50" s="1"/>
  <c r="N367" i="50"/>
  <c r="I367" i="50"/>
  <c r="H367" i="50"/>
  <c r="J375" i="2"/>
  <c r="M375" i="2" s="1"/>
  <c r="O375" i="2" s="1"/>
  <c r="F376" i="2"/>
  <c r="K376" i="2"/>
  <c r="K331" i="40"/>
  <c r="N331" i="40"/>
  <c r="M330" i="40"/>
  <c r="O330" i="40" s="1"/>
  <c r="E331" i="40"/>
  <c r="H331" i="40"/>
  <c r="I331" i="40"/>
  <c r="G331" i="40"/>
  <c r="B331" i="40"/>
  <c r="L331" i="40" s="1"/>
  <c r="D331" i="40"/>
  <c r="C331" i="40" s="1"/>
  <c r="F332" i="40" s="1"/>
  <c r="E376" i="2"/>
  <c r="N376" i="2"/>
  <c r="H376" i="2"/>
  <c r="G376" i="2"/>
  <c r="I376" i="2"/>
  <c r="B376" i="2"/>
  <c r="L376" i="2" s="1"/>
  <c r="E369" i="50" l="1"/>
  <c r="F369" i="50"/>
  <c r="D368" i="50"/>
  <c r="C369" i="50" s="1"/>
  <c r="K370" i="50" s="1"/>
  <c r="L367" i="50"/>
  <c r="G368" i="50"/>
  <c r="I368" i="50"/>
  <c r="J356" i="50"/>
  <c r="M356" i="50" s="1"/>
  <c r="O356" i="50" s="1"/>
  <c r="N368" i="50"/>
  <c r="H368" i="50"/>
  <c r="B368" i="50"/>
  <c r="D376" i="2"/>
  <c r="C376" i="2" s="1"/>
  <c r="F377" i="2" s="1"/>
  <c r="K332" i="40"/>
  <c r="N332" i="40"/>
  <c r="J331" i="40"/>
  <c r="M331" i="40" s="1"/>
  <c r="O331" i="40" s="1"/>
  <c r="B332" i="40"/>
  <c r="L332" i="40" s="1"/>
  <c r="G332" i="40"/>
  <c r="I332" i="40"/>
  <c r="H332" i="40"/>
  <c r="E332" i="40"/>
  <c r="D332" i="40" s="1"/>
  <c r="C332" i="40" s="1"/>
  <c r="F333" i="40" s="1"/>
  <c r="E370" i="50" l="1"/>
  <c r="F370" i="50"/>
  <c r="D369" i="50"/>
  <c r="C370" i="50" s="1"/>
  <c r="F371" i="50" s="1"/>
  <c r="L368" i="50"/>
  <c r="N369" i="50"/>
  <c r="I369" i="50"/>
  <c r="B369" i="50"/>
  <c r="J357" i="50"/>
  <c r="M357" i="50" s="1"/>
  <c r="O357" i="50" s="1"/>
  <c r="G369" i="50"/>
  <c r="H369" i="50"/>
  <c r="K377" i="2"/>
  <c r="J376" i="2"/>
  <c r="M376" i="2" s="1"/>
  <c r="O376" i="2" s="1"/>
  <c r="E377" i="2"/>
  <c r="H377" i="2"/>
  <c r="B377" i="2"/>
  <c r="L377" i="2" s="1"/>
  <c r="D377" i="2" s="1"/>
  <c r="C377" i="2" s="1"/>
  <c r="G377" i="2"/>
  <c r="I377" i="2"/>
  <c r="N377" i="2"/>
  <c r="N333" i="40"/>
  <c r="K333" i="40"/>
  <c r="J332" i="40"/>
  <c r="M332" i="40" s="1"/>
  <c r="O332" i="40" s="1"/>
  <c r="G333" i="40"/>
  <c r="I333" i="40"/>
  <c r="H333" i="40"/>
  <c r="E333" i="40"/>
  <c r="B333" i="40"/>
  <c r="M32" i="34"/>
  <c r="O32" i="34" s="1"/>
  <c r="D32" i="34"/>
  <c r="C32" i="34" s="1"/>
  <c r="E371" i="50" l="1"/>
  <c r="K371" i="50"/>
  <c r="D370" i="50"/>
  <c r="C371" i="50" s="1"/>
  <c r="K372" i="50" s="1"/>
  <c r="L369" i="50"/>
  <c r="G370" i="50"/>
  <c r="N370" i="50"/>
  <c r="J358" i="50"/>
  <c r="M358" i="50" s="1"/>
  <c r="O358" i="50" s="1"/>
  <c r="I370" i="50"/>
  <c r="B370" i="50"/>
  <c r="H370" i="50"/>
  <c r="K33" i="34"/>
  <c r="F33" i="34"/>
  <c r="J377" i="2"/>
  <c r="M377" i="2" s="1"/>
  <c r="O377" i="2" s="1"/>
  <c r="K14" i="2" s="1"/>
  <c r="D333" i="40"/>
  <c r="C333" i="40" s="1"/>
  <c r="F334" i="40" s="1"/>
  <c r="L333" i="40"/>
  <c r="J333" i="40"/>
  <c r="G33" i="34"/>
  <c r="H33" i="34"/>
  <c r="I33" i="34"/>
  <c r="E33" i="34"/>
  <c r="B33" i="34"/>
  <c r="L33" i="34" s="1"/>
  <c r="N33" i="34"/>
  <c r="E14" i="2" l="1"/>
  <c r="E372" i="50"/>
  <c r="F372" i="50"/>
  <c r="D371" i="50"/>
  <c r="C372" i="50" s="1"/>
  <c r="F373" i="50" s="1"/>
  <c r="L370" i="50"/>
  <c r="I371" i="50"/>
  <c r="J359" i="50"/>
  <c r="M359" i="50" s="1"/>
  <c r="O359" i="50" s="1"/>
  <c r="N371" i="50"/>
  <c r="H371" i="50"/>
  <c r="B371" i="50"/>
  <c r="G371" i="50"/>
  <c r="N334" i="40"/>
  <c r="K334" i="40"/>
  <c r="M333" i="40"/>
  <c r="O333" i="40" s="1"/>
  <c r="I334" i="40"/>
  <c r="B334" i="40"/>
  <c r="L334" i="40" s="1"/>
  <c r="G334" i="40"/>
  <c r="E334" i="40"/>
  <c r="D334" i="40" s="1"/>
  <c r="C334" i="40" s="1"/>
  <c r="F335" i="40" s="1"/>
  <c r="H334" i="40"/>
  <c r="D33" i="34"/>
  <c r="C33" i="34" s="1"/>
  <c r="J33" i="34"/>
  <c r="M33" i="34" s="1"/>
  <c r="O33" i="34" s="1"/>
  <c r="E373" i="50" l="1"/>
  <c r="K373" i="50"/>
  <c r="D372" i="50"/>
  <c r="C373" i="50" s="1"/>
  <c r="F374" i="50" s="1"/>
  <c r="L371" i="50"/>
  <c r="B372" i="50"/>
  <c r="L372" i="50" s="1"/>
  <c r="N372" i="50"/>
  <c r="G372" i="50"/>
  <c r="I372" i="50"/>
  <c r="D373" i="50"/>
  <c r="C374" i="50" s="1"/>
  <c r="J360" i="50"/>
  <c r="M360" i="50" s="1"/>
  <c r="O360" i="50" s="1"/>
  <c r="H372" i="50"/>
  <c r="J371" i="50"/>
  <c r="K34" i="34"/>
  <c r="F34" i="34"/>
  <c r="E34" i="34"/>
  <c r="N34" i="34"/>
  <c r="B34" i="34"/>
  <c r="H34" i="34"/>
  <c r="G34" i="34"/>
  <c r="I34" i="34"/>
  <c r="N335" i="40"/>
  <c r="K335" i="40"/>
  <c r="J334" i="40"/>
  <c r="M334" i="40" s="1"/>
  <c r="O334" i="40" s="1"/>
  <c r="H335" i="40"/>
  <c r="E335" i="40"/>
  <c r="G335" i="40"/>
  <c r="B335" i="40"/>
  <c r="I335" i="40"/>
  <c r="M371" i="50" l="1"/>
  <c r="O371" i="50" s="1"/>
  <c r="E374" i="50"/>
  <c r="K374" i="50"/>
  <c r="K375" i="50"/>
  <c r="F375" i="50"/>
  <c r="E375" i="50"/>
  <c r="G373" i="50"/>
  <c r="I373" i="50"/>
  <c r="J361" i="50"/>
  <c r="M361" i="50" s="1"/>
  <c r="O361" i="50" s="1"/>
  <c r="N373" i="50"/>
  <c r="B373" i="50"/>
  <c r="H373" i="50"/>
  <c r="J372" i="50"/>
  <c r="M372" i="50" s="1"/>
  <c r="O372" i="50" s="1"/>
  <c r="L34" i="34"/>
  <c r="D34" i="34" s="1"/>
  <c r="C34" i="34" s="1"/>
  <c r="J34" i="34"/>
  <c r="J335" i="40"/>
  <c r="D335" i="40"/>
  <c r="C335" i="40" s="1"/>
  <c r="F336" i="40" s="1"/>
  <c r="L335" i="40"/>
  <c r="D374" i="50" l="1"/>
  <c r="C375" i="50" s="1"/>
  <c r="F376" i="50" s="1"/>
  <c r="L373" i="50"/>
  <c r="H374" i="50"/>
  <c r="J362" i="50"/>
  <c r="M362" i="50" s="1"/>
  <c r="O362" i="50" s="1"/>
  <c r="G374" i="50"/>
  <c r="I374" i="50"/>
  <c r="N374" i="50"/>
  <c r="B374" i="50"/>
  <c r="J373" i="50"/>
  <c r="K35" i="34"/>
  <c r="F35" i="34"/>
  <c r="G35" i="34"/>
  <c r="N35" i="34"/>
  <c r="E35" i="34"/>
  <c r="H35" i="34"/>
  <c r="I35" i="34"/>
  <c r="B35" i="34"/>
  <c r="L35" i="34" s="1"/>
  <c r="M34" i="34"/>
  <c r="O34" i="34" s="1"/>
  <c r="N336" i="40"/>
  <c r="K336" i="40"/>
  <c r="M335" i="40"/>
  <c r="O335" i="40" s="1"/>
  <c r="H336" i="40"/>
  <c r="G336" i="40"/>
  <c r="I336" i="40"/>
  <c r="E336" i="40"/>
  <c r="B336" i="40"/>
  <c r="M373" i="50" l="1"/>
  <c r="O373" i="50" s="1"/>
  <c r="K376" i="50"/>
  <c r="E376" i="50"/>
  <c r="D375" i="50"/>
  <c r="C376" i="50" s="1"/>
  <c r="K377" i="50" s="1"/>
  <c r="L374" i="50"/>
  <c r="N375" i="50"/>
  <c r="B375" i="50"/>
  <c r="L375" i="50" s="1"/>
  <c r="J363" i="50"/>
  <c r="M363" i="50" s="1"/>
  <c r="O363" i="50" s="1"/>
  <c r="H375" i="50"/>
  <c r="D376" i="50"/>
  <c r="C377" i="50" s="1"/>
  <c r="I375" i="50"/>
  <c r="G375" i="50"/>
  <c r="J374" i="50"/>
  <c r="D35" i="34"/>
  <c r="C35" i="34" s="1"/>
  <c r="N36" i="34" s="1"/>
  <c r="J35" i="34"/>
  <c r="M35" i="34" s="1"/>
  <c r="O35" i="34" s="1"/>
  <c r="D336" i="40"/>
  <c r="C336" i="40" s="1"/>
  <c r="F337" i="40" s="1"/>
  <c r="L336" i="40"/>
  <c r="J336" i="40"/>
  <c r="F377" i="50" l="1"/>
  <c r="M374" i="50"/>
  <c r="O374" i="50" s="1"/>
  <c r="E377" i="50"/>
  <c r="K378" i="50"/>
  <c r="F378" i="50"/>
  <c r="E378" i="50"/>
  <c r="B376" i="50"/>
  <c r="L376" i="50" s="1"/>
  <c r="H376" i="50"/>
  <c r="I376" i="50"/>
  <c r="N376" i="50"/>
  <c r="D377" i="50"/>
  <c r="C378" i="50" s="1"/>
  <c r="J364" i="50"/>
  <c r="M364" i="50" s="1"/>
  <c r="O364" i="50" s="1"/>
  <c r="G376" i="50"/>
  <c r="J375" i="50"/>
  <c r="M375" i="50" s="1"/>
  <c r="O375" i="50" s="1"/>
  <c r="E36" i="34"/>
  <c r="B36" i="34"/>
  <c r="L36" i="34" s="1"/>
  <c r="F36" i="34"/>
  <c r="K36" i="34"/>
  <c r="G36" i="34"/>
  <c r="I36" i="34"/>
  <c r="H36" i="34"/>
  <c r="K337" i="40"/>
  <c r="N337" i="40"/>
  <c r="M336" i="40"/>
  <c r="O336" i="40" s="1"/>
  <c r="H337" i="40"/>
  <c r="B337" i="40"/>
  <c r="G337" i="40"/>
  <c r="E337" i="40"/>
  <c r="I337" i="40"/>
  <c r="F379" i="50" l="1"/>
  <c r="K379" i="50"/>
  <c r="E379" i="50"/>
  <c r="N377" i="50"/>
  <c r="J365" i="50"/>
  <c r="M365" i="50" s="1"/>
  <c r="O365" i="50" s="1"/>
  <c r="I377" i="50"/>
  <c r="H377" i="50"/>
  <c r="B377" i="50"/>
  <c r="G377" i="50"/>
  <c r="J376" i="50"/>
  <c r="M376" i="50" s="1"/>
  <c r="O376" i="50" s="1"/>
  <c r="J36" i="34"/>
  <c r="M36" i="34" s="1"/>
  <c r="O36" i="34" s="1"/>
  <c r="D36" i="34"/>
  <c r="C36" i="34" s="1"/>
  <c r="E37" i="34" s="1"/>
  <c r="J337" i="40"/>
  <c r="D337" i="40"/>
  <c r="C337" i="40" s="1"/>
  <c r="F338" i="40" s="1"/>
  <c r="L337" i="40"/>
  <c r="D378" i="50" l="1"/>
  <c r="C379" i="50" s="1"/>
  <c r="K380" i="50" s="1"/>
  <c r="L377" i="50"/>
  <c r="N378" i="50"/>
  <c r="J366" i="50"/>
  <c r="M366" i="50" s="1"/>
  <c r="O366" i="50" s="1"/>
  <c r="H378" i="50"/>
  <c r="I378" i="50"/>
  <c r="G378" i="50"/>
  <c r="B378" i="50"/>
  <c r="J377" i="50"/>
  <c r="G37" i="34"/>
  <c r="B37" i="34"/>
  <c r="L37" i="34" s="1"/>
  <c r="D37" i="34" s="1"/>
  <c r="C37" i="34" s="1"/>
  <c r="G38" i="34" s="1"/>
  <c r="H37" i="34"/>
  <c r="K37" i="34"/>
  <c r="F37" i="34"/>
  <c r="I37" i="34"/>
  <c r="N37" i="34"/>
  <c r="K338" i="40"/>
  <c r="N338" i="40"/>
  <c r="E338" i="40"/>
  <c r="H338" i="40"/>
  <c r="G338" i="40"/>
  <c r="B338" i="40"/>
  <c r="I338" i="40"/>
  <c r="M337" i="40"/>
  <c r="O337" i="40" s="1"/>
  <c r="M377" i="50" l="1"/>
  <c r="O377" i="50" s="1"/>
  <c r="E380" i="50"/>
  <c r="F380" i="50"/>
  <c r="D379" i="50"/>
  <c r="C380" i="50" s="1"/>
  <c r="K381" i="50" s="1"/>
  <c r="L378" i="50"/>
  <c r="J378" i="50"/>
  <c r="B379" i="50"/>
  <c r="J367" i="50"/>
  <c r="M367" i="50" s="1"/>
  <c r="O367" i="50" s="1"/>
  <c r="I379" i="50"/>
  <c r="N379" i="50"/>
  <c r="H379" i="50"/>
  <c r="G379" i="50"/>
  <c r="J37" i="34"/>
  <c r="M37" i="34" s="1"/>
  <c r="O37" i="34" s="1"/>
  <c r="B38" i="34"/>
  <c r="L38" i="34" s="1"/>
  <c r="I38" i="34"/>
  <c r="H38" i="34"/>
  <c r="K38" i="34"/>
  <c r="F38" i="34"/>
  <c r="E38" i="34"/>
  <c r="N38" i="34"/>
  <c r="J338" i="40"/>
  <c r="D338" i="40"/>
  <c r="C338" i="40" s="1"/>
  <c r="F339" i="40" s="1"/>
  <c r="L338" i="40"/>
  <c r="M378" i="50" l="1"/>
  <c r="O378" i="50" s="1"/>
  <c r="E381" i="50"/>
  <c r="F381" i="50"/>
  <c r="D380" i="50"/>
  <c r="C381" i="50" s="1"/>
  <c r="L379" i="50"/>
  <c r="I380" i="50"/>
  <c r="N380" i="50"/>
  <c r="G380" i="50"/>
  <c r="B380" i="50"/>
  <c r="L380" i="50" s="1"/>
  <c r="J368" i="50"/>
  <c r="M368" i="50" s="1"/>
  <c r="O368" i="50" s="1"/>
  <c r="H380" i="50"/>
  <c r="J379" i="50"/>
  <c r="D38" i="34"/>
  <c r="C38" i="34" s="1"/>
  <c r="K39" i="34" s="1"/>
  <c r="J38" i="34"/>
  <c r="M38" i="34" s="1"/>
  <c r="O38" i="34" s="1"/>
  <c r="K339" i="40"/>
  <c r="N339" i="40"/>
  <c r="I339" i="40"/>
  <c r="B339" i="40"/>
  <c r="G339" i="40"/>
  <c r="H339" i="40"/>
  <c r="E339" i="40"/>
  <c r="M338" i="40"/>
  <c r="O338" i="40" s="1"/>
  <c r="M379" i="50" l="1"/>
  <c r="O379" i="50" s="1"/>
  <c r="D381" i="50"/>
  <c r="J380" i="50"/>
  <c r="M380" i="50" s="1"/>
  <c r="O380" i="50" s="1"/>
  <c r="H381" i="50"/>
  <c r="B381" i="50"/>
  <c r="L381" i="50" s="1"/>
  <c r="N381" i="50"/>
  <c r="J369" i="50"/>
  <c r="M369" i="50" s="1"/>
  <c r="O369" i="50" s="1"/>
  <c r="I381" i="50"/>
  <c r="G381" i="50"/>
  <c r="G39" i="34"/>
  <c r="B39" i="34"/>
  <c r="L39" i="34" s="1"/>
  <c r="N39" i="34"/>
  <c r="I39" i="34"/>
  <c r="H39" i="34"/>
  <c r="E39" i="34"/>
  <c r="F39" i="34"/>
  <c r="J339" i="40"/>
  <c r="D339" i="40"/>
  <c r="C339" i="40" s="1"/>
  <c r="F340" i="40" s="1"/>
  <c r="L339" i="40"/>
  <c r="J370" i="50" l="1"/>
  <c r="M370" i="50" s="1"/>
  <c r="O370" i="50" s="1"/>
  <c r="J381" i="50"/>
  <c r="M381" i="50" s="1"/>
  <c r="O381" i="50" s="1"/>
  <c r="D39" i="34"/>
  <c r="C39" i="34" s="1"/>
  <c r="H40" i="34" s="1"/>
  <c r="J39" i="34"/>
  <c r="M39" i="34" s="1"/>
  <c r="O39" i="34" s="1"/>
  <c r="M339" i="40"/>
  <c r="O339" i="40" s="1"/>
  <c r="K340" i="40"/>
  <c r="N340" i="40"/>
  <c r="B340" i="40"/>
  <c r="H340" i="40"/>
  <c r="E340" i="40"/>
  <c r="G340" i="40"/>
  <c r="I340" i="40"/>
  <c r="E40" i="34" l="1"/>
  <c r="N40" i="34"/>
  <c r="F40" i="34"/>
  <c r="K40" i="34"/>
  <c r="I40" i="34"/>
  <c r="B40" i="34"/>
  <c r="L40" i="34" s="1"/>
  <c r="G40" i="34"/>
  <c r="J340" i="40"/>
  <c r="D340" i="40"/>
  <c r="C340" i="40" s="1"/>
  <c r="F341" i="40" s="1"/>
  <c r="L340" i="40"/>
  <c r="J40" i="34" l="1"/>
  <c r="M40" i="34" s="1"/>
  <c r="O40" i="34" s="1"/>
  <c r="D40" i="34"/>
  <c r="C40" i="34" s="1"/>
  <c r="N341" i="40"/>
  <c r="K341" i="40"/>
  <c r="E341" i="40"/>
  <c r="I341" i="40"/>
  <c r="H341" i="40"/>
  <c r="B341" i="40"/>
  <c r="G341" i="40"/>
  <c r="M340" i="40"/>
  <c r="O340" i="40" s="1"/>
  <c r="K41" i="34" l="1"/>
  <c r="F41" i="34"/>
  <c r="H41" i="34"/>
  <c r="N41" i="34"/>
  <c r="B41" i="34"/>
  <c r="L41" i="34" s="1"/>
  <c r="E41" i="34"/>
  <c r="I41" i="34"/>
  <c r="G41" i="34"/>
  <c r="J341" i="40"/>
  <c r="D341" i="40"/>
  <c r="C341" i="40" s="1"/>
  <c r="F342" i="40" s="1"/>
  <c r="L341" i="40"/>
  <c r="D41" i="34" l="1"/>
  <c r="C41" i="34" s="1"/>
  <c r="J41" i="34"/>
  <c r="M41" i="34" s="1"/>
  <c r="O41" i="34" s="1"/>
  <c r="N342" i="40"/>
  <c r="K342" i="40"/>
  <c r="G342" i="40"/>
  <c r="I342" i="40"/>
  <c r="B342" i="40"/>
  <c r="H342" i="40"/>
  <c r="E342" i="40"/>
  <c r="M341" i="40"/>
  <c r="O341" i="40" s="1"/>
  <c r="K42" i="34" l="1"/>
  <c r="F42" i="34"/>
  <c r="I42" i="34"/>
  <c r="B42" i="34"/>
  <c r="L42" i="34" s="1"/>
  <c r="E42" i="34"/>
  <c r="G42" i="34"/>
  <c r="N42" i="34"/>
  <c r="H42" i="34"/>
  <c r="D342" i="40"/>
  <c r="C342" i="40" s="1"/>
  <c r="F343" i="40" s="1"/>
  <c r="L342" i="40"/>
  <c r="J342" i="40"/>
  <c r="J42" i="34" l="1"/>
  <c r="M42" i="34" s="1"/>
  <c r="O42" i="34" s="1"/>
  <c r="D42" i="34"/>
  <c r="C42" i="34" s="1"/>
  <c r="M342" i="40"/>
  <c r="O342" i="40" s="1"/>
  <c r="N343" i="40"/>
  <c r="K343" i="40"/>
  <c r="B343" i="40"/>
  <c r="E343" i="40"/>
  <c r="I343" i="40"/>
  <c r="G343" i="40"/>
  <c r="H343" i="40"/>
  <c r="K43" i="34" l="1"/>
  <c r="F43" i="34"/>
  <c r="N43" i="34"/>
  <c r="B43" i="34"/>
  <c r="H43" i="34"/>
  <c r="I43" i="34"/>
  <c r="E43" i="34"/>
  <c r="G43" i="34"/>
  <c r="J343" i="40"/>
  <c r="D343" i="40"/>
  <c r="C343" i="40" s="1"/>
  <c r="F344" i="40" s="1"/>
  <c r="L343" i="40"/>
  <c r="J43" i="34" l="1"/>
  <c r="L43" i="34"/>
  <c r="D43" i="34" s="1"/>
  <c r="C43" i="34" s="1"/>
  <c r="N344" i="40"/>
  <c r="K344" i="40"/>
  <c r="H344" i="40"/>
  <c r="I344" i="40"/>
  <c r="E344" i="40"/>
  <c r="G344" i="40"/>
  <c r="B344" i="40"/>
  <c r="M343" i="40"/>
  <c r="O343" i="40" s="1"/>
  <c r="K44" i="34" l="1"/>
  <c r="F44" i="34"/>
  <c r="H44" i="34"/>
  <c r="N44" i="34"/>
  <c r="E44" i="34"/>
  <c r="G44" i="34"/>
  <c r="B44" i="34"/>
  <c r="I44" i="34"/>
  <c r="M43" i="34"/>
  <c r="O43" i="34" s="1"/>
  <c r="D344" i="40"/>
  <c r="C344" i="40" s="1"/>
  <c r="F345" i="40" s="1"/>
  <c r="L344" i="40"/>
  <c r="J344" i="40"/>
  <c r="L44" i="34" l="1"/>
  <c r="D44" i="34" s="1"/>
  <c r="C44" i="34" s="1"/>
  <c r="J44" i="34"/>
  <c r="K345" i="40"/>
  <c r="N345" i="40"/>
  <c r="M344" i="40"/>
  <c r="O344" i="40" s="1"/>
  <c r="B345" i="40"/>
  <c r="L345" i="40" s="1"/>
  <c r="E345" i="40"/>
  <c r="H345" i="40"/>
  <c r="G345" i="40"/>
  <c r="I345" i="40"/>
  <c r="D345" i="40"/>
  <c r="C345" i="40" s="1"/>
  <c r="F346" i="40" s="1"/>
  <c r="K45" i="34" l="1"/>
  <c r="F45" i="34"/>
  <c r="H45" i="34"/>
  <c r="N45" i="34"/>
  <c r="E45" i="34"/>
  <c r="I45" i="34"/>
  <c r="G45" i="34"/>
  <c r="B45" i="34"/>
  <c r="M44" i="34"/>
  <c r="O44" i="34" s="1"/>
  <c r="K346" i="40"/>
  <c r="N346" i="40"/>
  <c r="J345" i="40"/>
  <c r="M345" i="40" s="1"/>
  <c r="O345" i="40" s="1"/>
  <c r="G346" i="40"/>
  <c r="H346" i="40"/>
  <c r="I346" i="40"/>
  <c r="B346" i="40"/>
  <c r="L346" i="40" s="1"/>
  <c r="E346" i="40"/>
  <c r="D346" i="40"/>
  <c r="C346" i="40" s="1"/>
  <c r="F347" i="40" s="1"/>
  <c r="L45" i="34" l="1"/>
  <c r="D45" i="34" s="1"/>
  <c r="C45" i="34" s="1"/>
  <c r="J45" i="34"/>
  <c r="N347" i="40"/>
  <c r="K347" i="40"/>
  <c r="I347" i="40"/>
  <c r="G347" i="40"/>
  <c r="B347" i="40"/>
  <c r="L347" i="40" s="1"/>
  <c r="H347" i="40"/>
  <c r="E347" i="40"/>
  <c r="D347" i="40"/>
  <c r="C347" i="40" s="1"/>
  <c r="F348" i="40" s="1"/>
  <c r="J346" i="40"/>
  <c r="M346" i="40" s="1"/>
  <c r="O346" i="40" s="1"/>
  <c r="K46" i="34" l="1"/>
  <c r="F46" i="34"/>
  <c r="I46" i="34"/>
  <c r="N46" i="34"/>
  <c r="G46" i="34"/>
  <c r="H46" i="34"/>
  <c r="E46" i="34"/>
  <c r="B46" i="34"/>
  <c r="M45" i="34"/>
  <c r="O45" i="34" s="1"/>
  <c r="K348" i="40"/>
  <c r="N348" i="40"/>
  <c r="J347" i="40"/>
  <c r="M347" i="40" s="1"/>
  <c r="O347" i="40" s="1"/>
  <c r="B348" i="40"/>
  <c r="G348" i="40"/>
  <c r="I348" i="40"/>
  <c r="E348" i="40"/>
  <c r="H348" i="40"/>
  <c r="J46" i="34" l="1"/>
  <c r="L46" i="34"/>
  <c r="J348" i="40"/>
  <c r="D348" i="40"/>
  <c r="C348" i="40" s="1"/>
  <c r="F349" i="40" s="1"/>
  <c r="L348" i="40"/>
  <c r="M46" i="34" l="1"/>
  <c r="O46" i="34" s="1"/>
  <c r="D46" i="34"/>
  <c r="C46" i="34" s="1"/>
  <c r="M348" i="40"/>
  <c r="O348" i="40" s="1"/>
  <c r="N349" i="40"/>
  <c r="K349" i="40"/>
  <c r="G349" i="40"/>
  <c r="E349" i="40"/>
  <c r="I349" i="40"/>
  <c r="H349" i="40"/>
  <c r="B349" i="40"/>
  <c r="K47" i="34" l="1"/>
  <c r="F47" i="34"/>
  <c r="N47" i="34"/>
  <c r="G47" i="34"/>
  <c r="B47" i="34"/>
  <c r="L47" i="34" s="1"/>
  <c r="I47" i="34"/>
  <c r="E47" i="34"/>
  <c r="H47" i="34"/>
  <c r="D349" i="40"/>
  <c r="C349" i="40" s="1"/>
  <c r="F350" i="40" s="1"/>
  <c r="L349" i="40"/>
  <c r="J349" i="40"/>
  <c r="D47" i="34" l="1"/>
  <c r="C47" i="34" s="1"/>
  <c r="J47" i="34"/>
  <c r="M47" i="34" s="1"/>
  <c r="O47" i="34" s="1"/>
  <c r="N350" i="40"/>
  <c r="K350" i="40"/>
  <c r="M349" i="40"/>
  <c r="O349" i="40" s="1"/>
  <c r="H350" i="40"/>
  <c r="G350" i="40"/>
  <c r="E350" i="40"/>
  <c r="B350" i="40"/>
  <c r="L350" i="40" s="1"/>
  <c r="I350" i="40"/>
  <c r="D350" i="40"/>
  <c r="C350" i="40" s="1"/>
  <c r="F351" i="40" s="1"/>
  <c r="K48" i="34" l="1"/>
  <c r="F48" i="34"/>
  <c r="E48" i="34"/>
  <c r="G48" i="34"/>
  <c r="B48" i="34"/>
  <c r="L48" i="34" s="1"/>
  <c r="D48" i="34" s="1"/>
  <c r="C48" i="34" s="1"/>
  <c r="H48" i="34"/>
  <c r="I48" i="34"/>
  <c r="N48" i="34"/>
  <c r="N351" i="40"/>
  <c r="K351" i="40"/>
  <c r="J350" i="40"/>
  <c r="M350" i="40" s="1"/>
  <c r="O350" i="40" s="1"/>
  <c r="I351" i="40"/>
  <c r="G351" i="40"/>
  <c r="B351" i="40"/>
  <c r="E351" i="40"/>
  <c r="H351" i="40"/>
  <c r="K49" i="34" l="1"/>
  <c r="F49" i="34"/>
  <c r="J48" i="34"/>
  <c r="M48" i="34" s="1"/>
  <c r="O48" i="34" s="1"/>
  <c r="G49" i="34"/>
  <c r="H49" i="34"/>
  <c r="E49" i="34"/>
  <c r="I49" i="34"/>
  <c r="N49" i="34"/>
  <c r="B49" i="34"/>
  <c r="D351" i="40"/>
  <c r="C351" i="40" s="1"/>
  <c r="F352" i="40" s="1"/>
  <c r="L351" i="40"/>
  <c r="J351" i="40"/>
  <c r="L49" i="34" l="1"/>
  <c r="D49" i="34" s="1"/>
  <c r="C49" i="34" s="1"/>
  <c r="J49" i="34"/>
  <c r="N352" i="40"/>
  <c r="K352" i="40"/>
  <c r="M351" i="40"/>
  <c r="O351" i="40" s="1"/>
  <c r="G352" i="40"/>
  <c r="I352" i="40"/>
  <c r="E352" i="40"/>
  <c r="B352" i="40"/>
  <c r="L352" i="40" s="1"/>
  <c r="H352" i="40"/>
  <c r="D352" i="40"/>
  <c r="C352" i="40" s="1"/>
  <c r="F353" i="40" s="1"/>
  <c r="K50" i="34" l="1"/>
  <c r="F50" i="34"/>
  <c r="N50" i="34"/>
  <c r="B50" i="34"/>
  <c r="L50" i="34" s="1"/>
  <c r="E50" i="34"/>
  <c r="G50" i="34"/>
  <c r="I50" i="34"/>
  <c r="H50" i="34"/>
  <c r="M49" i="34"/>
  <c r="O49" i="34" s="1"/>
  <c r="K353" i="40"/>
  <c r="N353" i="40"/>
  <c r="J352" i="40"/>
  <c r="M352" i="40" s="1"/>
  <c r="O352" i="40" s="1"/>
  <c r="G353" i="40"/>
  <c r="I353" i="40"/>
  <c r="E353" i="40"/>
  <c r="B353" i="40"/>
  <c r="L353" i="40" s="1"/>
  <c r="H353" i="40"/>
  <c r="D353" i="40"/>
  <c r="C353" i="40" s="1"/>
  <c r="F354" i="40" s="1"/>
  <c r="D50" i="34" l="1"/>
  <c r="C50" i="34" s="1"/>
  <c r="J50" i="34"/>
  <c r="M50" i="34" s="1"/>
  <c r="O50" i="34" s="1"/>
  <c r="K354" i="40"/>
  <c r="N354" i="40"/>
  <c r="J353" i="40"/>
  <c r="M353" i="40" s="1"/>
  <c r="O353" i="40" s="1"/>
  <c r="E354" i="40"/>
  <c r="B354" i="40"/>
  <c r="L354" i="40" s="1"/>
  <c r="H354" i="40"/>
  <c r="G354" i="40"/>
  <c r="I354" i="40"/>
  <c r="D354" i="40"/>
  <c r="C354" i="40" s="1"/>
  <c r="F355" i="40" s="1"/>
  <c r="K51" i="34" l="1"/>
  <c r="F51" i="34"/>
  <c r="G51" i="34"/>
  <c r="E51" i="34"/>
  <c r="B51" i="34"/>
  <c r="L51" i="34" s="1"/>
  <c r="N51" i="34"/>
  <c r="H51" i="34"/>
  <c r="I51" i="34"/>
  <c r="K355" i="40"/>
  <c r="N355" i="40"/>
  <c r="J354" i="40"/>
  <c r="M354" i="40" s="1"/>
  <c r="O354" i="40" s="1"/>
  <c r="B355" i="40"/>
  <c r="E355" i="40"/>
  <c r="I355" i="40"/>
  <c r="G355" i="40"/>
  <c r="H355" i="40"/>
  <c r="J51" i="34" l="1"/>
  <c r="M51" i="34" s="1"/>
  <c r="O51" i="34" s="1"/>
  <c r="D51" i="34"/>
  <c r="C51" i="34" s="1"/>
  <c r="J355" i="40"/>
  <c r="D355" i="40"/>
  <c r="C355" i="40" s="1"/>
  <c r="F356" i="40" s="1"/>
  <c r="L355" i="40"/>
  <c r="K52" i="34" l="1"/>
  <c r="F52" i="34"/>
  <c r="B52" i="34"/>
  <c r="H52" i="34"/>
  <c r="G52" i="34"/>
  <c r="I52" i="34"/>
  <c r="E52" i="34"/>
  <c r="N52" i="34"/>
  <c r="K356" i="40"/>
  <c r="N356" i="40"/>
  <c r="E356" i="40"/>
  <c r="I356" i="40"/>
  <c r="H356" i="40"/>
  <c r="G356" i="40"/>
  <c r="B356" i="40"/>
  <c r="M355" i="40"/>
  <c r="O355" i="40" s="1"/>
  <c r="J52" i="34" l="1"/>
  <c r="L52" i="34"/>
  <c r="D356" i="40"/>
  <c r="C356" i="40" s="1"/>
  <c r="F357" i="40" s="1"/>
  <c r="L356" i="40"/>
  <c r="J356" i="40"/>
  <c r="M52" i="34" l="1"/>
  <c r="O52" i="34" s="1"/>
  <c r="D52" i="34"/>
  <c r="C52" i="34" s="1"/>
  <c r="N357" i="40"/>
  <c r="K357" i="40"/>
  <c r="M356" i="40"/>
  <c r="O356" i="40" s="1"/>
  <c r="B357" i="40"/>
  <c r="G357" i="40"/>
  <c r="I357" i="40"/>
  <c r="E357" i="40"/>
  <c r="H357" i="40"/>
  <c r="K53" i="34" l="1"/>
  <c r="F53" i="34"/>
  <c r="I53" i="34"/>
  <c r="N53" i="34"/>
  <c r="B53" i="34"/>
  <c r="G53" i="34"/>
  <c r="E53" i="34"/>
  <c r="H53" i="34"/>
  <c r="J357" i="40"/>
  <c r="D357" i="40"/>
  <c r="C357" i="40" s="1"/>
  <c r="F358" i="40" s="1"/>
  <c r="L357" i="40"/>
  <c r="L53" i="34" l="1"/>
  <c r="D53" i="34" s="1"/>
  <c r="C53" i="34" s="1"/>
  <c r="J53" i="34"/>
  <c r="N358" i="40"/>
  <c r="K358" i="40"/>
  <c r="M357" i="40"/>
  <c r="O357" i="40" s="1"/>
  <c r="I358" i="40"/>
  <c r="E358" i="40"/>
  <c r="H358" i="40"/>
  <c r="G358" i="40"/>
  <c r="B358" i="40"/>
  <c r="K54" i="34" l="1"/>
  <c r="F54" i="34"/>
  <c r="G54" i="34"/>
  <c r="N54" i="34"/>
  <c r="I54" i="34"/>
  <c r="B54" i="34"/>
  <c r="E54" i="34"/>
  <c r="H54" i="34"/>
  <c r="M53" i="34"/>
  <c r="O53" i="34" s="1"/>
  <c r="J358" i="40"/>
  <c r="D358" i="40"/>
  <c r="C358" i="40" s="1"/>
  <c r="F359" i="40" s="1"/>
  <c r="L358" i="40"/>
  <c r="M358" i="40" l="1"/>
  <c r="O358" i="40" s="1"/>
  <c r="L54" i="34"/>
  <c r="D54" i="34" s="1"/>
  <c r="C54" i="34" s="1"/>
  <c r="J54" i="34"/>
  <c r="N359" i="40"/>
  <c r="K359" i="40"/>
  <c r="E359" i="40"/>
  <c r="B359" i="40"/>
  <c r="L359" i="40" s="1"/>
  <c r="I359" i="40"/>
  <c r="H359" i="40"/>
  <c r="G359" i="40"/>
  <c r="D359" i="40"/>
  <c r="C359" i="40" s="1"/>
  <c r="F360" i="40" s="1"/>
  <c r="K55" i="34" l="1"/>
  <c r="F55" i="34"/>
  <c r="I55" i="34"/>
  <c r="H55" i="34"/>
  <c r="N55" i="34"/>
  <c r="B55" i="34"/>
  <c r="E55" i="34"/>
  <c r="G55" i="34"/>
  <c r="M54" i="34"/>
  <c r="O54" i="34" s="1"/>
  <c r="N360" i="40"/>
  <c r="K360" i="40"/>
  <c r="J359" i="40"/>
  <c r="M359" i="40" s="1"/>
  <c r="O359" i="40" s="1"/>
  <c r="G360" i="40"/>
  <c r="E360" i="40"/>
  <c r="B360" i="40"/>
  <c r="L360" i="40" s="1"/>
  <c r="I360" i="40"/>
  <c r="H360" i="40"/>
  <c r="D360" i="40"/>
  <c r="C360" i="40" s="1"/>
  <c r="F361" i="40" s="1"/>
  <c r="J55" i="34" l="1"/>
  <c r="L55" i="34"/>
  <c r="K361" i="40"/>
  <c r="N361" i="40"/>
  <c r="J360" i="40"/>
  <c r="M360" i="40" s="1"/>
  <c r="O360" i="40" s="1"/>
  <c r="E361" i="40"/>
  <c r="H361" i="40"/>
  <c r="I361" i="40"/>
  <c r="G361" i="40"/>
  <c r="B361" i="40"/>
  <c r="L361" i="40" s="1"/>
  <c r="D361" i="40"/>
  <c r="C361" i="40" s="1"/>
  <c r="F362" i="40" s="1"/>
  <c r="M55" i="34" l="1"/>
  <c r="O55" i="34" s="1"/>
  <c r="D55" i="34"/>
  <c r="C55" i="34" s="1"/>
  <c r="N362" i="40"/>
  <c r="K362" i="40"/>
  <c r="J361" i="40"/>
  <c r="M361" i="40" s="1"/>
  <c r="O361" i="40" s="1"/>
  <c r="E362" i="40"/>
  <c r="B362" i="40"/>
  <c r="L362" i="40" s="1"/>
  <c r="H362" i="40"/>
  <c r="G362" i="40"/>
  <c r="I362" i="40"/>
  <c r="D362" i="40"/>
  <c r="C362" i="40" s="1"/>
  <c r="F363" i="40" s="1"/>
  <c r="K56" i="34" l="1"/>
  <c r="F56" i="34"/>
  <c r="I56" i="34"/>
  <c r="N56" i="34"/>
  <c r="G56" i="34"/>
  <c r="H56" i="34"/>
  <c r="E56" i="34"/>
  <c r="B56" i="34"/>
  <c r="N363" i="40"/>
  <c r="K363" i="40"/>
  <c r="J362" i="40"/>
  <c r="M362" i="40" s="1"/>
  <c r="O362" i="40" s="1"/>
  <c r="G363" i="40"/>
  <c r="I363" i="40"/>
  <c r="H363" i="40"/>
  <c r="B363" i="40"/>
  <c r="L363" i="40" s="1"/>
  <c r="E363" i="40"/>
  <c r="D363" i="40"/>
  <c r="C363" i="40" s="1"/>
  <c r="F364" i="40" s="1"/>
  <c r="J56" i="34" l="1"/>
  <c r="L56" i="34"/>
  <c r="D56" i="34" s="1"/>
  <c r="C56" i="34" s="1"/>
  <c r="N364" i="40"/>
  <c r="K364" i="40"/>
  <c r="J363" i="40"/>
  <c r="M363" i="40" s="1"/>
  <c r="O363" i="40" s="1"/>
  <c r="H364" i="40"/>
  <c r="I364" i="40"/>
  <c r="G364" i="40"/>
  <c r="B364" i="40"/>
  <c r="E364" i="40"/>
  <c r="K57" i="34" l="1"/>
  <c r="F57" i="34"/>
  <c r="H57" i="34"/>
  <c r="B57" i="34"/>
  <c r="N57" i="34"/>
  <c r="I57" i="34"/>
  <c r="E57" i="34"/>
  <c r="G57" i="34"/>
  <c r="M56" i="34"/>
  <c r="O56" i="34" s="1"/>
  <c r="D364" i="40"/>
  <c r="C364" i="40" s="1"/>
  <c r="F365" i="40" s="1"/>
  <c r="L364" i="40"/>
  <c r="J364" i="40"/>
  <c r="J57" i="34" l="1"/>
  <c r="L57" i="34"/>
  <c r="N365" i="40"/>
  <c r="K365" i="40"/>
  <c r="M364" i="40"/>
  <c r="O364" i="40" s="1"/>
  <c r="H365" i="40"/>
  <c r="G365" i="40"/>
  <c r="E365" i="40"/>
  <c r="B365" i="40"/>
  <c r="I365" i="40"/>
  <c r="M57" i="34" l="1"/>
  <c r="O57" i="34" s="1"/>
  <c r="D57" i="34"/>
  <c r="C57" i="34" s="1"/>
  <c r="D365" i="40"/>
  <c r="C365" i="40" s="1"/>
  <c r="F366" i="40" s="1"/>
  <c r="L365" i="40"/>
  <c r="J365" i="40"/>
  <c r="K58" i="34" l="1"/>
  <c r="F58" i="34"/>
  <c r="G58" i="34"/>
  <c r="H58" i="34"/>
  <c r="N58" i="34"/>
  <c r="E58" i="34"/>
  <c r="I58" i="34"/>
  <c r="B58" i="34"/>
  <c r="L58" i="34" s="1"/>
  <c r="D58" i="34" s="1"/>
  <c r="C58" i="34" s="1"/>
  <c r="N366" i="40"/>
  <c r="K366" i="40"/>
  <c r="M365" i="40"/>
  <c r="O365" i="40" s="1"/>
  <c r="B366" i="40"/>
  <c r="L366" i="40" s="1"/>
  <c r="I366" i="40"/>
  <c r="E366" i="40"/>
  <c r="G366" i="40"/>
  <c r="H366" i="40"/>
  <c r="D366" i="40"/>
  <c r="C366" i="40" s="1"/>
  <c r="F367" i="40" s="1"/>
  <c r="K59" i="34" l="1"/>
  <c r="F59" i="34"/>
  <c r="J58" i="34"/>
  <c r="M58" i="34" s="1"/>
  <c r="O58" i="34" s="1"/>
  <c r="I59" i="34"/>
  <c r="G59" i="34"/>
  <c r="E59" i="34"/>
  <c r="N59" i="34"/>
  <c r="B59" i="34"/>
  <c r="L59" i="34" s="1"/>
  <c r="D59" i="34" s="1"/>
  <c r="C59" i="34" s="1"/>
  <c r="H59" i="34"/>
  <c r="N367" i="40"/>
  <c r="K367" i="40"/>
  <c r="J366" i="40"/>
  <c r="M366" i="40" s="1"/>
  <c r="O366" i="40" s="1"/>
  <c r="E367" i="40"/>
  <c r="B367" i="40"/>
  <c r="L367" i="40" s="1"/>
  <c r="H367" i="40"/>
  <c r="I367" i="40"/>
  <c r="G367" i="40"/>
  <c r="D367" i="40"/>
  <c r="C367" i="40" s="1"/>
  <c r="F368" i="40" s="1"/>
  <c r="K60" i="34" l="1"/>
  <c r="F60" i="34"/>
  <c r="J59" i="34"/>
  <c r="M59" i="34" s="1"/>
  <c r="O59" i="34" s="1"/>
  <c r="I60" i="34"/>
  <c r="G60" i="34"/>
  <c r="H60" i="34"/>
  <c r="N60" i="34"/>
  <c r="E60" i="34"/>
  <c r="B60" i="34"/>
  <c r="N368" i="40"/>
  <c r="K368" i="40"/>
  <c r="J367" i="40"/>
  <c r="M367" i="40" s="1"/>
  <c r="O367" i="40" s="1"/>
  <c r="I368" i="40"/>
  <c r="B368" i="40"/>
  <c r="E368" i="40"/>
  <c r="H368" i="40"/>
  <c r="G368" i="40"/>
  <c r="J60" i="34" l="1"/>
  <c r="L60" i="34"/>
  <c r="D60" i="34" s="1"/>
  <c r="C60" i="34" s="1"/>
  <c r="J368" i="40"/>
  <c r="D368" i="40"/>
  <c r="C368" i="40" s="1"/>
  <c r="F369" i="40" s="1"/>
  <c r="L368" i="40"/>
  <c r="K61" i="34" l="1"/>
  <c r="F61" i="34"/>
  <c r="H61" i="34"/>
  <c r="G61" i="34"/>
  <c r="N61" i="34"/>
  <c r="I61" i="34"/>
  <c r="E61" i="34"/>
  <c r="B61" i="34"/>
  <c r="M60" i="34"/>
  <c r="O60" i="34" s="1"/>
  <c r="N369" i="40"/>
  <c r="K369" i="40"/>
  <c r="G369" i="40"/>
  <c r="E369" i="40"/>
  <c r="H369" i="40"/>
  <c r="B369" i="40"/>
  <c r="I369" i="40"/>
  <c r="M368" i="40"/>
  <c r="O368" i="40" s="1"/>
  <c r="J61" i="34" l="1"/>
  <c r="L61" i="34"/>
  <c r="D61" i="34" s="1"/>
  <c r="C61" i="34" s="1"/>
  <c r="D369" i="40"/>
  <c r="C369" i="40" s="1"/>
  <c r="F370" i="40" s="1"/>
  <c r="L369" i="40"/>
  <c r="J369" i="40"/>
  <c r="K62" i="34" l="1"/>
  <c r="F62" i="34"/>
  <c r="B62" i="34"/>
  <c r="L62" i="34" s="1"/>
  <c r="G62" i="34"/>
  <c r="E62" i="34"/>
  <c r="H62" i="34"/>
  <c r="I62" i="34"/>
  <c r="N62" i="34"/>
  <c r="M61" i="34"/>
  <c r="O61" i="34" s="1"/>
  <c r="N370" i="40"/>
  <c r="K370" i="40"/>
  <c r="M369" i="40"/>
  <c r="O369" i="40" s="1"/>
  <c r="B370" i="40"/>
  <c r="L370" i="40" s="1"/>
  <c r="G370" i="40"/>
  <c r="H370" i="40"/>
  <c r="E370" i="40"/>
  <c r="I370" i="40"/>
  <c r="D370" i="40"/>
  <c r="C370" i="40" s="1"/>
  <c r="F371" i="40" s="1"/>
  <c r="J62" i="34" l="1"/>
  <c r="M62" i="34" s="1"/>
  <c r="O62" i="34" s="1"/>
  <c r="D62" i="34"/>
  <c r="C62" i="34" s="1"/>
  <c r="K371" i="40"/>
  <c r="N371" i="40"/>
  <c r="J370" i="40"/>
  <c r="M370" i="40" s="1"/>
  <c r="O370" i="40" s="1"/>
  <c r="H371" i="40"/>
  <c r="I371" i="40"/>
  <c r="G371" i="40"/>
  <c r="B371" i="40"/>
  <c r="L371" i="40" s="1"/>
  <c r="E371" i="40"/>
  <c r="D371" i="40"/>
  <c r="C371" i="40" s="1"/>
  <c r="F372" i="40" s="1"/>
  <c r="K63" i="34" l="1"/>
  <c r="F63" i="34"/>
  <c r="B63" i="34"/>
  <c r="L63" i="34" s="1"/>
  <c r="N63" i="34"/>
  <c r="H63" i="34"/>
  <c r="G63" i="34"/>
  <c r="I63" i="34"/>
  <c r="E63" i="34"/>
  <c r="N372" i="40"/>
  <c r="K372" i="40"/>
  <c r="J371" i="40"/>
  <c r="M371" i="40" s="1"/>
  <c r="O371" i="40" s="1"/>
  <c r="I372" i="40"/>
  <c r="G372" i="40"/>
  <c r="B372" i="40"/>
  <c r="E372" i="40"/>
  <c r="H372" i="40"/>
  <c r="D63" i="34" l="1"/>
  <c r="C63" i="34" s="1"/>
  <c r="K64" i="34" s="1"/>
  <c r="J63" i="34"/>
  <c r="M63" i="34" s="1"/>
  <c r="O63" i="34" s="1"/>
  <c r="J372" i="40"/>
  <c r="D372" i="40"/>
  <c r="C372" i="40" s="1"/>
  <c r="F373" i="40" s="1"/>
  <c r="L372" i="40"/>
  <c r="I64" i="34" l="1"/>
  <c r="N64" i="34"/>
  <c r="G64" i="34"/>
  <c r="B64" i="34"/>
  <c r="L64" i="34" s="1"/>
  <c r="H64" i="34"/>
  <c r="E64" i="34"/>
  <c r="F64" i="34"/>
  <c r="N373" i="40"/>
  <c r="K373" i="40"/>
  <c r="M372" i="40"/>
  <c r="O372" i="40" s="1"/>
  <c r="E373" i="40"/>
  <c r="B373" i="40"/>
  <c r="L373" i="40" s="1"/>
  <c r="H373" i="40"/>
  <c r="G373" i="40"/>
  <c r="I373" i="40"/>
  <c r="D373" i="40"/>
  <c r="C373" i="40" s="1"/>
  <c r="F374" i="40" s="1"/>
  <c r="J64" i="34" l="1"/>
  <c r="M64" i="34" s="1"/>
  <c r="O64" i="34" s="1"/>
  <c r="D64" i="34"/>
  <c r="C64" i="34" s="1"/>
  <c r="E65" i="34" s="1"/>
  <c r="N374" i="40"/>
  <c r="K374" i="40"/>
  <c r="J373" i="40"/>
  <c r="M373" i="40" s="1"/>
  <c r="O373" i="40" s="1"/>
  <c r="H374" i="40"/>
  <c r="I374" i="40"/>
  <c r="B374" i="40"/>
  <c r="L374" i="40" s="1"/>
  <c r="G374" i="40"/>
  <c r="E374" i="40"/>
  <c r="D374" i="40"/>
  <c r="C374" i="40" s="1"/>
  <c r="F375" i="40" s="1"/>
  <c r="F65" i="34" l="1"/>
  <c r="N65" i="34"/>
  <c r="K65" i="34"/>
  <c r="G65" i="34"/>
  <c r="H65" i="34"/>
  <c r="I65" i="34"/>
  <c r="B65" i="34"/>
  <c r="L65" i="34" s="1"/>
  <c r="D65" i="34" s="1"/>
  <c r="C65" i="34" s="1"/>
  <c r="K66" i="34" s="1"/>
  <c r="N375" i="40"/>
  <c r="K375" i="40"/>
  <c r="J374" i="40"/>
  <c r="M374" i="40" s="1"/>
  <c r="O374" i="40" s="1"/>
  <c r="H375" i="40"/>
  <c r="I375" i="40"/>
  <c r="E375" i="40"/>
  <c r="G375" i="40"/>
  <c r="B375" i="40"/>
  <c r="J65" i="34" l="1"/>
  <c r="M65" i="34" s="1"/>
  <c r="O65" i="34" s="1"/>
  <c r="F66" i="34"/>
  <c r="B66" i="34"/>
  <c r="L66" i="34" s="1"/>
  <c r="I66" i="34"/>
  <c r="E66" i="34"/>
  <c r="H66" i="34"/>
  <c r="G66" i="34"/>
  <c r="N66" i="34"/>
  <c r="J375" i="40"/>
  <c r="D375" i="40"/>
  <c r="C375" i="40" s="1"/>
  <c r="F376" i="40" s="1"/>
  <c r="L375" i="40"/>
  <c r="D66" i="34" l="1"/>
  <c r="C66" i="34" s="1"/>
  <c r="E67" i="34" s="1"/>
  <c r="J66" i="34"/>
  <c r="M66" i="34" s="1"/>
  <c r="O66" i="34" s="1"/>
  <c r="M375" i="40"/>
  <c r="O375" i="40" s="1"/>
  <c r="N376" i="40"/>
  <c r="K376" i="40"/>
  <c r="B376" i="40"/>
  <c r="L376" i="40" s="1"/>
  <c r="H376" i="40"/>
  <c r="E376" i="40"/>
  <c r="I376" i="40"/>
  <c r="G376" i="40"/>
  <c r="D376" i="40"/>
  <c r="C376" i="40" s="1"/>
  <c r="F377" i="40" s="1"/>
  <c r="F67" i="34" l="1"/>
  <c r="K67" i="34"/>
  <c r="I67" i="34"/>
  <c r="N67" i="34"/>
  <c r="G67" i="34"/>
  <c r="B67" i="34"/>
  <c r="L67" i="34" s="1"/>
  <c r="D67" i="34" s="1"/>
  <c r="C67" i="34" s="1"/>
  <c r="I68" i="34" s="1"/>
  <c r="H67" i="34"/>
  <c r="N377" i="40"/>
  <c r="K377" i="40"/>
  <c r="J376" i="40"/>
  <c r="M376" i="40" s="1"/>
  <c r="O376" i="40" s="1"/>
  <c r="I377" i="40"/>
  <c r="G377" i="40"/>
  <c r="E377" i="40"/>
  <c r="H377" i="40"/>
  <c r="B377" i="40"/>
  <c r="J67" i="34" l="1"/>
  <c r="M67" i="34" s="1"/>
  <c r="O67" i="34" s="1"/>
  <c r="E68" i="34"/>
  <c r="B68" i="34"/>
  <c r="L68" i="34" s="1"/>
  <c r="H68" i="34"/>
  <c r="G68" i="34"/>
  <c r="N68" i="34"/>
  <c r="F68" i="34"/>
  <c r="K68" i="34"/>
  <c r="J377" i="40"/>
  <c r="D377" i="40"/>
  <c r="C377" i="40" s="1"/>
  <c r="L377" i="40"/>
  <c r="J68" i="34" l="1"/>
  <c r="M68" i="34" s="1"/>
  <c r="O68" i="34" s="1"/>
  <c r="D68" i="34"/>
  <c r="C68" i="34" s="1"/>
  <c r="M377" i="40"/>
  <c r="O377" i="40" s="1"/>
  <c r="K69" i="34" l="1"/>
  <c r="F69" i="34"/>
  <c r="G69" i="34"/>
  <c r="E69" i="34"/>
  <c r="N69" i="34"/>
  <c r="I69" i="34"/>
  <c r="B69" i="34"/>
  <c r="L69" i="34" s="1"/>
  <c r="D69" i="34" s="1"/>
  <c r="C69" i="34" s="1"/>
  <c r="H69" i="34"/>
  <c r="K70" i="34" l="1"/>
  <c r="F70" i="34"/>
  <c r="J69" i="34"/>
  <c r="M69" i="34" s="1"/>
  <c r="O69" i="34" s="1"/>
  <c r="G70" i="34"/>
  <c r="H70" i="34"/>
  <c r="B70" i="34"/>
  <c r="I70" i="34"/>
  <c r="N70" i="34"/>
  <c r="E70" i="34"/>
  <c r="J70" i="34" l="1"/>
  <c r="L70" i="34"/>
  <c r="D70" i="34" s="1"/>
  <c r="C70" i="34" s="1"/>
  <c r="K71" i="34" l="1"/>
  <c r="F71" i="34"/>
  <c r="H71" i="34"/>
  <c r="G71" i="34"/>
  <c r="E71" i="34"/>
  <c r="N71" i="34"/>
  <c r="I71" i="34"/>
  <c r="B71" i="34"/>
  <c r="L71" i="34" s="1"/>
  <c r="D71" i="34" s="1"/>
  <c r="C71" i="34" s="1"/>
  <c r="M70" i="34"/>
  <c r="O70" i="34" s="1"/>
  <c r="K72" i="34" l="1"/>
  <c r="F72" i="34"/>
  <c r="J71" i="34"/>
  <c r="M71" i="34" s="1"/>
  <c r="O71" i="34" s="1"/>
  <c r="N72" i="34"/>
  <c r="I72" i="34"/>
  <c r="B72" i="34"/>
  <c r="L72" i="34" s="1"/>
  <c r="E72" i="34"/>
  <c r="G72" i="34"/>
  <c r="H72" i="34"/>
  <c r="D72" i="34" l="1"/>
  <c r="C72" i="34" s="1"/>
  <c r="J72" i="34"/>
  <c r="M72" i="34" s="1"/>
  <c r="O72" i="34" s="1"/>
  <c r="K73" i="34" l="1"/>
  <c r="F73" i="34"/>
  <c r="N73" i="34"/>
  <c r="E73" i="34"/>
  <c r="B73" i="34"/>
  <c r="L73" i="34" s="1"/>
  <c r="H73" i="34"/>
  <c r="G73" i="34"/>
  <c r="I73" i="34"/>
  <c r="D73" i="34" l="1"/>
  <c r="C73" i="34" s="1"/>
  <c r="J73" i="34"/>
  <c r="M73" i="34" s="1"/>
  <c r="O73" i="34" s="1"/>
  <c r="K74" i="34" l="1"/>
  <c r="F74" i="34"/>
  <c r="N74" i="34"/>
  <c r="G74" i="34"/>
  <c r="B74" i="34"/>
  <c r="L74" i="34" s="1"/>
  <c r="H74" i="34"/>
  <c r="I74" i="34"/>
  <c r="E74" i="34"/>
  <c r="D74" i="34" l="1"/>
  <c r="C74" i="34" s="1"/>
  <c r="J74" i="34"/>
  <c r="M74" i="34" s="1"/>
  <c r="O74" i="34" s="1"/>
  <c r="K75" i="34" l="1"/>
  <c r="F75" i="34"/>
  <c r="N75" i="34"/>
  <c r="E75" i="34"/>
  <c r="B75" i="34"/>
  <c r="L75" i="34" s="1"/>
  <c r="D75" i="34" s="1"/>
  <c r="C75" i="34" s="1"/>
  <c r="H75" i="34"/>
  <c r="I75" i="34"/>
  <c r="G75" i="34"/>
  <c r="K76" i="34" l="1"/>
  <c r="F76" i="34"/>
  <c r="J75" i="34"/>
  <c r="M75" i="34" s="1"/>
  <c r="O75" i="34" s="1"/>
  <c r="N76" i="34"/>
  <c r="I76" i="34"/>
  <c r="H76" i="34"/>
  <c r="B76" i="34"/>
  <c r="L76" i="34" s="1"/>
  <c r="E76" i="34"/>
  <c r="G76" i="34"/>
  <c r="D76" i="34" l="1"/>
  <c r="C76" i="34" s="1"/>
  <c r="K77" i="34" s="1"/>
  <c r="J76" i="34"/>
  <c r="M76" i="34" s="1"/>
  <c r="O76" i="34" s="1"/>
  <c r="I77" i="34" l="1"/>
  <c r="E77" i="34"/>
  <c r="G77" i="34"/>
  <c r="H77" i="34"/>
  <c r="N77" i="34"/>
  <c r="B77" i="34"/>
  <c r="L77" i="34" s="1"/>
  <c r="D77" i="34" s="1"/>
  <c r="C77" i="34" s="1"/>
  <c r="F77" i="34"/>
  <c r="J77" i="34" l="1"/>
  <c r="M77" i="34" s="1"/>
  <c r="O77" i="34" s="1"/>
  <c r="K78" i="34"/>
  <c r="F78" i="34"/>
  <c r="G78" i="34"/>
  <c r="N78" i="34"/>
  <c r="H78" i="34"/>
  <c r="B78" i="34"/>
  <c r="L78" i="34" s="1"/>
  <c r="D78" i="34" s="1"/>
  <c r="C78" i="34" s="1"/>
  <c r="E78" i="34"/>
  <c r="I78" i="34"/>
  <c r="F79" i="34" l="1"/>
  <c r="K79" i="34"/>
  <c r="I79" i="34"/>
  <c r="H79" i="34"/>
  <c r="G79" i="34"/>
  <c r="B79" i="34"/>
  <c r="L79" i="34" s="1"/>
  <c r="D79" i="34" s="1"/>
  <c r="J78" i="34"/>
  <c r="M78" i="34" s="1"/>
  <c r="O78" i="34" s="1"/>
  <c r="N79" i="34"/>
  <c r="E79" i="34"/>
  <c r="J79" i="34" l="1"/>
  <c r="M79" i="34" s="1"/>
  <c r="O79" i="34" s="1"/>
  <c r="C79" i="34" l="1"/>
  <c r="F80" i="34" l="1"/>
  <c r="N80" i="34"/>
  <c r="E80" i="34"/>
  <c r="K80" i="34"/>
  <c r="H80" i="34"/>
  <c r="I80" i="34"/>
  <c r="G80" i="34"/>
  <c r="B80" i="34"/>
  <c r="L80" i="34" l="1"/>
  <c r="D80" i="34" s="1"/>
  <c r="J80" i="34"/>
  <c r="C80" i="34" l="1"/>
  <c r="M80" i="34"/>
  <c r="O80" i="34" s="1"/>
  <c r="F81" i="34" l="1"/>
  <c r="B81" i="34"/>
  <c r="L81" i="34" s="1"/>
  <c r="G81" i="34"/>
  <c r="H81" i="34"/>
  <c r="E81" i="34"/>
  <c r="I81" i="34"/>
  <c r="K81" i="34"/>
  <c r="N81" i="34"/>
  <c r="J81" i="34" l="1"/>
  <c r="M81" i="34" s="1"/>
  <c r="O81" i="34" s="1"/>
  <c r="D81" i="34"/>
  <c r="C81" i="34" s="1"/>
  <c r="N82" i="34" s="1"/>
  <c r="I82" i="34" l="1"/>
  <c r="H82" i="34"/>
  <c r="G82" i="34"/>
  <c r="E82" i="34"/>
  <c r="B82" i="34"/>
  <c r="L82" i="34" s="1"/>
  <c r="D82" i="34" s="1"/>
  <c r="C82" i="34" s="1"/>
  <c r="N83" i="34" s="1"/>
  <c r="F82" i="34"/>
  <c r="K82" i="34"/>
  <c r="J82" i="34" l="1"/>
  <c r="M82" i="34" s="1"/>
  <c r="O82" i="34" s="1"/>
  <c r="K83" i="34"/>
  <c r="F83" i="34"/>
  <c r="E83" i="34"/>
  <c r="I83" i="34"/>
  <c r="H83" i="34"/>
  <c r="G83" i="34"/>
  <c r="B83" i="34"/>
  <c r="L83" i="34" s="1"/>
  <c r="D83" i="34" s="1"/>
  <c r="C83" i="34" l="1"/>
  <c r="N84" i="34" s="1"/>
  <c r="J83" i="34"/>
  <c r="M83" i="34" s="1"/>
  <c r="O83" i="34" s="1"/>
  <c r="F84" i="34" l="1"/>
  <c r="K84" i="34"/>
  <c r="E84" i="34"/>
  <c r="B84" i="34"/>
  <c r="L84" i="34" s="1"/>
  <c r="D84" i="34" s="1"/>
  <c r="I84" i="34"/>
  <c r="G84" i="34"/>
  <c r="H84" i="34"/>
  <c r="C84" i="34" l="1"/>
  <c r="N85" i="34" s="1"/>
  <c r="J84" i="34"/>
  <c r="M84" i="34" s="1"/>
  <c r="O84" i="34" s="1"/>
  <c r="E85" i="34" l="1"/>
  <c r="K85" i="34"/>
  <c r="F85" i="34"/>
  <c r="G85" i="34"/>
  <c r="B85" i="34"/>
  <c r="L85" i="34" s="1"/>
  <c r="D85" i="34" s="1"/>
  <c r="H85" i="34"/>
  <c r="I85" i="34"/>
  <c r="C85" i="34" l="1"/>
  <c r="N86" i="34" s="1"/>
  <c r="J85" i="34"/>
  <c r="M85" i="34" s="1"/>
  <c r="O85" i="34" s="1"/>
  <c r="I86" i="34" l="1"/>
  <c r="G86" i="34"/>
  <c r="H86" i="34"/>
  <c r="B86" i="34"/>
  <c r="L86" i="34" s="1"/>
  <c r="E86" i="34"/>
  <c r="K86" i="34"/>
  <c r="F86" i="34"/>
  <c r="D86" i="34" l="1"/>
  <c r="C86" i="34" s="1"/>
  <c r="N87" i="34" s="1"/>
  <c r="J86" i="34"/>
  <c r="M86" i="34" s="1"/>
  <c r="O86" i="34" s="1"/>
  <c r="K87" i="34"/>
  <c r="F87" i="34"/>
  <c r="E87" i="34"/>
  <c r="H87" i="34"/>
  <c r="B87" i="34"/>
  <c r="L87" i="34" s="1"/>
  <c r="D87" i="34" s="1"/>
  <c r="I87" i="34"/>
  <c r="G87" i="34"/>
  <c r="C87" i="34" l="1"/>
  <c r="N88" i="34" s="1"/>
  <c r="J87" i="34"/>
  <c r="M87" i="34" s="1"/>
  <c r="O87" i="34" s="1"/>
  <c r="K88" i="34" l="1"/>
  <c r="F88" i="34"/>
  <c r="E88" i="34"/>
  <c r="H88" i="34"/>
  <c r="G88" i="34"/>
  <c r="B88" i="34"/>
  <c r="L88" i="34" s="1"/>
  <c r="D88" i="34" s="1"/>
  <c r="I88" i="34"/>
  <c r="C88" i="34" l="1"/>
  <c r="N89" i="34" s="1"/>
  <c r="J88" i="34"/>
  <c r="M88" i="34" s="1"/>
  <c r="O88" i="34" s="1"/>
  <c r="K89" i="34" l="1"/>
  <c r="F89" i="34"/>
  <c r="E89" i="34"/>
  <c r="H89" i="34"/>
  <c r="B89" i="34"/>
  <c r="L89" i="34" s="1"/>
  <c r="G89" i="34"/>
  <c r="I89" i="34"/>
  <c r="D89" i="34" l="1"/>
  <c r="J89" i="34"/>
  <c r="M89" i="34" s="1"/>
  <c r="O89" i="34" s="1"/>
  <c r="C89" i="34" l="1"/>
  <c r="N90" i="34" s="1"/>
  <c r="I90" i="34" l="1"/>
  <c r="G90" i="34"/>
  <c r="H90" i="34"/>
  <c r="B90" i="34"/>
  <c r="L90" i="34" s="1"/>
  <c r="E90" i="34"/>
  <c r="K90" i="34"/>
  <c r="F90" i="34"/>
  <c r="D90" i="34" l="1"/>
  <c r="C90" i="34" s="1"/>
  <c r="N91" i="34" s="1"/>
  <c r="J90" i="34"/>
  <c r="M90" i="34" s="1"/>
  <c r="O90" i="34" s="1"/>
  <c r="F91" i="34"/>
  <c r="K91" i="34"/>
  <c r="E91" i="34"/>
  <c r="B91" i="34"/>
  <c r="L91" i="34" s="1"/>
  <c r="D91" i="34" s="1"/>
  <c r="I91" i="34"/>
  <c r="G91" i="34"/>
  <c r="H91" i="34"/>
  <c r="C91" i="34" l="1"/>
  <c r="N92" i="34" s="1"/>
  <c r="J91" i="34"/>
  <c r="M91" i="34" s="1"/>
  <c r="O91" i="34" s="1"/>
  <c r="F92" i="34" l="1"/>
  <c r="K92" i="34"/>
  <c r="E92" i="34"/>
  <c r="B92" i="34"/>
  <c r="L92" i="34" s="1"/>
  <c r="D92" i="34" s="1"/>
  <c r="I92" i="34"/>
  <c r="G92" i="34"/>
  <c r="H92" i="34"/>
  <c r="J92" i="34" l="1"/>
  <c r="M92" i="34" s="1"/>
  <c r="O92" i="34" s="1"/>
  <c r="C92" i="34" l="1"/>
  <c r="N93" i="34" s="1"/>
  <c r="H93" i="34" l="1"/>
  <c r="I93" i="34"/>
  <c r="G93" i="34"/>
  <c r="E93" i="34"/>
  <c r="K93" i="34"/>
  <c r="F93" i="34"/>
  <c r="B93" i="34"/>
  <c r="L93" i="34" s="1"/>
  <c r="D93" i="34" s="1"/>
  <c r="J93" i="34" l="1"/>
  <c r="M93" i="34" s="1"/>
  <c r="O93" i="34" s="1"/>
  <c r="C93" i="34"/>
  <c r="N94" i="34" s="1"/>
  <c r="G94" i="34" l="1"/>
  <c r="I94" i="34"/>
  <c r="B94" i="34"/>
  <c r="L94" i="34" s="1"/>
  <c r="H94" i="34"/>
  <c r="K94" i="34"/>
  <c r="F94" i="34"/>
  <c r="E94" i="34"/>
  <c r="D94" i="34" l="1"/>
  <c r="C94" i="34" s="1"/>
  <c r="N95" i="34" s="1"/>
  <c r="J94" i="34"/>
  <c r="M94" i="34" s="1"/>
  <c r="O94" i="34" s="1"/>
  <c r="H95" i="34" l="1"/>
  <c r="B95" i="34"/>
  <c r="L95" i="34" s="1"/>
  <c r="G95" i="34"/>
  <c r="I95" i="34"/>
  <c r="E95" i="34"/>
  <c r="K95" i="34"/>
  <c r="F95" i="34"/>
  <c r="J95" i="34" l="1"/>
  <c r="M95" i="34" s="1"/>
  <c r="O95" i="34" s="1"/>
  <c r="D95" i="34"/>
  <c r="C95" i="34" s="1"/>
  <c r="N96" i="34" s="1"/>
  <c r="H96" i="34" l="1"/>
  <c r="I96" i="34"/>
  <c r="G96" i="34"/>
  <c r="E96" i="34"/>
  <c r="K96" i="34"/>
  <c r="F96" i="34"/>
  <c r="B96" i="34"/>
  <c r="L96" i="34" s="1"/>
  <c r="J96" i="34" l="1"/>
  <c r="M96" i="34" s="1"/>
  <c r="O96" i="34" s="1"/>
  <c r="D96" i="34"/>
  <c r="C96" i="34" s="1"/>
  <c r="N97" i="34" l="1"/>
  <c r="H97" i="34"/>
  <c r="F97" i="34"/>
  <c r="E97" i="34"/>
  <c r="B97" i="34"/>
  <c r="L97" i="34" s="1"/>
  <c r="D97" i="34" s="1"/>
  <c r="C97" i="34" s="1"/>
  <c r="N98" i="34" s="1"/>
  <c r="I97" i="34"/>
  <c r="G97" i="34"/>
  <c r="K97" i="34"/>
  <c r="J97" i="34" l="1"/>
  <c r="M97" i="34" s="1"/>
  <c r="O97" i="34" s="1"/>
  <c r="F98" i="34"/>
  <c r="K98" i="34"/>
  <c r="E98" i="34"/>
  <c r="H98" i="34"/>
  <c r="G98" i="34"/>
  <c r="B98" i="34"/>
  <c r="L98" i="34" s="1"/>
  <c r="D98" i="34" s="1"/>
  <c r="I98" i="34"/>
  <c r="C98" i="34" l="1"/>
  <c r="N99" i="34" s="1"/>
  <c r="J98" i="34"/>
  <c r="M98" i="34" s="1"/>
  <c r="O98" i="34" s="1"/>
  <c r="K99" i="34" l="1"/>
  <c r="F99" i="34"/>
  <c r="E99" i="34"/>
  <c r="I99" i="34"/>
  <c r="B99" i="34"/>
  <c r="L99" i="34" s="1"/>
  <c r="D99" i="34" s="1"/>
  <c r="H99" i="34"/>
  <c r="G99" i="34"/>
  <c r="C99" i="34" l="1"/>
  <c r="N100" i="34" s="1"/>
  <c r="J99" i="34"/>
  <c r="M99" i="34" s="1"/>
  <c r="O99" i="34" s="1"/>
  <c r="F100" i="34" l="1"/>
  <c r="K100" i="34"/>
  <c r="E100" i="34"/>
  <c r="H100" i="34"/>
  <c r="G100" i="34"/>
  <c r="B100" i="34"/>
  <c r="L100" i="34" s="1"/>
  <c r="D100" i="34" s="1"/>
  <c r="I100" i="34"/>
  <c r="C100" i="34" l="1"/>
  <c r="N101" i="34" s="1"/>
  <c r="J100" i="34"/>
  <c r="M100" i="34" s="1"/>
  <c r="O100" i="34" s="1"/>
  <c r="K101" i="34" l="1"/>
  <c r="F101" i="34"/>
  <c r="E101" i="34"/>
  <c r="G101" i="34"/>
  <c r="B101" i="34"/>
  <c r="L101" i="34" s="1"/>
  <c r="D101" i="34" s="1"/>
  <c r="H101" i="34"/>
  <c r="I101" i="34"/>
  <c r="C101" i="34" l="1"/>
  <c r="N102" i="34" s="1"/>
  <c r="J101" i="34"/>
  <c r="M101" i="34" s="1"/>
  <c r="O101" i="34" s="1"/>
  <c r="K102" i="34" l="1"/>
  <c r="F102" i="34"/>
  <c r="E102" i="34"/>
  <c r="G102" i="34"/>
  <c r="H102" i="34"/>
  <c r="I102" i="34"/>
  <c r="B102" i="34"/>
  <c r="L102" i="34" s="1"/>
  <c r="D102" i="34" s="1"/>
  <c r="C102" i="34" l="1"/>
  <c r="N103" i="34" s="1"/>
  <c r="J102" i="34"/>
  <c r="M102" i="34" s="1"/>
  <c r="O102" i="34" s="1"/>
  <c r="K103" i="34" l="1"/>
  <c r="F103" i="34"/>
  <c r="E103" i="34"/>
  <c r="G103" i="34"/>
  <c r="I103" i="34"/>
  <c r="H103" i="34"/>
  <c r="B103" i="34"/>
  <c r="L103" i="34" s="1"/>
  <c r="D103" i="34" s="1"/>
  <c r="C103" i="34" l="1"/>
  <c r="N104" i="34" s="1"/>
  <c r="J103" i="34"/>
  <c r="M103" i="34" s="1"/>
  <c r="O103" i="34" s="1"/>
  <c r="K104" i="34" l="1"/>
  <c r="F104" i="34"/>
  <c r="E104" i="34"/>
  <c r="B104" i="34"/>
  <c r="L104" i="34" s="1"/>
  <c r="D104" i="34" s="1"/>
  <c r="I104" i="34"/>
  <c r="G104" i="34"/>
  <c r="H104" i="34"/>
  <c r="J104" i="34" l="1"/>
  <c r="M104" i="34" s="1"/>
  <c r="O104" i="34" s="1"/>
  <c r="C104" i="34" l="1"/>
  <c r="N105" i="34" s="1"/>
  <c r="K105" i="34" l="1"/>
  <c r="F105" i="34"/>
  <c r="E105" i="34"/>
  <c r="I105" i="34"/>
  <c r="H105" i="34"/>
  <c r="B105" i="34"/>
  <c r="L105" i="34" s="1"/>
  <c r="D105" i="34" s="1"/>
  <c r="G105" i="34"/>
  <c r="C105" i="34" l="1"/>
  <c r="N106" i="34" s="1"/>
  <c r="J105" i="34"/>
  <c r="M105" i="34" s="1"/>
  <c r="O105" i="34" s="1"/>
  <c r="K106" i="34" l="1"/>
  <c r="F106" i="34"/>
  <c r="E106" i="34"/>
  <c r="H106" i="34"/>
  <c r="B106" i="34"/>
  <c r="L106" i="34" s="1"/>
  <c r="D106" i="34" s="1"/>
  <c r="I106" i="34"/>
  <c r="G106" i="34"/>
  <c r="C106" i="34" l="1"/>
  <c r="N107" i="34" s="1"/>
  <c r="J106" i="34"/>
  <c r="M106" i="34" s="1"/>
  <c r="O106" i="34" s="1"/>
  <c r="F107" i="34" l="1"/>
  <c r="K107" i="34"/>
  <c r="E107" i="34"/>
  <c r="G107" i="34"/>
  <c r="B107" i="34"/>
  <c r="L107" i="34" s="1"/>
  <c r="D107" i="34" s="1"/>
  <c r="H107" i="34"/>
  <c r="I107" i="34"/>
  <c r="J107" i="34" l="1"/>
  <c r="M107" i="34" s="1"/>
  <c r="O107" i="34" s="1"/>
  <c r="C107" i="34"/>
  <c r="N108" i="34" s="1"/>
  <c r="F108" i="34" l="1"/>
  <c r="K108" i="34"/>
  <c r="E108" i="34"/>
  <c r="I108" i="34"/>
  <c r="G108" i="34"/>
  <c r="H108" i="34"/>
  <c r="B108" i="34"/>
  <c r="L108" i="34" s="1"/>
  <c r="D108" i="34" s="1"/>
  <c r="C108" i="34" l="1"/>
  <c r="N109" i="34" s="1"/>
  <c r="J108" i="34"/>
  <c r="M108" i="34" s="1"/>
  <c r="O108" i="34" s="1"/>
  <c r="K109" i="34" l="1"/>
  <c r="F109" i="34"/>
  <c r="E109" i="34"/>
  <c r="B109" i="34"/>
  <c r="L109" i="34" s="1"/>
  <c r="D109" i="34" s="1"/>
  <c r="H109" i="34"/>
  <c r="G109" i="34"/>
  <c r="I109" i="34"/>
  <c r="J109" i="34" l="1"/>
  <c r="M109" i="34" s="1"/>
  <c r="O109" i="34" s="1"/>
  <c r="C109" i="34"/>
  <c r="N110" i="34" s="1"/>
  <c r="K110" i="34" l="1"/>
  <c r="F110" i="34"/>
  <c r="E110" i="34"/>
  <c r="H110" i="34"/>
  <c r="I110" i="34"/>
  <c r="B110" i="34"/>
  <c r="L110" i="34" s="1"/>
  <c r="D110" i="34" s="1"/>
  <c r="G110" i="34"/>
  <c r="J110" i="34" l="1"/>
  <c r="M110" i="34" s="1"/>
  <c r="O110" i="34" s="1"/>
  <c r="C110" i="34"/>
  <c r="N111" i="34" s="1"/>
  <c r="K111" i="34" l="1"/>
  <c r="F111" i="34"/>
  <c r="E111" i="34"/>
  <c r="G111" i="34"/>
  <c r="H111" i="34"/>
  <c r="I111" i="34"/>
  <c r="B111" i="34"/>
  <c r="L111" i="34" s="1"/>
  <c r="D111" i="34" s="1"/>
  <c r="J111" i="34" l="1"/>
  <c r="M111" i="34" s="1"/>
  <c r="O111" i="34" s="1"/>
  <c r="C111" i="34"/>
  <c r="N112" i="34" s="1"/>
  <c r="K112" i="34" l="1"/>
  <c r="F112" i="34"/>
  <c r="E112" i="34"/>
  <c r="H112" i="34"/>
  <c r="I112" i="34"/>
  <c r="B112" i="34"/>
  <c r="L112" i="34" s="1"/>
  <c r="D112" i="34" s="1"/>
  <c r="G112" i="34"/>
  <c r="C112" i="34" l="1"/>
  <c r="N113" i="34" s="1"/>
  <c r="J112" i="34"/>
  <c r="M112" i="34" s="1"/>
  <c r="O112" i="34" s="1"/>
  <c r="K113" i="34" l="1"/>
  <c r="F113" i="34"/>
  <c r="E113" i="34"/>
  <c r="H113" i="34"/>
  <c r="G113" i="34"/>
  <c r="B113" i="34"/>
  <c r="L113" i="34" s="1"/>
  <c r="D113" i="34" s="1"/>
  <c r="I113" i="34"/>
  <c r="J113" i="34" l="1"/>
  <c r="M113" i="34" s="1"/>
  <c r="O113" i="34" s="1"/>
  <c r="C113" i="34" l="1"/>
  <c r="N114" i="34" s="1"/>
  <c r="F114" i="34" l="1"/>
  <c r="K114" i="34"/>
  <c r="E114" i="34"/>
  <c r="I114" i="34"/>
  <c r="G114" i="34"/>
  <c r="H114" i="34"/>
  <c r="B114" i="34"/>
  <c r="L114" i="34" s="1"/>
  <c r="D114" i="34" s="1"/>
  <c r="J114" i="34" l="1"/>
  <c r="M114" i="34" s="1"/>
  <c r="O114" i="34" s="1"/>
  <c r="C114" i="34"/>
  <c r="N115" i="34" s="1"/>
  <c r="F115" i="34" l="1"/>
  <c r="K115" i="34"/>
  <c r="E115" i="34"/>
  <c r="G115" i="34"/>
  <c r="B115" i="34"/>
  <c r="L115" i="34" s="1"/>
  <c r="D115" i="34" s="1"/>
  <c r="I115" i="34"/>
  <c r="H115" i="34"/>
  <c r="J115" i="34" l="1"/>
  <c r="M115" i="34" s="1"/>
  <c r="O115" i="34" s="1"/>
  <c r="C115" i="34"/>
  <c r="N116" i="34" s="1"/>
  <c r="F116" i="34" l="1"/>
  <c r="K116" i="34"/>
  <c r="E116" i="34"/>
  <c r="B116" i="34"/>
  <c r="L116" i="34" s="1"/>
  <c r="I116" i="34"/>
  <c r="G116" i="34"/>
  <c r="H116" i="34"/>
  <c r="D116" i="34" l="1"/>
  <c r="C116" i="34" s="1"/>
  <c r="N117" i="34" s="1"/>
  <c r="J116" i="34"/>
  <c r="M116" i="34" s="1"/>
  <c r="O116" i="34" s="1"/>
  <c r="K117" i="34" l="1"/>
  <c r="F117" i="34"/>
  <c r="E117" i="34"/>
  <c r="I117" i="34"/>
  <c r="H117" i="34"/>
  <c r="G117" i="34"/>
  <c r="B117" i="34"/>
  <c r="L117" i="34" s="1"/>
  <c r="D117" i="34" s="1"/>
  <c r="J117" i="34" l="1"/>
  <c r="M117" i="34" s="1"/>
  <c r="O117" i="34" s="1"/>
  <c r="C117" i="34"/>
  <c r="N118" i="34" s="1"/>
  <c r="K118" i="34" l="1"/>
  <c r="F118" i="34"/>
  <c r="E118" i="34"/>
  <c r="B118" i="34"/>
  <c r="L118" i="34" s="1"/>
  <c r="D118" i="34" s="1"/>
  <c r="H118" i="34"/>
  <c r="G118" i="34"/>
  <c r="I118" i="34"/>
  <c r="J118" i="34" l="1"/>
  <c r="M118" i="34" s="1"/>
  <c r="O118" i="34" s="1"/>
  <c r="C118" i="34"/>
  <c r="N119" i="34" s="1"/>
  <c r="K119" i="34" l="1"/>
  <c r="F119" i="34"/>
  <c r="E119" i="34"/>
  <c r="B119" i="34"/>
  <c r="L119" i="34" s="1"/>
  <c r="D119" i="34" s="1"/>
  <c r="I119" i="34"/>
  <c r="G119" i="34"/>
  <c r="H119" i="34"/>
  <c r="J119" i="34" l="1"/>
  <c r="M119" i="34" s="1"/>
  <c r="O119" i="34" s="1"/>
  <c r="C119" i="34"/>
  <c r="N120" i="34" s="1"/>
  <c r="K120" i="34" l="1"/>
  <c r="F120" i="34"/>
  <c r="E120" i="34"/>
  <c r="G120" i="34"/>
  <c r="I120" i="34"/>
  <c r="H120" i="34"/>
  <c r="B120" i="34"/>
  <c r="L120" i="34" s="1"/>
  <c r="D120" i="34" s="1"/>
  <c r="J120" i="34" l="1"/>
  <c r="M120" i="34" s="1"/>
  <c r="O120" i="34" s="1"/>
  <c r="C120" i="34"/>
  <c r="N121" i="34" s="1"/>
  <c r="K121" i="34" l="1"/>
  <c r="F121" i="34"/>
  <c r="E121" i="34"/>
  <c r="G121" i="34"/>
  <c r="H121" i="34"/>
  <c r="B121" i="34"/>
  <c r="L121" i="34" s="1"/>
  <c r="D121" i="34" s="1"/>
  <c r="I121" i="34"/>
  <c r="J121" i="34" l="1"/>
  <c r="M121" i="34" s="1"/>
  <c r="O121" i="34" s="1"/>
  <c r="C121" i="34"/>
  <c r="N122" i="34" s="1"/>
  <c r="K122" i="34" l="1"/>
  <c r="F122" i="34"/>
  <c r="E122" i="34"/>
  <c r="G122" i="34"/>
  <c r="I122" i="34"/>
  <c r="B122" i="34"/>
  <c r="L122" i="34" s="1"/>
  <c r="D122" i="34" s="1"/>
  <c r="H122" i="34"/>
  <c r="J122" i="34" l="1"/>
  <c r="M122" i="34" s="1"/>
  <c r="O122" i="34" s="1"/>
  <c r="C122" i="34"/>
  <c r="N123" i="34" s="1"/>
  <c r="K123" i="34" l="1"/>
  <c r="F123" i="34"/>
  <c r="E123" i="34"/>
  <c r="I123" i="34"/>
  <c r="B123" i="34"/>
  <c r="L123" i="34" s="1"/>
  <c r="D123" i="34" s="1"/>
  <c r="G123" i="34"/>
  <c r="H123" i="34"/>
  <c r="J123" i="34" l="1"/>
  <c r="M123" i="34" s="1"/>
  <c r="O123" i="34" s="1"/>
  <c r="C123" i="34" l="1"/>
  <c r="N124" i="34" s="1"/>
  <c r="F124" i="34" l="1"/>
  <c r="K124" i="34"/>
  <c r="E124" i="34"/>
  <c r="G124" i="34"/>
  <c r="B124" i="34"/>
  <c r="L124" i="34" s="1"/>
  <c r="D124" i="34" s="1"/>
  <c r="H124" i="34"/>
  <c r="I124" i="34"/>
  <c r="J124" i="34" l="1"/>
  <c r="M124" i="34" s="1"/>
  <c r="O124" i="34" s="1"/>
  <c r="C124" i="34"/>
  <c r="N125" i="34" s="1"/>
  <c r="K125" i="34" l="1"/>
  <c r="F125" i="34"/>
  <c r="E125" i="34"/>
  <c r="I125" i="34"/>
  <c r="B125" i="34"/>
  <c r="L125" i="34" s="1"/>
  <c r="D125" i="34" s="1"/>
  <c r="H125" i="34"/>
  <c r="G125" i="34"/>
  <c r="C125" i="34" l="1"/>
  <c r="N126" i="34" s="1"/>
  <c r="J125" i="34"/>
  <c r="M125" i="34" s="1"/>
  <c r="O125" i="34" s="1"/>
  <c r="K126" i="34" l="1"/>
  <c r="F126" i="34"/>
  <c r="E126" i="34"/>
  <c r="I126" i="34"/>
  <c r="G126" i="34"/>
  <c r="H126" i="34"/>
  <c r="B126" i="34"/>
  <c r="L126" i="34" s="1"/>
  <c r="D126" i="34" s="1"/>
  <c r="J126" i="34" l="1"/>
  <c r="M126" i="34" s="1"/>
  <c r="O126" i="34" s="1"/>
  <c r="C126" i="34"/>
  <c r="N127" i="34" s="1"/>
  <c r="K127" i="34" l="1"/>
  <c r="F127" i="34"/>
  <c r="E127" i="34"/>
  <c r="I127" i="34"/>
  <c r="B127" i="34"/>
  <c r="L127" i="34" s="1"/>
  <c r="D127" i="34" s="1"/>
  <c r="H127" i="34"/>
  <c r="G127" i="34"/>
  <c r="J127" i="34" l="1"/>
  <c r="M127" i="34" s="1"/>
  <c r="O127" i="34" s="1"/>
  <c r="C127" i="34"/>
  <c r="N128" i="34" s="1"/>
  <c r="K128" i="34" l="1"/>
  <c r="F128" i="34"/>
  <c r="E128" i="34"/>
  <c r="I128" i="34"/>
  <c r="H128" i="34"/>
  <c r="G128" i="34"/>
  <c r="B128" i="34"/>
  <c r="L128" i="34" s="1"/>
  <c r="D128" i="34" l="1"/>
  <c r="C128" i="34" s="1"/>
  <c r="N129" i="34" s="1"/>
  <c r="J128" i="34"/>
  <c r="M128" i="34" s="1"/>
  <c r="O128" i="34" s="1"/>
  <c r="K129" i="34" l="1"/>
  <c r="F129" i="34"/>
  <c r="E129" i="34"/>
  <c r="H129" i="34"/>
  <c r="G129" i="34"/>
  <c r="B129" i="34"/>
  <c r="L129" i="34" s="1"/>
  <c r="D129" i="34" s="1"/>
  <c r="I129" i="34"/>
  <c r="J129" i="34" l="1"/>
  <c r="M129" i="34" s="1"/>
  <c r="O129" i="34" s="1"/>
  <c r="C129" i="34"/>
  <c r="N130" i="34" s="1"/>
  <c r="F130" i="34" l="1"/>
  <c r="K130" i="34"/>
  <c r="E130" i="34"/>
  <c r="H130" i="34"/>
  <c r="I130" i="34"/>
  <c r="G130" i="34"/>
  <c r="B130" i="34"/>
  <c r="L130" i="34" s="1"/>
  <c r="D130" i="34" s="1"/>
  <c r="J130" i="34" l="1"/>
  <c r="M130" i="34" s="1"/>
  <c r="O130" i="34" s="1"/>
  <c r="C130" i="34"/>
  <c r="N131" i="34" s="1"/>
  <c r="F131" i="34" l="1"/>
  <c r="K131" i="34"/>
  <c r="E131" i="34"/>
  <c r="I131" i="34"/>
  <c r="H131" i="34"/>
  <c r="B131" i="34"/>
  <c r="L131" i="34" s="1"/>
  <c r="D131" i="34" s="1"/>
  <c r="G131" i="34"/>
  <c r="J131" i="34" l="1"/>
  <c r="M131" i="34" s="1"/>
  <c r="O131" i="34" s="1"/>
  <c r="C131" i="34"/>
  <c r="N132" i="34" s="1"/>
  <c r="F132" i="34" l="1"/>
  <c r="K132" i="34"/>
  <c r="E132" i="34"/>
  <c r="H132" i="34"/>
  <c r="B132" i="34"/>
  <c r="L132" i="34" s="1"/>
  <c r="G132" i="34"/>
  <c r="I132" i="34"/>
  <c r="D132" i="34" l="1"/>
  <c r="C132" i="34" s="1"/>
  <c r="N133" i="34" s="1"/>
  <c r="J132" i="34"/>
  <c r="M132" i="34" s="1"/>
  <c r="O132" i="34" s="1"/>
  <c r="K133" i="34" l="1"/>
  <c r="F133" i="34"/>
  <c r="E133" i="34"/>
  <c r="B133" i="34"/>
  <c r="L133" i="34" s="1"/>
  <c r="H133" i="34"/>
  <c r="I133" i="34"/>
  <c r="G133" i="34"/>
  <c r="D133" i="34" l="1"/>
  <c r="J133" i="34"/>
  <c r="M133" i="34" s="1"/>
  <c r="O133" i="34" s="1"/>
  <c r="C133" i="34" l="1"/>
  <c r="N134" i="34" s="1"/>
  <c r="K134" i="34" l="1"/>
  <c r="F134" i="34"/>
  <c r="E134" i="34"/>
  <c r="H134" i="34"/>
  <c r="B134" i="34"/>
  <c r="L134" i="34" s="1"/>
  <c r="D134" i="34" s="1"/>
  <c r="I134" i="34"/>
  <c r="G134" i="34"/>
  <c r="J134" i="34" l="1"/>
  <c r="M134" i="34" s="1"/>
  <c r="O134" i="34" s="1"/>
  <c r="C134" i="34"/>
  <c r="N135" i="34" s="1"/>
  <c r="K135" i="34" l="1"/>
  <c r="F135" i="34"/>
  <c r="E135" i="34"/>
  <c r="H135" i="34"/>
  <c r="I135" i="34"/>
  <c r="G135" i="34"/>
  <c r="B135" i="34"/>
  <c r="L135" i="34" s="1"/>
  <c r="D135" i="34" s="1"/>
  <c r="C135" i="34" l="1"/>
  <c r="N136" i="34" s="1"/>
  <c r="J135" i="34"/>
  <c r="M135" i="34" s="1"/>
  <c r="O135" i="34" s="1"/>
  <c r="K136" i="34" l="1"/>
  <c r="F136" i="34"/>
  <c r="E136" i="34"/>
  <c r="H136" i="34"/>
  <c r="B136" i="34"/>
  <c r="L136" i="34" s="1"/>
  <c r="D136" i="34" s="1"/>
  <c r="I136" i="34"/>
  <c r="G136" i="34"/>
  <c r="J136" i="34" l="1"/>
  <c r="M136" i="34" s="1"/>
  <c r="O136" i="34" s="1"/>
  <c r="C136" i="34"/>
  <c r="N137" i="34" s="1"/>
  <c r="K137" i="34" l="1"/>
  <c r="F137" i="34"/>
  <c r="E137" i="34"/>
  <c r="B137" i="34"/>
  <c r="L137" i="34" s="1"/>
  <c r="D137" i="34" s="1"/>
  <c r="G137" i="34"/>
  <c r="I137" i="34"/>
  <c r="H137" i="34"/>
  <c r="J137" i="34" l="1"/>
  <c r="M137" i="34" s="1"/>
  <c r="O137" i="34" s="1"/>
  <c r="C137" i="34"/>
  <c r="N138" i="34" s="1"/>
  <c r="K138" i="34" l="1"/>
  <c r="F138" i="34"/>
  <c r="E138" i="34"/>
  <c r="I138" i="34"/>
  <c r="H138" i="34"/>
  <c r="G138" i="34"/>
  <c r="B138" i="34"/>
  <c r="L138" i="34" s="1"/>
  <c r="D138" i="34" s="1"/>
  <c r="J138" i="34" l="1"/>
  <c r="M138" i="34" s="1"/>
  <c r="O138" i="34" s="1"/>
  <c r="C138" i="34"/>
  <c r="N139" i="34" s="1"/>
  <c r="F139" i="34" l="1"/>
  <c r="K139" i="34"/>
  <c r="E139" i="34"/>
  <c r="I139" i="34"/>
  <c r="B139" i="34"/>
  <c r="L139" i="34" s="1"/>
  <c r="G139" i="34"/>
  <c r="H139" i="34"/>
  <c r="D139" i="34" l="1"/>
  <c r="C139" i="34" s="1"/>
  <c r="N140" i="34" s="1"/>
  <c r="J139" i="34"/>
  <c r="M139" i="34" s="1"/>
  <c r="O139" i="34" s="1"/>
  <c r="F140" i="34" l="1"/>
  <c r="K140" i="34"/>
  <c r="E140" i="34"/>
  <c r="B140" i="34"/>
  <c r="L140" i="34" s="1"/>
  <c r="D140" i="34" s="1"/>
  <c r="G140" i="34"/>
  <c r="I140" i="34"/>
  <c r="H140" i="34"/>
  <c r="J140" i="34" l="1"/>
  <c r="M140" i="34" s="1"/>
  <c r="O140" i="34" s="1"/>
  <c r="C140" i="34" l="1"/>
  <c r="N141" i="34" s="1"/>
  <c r="K141" i="34" l="1"/>
  <c r="F141" i="34"/>
  <c r="E141" i="34"/>
  <c r="G141" i="34"/>
  <c r="H141" i="34"/>
  <c r="I141" i="34"/>
  <c r="B141" i="34"/>
  <c r="L141" i="34" s="1"/>
  <c r="D141" i="34" s="1"/>
  <c r="J141" i="34" l="1"/>
  <c r="M141" i="34" s="1"/>
  <c r="O141" i="34" s="1"/>
  <c r="C141" i="34"/>
  <c r="N142" i="34" s="1"/>
  <c r="K142" i="34" l="1"/>
  <c r="F142" i="34"/>
  <c r="E142" i="34"/>
  <c r="H142" i="34"/>
  <c r="I142" i="34"/>
  <c r="G142" i="34"/>
  <c r="B142" i="34"/>
  <c r="L142" i="34" s="1"/>
  <c r="D142" i="34" s="1"/>
  <c r="J142" i="34" l="1"/>
  <c r="M142" i="34" s="1"/>
  <c r="O142" i="34" s="1"/>
  <c r="C142" i="34"/>
  <c r="N143" i="34" s="1"/>
  <c r="F143" i="34" l="1"/>
  <c r="K143" i="34"/>
  <c r="E143" i="34"/>
  <c r="H143" i="34"/>
  <c r="B143" i="34"/>
  <c r="L143" i="34" s="1"/>
  <c r="D143" i="34" s="1"/>
  <c r="I143" i="34"/>
  <c r="G143" i="34"/>
  <c r="J143" i="34" l="1"/>
  <c r="M143" i="34" s="1"/>
  <c r="O143" i="34" s="1"/>
  <c r="C143" i="34" l="1"/>
  <c r="N144" i="34" s="1"/>
  <c r="K144" i="34" l="1"/>
  <c r="F144" i="34"/>
  <c r="E144" i="34"/>
  <c r="I144" i="34"/>
  <c r="G144" i="34"/>
  <c r="H144" i="34"/>
  <c r="B144" i="34"/>
  <c r="L144" i="34" s="1"/>
  <c r="D144" i="34" s="1"/>
  <c r="J144" i="34" l="1"/>
  <c r="M144" i="34" s="1"/>
  <c r="O144" i="34" s="1"/>
  <c r="C144" i="34"/>
  <c r="N145" i="34" s="1"/>
  <c r="K145" i="34" l="1"/>
  <c r="F145" i="34"/>
  <c r="E145" i="34"/>
  <c r="H145" i="34"/>
  <c r="I145" i="34"/>
  <c r="G145" i="34"/>
  <c r="B145" i="34"/>
  <c r="L145" i="34" s="1"/>
  <c r="D145" i="34" s="1"/>
  <c r="C145" i="34" l="1"/>
  <c r="N146" i="34" s="1"/>
  <c r="J145" i="34"/>
  <c r="M145" i="34" s="1"/>
  <c r="O145" i="34" s="1"/>
  <c r="K146" i="34" l="1"/>
  <c r="F146" i="34"/>
  <c r="E146" i="34"/>
  <c r="I146" i="34"/>
  <c r="G146" i="34"/>
  <c r="B146" i="34"/>
  <c r="L146" i="34" s="1"/>
  <c r="D146" i="34" s="1"/>
  <c r="H146" i="34"/>
  <c r="J146" i="34" l="1"/>
  <c r="M146" i="34" s="1"/>
  <c r="O146" i="34" s="1"/>
  <c r="C146" i="34"/>
  <c r="N147" i="34" s="1"/>
  <c r="K147" i="34" l="1"/>
  <c r="F147" i="34"/>
  <c r="E147" i="34"/>
  <c r="H147" i="34"/>
  <c r="G147" i="34"/>
  <c r="B147" i="34"/>
  <c r="L147" i="34" s="1"/>
  <c r="D147" i="34" s="1"/>
  <c r="I147" i="34"/>
  <c r="J147" i="34" l="1"/>
  <c r="M147" i="34" s="1"/>
  <c r="O147" i="34" s="1"/>
  <c r="C147" i="34"/>
  <c r="N148" i="34" s="1"/>
  <c r="F148" i="34" l="1"/>
  <c r="K148" i="34"/>
  <c r="E148" i="34"/>
  <c r="B148" i="34"/>
  <c r="L148" i="34" s="1"/>
  <c r="H148" i="34"/>
  <c r="G148" i="34"/>
  <c r="I148" i="34"/>
  <c r="D148" i="34" l="1"/>
  <c r="J148" i="34"/>
  <c r="M148" i="34" s="1"/>
  <c r="O148" i="34" s="1"/>
  <c r="C148" i="34"/>
  <c r="N149" i="34" s="1"/>
  <c r="K149" i="34" l="1"/>
  <c r="F149" i="34"/>
  <c r="E149" i="34"/>
  <c r="I149" i="34"/>
  <c r="H149" i="34"/>
  <c r="G149" i="34"/>
  <c r="B149" i="34"/>
  <c r="L149" i="34" s="1"/>
  <c r="D149" i="34" s="1"/>
  <c r="C149" i="34" l="1"/>
  <c r="N150" i="34" s="1"/>
  <c r="J149" i="34"/>
  <c r="M149" i="34" s="1"/>
  <c r="O149" i="34" s="1"/>
  <c r="F150" i="34" l="1"/>
  <c r="K150" i="34"/>
  <c r="E150" i="34"/>
  <c r="I150" i="34"/>
  <c r="B150" i="34"/>
  <c r="L150" i="34" s="1"/>
  <c r="D150" i="34" s="1"/>
  <c r="G150" i="34"/>
  <c r="H150" i="34"/>
  <c r="J150" i="34" l="1"/>
  <c r="M150" i="34" s="1"/>
  <c r="O150" i="34" s="1"/>
  <c r="C150" i="34"/>
  <c r="N151" i="34" s="1"/>
  <c r="K151" i="34" l="1"/>
  <c r="F151" i="34"/>
  <c r="E151" i="34"/>
  <c r="I151" i="34"/>
  <c r="G151" i="34"/>
  <c r="H151" i="34"/>
  <c r="B151" i="34"/>
  <c r="L151" i="34" s="1"/>
  <c r="D151" i="34" s="1"/>
  <c r="J151" i="34" l="1"/>
  <c r="M151" i="34" s="1"/>
  <c r="O151" i="34" s="1"/>
  <c r="C151" i="34"/>
  <c r="N152" i="34" s="1"/>
  <c r="K152" i="34" l="1"/>
  <c r="F152" i="34"/>
  <c r="E152" i="34"/>
  <c r="G152" i="34"/>
  <c r="I152" i="34"/>
  <c r="B152" i="34"/>
  <c r="L152" i="34" s="1"/>
  <c r="D152" i="34" s="1"/>
  <c r="H152" i="34"/>
  <c r="J152" i="34" l="1"/>
  <c r="M152" i="34" s="1"/>
  <c r="O152" i="34" s="1"/>
  <c r="C152" i="34"/>
  <c r="N153" i="34" s="1"/>
  <c r="K153" i="34" l="1"/>
  <c r="F153" i="34"/>
  <c r="E153" i="34"/>
  <c r="B153" i="34"/>
  <c r="L153" i="34" s="1"/>
  <c r="D153" i="34" s="1"/>
  <c r="I153" i="34"/>
  <c r="H153" i="34"/>
  <c r="G153" i="34"/>
  <c r="J153" i="34" l="1"/>
  <c r="M153" i="34" s="1"/>
  <c r="O153" i="34" s="1"/>
  <c r="C153" i="34"/>
  <c r="N154" i="34" s="1"/>
  <c r="F154" i="34" l="1"/>
  <c r="K154" i="34"/>
  <c r="E154" i="34"/>
  <c r="B154" i="34"/>
  <c r="L154" i="34" s="1"/>
  <c r="D154" i="34" s="1"/>
  <c r="I154" i="34"/>
  <c r="G154" i="34"/>
  <c r="H154" i="34"/>
  <c r="J154" i="34" l="1"/>
  <c r="M154" i="34" s="1"/>
  <c r="O154" i="34" s="1"/>
  <c r="C154" i="34" l="1"/>
  <c r="N155" i="34" s="1"/>
  <c r="F155" i="34" l="1"/>
  <c r="K155" i="34"/>
  <c r="E155" i="34"/>
  <c r="B155" i="34"/>
  <c r="L155" i="34" s="1"/>
  <c r="D155" i="34" s="1"/>
  <c r="I155" i="34"/>
  <c r="G155" i="34"/>
  <c r="H155" i="34"/>
  <c r="J155" i="34" l="1"/>
  <c r="M155" i="34" s="1"/>
  <c r="O155" i="34" s="1"/>
  <c r="C155" i="34" l="1"/>
  <c r="N156" i="34" s="1"/>
  <c r="F156" i="34" l="1"/>
  <c r="K156" i="34"/>
  <c r="E156" i="34"/>
  <c r="I156" i="34"/>
  <c r="H156" i="34"/>
  <c r="B156" i="34"/>
  <c r="L156" i="34" s="1"/>
  <c r="D156" i="34" s="1"/>
  <c r="G156" i="34"/>
  <c r="J156" i="34" l="1"/>
  <c r="M156" i="34" s="1"/>
  <c r="O156" i="34" s="1"/>
  <c r="C156" i="34"/>
  <c r="N157" i="34" s="1"/>
  <c r="K157" i="34" l="1"/>
  <c r="F157" i="34"/>
  <c r="E157" i="34"/>
  <c r="H157" i="34"/>
  <c r="G157" i="34"/>
  <c r="B157" i="34"/>
  <c r="L157" i="34" s="1"/>
  <c r="D157" i="34" s="1"/>
  <c r="I157" i="34"/>
  <c r="J157" i="34" l="1"/>
  <c r="M157" i="34" s="1"/>
  <c r="O157" i="34" s="1"/>
  <c r="C157" i="34"/>
  <c r="N158" i="34" s="1"/>
  <c r="K158" i="34" l="1"/>
  <c r="F158" i="34"/>
  <c r="E158" i="34"/>
  <c r="B158" i="34"/>
  <c r="L158" i="34" s="1"/>
  <c r="D158" i="34" s="1"/>
  <c r="I158" i="34"/>
  <c r="G158" i="34"/>
  <c r="H158" i="34"/>
  <c r="J158" i="34" l="1"/>
  <c r="M158" i="34" s="1"/>
  <c r="O158" i="34" s="1"/>
  <c r="C158" i="34"/>
  <c r="N159" i="34" s="1"/>
  <c r="K159" i="34" l="1"/>
  <c r="F159" i="34"/>
  <c r="E159" i="34"/>
  <c r="G159" i="34"/>
  <c r="B159" i="34"/>
  <c r="L159" i="34" s="1"/>
  <c r="D159" i="34" s="1"/>
  <c r="I159" i="34"/>
  <c r="H159" i="34"/>
  <c r="J159" i="34" l="1"/>
  <c r="M159" i="34" s="1"/>
  <c r="O159" i="34" s="1"/>
  <c r="C159" i="34"/>
  <c r="N160" i="34" s="1"/>
  <c r="K160" i="34" l="1"/>
  <c r="F160" i="34"/>
  <c r="E160" i="34"/>
  <c r="I160" i="34"/>
  <c r="G160" i="34"/>
  <c r="B160" i="34"/>
  <c r="L160" i="34" s="1"/>
  <c r="H160" i="34"/>
  <c r="D160" i="34" l="1"/>
  <c r="C160" i="34" s="1"/>
  <c r="J160" i="34"/>
  <c r="M160" i="34" s="1"/>
  <c r="O160" i="34" s="1"/>
  <c r="N161" i="34" l="1"/>
  <c r="G161" i="34"/>
  <c r="F161" i="34"/>
  <c r="I161" i="34"/>
  <c r="B161" i="34"/>
  <c r="L161" i="34" s="1"/>
  <c r="K161" i="34"/>
  <c r="H161" i="34"/>
  <c r="E161" i="34"/>
  <c r="D161" i="34" l="1"/>
  <c r="C161" i="34" s="1"/>
  <c r="N162" i="34" s="1"/>
  <c r="J161" i="34"/>
  <c r="M161" i="34" s="1"/>
  <c r="O161" i="34" s="1"/>
  <c r="I162" i="34" l="1"/>
  <c r="B162" i="34"/>
  <c r="L162" i="34" s="1"/>
  <c r="G162" i="34"/>
  <c r="H162" i="34"/>
  <c r="F162" i="34"/>
  <c r="E162" i="34"/>
  <c r="K162" i="34"/>
  <c r="D162" i="34" l="1"/>
  <c r="C162" i="34" s="1"/>
  <c r="N163" i="34" s="1"/>
  <c r="J162" i="34"/>
  <c r="M162" i="34" s="1"/>
  <c r="O162" i="34" s="1"/>
  <c r="H163" i="34" l="1"/>
  <c r="B163" i="34"/>
  <c r="L163" i="34" s="1"/>
  <c r="I163" i="34"/>
  <c r="G163" i="34"/>
  <c r="E163" i="34"/>
  <c r="K163" i="34"/>
  <c r="F163" i="34"/>
  <c r="D163" i="34" l="1"/>
  <c r="C163" i="34" s="1"/>
  <c r="N164" i="34" s="1"/>
  <c r="J163" i="34"/>
  <c r="M163" i="34" s="1"/>
  <c r="O163" i="34" s="1"/>
  <c r="H164" i="34" l="1"/>
  <c r="G164" i="34"/>
  <c r="E164" i="34"/>
  <c r="K164" i="34"/>
  <c r="I164" i="34"/>
  <c r="B164" i="34"/>
  <c r="L164" i="34" s="1"/>
  <c r="F164" i="34"/>
  <c r="D164" i="34" l="1"/>
  <c r="C164" i="34" s="1"/>
  <c r="N165" i="34" s="1"/>
  <c r="J164" i="34"/>
  <c r="M164" i="34" s="1"/>
  <c r="O164" i="34" s="1"/>
  <c r="B165" i="34" l="1"/>
  <c r="L165" i="34" s="1"/>
  <c r="G165" i="34"/>
  <c r="H165" i="34"/>
  <c r="F165" i="34"/>
  <c r="I165" i="34"/>
  <c r="E165" i="34"/>
  <c r="K165" i="34"/>
  <c r="D165" i="34"/>
  <c r="C165" i="34"/>
  <c r="N166" i="34" s="1"/>
  <c r="J165" i="34" l="1"/>
  <c r="M165" i="34" s="1"/>
  <c r="O165" i="34" s="1"/>
  <c r="F166" i="34"/>
  <c r="K166" i="34"/>
  <c r="E166" i="34"/>
  <c r="I166" i="34"/>
  <c r="G166" i="34"/>
  <c r="B166" i="34"/>
  <c r="L166" i="34" s="1"/>
  <c r="D166" i="34" s="1"/>
  <c r="H166" i="34"/>
  <c r="J166" i="34" l="1"/>
  <c r="M166" i="34" s="1"/>
  <c r="O166" i="34" s="1"/>
  <c r="C166" i="34"/>
  <c r="N167" i="34" s="1"/>
  <c r="F167" i="34" l="1"/>
  <c r="K167" i="34"/>
  <c r="E167" i="34"/>
  <c r="B167" i="34"/>
  <c r="L167" i="34" s="1"/>
  <c r="D167" i="34" s="1"/>
  <c r="G167" i="34"/>
  <c r="I167" i="34"/>
  <c r="H167" i="34"/>
  <c r="C167" i="34" l="1"/>
  <c r="N168" i="34" s="1"/>
  <c r="J167" i="34"/>
  <c r="M167" i="34" s="1"/>
  <c r="O167" i="34" s="1"/>
  <c r="K168" i="34" l="1"/>
  <c r="F168" i="34"/>
  <c r="E168" i="34"/>
  <c r="B168" i="34"/>
  <c r="L168" i="34" s="1"/>
  <c r="I168" i="34"/>
  <c r="G168" i="34"/>
  <c r="H168" i="34"/>
  <c r="D168" i="34" l="1"/>
  <c r="C168" i="34" s="1"/>
  <c r="N169" i="34" s="1"/>
  <c r="J168" i="34"/>
  <c r="M168" i="34" s="1"/>
  <c r="O168" i="34" s="1"/>
  <c r="B169" i="34" l="1"/>
  <c r="L169" i="34" s="1"/>
  <c r="I169" i="34"/>
  <c r="G169" i="34"/>
  <c r="H169" i="34"/>
  <c r="F169" i="34"/>
  <c r="K169" i="34"/>
  <c r="E169" i="34"/>
  <c r="D169" i="34" l="1"/>
  <c r="C169" i="34" s="1"/>
  <c r="N170" i="34" s="1"/>
  <c r="J169" i="34"/>
  <c r="M169" i="34" s="1"/>
  <c r="O169" i="34" s="1"/>
  <c r="G170" i="34" l="1"/>
  <c r="H170" i="34"/>
  <c r="I170" i="34"/>
  <c r="B170" i="34"/>
  <c r="L170" i="34" s="1"/>
  <c r="E170" i="34"/>
  <c r="F170" i="34"/>
  <c r="K170" i="34"/>
  <c r="J170" i="34" l="1"/>
  <c r="M170" i="34" s="1"/>
  <c r="O170" i="34" s="1"/>
  <c r="D170" i="34"/>
  <c r="C170" i="34" s="1"/>
  <c r="N171" i="34" s="1"/>
  <c r="F171" i="34" l="1"/>
  <c r="K171" i="34"/>
  <c r="E171" i="34"/>
  <c r="I171" i="34"/>
  <c r="G171" i="34"/>
  <c r="H171" i="34"/>
  <c r="B171" i="34"/>
  <c r="L171" i="34" s="1"/>
  <c r="D171" i="34" s="1"/>
  <c r="J171" i="34" l="1"/>
  <c r="M171" i="34" s="1"/>
  <c r="O171" i="34" s="1"/>
  <c r="C171" i="34"/>
  <c r="N172" i="34" s="1"/>
  <c r="F172" i="34" l="1"/>
  <c r="K172" i="34"/>
  <c r="E172" i="34"/>
  <c r="I172" i="34"/>
  <c r="G172" i="34"/>
  <c r="H172" i="34"/>
  <c r="B172" i="34"/>
  <c r="L172" i="34" s="1"/>
  <c r="D172" i="34" s="1"/>
  <c r="J172" i="34" l="1"/>
  <c r="M172" i="34" s="1"/>
  <c r="O172" i="34" s="1"/>
  <c r="C172" i="34"/>
  <c r="N173" i="34" s="1"/>
  <c r="K173" i="34" l="1"/>
  <c r="F173" i="34"/>
  <c r="E173" i="34"/>
  <c r="H173" i="34"/>
  <c r="B173" i="34"/>
  <c r="L173" i="34" s="1"/>
  <c r="D173" i="34" s="1"/>
  <c r="G173" i="34"/>
  <c r="I173" i="34"/>
  <c r="J173" i="34" l="1"/>
  <c r="M173" i="34" s="1"/>
  <c r="O173" i="34" s="1"/>
  <c r="C173" i="34"/>
  <c r="N174" i="34" s="1"/>
  <c r="K174" i="34" l="1"/>
  <c r="F174" i="34"/>
  <c r="E174" i="34"/>
  <c r="I174" i="34"/>
  <c r="H174" i="34"/>
  <c r="B174" i="34"/>
  <c r="L174" i="34" s="1"/>
  <c r="D174" i="34" s="1"/>
  <c r="G174" i="34"/>
  <c r="J174" i="34" l="1"/>
  <c r="M174" i="34" s="1"/>
  <c r="O174" i="34" s="1"/>
  <c r="C174" i="34" l="1"/>
  <c r="N175" i="34" s="1"/>
  <c r="K175" i="34" l="1"/>
  <c r="F175" i="34"/>
  <c r="E175" i="34"/>
  <c r="I175" i="34"/>
  <c r="G175" i="34"/>
  <c r="B175" i="34"/>
  <c r="L175" i="34" s="1"/>
  <c r="D175" i="34" s="1"/>
  <c r="H175" i="34"/>
  <c r="C175" i="34" l="1"/>
  <c r="N176" i="34" s="1"/>
  <c r="J175" i="34"/>
  <c r="M175" i="34" s="1"/>
  <c r="O175" i="34" s="1"/>
  <c r="K176" i="34" l="1"/>
  <c r="F176" i="34"/>
  <c r="E176" i="34"/>
  <c r="G176" i="34"/>
  <c r="H176" i="34"/>
  <c r="B176" i="34"/>
  <c r="L176" i="34" s="1"/>
  <c r="D176" i="34" s="1"/>
  <c r="I176" i="34"/>
  <c r="J176" i="34" l="1"/>
  <c r="M176" i="34" s="1"/>
  <c r="O176" i="34" s="1"/>
  <c r="C176" i="34"/>
  <c r="N177" i="34" s="1"/>
  <c r="F177" i="34" l="1"/>
  <c r="K177" i="34"/>
  <c r="E177" i="34"/>
  <c r="H177" i="34"/>
  <c r="B177" i="34"/>
  <c r="L177" i="34" s="1"/>
  <c r="I177" i="34"/>
  <c r="G177" i="34"/>
  <c r="D177" i="34" l="1"/>
  <c r="C177" i="34"/>
  <c r="N178" i="34" s="1"/>
  <c r="J177" i="34"/>
  <c r="M177" i="34" s="1"/>
  <c r="O177" i="34" s="1"/>
  <c r="F178" i="34" l="1"/>
  <c r="K178" i="34"/>
  <c r="E178" i="34"/>
  <c r="I178" i="34"/>
  <c r="H178" i="34"/>
  <c r="B178" i="34"/>
  <c r="L178" i="34" s="1"/>
  <c r="D178" i="34" s="1"/>
  <c r="G178" i="34"/>
  <c r="C178" i="34" l="1"/>
  <c r="N179" i="34" s="1"/>
  <c r="J178" i="34"/>
  <c r="M178" i="34" s="1"/>
  <c r="O178" i="34" s="1"/>
  <c r="F179" i="34" l="1"/>
  <c r="K179" i="34"/>
  <c r="E179" i="34"/>
  <c r="B179" i="34"/>
  <c r="L179" i="34" s="1"/>
  <c r="D179" i="34" s="1"/>
  <c r="I179" i="34"/>
  <c r="G179" i="34"/>
  <c r="H179" i="34"/>
  <c r="J179" i="34" l="1"/>
  <c r="M179" i="34" s="1"/>
  <c r="O179" i="34" s="1"/>
  <c r="C179" i="34" l="1"/>
  <c r="N180" i="34" s="1"/>
  <c r="F180" i="34" l="1"/>
  <c r="K180" i="34"/>
  <c r="E180" i="34"/>
  <c r="H180" i="34"/>
  <c r="B180" i="34"/>
  <c r="L180" i="34" s="1"/>
  <c r="D180" i="34" s="1"/>
  <c r="G180" i="34"/>
  <c r="I180" i="34"/>
  <c r="J180" i="34" l="1"/>
  <c r="M180" i="34" s="1"/>
  <c r="O180" i="34" s="1"/>
  <c r="C180" i="34"/>
  <c r="N181" i="34" s="1"/>
  <c r="K181" i="34" l="1"/>
  <c r="F181" i="34"/>
  <c r="E181" i="34"/>
  <c r="I181" i="34"/>
  <c r="H181" i="34"/>
  <c r="B181" i="34"/>
  <c r="L181" i="34" s="1"/>
  <c r="D181" i="34" s="1"/>
  <c r="G181" i="34"/>
  <c r="J181" i="34" l="1"/>
  <c r="M181" i="34" s="1"/>
  <c r="O181" i="34" s="1"/>
  <c r="C181" i="34"/>
  <c r="N182" i="34" s="1"/>
  <c r="F182" i="34" l="1"/>
  <c r="K182" i="34"/>
  <c r="E182" i="34"/>
  <c r="B182" i="34"/>
  <c r="L182" i="34" s="1"/>
  <c r="D182" i="34" s="1"/>
  <c r="C182" i="34" s="1"/>
  <c r="N183" i="34" s="1"/>
  <c r="G182" i="34"/>
  <c r="I182" i="34"/>
  <c r="H182" i="34"/>
  <c r="K183" i="34" l="1"/>
  <c r="F183" i="34"/>
  <c r="E183" i="34"/>
  <c r="J182" i="34"/>
  <c r="M182" i="34" s="1"/>
  <c r="O182" i="34" s="1"/>
  <c r="G183" i="34"/>
  <c r="I183" i="34"/>
  <c r="B183" i="34"/>
  <c r="L183" i="34" s="1"/>
  <c r="D183" i="34" s="1"/>
  <c r="H183" i="34"/>
  <c r="C183" i="34" l="1"/>
  <c r="N184" i="34" s="1"/>
  <c r="J183" i="34"/>
  <c r="M183" i="34" s="1"/>
  <c r="O183" i="34" s="1"/>
  <c r="K184" i="34" l="1"/>
  <c r="F184" i="34"/>
  <c r="E184" i="34"/>
  <c r="I184" i="34"/>
  <c r="H184" i="34"/>
  <c r="B184" i="34"/>
  <c r="L184" i="34" s="1"/>
  <c r="D184" i="34" s="1"/>
  <c r="G184" i="34"/>
  <c r="J184" i="34" l="1"/>
  <c r="M184" i="34" s="1"/>
  <c r="O184" i="34" s="1"/>
  <c r="C184" i="34"/>
  <c r="N185" i="34" s="1"/>
  <c r="F185" i="34" l="1"/>
  <c r="K185" i="34"/>
  <c r="E185" i="34"/>
  <c r="G185" i="34"/>
  <c r="B185" i="34"/>
  <c r="L185" i="34" s="1"/>
  <c r="D185" i="34" s="1"/>
  <c r="H185" i="34"/>
  <c r="I185" i="34"/>
  <c r="J185" i="34" l="1"/>
  <c r="M185" i="34" s="1"/>
  <c r="O185" i="34" s="1"/>
  <c r="C185" i="34"/>
  <c r="N186" i="34" s="1"/>
  <c r="F186" i="34" l="1"/>
  <c r="K186" i="34"/>
  <c r="E186" i="34"/>
  <c r="G186" i="34"/>
  <c r="B186" i="34"/>
  <c r="L186" i="34" s="1"/>
  <c r="D186" i="34" s="1"/>
  <c r="I186" i="34"/>
  <c r="H186" i="34"/>
  <c r="J186" i="34" l="1"/>
  <c r="M186" i="34" s="1"/>
  <c r="O186" i="34" s="1"/>
  <c r="C186" i="34"/>
  <c r="N187" i="34" s="1"/>
  <c r="K187" i="34" l="1"/>
  <c r="F187" i="34"/>
  <c r="E187" i="34"/>
  <c r="I187" i="34"/>
  <c r="G187" i="34"/>
  <c r="H187" i="34"/>
  <c r="B187" i="34"/>
  <c r="L187" i="34" s="1"/>
  <c r="D187" i="34" s="1"/>
  <c r="J187" i="34" l="1"/>
  <c r="M187" i="34" s="1"/>
  <c r="O187" i="34" s="1"/>
  <c r="C187" i="34"/>
  <c r="N188" i="34" s="1"/>
  <c r="F188" i="34" l="1"/>
  <c r="K188" i="34"/>
  <c r="E188" i="34"/>
  <c r="I188" i="34"/>
  <c r="H188" i="34"/>
  <c r="B188" i="34"/>
  <c r="L188" i="34" s="1"/>
  <c r="D188" i="34" s="1"/>
  <c r="G188" i="34"/>
  <c r="J188" i="34" l="1"/>
  <c r="M188" i="34" s="1"/>
  <c r="O188" i="34" s="1"/>
  <c r="C188" i="34"/>
  <c r="N189" i="34" s="1"/>
  <c r="K189" i="34" l="1"/>
  <c r="F189" i="34"/>
  <c r="E189" i="34"/>
  <c r="B189" i="34"/>
  <c r="L189" i="34" s="1"/>
  <c r="D189" i="34" s="1"/>
  <c r="I189" i="34"/>
  <c r="G189" i="34"/>
  <c r="H189" i="34"/>
  <c r="J189" i="34" l="1"/>
  <c r="M189" i="34" s="1"/>
  <c r="O189" i="34" s="1"/>
  <c r="C189" i="34" l="1"/>
  <c r="N190" i="34" s="1"/>
  <c r="K190" i="34" l="1"/>
  <c r="F190" i="34"/>
  <c r="E190" i="34"/>
  <c r="G190" i="34"/>
  <c r="H190" i="34"/>
  <c r="I190" i="34"/>
  <c r="B190" i="34"/>
  <c r="L190" i="34" s="1"/>
  <c r="D190" i="34" s="1"/>
  <c r="J190" i="34" l="1"/>
  <c r="M190" i="34" s="1"/>
  <c r="O190" i="34" s="1"/>
  <c r="C190" i="34"/>
  <c r="N191" i="34" s="1"/>
  <c r="F191" i="34" l="1"/>
  <c r="K191" i="34"/>
  <c r="E191" i="34"/>
  <c r="G191" i="34"/>
  <c r="H191" i="34"/>
  <c r="B191" i="34"/>
  <c r="L191" i="34" s="1"/>
  <c r="D191" i="34" s="1"/>
  <c r="I191" i="34"/>
  <c r="J191" i="34" l="1"/>
  <c r="M191" i="34" s="1"/>
  <c r="O191" i="34" s="1"/>
  <c r="C191" i="34"/>
  <c r="N192" i="34" s="1"/>
  <c r="K192" i="34" l="1"/>
  <c r="F192" i="34"/>
  <c r="E192" i="34"/>
  <c r="G192" i="34"/>
  <c r="B192" i="34"/>
  <c r="L192" i="34" s="1"/>
  <c r="D192" i="34" s="1"/>
  <c r="I192" i="34"/>
  <c r="H192" i="34"/>
  <c r="C192" i="34" l="1"/>
  <c r="N193" i="34" s="1"/>
  <c r="J192" i="34"/>
  <c r="M192" i="34" s="1"/>
  <c r="O192" i="34" s="1"/>
  <c r="F193" i="34" l="1"/>
  <c r="K193" i="34"/>
  <c r="E193" i="34"/>
  <c r="I193" i="34"/>
  <c r="H193" i="34"/>
  <c r="B193" i="34"/>
  <c r="L193" i="34" s="1"/>
  <c r="D193" i="34" s="1"/>
  <c r="G193" i="34"/>
  <c r="C193" i="34" l="1"/>
  <c r="N194" i="34" s="1"/>
  <c r="J193" i="34"/>
  <c r="M193" i="34" s="1"/>
  <c r="O193" i="34" s="1"/>
  <c r="K194" i="34" l="1"/>
  <c r="F194" i="34"/>
  <c r="E194" i="34"/>
  <c r="I194" i="34"/>
  <c r="G194" i="34"/>
  <c r="H194" i="34"/>
  <c r="B194" i="34"/>
  <c r="L194" i="34" s="1"/>
  <c r="D194" i="34" s="1"/>
  <c r="J194" i="34" l="1"/>
  <c r="M194" i="34" s="1"/>
  <c r="O194" i="34" s="1"/>
  <c r="C194" i="34"/>
  <c r="N195" i="34" s="1"/>
  <c r="K195" i="34" l="1"/>
  <c r="F195" i="34"/>
  <c r="E195" i="34"/>
  <c r="H195" i="34"/>
  <c r="G195" i="34"/>
  <c r="I195" i="34"/>
  <c r="B195" i="34"/>
  <c r="L195" i="34" s="1"/>
  <c r="D195" i="34" s="1"/>
  <c r="C195" i="34" l="1"/>
  <c r="N196" i="34" s="1"/>
  <c r="J195" i="34"/>
  <c r="M195" i="34" s="1"/>
  <c r="O195" i="34" s="1"/>
  <c r="F196" i="34" l="1"/>
  <c r="K196" i="34"/>
  <c r="E196" i="34"/>
  <c r="G196" i="34"/>
  <c r="I196" i="34"/>
  <c r="B196" i="34"/>
  <c r="L196" i="34" s="1"/>
  <c r="D196" i="34" s="1"/>
  <c r="H196" i="34"/>
  <c r="C196" i="34" l="1"/>
  <c r="N197" i="34" s="1"/>
  <c r="J196" i="34"/>
  <c r="M196" i="34" s="1"/>
  <c r="O196" i="34" s="1"/>
  <c r="K197" i="34" l="1"/>
  <c r="F197" i="34"/>
  <c r="E197" i="34"/>
  <c r="I197" i="34"/>
  <c r="G197" i="34"/>
  <c r="H197" i="34"/>
  <c r="B197" i="34"/>
  <c r="L197" i="34" s="1"/>
  <c r="D197" i="34" s="1"/>
  <c r="C197" i="34" l="1"/>
  <c r="N198" i="34" s="1"/>
  <c r="J197" i="34"/>
  <c r="M197" i="34" s="1"/>
  <c r="O197" i="34" s="1"/>
  <c r="F198" i="34" l="1"/>
  <c r="K198" i="34"/>
  <c r="E198" i="34"/>
  <c r="G198" i="34"/>
  <c r="H198" i="34"/>
  <c r="B198" i="34"/>
  <c r="L198" i="34" s="1"/>
  <c r="D198" i="34" s="1"/>
  <c r="I198" i="34"/>
  <c r="J198" i="34" l="1"/>
  <c r="M198" i="34" s="1"/>
  <c r="O198" i="34" s="1"/>
  <c r="C198" i="34"/>
  <c r="N199" i="34" s="1"/>
  <c r="F199" i="34" l="1"/>
  <c r="K199" i="34"/>
  <c r="E199" i="34"/>
  <c r="I199" i="34"/>
  <c r="H199" i="34"/>
  <c r="G199" i="34"/>
  <c r="B199" i="34"/>
  <c r="L199" i="34" s="1"/>
  <c r="D199" i="34" s="1"/>
  <c r="J199" i="34" l="1"/>
  <c r="M199" i="34" s="1"/>
  <c r="O199" i="34" s="1"/>
  <c r="C199" i="34"/>
  <c r="N200" i="34" s="1"/>
  <c r="K200" i="34" l="1"/>
  <c r="F200" i="34"/>
  <c r="E200" i="34"/>
  <c r="H200" i="34"/>
  <c r="B200" i="34"/>
  <c r="L200" i="34" s="1"/>
  <c r="D200" i="34" s="1"/>
  <c r="I200" i="34"/>
  <c r="G200" i="34"/>
  <c r="J200" i="34" l="1"/>
  <c r="M200" i="34" s="1"/>
  <c r="O200" i="34" s="1"/>
  <c r="C200" i="34"/>
  <c r="N201" i="34" s="1"/>
  <c r="F201" i="34" l="1"/>
  <c r="K201" i="34"/>
  <c r="E201" i="34"/>
  <c r="G201" i="34"/>
  <c r="I201" i="34"/>
  <c r="H201" i="34"/>
  <c r="B201" i="34"/>
  <c r="L201" i="34" s="1"/>
  <c r="D201" i="34" s="1"/>
  <c r="J201" i="34" l="1"/>
  <c r="M201" i="34" s="1"/>
  <c r="O201" i="34" s="1"/>
  <c r="C201" i="34"/>
  <c r="N202" i="34" s="1"/>
  <c r="K202" i="34" l="1"/>
  <c r="F202" i="34"/>
  <c r="E202" i="34"/>
  <c r="H202" i="34"/>
  <c r="I202" i="34"/>
  <c r="B202" i="34"/>
  <c r="L202" i="34" s="1"/>
  <c r="D202" i="34" s="1"/>
  <c r="G202" i="34"/>
  <c r="C202" i="34" l="1"/>
  <c r="N203" i="34" s="1"/>
  <c r="J202" i="34"/>
  <c r="M202" i="34" s="1"/>
  <c r="O202" i="34" s="1"/>
  <c r="G203" i="34" l="1"/>
  <c r="H203" i="34"/>
  <c r="B203" i="34"/>
  <c r="L203" i="34" s="1"/>
  <c r="I203" i="34"/>
  <c r="F203" i="34"/>
  <c r="K203" i="34"/>
  <c r="E203" i="34"/>
  <c r="D203" i="34" l="1"/>
  <c r="C203" i="34" s="1"/>
  <c r="N204" i="34" s="1"/>
  <c r="J203" i="34"/>
  <c r="M203" i="34" s="1"/>
  <c r="O203" i="34" s="1"/>
  <c r="I204" i="34" l="1"/>
  <c r="G204" i="34"/>
  <c r="B204" i="34"/>
  <c r="L204" i="34" s="1"/>
  <c r="E204" i="34"/>
  <c r="H204" i="34"/>
  <c r="K204" i="34"/>
  <c r="F204" i="34"/>
  <c r="D204" i="34" l="1"/>
  <c r="C204" i="34" s="1"/>
  <c r="N205" i="34" s="1"/>
  <c r="J204" i="34"/>
  <c r="M204" i="34" s="1"/>
  <c r="O204" i="34" s="1"/>
  <c r="I205" i="34" l="1"/>
  <c r="H205" i="34"/>
  <c r="B205" i="34"/>
  <c r="L205" i="34" s="1"/>
  <c r="G205" i="34"/>
  <c r="E205" i="34"/>
  <c r="F205" i="34"/>
  <c r="K205" i="34"/>
  <c r="D205" i="34" l="1"/>
  <c r="C205" i="34" s="1"/>
  <c r="N206" i="34" s="1"/>
  <c r="J205" i="34"/>
  <c r="M205" i="34" s="1"/>
  <c r="O205" i="34" s="1"/>
  <c r="I206" i="34"/>
  <c r="H206" i="34" l="1"/>
  <c r="B206" i="34"/>
  <c r="L206" i="34" s="1"/>
  <c r="G206" i="34"/>
  <c r="E206" i="34"/>
  <c r="F206" i="34"/>
  <c r="K206" i="34"/>
  <c r="J206" i="34" l="1"/>
  <c r="M206" i="34" s="1"/>
  <c r="O206" i="34" s="1"/>
  <c r="D206" i="34"/>
  <c r="C206" i="34" s="1"/>
  <c r="N207" i="34" s="1"/>
  <c r="F207" i="34"/>
  <c r="E207" i="34"/>
  <c r="G207" i="34"/>
  <c r="I207" i="34"/>
  <c r="B207" i="34"/>
  <c r="L207" i="34" s="1"/>
  <c r="D207" i="34" s="1"/>
  <c r="K207" i="34" l="1"/>
  <c r="H207" i="34"/>
  <c r="J207" i="34" s="1"/>
  <c r="M207" i="34" s="1"/>
  <c r="O207" i="34" s="1"/>
  <c r="C207" i="34"/>
  <c r="N208" i="34" s="1"/>
  <c r="K208" i="34" l="1"/>
  <c r="F208" i="34"/>
  <c r="E208" i="34"/>
  <c r="I208" i="34"/>
  <c r="B208" i="34"/>
  <c r="L208" i="34" s="1"/>
  <c r="D208" i="34" s="1"/>
  <c r="H208" i="34"/>
  <c r="G208" i="34"/>
  <c r="J208" i="34" l="1"/>
  <c r="M208" i="34" s="1"/>
  <c r="O208" i="34" s="1"/>
  <c r="C208" i="34" l="1"/>
  <c r="N209" i="34" s="1"/>
  <c r="F209" i="34" l="1"/>
  <c r="K209" i="34"/>
  <c r="E209" i="34"/>
  <c r="H209" i="34"/>
  <c r="I209" i="34"/>
  <c r="G209" i="34"/>
  <c r="B209" i="34"/>
  <c r="L209" i="34" s="1"/>
  <c r="D209" i="34" s="1"/>
  <c r="J209" i="34" l="1"/>
  <c r="M209" i="34" s="1"/>
  <c r="O209" i="34" s="1"/>
  <c r="C209" i="34"/>
  <c r="N210" i="34" s="1"/>
  <c r="K210" i="34" l="1"/>
  <c r="F210" i="34"/>
  <c r="E210" i="34"/>
  <c r="I210" i="34"/>
  <c r="G210" i="34"/>
  <c r="B210" i="34"/>
  <c r="L210" i="34" s="1"/>
  <c r="D210" i="34" s="1"/>
  <c r="H210" i="34"/>
  <c r="J210" i="34" l="1"/>
  <c r="M210" i="34" s="1"/>
  <c r="O210" i="34" s="1"/>
  <c r="C210" i="34"/>
  <c r="N211" i="34" s="1"/>
  <c r="F211" i="34" l="1"/>
  <c r="K211" i="34"/>
  <c r="E211" i="34"/>
  <c r="H211" i="34"/>
  <c r="G211" i="34"/>
  <c r="B211" i="34"/>
  <c r="L211" i="34" s="1"/>
  <c r="D211" i="34" s="1"/>
  <c r="I211" i="34"/>
  <c r="J211" i="34" l="1"/>
  <c r="M211" i="34" s="1"/>
  <c r="O211" i="34" s="1"/>
  <c r="C211" i="34"/>
  <c r="N212" i="34" s="1"/>
  <c r="F212" i="34" l="1"/>
  <c r="K212" i="34"/>
  <c r="E212" i="34"/>
  <c r="H212" i="34"/>
  <c r="B212" i="34"/>
  <c r="L212" i="34" s="1"/>
  <c r="D212" i="34" s="1"/>
  <c r="I212" i="34"/>
  <c r="G212" i="34"/>
  <c r="C212" i="34" l="1"/>
  <c r="N213" i="34" s="1"/>
  <c r="J212" i="34"/>
  <c r="M212" i="34" s="1"/>
  <c r="O212" i="34" s="1"/>
  <c r="K213" i="34" l="1"/>
  <c r="F213" i="34"/>
  <c r="E213" i="34"/>
  <c r="G213" i="34"/>
  <c r="B213" i="34"/>
  <c r="L213" i="34" s="1"/>
  <c r="D213" i="34" s="1"/>
  <c r="I213" i="34"/>
  <c r="H213" i="34"/>
  <c r="C213" i="34" l="1"/>
  <c r="N214" i="34" s="1"/>
  <c r="J213" i="34"/>
  <c r="M213" i="34" s="1"/>
  <c r="O213" i="34" s="1"/>
  <c r="F214" i="34" l="1"/>
  <c r="K214" i="34"/>
  <c r="E214" i="34"/>
  <c r="H214" i="34"/>
  <c r="B214" i="34"/>
  <c r="L214" i="34" s="1"/>
  <c r="D214" i="34" s="1"/>
  <c r="I214" i="34"/>
  <c r="G214" i="34"/>
  <c r="J214" i="34" l="1"/>
  <c r="M214" i="34" s="1"/>
  <c r="O214" i="34" s="1"/>
  <c r="C214" i="34" l="1"/>
  <c r="N215" i="34" s="1"/>
  <c r="K215" i="34" l="1"/>
  <c r="F215" i="34"/>
  <c r="E215" i="34"/>
  <c r="G215" i="34"/>
  <c r="H215" i="34"/>
  <c r="B215" i="34"/>
  <c r="L215" i="34" s="1"/>
  <c r="D215" i="34" s="1"/>
  <c r="I215" i="34"/>
  <c r="C215" i="34" l="1"/>
  <c r="N216" i="34" s="1"/>
  <c r="J215" i="34"/>
  <c r="M215" i="34" s="1"/>
  <c r="O215" i="34" s="1"/>
  <c r="K216" i="34" l="1"/>
  <c r="F216" i="34"/>
  <c r="E216" i="34"/>
  <c r="B216" i="34"/>
  <c r="L216" i="34" s="1"/>
  <c r="D216" i="34" s="1"/>
  <c r="H216" i="34"/>
  <c r="I216" i="34"/>
  <c r="G216" i="34"/>
  <c r="C216" i="34" l="1"/>
  <c r="N217" i="34" s="1"/>
  <c r="J216" i="34"/>
  <c r="M216" i="34" s="1"/>
  <c r="O216" i="34" s="1"/>
  <c r="F217" i="34" l="1"/>
  <c r="K217" i="34"/>
  <c r="E217" i="34"/>
  <c r="H217" i="34"/>
  <c r="I217" i="34"/>
  <c r="B217" i="34"/>
  <c r="L217" i="34" s="1"/>
  <c r="D217" i="34" s="1"/>
  <c r="G217" i="34"/>
  <c r="J217" i="34" l="1"/>
  <c r="M217" i="34" s="1"/>
  <c r="O217" i="34" s="1"/>
  <c r="C217" i="34" l="1"/>
  <c r="N218" i="34" s="1"/>
  <c r="K218" i="34" l="1"/>
  <c r="F218" i="34"/>
  <c r="E218" i="34"/>
  <c r="H218" i="34"/>
  <c r="B218" i="34"/>
  <c r="L218" i="34" s="1"/>
  <c r="D218" i="34" s="1"/>
  <c r="G218" i="34"/>
  <c r="I218" i="34"/>
  <c r="J218" i="34" l="1"/>
  <c r="M218" i="34" s="1"/>
  <c r="O218" i="34" s="1"/>
  <c r="C218" i="34"/>
  <c r="N219" i="34" s="1"/>
  <c r="K219" i="34" l="1"/>
  <c r="F219" i="34"/>
  <c r="E219" i="34"/>
  <c r="B219" i="34"/>
  <c r="L219" i="34" s="1"/>
  <c r="G219" i="34"/>
  <c r="H219" i="34"/>
  <c r="I219" i="34"/>
  <c r="D219" i="34" l="1"/>
  <c r="J219" i="34"/>
  <c r="M219" i="34" s="1"/>
  <c r="O219" i="34" s="1"/>
  <c r="C219" i="34" l="1"/>
  <c r="N220" i="34" s="1"/>
  <c r="F220" i="34" l="1"/>
  <c r="K220" i="34"/>
  <c r="E220" i="34"/>
  <c r="G220" i="34"/>
  <c r="I220" i="34"/>
  <c r="H220" i="34"/>
  <c r="B220" i="34"/>
  <c r="L220" i="34" s="1"/>
  <c r="D220" i="34" s="1"/>
  <c r="J220" i="34" l="1"/>
  <c r="M220" i="34" s="1"/>
  <c r="O220" i="34" s="1"/>
  <c r="C220" i="34" l="1"/>
  <c r="N221" i="34" s="1"/>
  <c r="K221" i="34" l="1"/>
  <c r="F221" i="34"/>
  <c r="E221" i="34"/>
  <c r="H221" i="34"/>
  <c r="I221" i="34"/>
  <c r="B221" i="34"/>
  <c r="L221" i="34" s="1"/>
  <c r="D221" i="34" s="1"/>
  <c r="G221" i="34"/>
  <c r="C221" i="34" l="1"/>
  <c r="N222" i="34" s="1"/>
  <c r="J221" i="34"/>
  <c r="M221" i="34" s="1"/>
  <c r="O221" i="34" s="1"/>
  <c r="K222" i="34" l="1"/>
  <c r="F222" i="34"/>
  <c r="E222" i="34"/>
  <c r="G222" i="34"/>
  <c r="H222" i="34"/>
  <c r="B222" i="34"/>
  <c r="L222" i="34" s="1"/>
  <c r="D222" i="34" s="1"/>
  <c r="I222" i="34"/>
  <c r="J222" i="34" l="1"/>
  <c r="M222" i="34" s="1"/>
  <c r="O222" i="34" s="1"/>
  <c r="C222" i="34" l="1"/>
  <c r="N223" i="34" s="1"/>
  <c r="F223" i="34" l="1"/>
  <c r="K223" i="34"/>
  <c r="E223" i="34"/>
  <c r="G223" i="34"/>
  <c r="H223" i="34"/>
  <c r="B223" i="34"/>
  <c r="L223" i="34" s="1"/>
  <c r="D223" i="34" s="1"/>
  <c r="I223" i="34"/>
  <c r="J223" i="34" l="1"/>
  <c r="M223" i="34" s="1"/>
  <c r="O223" i="34" s="1"/>
  <c r="C223" i="34" l="1"/>
  <c r="N224" i="34" s="1"/>
  <c r="K224" i="34" l="1"/>
  <c r="F224" i="34"/>
  <c r="E224" i="34"/>
  <c r="G224" i="34"/>
  <c r="B224" i="34"/>
  <c r="L224" i="34" s="1"/>
  <c r="I224" i="34"/>
  <c r="H224" i="34"/>
  <c r="D224" i="34" l="1"/>
  <c r="C224" i="34" s="1"/>
  <c r="J224" i="34"/>
  <c r="M224" i="34" s="1"/>
  <c r="O224" i="34" s="1"/>
  <c r="N225" i="34" l="1"/>
  <c r="I225" i="34"/>
  <c r="G225" i="34"/>
  <c r="B225" i="34"/>
  <c r="L225" i="34" s="1"/>
  <c r="F225" i="34"/>
  <c r="K225" i="34"/>
  <c r="H225" i="34"/>
  <c r="E225" i="34"/>
  <c r="J225" i="34" l="1"/>
  <c r="M225" i="34" s="1"/>
  <c r="O225" i="34" s="1"/>
  <c r="D225" i="34"/>
  <c r="C225" i="34" s="1"/>
  <c r="N226" i="34" s="1"/>
  <c r="I226" i="34" l="1"/>
  <c r="G226" i="34"/>
  <c r="B226" i="34"/>
  <c r="L226" i="34" s="1"/>
  <c r="H226" i="34"/>
  <c r="E226" i="34"/>
  <c r="F226" i="34"/>
  <c r="K226" i="34"/>
  <c r="D226" i="34" l="1"/>
  <c r="C226" i="34" s="1"/>
  <c r="N227" i="34" s="1"/>
  <c r="J226" i="34"/>
  <c r="M226" i="34" s="1"/>
  <c r="O226" i="34" s="1"/>
  <c r="B227" i="34" l="1"/>
  <c r="L227" i="34" s="1"/>
  <c r="G227" i="34"/>
  <c r="H227" i="34"/>
  <c r="I227" i="34"/>
  <c r="E227" i="34"/>
  <c r="F227" i="34"/>
  <c r="K227" i="34"/>
  <c r="D227" i="34" l="1"/>
  <c r="C227" i="34" s="1"/>
  <c r="N228" i="34" s="1"/>
  <c r="J227" i="34"/>
  <c r="M227" i="34" s="1"/>
  <c r="O227" i="34" s="1"/>
  <c r="H228" i="34" l="1"/>
  <c r="I228" i="34"/>
  <c r="G228" i="34"/>
  <c r="B228" i="34"/>
  <c r="L228" i="34" s="1"/>
  <c r="E228" i="34"/>
  <c r="K228" i="34"/>
  <c r="F228" i="34"/>
  <c r="D228" i="34" l="1"/>
  <c r="C228" i="34" s="1"/>
  <c r="N229" i="34" s="1"/>
  <c r="J228" i="34"/>
  <c r="M228" i="34" s="1"/>
  <c r="O228" i="34" s="1"/>
  <c r="H229" i="34"/>
  <c r="G229" i="34"/>
  <c r="E229" i="34" l="1"/>
  <c r="F229" i="34"/>
  <c r="B229" i="34"/>
  <c r="L229" i="34" s="1"/>
  <c r="D229" i="34" s="1"/>
  <c r="I229" i="34"/>
  <c r="J229" i="34" s="1"/>
  <c r="K229" i="34"/>
  <c r="C229" i="34"/>
  <c r="N230" i="34" s="1"/>
  <c r="M229" i="34" l="1"/>
  <c r="O229" i="34" s="1"/>
  <c r="F230" i="34"/>
  <c r="K230" i="34"/>
  <c r="E230" i="34"/>
  <c r="G230" i="34"/>
  <c r="I230" i="34"/>
  <c r="B230" i="34"/>
  <c r="L230" i="34" s="1"/>
  <c r="D230" i="34" s="1"/>
  <c r="H230" i="34"/>
  <c r="J230" i="34" l="1"/>
  <c r="M230" i="34" s="1"/>
  <c r="O230" i="34" s="1"/>
  <c r="C230" i="34"/>
  <c r="N231" i="34" s="1"/>
  <c r="K231" i="34" l="1"/>
  <c r="F231" i="34"/>
  <c r="E231" i="34"/>
  <c r="B231" i="34"/>
  <c r="L231" i="34" s="1"/>
  <c r="D231" i="34" s="1"/>
  <c r="I231" i="34"/>
  <c r="G231" i="34"/>
  <c r="H231" i="34"/>
  <c r="J231" i="34" l="1"/>
  <c r="M231" i="34" s="1"/>
  <c r="O231" i="34" s="1"/>
  <c r="C231" i="34" l="1"/>
  <c r="N232" i="34" s="1"/>
  <c r="K232" i="34" l="1"/>
  <c r="F232" i="34"/>
  <c r="E232" i="34"/>
  <c r="B232" i="34"/>
  <c r="L232" i="34" s="1"/>
  <c r="G232" i="34"/>
  <c r="H232" i="34"/>
  <c r="I232" i="34"/>
  <c r="D232" i="34" l="1"/>
  <c r="J232" i="34"/>
  <c r="M232" i="34" s="1"/>
  <c r="O232" i="34" s="1"/>
  <c r="C232" i="34" l="1"/>
  <c r="N233" i="34" s="1"/>
  <c r="F233" i="34" l="1"/>
  <c r="K233" i="34"/>
  <c r="E233" i="34"/>
  <c r="G233" i="34"/>
  <c r="I233" i="34"/>
  <c r="H233" i="34"/>
  <c r="B233" i="34"/>
  <c r="L233" i="34" s="1"/>
  <c r="D233" i="34" s="1"/>
  <c r="J233" i="34" l="1"/>
  <c r="M233" i="34" s="1"/>
  <c r="O233" i="34" s="1"/>
  <c r="C233" i="34"/>
  <c r="N234" i="34" s="1"/>
  <c r="K234" i="34" l="1"/>
  <c r="F234" i="34"/>
  <c r="E234" i="34"/>
  <c r="H234" i="34"/>
  <c r="I234" i="34"/>
  <c r="G234" i="34"/>
  <c r="B234" i="34"/>
  <c r="L234" i="34" s="1"/>
  <c r="D234" i="34" s="1"/>
  <c r="J234" i="34" l="1"/>
  <c r="M234" i="34" s="1"/>
  <c r="O234" i="34" s="1"/>
  <c r="C234" i="34"/>
  <c r="N235" i="34" s="1"/>
  <c r="F235" i="34" l="1"/>
  <c r="K235" i="34"/>
  <c r="E235" i="34"/>
  <c r="G235" i="34"/>
  <c r="H235" i="34"/>
  <c r="B235" i="34"/>
  <c r="L235" i="34" s="1"/>
  <c r="D235" i="34" s="1"/>
  <c r="I235" i="34"/>
  <c r="C235" i="34" l="1"/>
  <c r="N236" i="34" s="1"/>
  <c r="J235" i="34"/>
  <c r="M235" i="34" s="1"/>
  <c r="O235" i="34" s="1"/>
  <c r="F236" i="34" l="1"/>
  <c r="K236" i="34"/>
  <c r="E236" i="34"/>
  <c r="G236" i="34"/>
  <c r="H236" i="34"/>
  <c r="I236" i="34"/>
  <c r="B236" i="34"/>
  <c r="L236" i="34" s="1"/>
  <c r="D236" i="34" s="1"/>
  <c r="J236" i="34" l="1"/>
  <c r="M236" i="34" s="1"/>
  <c r="O236" i="34" s="1"/>
  <c r="C236" i="34"/>
  <c r="N237" i="34" s="1"/>
  <c r="K237" i="34" l="1"/>
  <c r="F237" i="34"/>
  <c r="E237" i="34"/>
  <c r="G237" i="34"/>
  <c r="H237" i="34"/>
  <c r="B237" i="34"/>
  <c r="L237" i="34" s="1"/>
  <c r="D237" i="34" s="1"/>
  <c r="I237" i="34"/>
  <c r="J237" i="34" l="1"/>
  <c r="M237" i="34" s="1"/>
  <c r="O237" i="34" s="1"/>
  <c r="C237" i="34"/>
  <c r="N238" i="34" s="1"/>
  <c r="K238" i="34" l="1"/>
  <c r="F238" i="34"/>
  <c r="E238" i="34"/>
  <c r="H238" i="34"/>
  <c r="G238" i="34"/>
  <c r="I238" i="34"/>
  <c r="B238" i="34"/>
  <c r="L238" i="34" s="1"/>
  <c r="D238" i="34" s="1"/>
  <c r="C238" i="34" l="1"/>
  <c r="N239" i="34" s="1"/>
  <c r="J238" i="34"/>
  <c r="M238" i="34" s="1"/>
  <c r="O238" i="34" s="1"/>
  <c r="K239" i="34" l="1"/>
  <c r="F239" i="34"/>
  <c r="E239" i="34"/>
  <c r="H239" i="34"/>
  <c r="G239" i="34"/>
  <c r="I239" i="34"/>
  <c r="B239" i="34"/>
  <c r="L239" i="34" s="1"/>
  <c r="D239" i="34" s="1"/>
  <c r="J239" i="34" l="1"/>
  <c r="M239" i="34" s="1"/>
  <c r="O239" i="34" s="1"/>
  <c r="C239" i="34"/>
  <c r="N240" i="34" s="1"/>
  <c r="K240" i="34" l="1"/>
  <c r="F240" i="34"/>
  <c r="E240" i="34"/>
  <c r="H240" i="34"/>
  <c r="B240" i="34"/>
  <c r="L240" i="34" s="1"/>
  <c r="D240" i="34" s="1"/>
  <c r="I240" i="34"/>
  <c r="G240" i="34"/>
  <c r="C240" i="34" l="1"/>
  <c r="N241" i="34" s="1"/>
  <c r="J240" i="34"/>
  <c r="M240" i="34" s="1"/>
  <c r="O240" i="34" s="1"/>
  <c r="F241" i="34" l="1"/>
  <c r="K241" i="34"/>
  <c r="E241" i="34"/>
  <c r="H241" i="34"/>
  <c r="I241" i="34"/>
  <c r="B241" i="34"/>
  <c r="L241" i="34" s="1"/>
  <c r="D241" i="34" s="1"/>
  <c r="G241" i="34"/>
  <c r="J241" i="34" l="1"/>
  <c r="M241" i="34" s="1"/>
  <c r="O241" i="34" s="1"/>
  <c r="C241" i="34"/>
  <c r="N242" i="34" s="1"/>
  <c r="F242" i="34" l="1"/>
  <c r="K242" i="34"/>
  <c r="E242" i="34"/>
  <c r="B242" i="34"/>
  <c r="L242" i="34" s="1"/>
  <c r="D242" i="34" s="1"/>
  <c r="G242" i="34"/>
  <c r="H242" i="34"/>
  <c r="I242" i="34"/>
  <c r="J242" i="34" l="1"/>
  <c r="M242" i="34" s="1"/>
  <c r="O242" i="34" s="1"/>
  <c r="C242" i="34" l="1"/>
  <c r="N243" i="34" s="1"/>
  <c r="F243" i="34" l="1"/>
  <c r="K243" i="34"/>
  <c r="E243" i="34"/>
  <c r="H243" i="34"/>
  <c r="I243" i="34"/>
  <c r="G243" i="34"/>
  <c r="B243" i="34"/>
  <c r="L243" i="34" s="1"/>
  <c r="D243" i="34" s="1"/>
  <c r="J243" i="34" l="1"/>
  <c r="M243" i="34" s="1"/>
  <c r="O243" i="34" s="1"/>
  <c r="C243" i="34"/>
  <c r="N244" i="34" s="1"/>
  <c r="F244" i="34" l="1"/>
  <c r="K244" i="34"/>
  <c r="E244" i="34"/>
  <c r="I244" i="34"/>
  <c r="B244" i="34"/>
  <c r="L244" i="34" s="1"/>
  <c r="D244" i="34" s="1"/>
  <c r="G244" i="34"/>
  <c r="H244" i="34"/>
  <c r="C244" i="34" l="1"/>
  <c r="N245" i="34" s="1"/>
  <c r="J244" i="34"/>
  <c r="M244" i="34" s="1"/>
  <c r="O244" i="34" s="1"/>
  <c r="K245" i="34" l="1"/>
  <c r="F245" i="34"/>
  <c r="E245" i="34"/>
  <c r="G245" i="34"/>
  <c r="H245" i="34"/>
  <c r="I245" i="34"/>
  <c r="B245" i="34"/>
  <c r="L245" i="34" s="1"/>
  <c r="D245" i="34" s="1"/>
  <c r="J245" i="34" l="1"/>
  <c r="M245" i="34" s="1"/>
  <c r="O245" i="34" s="1"/>
  <c r="C245" i="34"/>
  <c r="N246" i="34" s="1"/>
  <c r="F246" i="34" l="1"/>
  <c r="K246" i="34"/>
  <c r="E246" i="34"/>
  <c r="H246" i="34"/>
  <c r="G246" i="34"/>
  <c r="I246" i="34"/>
  <c r="B246" i="34"/>
  <c r="L246" i="34" s="1"/>
  <c r="D246" i="34" s="1"/>
  <c r="J246" i="34" l="1"/>
  <c r="M246" i="34" s="1"/>
  <c r="O246" i="34" s="1"/>
  <c r="C246" i="34"/>
  <c r="N247" i="34" s="1"/>
  <c r="K247" i="34" l="1"/>
  <c r="F247" i="34"/>
  <c r="E247" i="34"/>
  <c r="H247" i="34"/>
  <c r="G247" i="34"/>
  <c r="B247" i="34"/>
  <c r="L247" i="34" s="1"/>
  <c r="D247" i="34" s="1"/>
  <c r="I247" i="34"/>
  <c r="J247" i="34" l="1"/>
  <c r="M247" i="34" s="1"/>
  <c r="O247" i="34" s="1"/>
  <c r="C247" i="34"/>
  <c r="N248" i="34" s="1"/>
  <c r="B248" i="34" l="1"/>
  <c r="L248" i="34" s="1"/>
  <c r="G248" i="34"/>
  <c r="I248" i="34"/>
  <c r="E248" i="34"/>
  <c r="K248" i="34"/>
  <c r="F248" i="34"/>
  <c r="H248" i="34"/>
  <c r="D248" i="34" l="1"/>
  <c r="J248" i="34"/>
  <c r="M248" i="34" s="1"/>
  <c r="O248" i="34" s="1"/>
  <c r="C248" i="34"/>
  <c r="N249" i="34" s="1"/>
  <c r="F249" i="34" l="1"/>
  <c r="K249" i="34"/>
  <c r="E249" i="34"/>
  <c r="B249" i="34"/>
  <c r="L249" i="34" s="1"/>
  <c r="D249" i="34" s="1"/>
  <c r="I249" i="34"/>
  <c r="H249" i="34"/>
  <c r="G249" i="34"/>
  <c r="J249" i="34" l="1"/>
  <c r="M249" i="34" s="1"/>
  <c r="O249" i="34" s="1"/>
  <c r="C249" i="34" l="1"/>
  <c r="N250" i="34" s="1"/>
  <c r="K250" i="34" l="1"/>
  <c r="F250" i="34"/>
  <c r="E250" i="34"/>
  <c r="G250" i="34"/>
  <c r="B250" i="34"/>
  <c r="L250" i="34" s="1"/>
  <c r="D250" i="34" s="1"/>
  <c r="I250" i="34"/>
  <c r="H250" i="34"/>
  <c r="J250" i="34" l="1"/>
  <c r="M250" i="34" s="1"/>
  <c r="O250" i="34" s="1"/>
  <c r="C250" i="34"/>
  <c r="N251" i="34" s="1"/>
  <c r="K251" i="34" l="1"/>
  <c r="F251" i="34"/>
  <c r="E251" i="34"/>
  <c r="H251" i="34"/>
  <c r="I251" i="34"/>
  <c r="B251" i="34"/>
  <c r="L251" i="34" s="1"/>
  <c r="D251" i="34" s="1"/>
  <c r="G251" i="34"/>
  <c r="J251" i="34" l="1"/>
  <c r="M251" i="34" s="1"/>
  <c r="O251" i="34" s="1"/>
  <c r="C251" i="34" l="1"/>
  <c r="N252" i="34" s="1"/>
  <c r="F252" i="34" l="1"/>
  <c r="K252" i="34"/>
  <c r="E252" i="34"/>
  <c r="G252" i="34"/>
  <c r="B252" i="34"/>
  <c r="L252" i="34" s="1"/>
  <c r="D252" i="34" s="1"/>
  <c r="I252" i="34"/>
  <c r="H252" i="34"/>
  <c r="C252" i="34" l="1"/>
  <c r="N253" i="34" s="1"/>
  <c r="J252" i="34"/>
  <c r="M252" i="34" s="1"/>
  <c r="O252" i="34" s="1"/>
  <c r="G253" i="34" l="1"/>
  <c r="B253" i="34"/>
  <c r="L253" i="34" s="1"/>
  <c r="I253" i="34"/>
  <c r="H253" i="34"/>
  <c r="E253" i="34"/>
  <c r="F253" i="34"/>
  <c r="K253" i="34"/>
  <c r="D253" i="34" l="1"/>
  <c r="C253" i="34" s="1"/>
  <c r="N254" i="34" s="1"/>
  <c r="J253" i="34"/>
  <c r="M253" i="34" s="1"/>
  <c r="O253" i="34" s="1"/>
  <c r="G254" i="34" l="1"/>
  <c r="I254" i="34"/>
  <c r="H254" i="34"/>
  <c r="B254" i="34"/>
  <c r="L254" i="34" s="1"/>
  <c r="E254" i="34"/>
  <c r="K254" i="34"/>
  <c r="F254" i="34"/>
  <c r="D254" i="34" l="1"/>
  <c r="J254" i="34"/>
  <c r="M254" i="34" s="1"/>
  <c r="O254" i="34" s="1"/>
  <c r="C254" i="34"/>
  <c r="N255" i="34" s="1"/>
  <c r="K255" i="34" l="1"/>
  <c r="F255" i="34"/>
  <c r="E255" i="34"/>
  <c r="G255" i="34"/>
  <c r="I255" i="34"/>
  <c r="H255" i="34"/>
  <c r="B255" i="34"/>
  <c r="L255" i="34" s="1"/>
  <c r="D255" i="34" s="1"/>
  <c r="J255" i="34" l="1"/>
  <c r="M255" i="34" s="1"/>
  <c r="O255" i="34" s="1"/>
  <c r="C255" i="34"/>
  <c r="N256" i="34" s="1"/>
  <c r="K256" i="34" l="1"/>
  <c r="F256" i="34"/>
  <c r="E256" i="34"/>
  <c r="H256" i="34"/>
  <c r="B256" i="34"/>
  <c r="L256" i="34" s="1"/>
  <c r="I256" i="34"/>
  <c r="G256" i="34"/>
  <c r="D256" i="34" l="1"/>
  <c r="C256" i="34" s="1"/>
  <c r="J256" i="34"/>
  <c r="M256" i="34" s="1"/>
  <c r="O256" i="34" s="1"/>
  <c r="N257" i="34" l="1"/>
  <c r="I257" i="34"/>
  <c r="E257" i="34"/>
  <c r="G257" i="34"/>
  <c r="F257" i="34"/>
  <c r="B257" i="34"/>
  <c r="L257" i="34" s="1"/>
  <c r="D257" i="34" s="1"/>
  <c r="C257" i="34" s="1"/>
  <c r="N258" i="34" s="1"/>
  <c r="K257" i="34"/>
  <c r="H257" i="34"/>
  <c r="J257" i="34" l="1"/>
  <c r="M257" i="34" s="1"/>
  <c r="O257" i="34" s="1"/>
  <c r="K258" i="34"/>
  <c r="F258" i="34"/>
  <c r="E258" i="34"/>
  <c r="B258" i="34"/>
  <c r="L258" i="34" s="1"/>
  <c r="D258" i="34" s="1"/>
  <c r="G258" i="34"/>
  <c r="H258" i="34"/>
  <c r="I258" i="34"/>
  <c r="J258" i="34" l="1"/>
  <c r="M258" i="34" s="1"/>
  <c r="O258" i="34" s="1"/>
  <c r="C258" i="34" l="1"/>
  <c r="N259" i="34" s="1"/>
  <c r="K259" i="34" l="1"/>
  <c r="F259" i="34"/>
  <c r="E259" i="34"/>
  <c r="H259" i="34"/>
  <c r="G259" i="34"/>
  <c r="B259" i="34"/>
  <c r="L259" i="34" s="1"/>
  <c r="D259" i="34" s="1"/>
  <c r="I259" i="34"/>
  <c r="C259" i="34" l="1"/>
  <c r="N260" i="34" s="1"/>
  <c r="J259" i="34"/>
  <c r="M259" i="34" s="1"/>
  <c r="O259" i="34" s="1"/>
  <c r="F260" i="34" l="1"/>
  <c r="K260" i="34"/>
  <c r="D260" i="34"/>
  <c r="E260" i="34"/>
  <c r="G260" i="34"/>
  <c r="H260" i="34"/>
  <c r="B260" i="34"/>
  <c r="L260" i="34" s="1"/>
  <c r="I260" i="34"/>
  <c r="C260" i="34" l="1"/>
  <c r="N261" i="34" s="1"/>
  <c r="J260" i="34"/>
  <c r="M260" i="34" s="1"/>
  <c r="O260" i="34" s="1"/>
  <c r="J15" i="34" s="1"/>
  <c r="L15" i="34" l="1"/>
  <c r="K261" i="34"/>
  <c r="F261" i="34"/>
  <c r="D261" i="34"/>
  <c r="E261" i="34"/>
  <c r="G261" i="34"/>
  <c r="B261" i="34"/>
  <c r="L261" i="34" s="1"/>
  <c r="I261" i="34"/>
  <c r="H261" i="34"/>
  <c r="J261" i="34" l="1"/>
  <c r="M261" i="34" s="1"/>
  <c r="O261" i="34" s="1"/>
  <c r="C261" i="34"/>
  <c r="N262" i="34" s="1"/>
  <c r="K262" i="34" l="1"/>
  <c r="F262" i="34"/>
  <c r="D262" i="34"/>
  <c r="E262" i="34"/>
  <c r="I262" i="34"/>
  <c r="H262" i="34"/>
  <c r="B262" i="34"/>
  <c r="L262" i="34" s="1"/>
  <c r="G262" i="34"/>
  <c r="J262" i="34" l="1"/>
  <c r="M262" i="34" s="1"/>
  <c r="O262" i="34" s="1"/>
  <c r="C262" i="34"/>
  <c r="N263" i="34" s="1"/>
  <c r="K263" i="34" l="1"/>
  <c r="F263" i="34"/>
  <c r="D263" i="34"/>
  <c r="E263" i="34"/>
  <c r="G263" i="34"/>
  <c r="H263" i="34"/>
  <c r="B263" i="34"/>
  <c r="L263" i="34" s="1"/>
  <c r="I263" i="34"/>
  <c r="J263" i="34" l="1"/>
  <c r="M263" i="34" s="1"/>
  <c r="O263" i="34" s="1"/>
  <c r="C263" i="34" l="1"/>
  <c r="N264" i="34" s="1"/>
  <c r="K264" i="34" l="1"/>
  <c r="F264" i="34"/>
  <c r="D264" i="34"/>
  <c r="E264" i="34"/>
  <c r="H264" i="34"/>
  <c r="B264" i="34"/>
  <c r="L264" i="34" s="1"/>
  <c r="G264" i="34"/>
  <c r="I264" i="34"/>
  <c r="J264" i="34" l="1"/>
  <c r="M264" i="34" s="1"/>
  <c r="O264" i="34" s="1"/>
  <c r="C264" i="34"/>
  <c r="N265" i="34" s="1"/>
  <c r="F265" i="34" l="1"/>
  <c r="K265" i="34"/>
  <c r="D265" i="34"/>
  <c r="E265" i="34"/>
  <c r="G265" i="34"/>
  <c r="I265" i="34"/>
  <c r="B265" i="34"/>
  <c r="L265" i="34" s="1"/>
  <c r="H265" i="34"/>
  <c r="C265" i="34" l="1"/>
  <c r="N266" i="34" s="1"/>
  <c r="J265" i="34"/>
  <c r="M265" i="34" s="1"/>
  <c r="O265" i="34" s="1"/>
  <c r="F266" i="34" l="1"/>
  <c r="K266" i="34"/>
  <c r="D266" i="34"/>
  <c r="E266" i="34"/>
  <c r="G266" i="34"/>
  <c r="I266" i="34"/>
  <c r="B266" i="34"/>
  <c r="L266" i="34" s="1"/>
  <c r="H266" i="34"/>
  <c r="J266" i="34" l="1"/>
  <c r="M266" i="34" s="1"/>
  <c r="O266" i="34" s="1"/>
  <c r="C266" i="34"/>
  <c r="N267" i="34" s="1"/>
  <c r="F267" i="34" l="1"/>
  <c r="K267" i="34"/>
  <c r="D267" i="34"/>
  <c r="E267" i="34"/>
  <c r="B267" i="34"/>
  <c r="L267" i="34" s="1"/>
  <c r="H267" i="34"/>
  <c r="G267" i="34"/>
  <c r="I267" i="34"/>
  <c r="J267" i="34" l="1"/>
  <c r="M267" i="34" s="1"/>
  <c r="O267" i="34" s="1"/>
  <c r="C267" i="34" l="1"/>
  <c r="N268" i="34" s="1"/>
  <c r="F268" i="34" l="1"/>
  <c r="K268" i="34"/>
  <c r="D268" i="34"/>
  <c r="E268" i="34"/>
  <c r="I268" i="34"/>
  <c r="B268" i="34"/>
  <c r="L268" i="34" s="1"/>
  <c r="H268" i="34"/>
  <c r="G268" i="34"/>
  <c r="J268" i="34" l="1"/>
  <c r="M268" i="34" s="1"/>
  <c r="O268" i="34" s="1"/>
  <c r="C268" i="34" l="1"/>
  <c r="N269" i="34" s="1"/>
  <c r="K269" i="34" l="1"/>
  <c r="F269" i="34"/>
  <c r="D269" i="34"/>
  <c r="E269" i="34"/>
  <c r="I269" i="34"/>
  <c r="B269" i="34"/>
  <c r="L269" i="34" s="1"/>
  <c r="H269" i="34"/>
  <c r="G269" i="34"/>
  <c r="C269" i="34" l="1"/>
  <c r="N270" i="34" s="1"/>
  <c r="J269" i="34"/>
  <c r="M269" i="34" s="1"/>
  <c r="O269" i="34" s="1"/>
  <c r="K270" i="34" l="1"/>
  <c r="F270" i="34"/>
  <c r="D270" i="34"/>
  <c r="E270" i="34"/>
  <c r="B270" i="34"/>
  <c r="L270" i="34" s="1"/>
  <c r="I270" i="34"/>
  <c r="G270" i="34"/>
  <c r="H270" i="34"/>
  <c r="J270" i="34" l="1"/>
  <c r="M270" i="34" s="1"/>
  <c r="O270" i="34" s="1"/>
  <c r="C270" i="34" l="1"/>
  <c r="N271" i="34" s="1"/>
  <c r="K271" i="34" l="1"/>
  <c r="F271" i="34"/>
  <c r="D271" i="34"/>
  <c r="E271" i="34"/>
  <c r="B271" i="34"/>
  <c r="L271" i="34" s="1"/>
  <c r="G271" i="34"/>
  <c r="I271" i="34"/>
  <c r="H271" i="34"/>
  <c r="C271" i="34" l="1"/>
  <c r="N272" i="34" s="1"/>
  <c r="J271" i="34"/>
  <c r="M271" i="34" s="1"/>
  <c r="O271" i="34" s="1"/>
  <c r="K272" i="34" l="1"/>
  <c r="F272" i="34"/>
  <c r="D272" i="34"/>
  <c r="E272" i="34"/>
  <c r="I272" i="34"/>
  <c r="G272" i="34"/>
  <c r="B272" i="34"/>
  <c r="L272" i="34" s="1"/>
  <c r="H272" i="34"/>
  <c r="C272" i="34"/>
  <c r="N273" i="34" s="1"/>
  <c r="F273" i="34" l="1"/>
  <c r="K273" i="34"/>
  <c r="D273" i="34"/>
  <c r="E273" i="34"/>
  <c r="H273" i="34"/>
  <c r="B273" i="34"/>
  <c r="L273" i="34" s="1"/>
  <c r="I273" i="34"/>
  <c r="G273" i="34"/>
  <c r="J272" i="34"/>
  <c r="M272" i="34" s="1"/>
  <c r="O272" i="34" s="1"/>
  <c r="J273" i="34" l="1"/>
  <c r="M273" i="34" s="1"/>
  <c r="O273" i="34" s="1"/>
  <c r="C273" i="34"/>
  <c r="N274" i="34" s="1"/>
  <c r="K274" i="34" l="1"/>
  <c r="F274" i="34"/>
  <c r="D274" i="34"/>
  <c r="E274" i="34"/>
  <c r="H274" i="34"/>
  <c r="G274" i="34"/>
  <c r="I274" i="34"/>
  <c r="B274" i="34"/>
  <c r="L274" i="34" s="1"/>
  <c r="J274" i="34" l="1"/>
  <c r="M274" i="34" s="1"/>
  <c r="O274" i="34" s="1"/>
  <c r="C274" i="34"/>
  <c r="N275" i="34" s="1"/>
  <c r="K275" i="34" l="1"/>
  <c r="F275" i="34"/>
  <c r="D275" i="34"/>
  <c r="E275" i="34"/>
  <c r="H275" i="34"/>
  <c r="B275" i="34"/>
  <c r="L275" i="34" s="1"/>
  <c r="I275" i="34"/>
  <c r="G275" i="34"/>
  <c r="C275" i="34" l="1"/>
  <c r="N276" i="34" s="1"/>
  <c r="J275" i="34"/>
  <c r="M275" i="34" s="1"/>
  <c r="O275" i="34" s="1"/>
  <c r="F276" i="34" l="1"/>
  <c r="K276" i="34"/>
  <c r="D276" i="34"/>
  <c r="E276" i="34"/>
  <c r="G276" i="34"/>
  <c r="I276" i="34"/>
  <c r="B276" i="34"/>
  <c r="L276" i="34" s="1"/>
  <c r="H276" i="34"/>
  <c r="J276" i="34" l="1"/>
  <c r="M276" i="34" s="1"/>
  <c r="O276" i="34" s="1"/>
  <c r="C276" i="34"/>
  <c r="N277" i="34" s="1"/>
  <c r="K277" i="34" l="1"/>
  <c r="F277" i="34"/>
  <c r="D277" i="34"/>
  <c r="E277" i="34"/>
  <c r="G277" i="34"/>
  <c r="I277" i="34"/>
  <c r="H277" i="34"/>
  <c r="B277" i="34"/>
  <c r="L277" i="34" s="1"/>
  <c r="J277" i="34" l="1"/>
  <c r="M277" i="34" s="1"/>
  <c r="O277" i="34" s="1"/>
  <c r="C277" i="34"/>
  <c r="N278" i="34" s="1"/>
  <c r="F278" i="34" l="1"/>
  <c r="K278" i="34"/>
  <c r="D278" i="34"/>
  <c r="E278" i="34"/>
  <c r="I278" i="34"/>
  <c r="B278" i="34"/>
  <c r="L278" i="34" s="1"/>
  <c r="G278" i="34"/>
  <c r="H278" i="34"/>
  <c r="C278" i="34" l="1"/>
  <c r="N279" i="34" s="1"/>
  <c r="J278" i="34"/>
  <c r="M278" i="34" s="1"/>
  <c r="O278" i="34" s="1"/>
  <c r="K279" i="34" l="1"/>
  <c r="F279" i="34"/>
  <c r="D279" i="34"/>
  <c r="E279" i="34"/>
  <c r="I279" i="34"/>
  <c r="H279" i="34"/>
  <c r="G279" i="34"/>
  <c r="B279" i="34"/>
  <c r="L279" i="34" s="1"/>
  <c r="J279" i="34" l="1"/>
  <c r="M279" i="34" s="1"/>
  <c r="O279" i="34" s="1"/>
  <c r="C279" i="34"/>
  <c r="N280" i="34" s="1"/>
  <c r="K280" i="34" l="1"/>
  <c r="F280" i="34"/>
  <c r="D280" i="34"/>
  <c r="E280" i="34"/>
  <c r="B280" i="34"/>
  <c r="L280" i="34" s="1"/>
  <c r="H280" i="34"/>
  <c r="I280" i="34"/>
  <c r="G280" i="34"/>
  <c r="J280" i="34" l="1"/>
  <c r="M280" i="34" s="1"/>
  <c r="O280" i="34" s="1"/>
  <c r="C280" i="34" l="1"/>
  <c r="N281" i="34" s="1"/>
  <c r="F281" i="34" l="1"/>
  <c r="K281" i="34"/>
  <c r="D281" i="34"/>
  <c r="E281" i="34"/>
  <c r="I281" i="34"/>
  <c r="G281" i="34"/>
  <c r="B281" i="34"/>
  <c r="L281" i="34" s="1"/>
  <c r="H281" i="34"/>
  <c r="J281" i="34" l="1"/>
  <c r="M281" i="34" s="1"/>
  <c r="O281" i="34" s="1"/>
  <c r="C281" i="34"/>
  <c r="N282" i="34" s="1"/>
  <c r="F282" i="34" l="1"/>
  <c r="K282" i="34"/>
  <c r="D282" i="34"/>
  <c r="E282" i="34"/>
  <c r="B282" i="34"/>
  <c r="L282" i="34" s="1"/>
  <c r="I282" i="34"/>
  <c r="H282" i="34"/>
  <c r="G282" i="34"/>
  <c r="J282" i="34" l="1"/>
  <c r="M282" i="34" s="1"/>
  <c r="O282" i="34" s="1"/>
  <c r="C282" i="34" l="1"/>
  <c r="N283" i="34" s="1"/>
  <c r="F283" i="34" l="1"/>
  <c r="K283" i="34"/>
  <c r="D283" i="34"/>
  <c r="E283" i="34"/>
  <c r="H283" i="34"/>
  <c r="B283" i="34"/>
  <c r="L283" i="34" s="1"/>
  <c r="I283" i="34"/>
  <c r="C283" i="34"/>
  <c r="N284" i="34" s="1"/>
  <c r="G283" i="34"/>
  <c r="F284" i="34" l="1"/>
  <c r="K284" i="34"/>
  <c r="D284" i="34"/>
  <c r="E284" i="34"/>
  <c r="J283" i="34"/>
  <c r="M283" i="34" s="1"/>
  <c r="O283" i="34" s="1"/>
  <c r="G284" i="34"/>
  <c r="I284" i="34"/>
  <c r="H284" i="34"/>
  <c r="B284" i="34"/>
  <c r="L284" i="34" s="1"/>
  <c r="J284" i="34" l="1"/>
  <c r="M284" i="34" s="1"/>
  <c r="O284" i="34" s="1"/>
  <c r="C284" i="34"/>
  <c r="N285" i="34" s="1"/>
  <c r="K285" i="34" l="1"/>
  <c r="F285" i="34"/>
  <c r="D285" i="34"/>
  <c r="E285" i="34"/>
  <c r="H285" i="34"/>
  <c r="I285" i="34"/>
  <c r="B285" i="34"/>
  <c r="L285" i="34" s="1"/>
  <c r="G285" i="34"/>
  <c r="J285" i="34" l="1"/>
  <c r="M285" i="34" s="1"/>
  <c r="O285" i="34" s="1"/>
  <c r="C285" i="34"/>
  <c r="N286" i="34" s="1"/>
  <c r="K286" i="34" l="1"/>
  <c r="F286" i="34"/>
  <c r="D286" i="34"/>
  <c r="E286" i="34"/>
  <c r="G286" i="34"/>
  <c r="I286" i="34"/>
  <c r="H286" i="34"/>
  <c r="B286" i="34"/>
  <c r="L286" i="34" s="1"/>
  <c r="J286" i="34" l="1"/>
  <c r="M286" i="34" s="1"/>
  <c r="O286" i="34" s="1"/>
  <c r="C286" i="34"/>
  <c r="N287" i="34" s="1"/>
  <c r="K287" i="34" l="1"/>
  <c r="F287" i="34"/>
  <c r="D287" i="34"/>
  <c r="E287" i="34"/>
  <c r="H287" i="34"/>
  <c r="B287" i="34"/>
  <c r="L287" i="34" s="1"/>
  <c r="I287" i="34"/>
  <c r="G287" i="34"/>
  <c r="J287" i="34" l="1"/>
  <c r="M287" i="34" s="1"/>
  <c r="O287" i="34" s="1"/>
  <c r="C287" i="34"/>
  <c r="N288" i="34" s="1"/>
  <c r="K288" i="34" l="1"/>
  <c r="F288" i="34"/>
  <c r="D288" i="34"/>
  <c r="E288" i="34"/>
  <c r="B288" i="34"/>
  <c r="L288" i="34" s="1"/>
  <c r="H288" i="34"/>
  <c r="I288" i="34"/>
  <c r="G288" i="34"/>
  <c r="J288" i="34" l="1"/>
  <c r="M288" i="34" s="1"/>
  <c r="O288" i="34" s="1"/>
  <c r="C288" i="34"/>
  <c r="N289" i="34" s="1"/>
  <c r="F289" i="34" l="1"/>
  <c r="K289" i="34"/>
  <c r="D289" i="34"/>
  <c r="E289" i="34"/>
  <c r="I289" i="34"/>
  <c r="B289" i="34"/>
  <c r="L289" i="34" s="1"/>
  <c r="H289" i="34"/>
  <c r="G289" i="34"/>
  <c r="J289" i="34" l="1"/>
  <c r="M289" i="34" s="1"/>
  <c r="O289" i="34" s="1"/>
  <c r="C289" i="34" l="1"/>
  <c r="N290" i="34" s="1"/>
  <c r="K290" i="34" l="1"/>
  <c r="F290" i="34"/>
  <c r="D290" i="34"/>
  <c r="E290" i="34"/>
  <c r="G290" i="34"/>
  <c r="B290" i="34"/>
  <c r="L290" i="34" s="1"/>
  <c r="I290" i="34"/>
  <c r="H290" i="34"/>
  <c r="C290" i="34"/>
  <c r="N291" i="34" s="1"/>
  <c r="K291" i="34" l="1"/>
  <c r="F291" i="34"/>
  <c r="D291" i="34"/>
  <c r="E291" i="34"/>
  <c r="H291" i="34"/>
  <c r="B291" i="34"/>
  <c r="L291" i="34" s="1"/>
  <c r="I291" i="34"/>
  <c r="G291" i="34"/>
  <c r="J290" i="34"/>
  <c r="M290" i="34" s="1"/>
  <c r="O290" i="34" s="1"/>
  <c r="J291" i="34" l="1"/>
  <c r="M291" i="34" s="1"/>
  <c r="O291" i="34" s="1"/>
  <c r="C291" i="34" l="1"/>
  <c r="N292" i="34" s="1"/>
  <c r="F292" i="34" l="1"/>
  <c r="K292" i="34"/>
  <c r="D292" i="34"/>
  <c r="E292" i="34"/>
  <c r="I292" i="34"/>
  <c r="B292" i="34"/>
  <c r="L292" i="34" s="1"/>
  <c r="H292" i="34"/>
  <c r="G292" i="34"/>
  <c r="J292" i="34" l="1"/>
  <c r="M292" i="34" s="1"/>
  <c r="O292" i="34" s="1"/>
  <c r="C292" i="34"/>
  <c r="N293" i="34" s="1"/>
  <c r="K293" i="34" l="1"/>
  <c r="F293" i="34"/>
  <c r="D293" i="34"/>
  <c r="E293" i="34"/>
  <c r="H293" i="34"/>
  <c r="B293" i="34"/>
  <c r="L293" i="34" s="1"/>
  <c r="I293" i="34"/>
  <c r="G293" i="34"/>
  <c r="J293" i="34" l="1"/>
  <c r="M293" i="34" s="1"/>
  <c r="O293" i="34" s="1"/>
  <c r="C293" i="34"/>
  <c r="N294" i="34" s="1"/>
  <c r="K294" i="34" l="1"/>
  <c r="F294" i="34"/>
  <c r="D294" i="34"/>
  <c r="E294" i="34"/>
  <c r="B294" i="34"/>
  <c r="L294" i="34" s="1"/>
  <c r="H294" i="34"/>
  <c r="G294" i="34"/>
  <c r="I294" i="34"/>
  <c r="J294" i="34" l="1"/>
  <c r="M294" i="34" s="1"/>
  <c r="O294" i="34" s="1"/>
  <c r="C294" i="34" l="1"/>
  <c r="N295" i="34" s="1"/>
  <c r="K295" i="34" l="1"/>
  <c r="F295" i="34"/>
  <c r="D295" i="34"/>
  <c r="E295" i="34"/>
  <c r="B295" i="34"/>
  <c r="L295" i="34" s="1"/>
  <c r="H295" i="34"/>
  <c r="I295" i="34"/>
  <c r="G295" i="34"/>
  <c r="C295" i="34" l="1"/>
  <c r="N296" i="34" s="1"/>
  <c r="J295" i="34"/>
  <c r="M295" i="34" s="1"/>
  <c r="O295" i="34" s="1"/>
  <c r="K296" i="34" l="1"/>
  <c r="F296" i="34"/>
  <c r="D296" i="34"/>
  <c r="E296" i="34"/>
  <c r="B296" i="34"/>
  <c r="L296" i="34" s="1"/>
  <c r="G296" i="34"/>
  <c r="H296" i="34"/>
  <c r="I296" i="34"/>
  <c r="C296" i="34" l="1"/>
  <c r="N297" i="34" s="1"/>
  <c r="J296" i="34"/>
  <c r="M296" i="34" s="1"/>
  <c r="O296" i="34" s="1"/>
  <c r="F297" i="34" l="1"/>
  <c r="K297" i="34"/>
  <c r="D297" i="34"/>
  <c r="E297" i="34"/>
  <c r="H297" i="34"/>
  <c r="B297" i="34"/>
  <c r="L297" i="34" s="1"/>
  <c r="I297" i="34"/>
  <c r="G297" i="34"/>
  <c r="J297" i="34" l="1"/>
  <c r="M297" i="34" s="1"/>
  <c r="O297" i="34" s="1"/>
  <c r="C297" i="34"/>
  <c r="N298" i="34" s="1"/>
  <c r="F298" i="34" l="1"/>
  <c r="K298" i="34"/>
  <c r="D298" i="34"/>
  <c r="E298" i="34"/>
  <c r="H298" i="34"/>
  <c r="I298" i="34"/>
  <c r="B298" i="34"/>
  <c r="L298" i="34" s="1"/>
  <c r="G298" i="34"/>
  <c r="C298" i="34" l="1"/>
  <c r="N299" i="34" s="1"/>
  <c r="J298" i="34"/>
  <c r="M298" i="34" s="1"/>
  <c r="O298" i="34" s="1"/>
  <c r="F299" i="34" l="1"/>
  <c r="K299" i="34"/>
  <c r="D299" i="34"/>
  <c r="E299" i="34"/>
  <c r="I299" i="34"/>
  <c r="B299" i="34"/>
  <c r="L299" i="34" s="1"/>
  <c r="H299" i="34"/>
  <c r="G299" i="34"/>
  <c r="C299" i="34" l="1"/>
  <c r="N300" i="34" s="1"/>
  <c r="J299" i="34"/>
  <c r="M299" i="34" s="1"/>
  <c r="O299" i="34" s="1"/>
  <c r="F300" i="34" l="1"/>
  <c r="K300" i="34"/>
  <c r="D300" i="34"/>
  <c r="E300" i="34"/>
  <c r="G300" i="34"/>
  <c r="I300" i="34"/>
  <c r="B300" i="34"/>
  <c r="L300" i="34" s="1"/>
  <c r="H300" i="34"/>
  <c r="J300" i="34" l="1"/>
  <c r="M300" i="34" s="1"/>
  <c r="O300" i="34" s="1"/>
  <c r="C300" i="34"/>
  <c r="N301" i="34" s="1"/>
  <c r="K301" i="34" l="1"/>
  <c r="F301" i="34"/>
  <c r="D301" i="34"/>
  <c r="E301" i="34"/>
  <c r="B301" i="34"/>
  <c r="L301" i="34" s="1"/>
  <c r="G301" i="34"/>
  <c r="I301" i="34"/>
  <c r="H301" i="34"/>
  <c r="C301" i="34" l="1"/>
  <c r="N302" i="34" s="1"/>
  <c r="J301" i="34"/>
  <c r="M301" i="34" s="1"/>
  <c r="O301" i="34" s="1"/>
  <c r="K302" i="34" l="1"/>
  <c r="F302" i="34"/>
  <c r="D302" i="34"/>
  <c r="E302" i="34"/>
  <c r="B302" i="34"/>
  <c r="L302" i="34" s="1"/>
  <c r="I302" i="34"/>
  <c r="G302" i="34"/>
  <c r="H302" i="34"/>
  <c r="J302" i="34" l="1"/>
  <c r="M302" i="34" s="1"/>
  <c r="O302" i="34" s="1"/>
  <c r="C302" i="34" l="1"/>
  <c r="N303" i="34" s="1"/>
  <c r="K303" i="34" l="1"/>
  <c r="F303" i="34"/>
  <c r="D303" i="34"/>
  <c r="E303" i="34"/>
  <c r="G303" i="34"/>
  <c r="H303" i="34"/>
  <c r="I303" i="34"/>
  <c r="B303" i="34"/>
  <c r="L303" i="34" s="1"/>
  <c r="J303" i="34" l="1"/>
  <c r="M303" i="34" s="1"/>
  <c r="O303" i="34" s="1"/>
  <c r="C303" i="34"/>
  <c r="N304" i="34" s="1"/>
  <c r="K304" i="34" l="1"/>
  <c r="F304" i="34"/>
  <c r="D304" i="34"/>
  <c r="E304" i="34"/>
  <c r="B304" i="34"/>
  <c r="L304" i="34" s="1"/>
  <c r="I304" i="34"/>
  <c r="H304" i="34"/>
  <c r="G304" i="34"/>
  <c r="J304" i="34" l="1"/>
  <c r="M304" i="34" s="1"/>
  <c r="O304" i="34" s="1"/>
  <c r="C304" i="34" l="1"/>
  <c r="N305" i="34" s="1"/>
  <c r="F305" i="34" l="1"/>
  <c r="K305" i="34"/>
  <c r="D305" i="34"/>
  <c r="E305" i="34"/>
  <c r="I305" i="34"/>
  <c r="B305" i="34"/>
  <c r="L305" i="34" s="1"/>
  <c r="H305" i="34"/>
  <c r="G305" i="34"/>
  <c r="J305" i="34" l="1"/>
  <c r="M305" i="34" s="1"/>
  <c r="O305" i="34" s="1"/>
  <c r="C305" i="34" l="1"/>
  <c r="N306" i="34" s="1"/>
  <c r="F306" i="34" l="1"/>
  <c r="K306" i="34"/>
  <c r="D306" i="34"/>
  <c r="E306" i="34"/>
  <c r="B306" i="34"/>
  <c r="L306" i="34" s="1"/>
  <c r="I306" i="34"/>
  <c r="G306" i="34"/>
  <c r="H306" i="34"/>
  <c r="J306" i="34" l="1"/>
  <c r="M306" i="34" s="1"/>
  <c r="O306" i="34" s="1"/>
  <c r="C306" i="34"/>
  <c r="N307" i="34" s="1"/>
  <c r="K307" i="34" l="1"/>
  <c r="F307" i="34"/>
  <c r="D307" i="34"/>
  <c r="E307" i="34"/>
  <c r="I307" i="34"/>
  <c r="G307" i="34"/>
  <c r="B307" i="34"/>
  <c r="L307" i="34" s="1"/>
  <c r="C307" i="34"/>
  <c r="N308" i="34" s="1"/>
  <c r="H307" i="34"/>
  <c r="F308" i="34" l="1"/>
  <c r="K308" i="34"/>
  <c r="D308" i="34"/>
  <c r="E308" i="34"/>
  <c r="G308" i="34"/>
  <c r="H308" i="34"/>
  <c r="I308" i="34"/>
  <c r="B308" i="34"/>
  <c r="L308" i="34" s="1"/>
  <c r="J307" i="34"/>
  <c r="M307" i="34" s="1"/>
  <c r="O307" i="34" s="1"/>
  <c r="J308" i="34" l="1"/>
  <c r="M308" i="34" s="1"/>
  <c r="O308" i="34" s="1"/>
  <c r="C308" i="34" l="1"/>
  <c r="N309" i="34" s="1"/>
  <c r="K309" i="34" l="1"/>
  <c r="F309" i="34"/>
  <c r="D309" i="34"/>
  <c r="E309" i="34"/>
  <c r="I309" i="34"/>
  <c r="B309" i="34"/>
  <c r="L309" i="34" s="1"/>
  <c r="G309" i="34"/>
  <c r="H309" i="34"/>
  <c r="J309" i="34" l="1"/>
  <c r="M309" i="34" s="1"/>
  <c r="O309" i="34" s="1"/>
  <c r="C309" i="34"/>
  <c r="N310" i="34" s="1"/>
  <c r="F310" i="34" l="1"/>
  <c r="K310" i="34"/>
  <c r="D310" i="34"/>
  <c r="E310" i="34"/>
  <c r="B310" i="34"/>
  <c r="L310" i="34" s="1"/>
  <c r="G310" i="34"/>
  <c r="H310" i="34"/>
  <c r="I310" i="34"/>
  <c r="C310" i="34" l="1"/>
  <c r="N311" i="34" s="1"/>
  <c r="J310" i="34"/>
  <c r="M310" i="34" s="1"/>
  <c r="O310" i="34" s="1"/>
  <c r="K311" i="34" l="1"/>
  <c r="F311" i="34"/>
  <c r="D311" i="34"/>
  <c r="E311" i="34"/>
  <c r="B311" i="34"/>
  <c r="L311" i="34" s="1"/>
  <c r="I311" i="34"/>
  <c r="G311" i="34"/>
  <c r="H311" i="34"/>
  <c r="J311" i="34" l="1"/>
  <c r="M311" i="34" s="1"/>
  <c r="O311" i="34" s="1"/>
  <c r="C311" i="34" l="1"/>
  <c r="N312" i="34" s="1"/>
  <c r="K312" i="34" l="1"/>
  <c r="F312" i="34"/>
  <c r="D312" i="34"/>
  <c r="E312" i="34"/>
  <c r="G312" i="34"/>
  <c r="B312" i="34"/>
  <c r="L312" i="34" s="1"/>
  <c r="C312" i="34" s="1"/>
  <c r="N313" i="34" s="1"/>
  <c r="I312" i="34"/>
  <c r="H312" i="34"/>
  <c r="F313" i="34" l="1"/>
  <c r="K313" i="34"/>
  <c r="D313" i="34"/>
  <c r="E313" i="34"/>
  <c r="J312" i="34"/>
  <c r="M312" i="34" s="1"/>
  <c r="O312" i="34" s="1"/>
  <c r="I313" i="34"/>
  <c r="H313" i="34"/>
  <c r="B313" i="34"/>
  <c r="L313" i="34" s="1"/>
  <c r="G313" i="34"/>
  <c r="J313" i="34" l="1"/>
  <c r="M313" i="34" s="1"/>
  <c r="O313" i="34" s="1"/>
  <c r="C313" i="34" l="1"/>
  <c r="N314" i="34" s="1"/>
  <c r="F314" i="34" l="1"/>
  <c r="K314" i="34"/>
  <c r="D314" i="34"/>
  <c r="E314" i="34"/>
  <c r="B314" i="34"/>
  <c r="L314" i="34" s="1"/>
  <c r="I314" i="34"/>
  <c r="H314" i="34"/>
  <c r="G314" i="34"/>
  <c r="J314" i="34" l="1"/>
  <c r="M314" i="34" s="1"/>
  <c r="O314" i="34" s="1"/>
  <c r="C314" i="34" l="1"/>
  <c r="N315" i="34" s="1"/>
  <c r="F315" i="34" l="1"/>
  <c r="K315" i="34"/>
  <c r="D315" i="34"/>
  <c r="E315" i="34"/>
  <c r="B315" i="34"/>
  <c r="L315" i="34" s="1"/>
  <c r="G315" i="34"/>
  <c r="I315" i="34"/>
  <c r="H315" i="34"/>
  <c r="C315" i="34" l="1"/>
  <c r="N316" i="34" s="1"/>
  <c r="J315" i="34"/>
  <c r="M315" i="34" s="1"/>
  <c r="O315" i="34" s="1"/>
  <c r="F316" i="34" l="1"/>
  <c r="K316" i="34"/>
  <c r="D316" i="34"/>
  <c r="E316" i="34"/>
  <c r="G316" i="34"/>
  <c r="I316" i="34"/>
  <c r="H316" i="34"/>
  <c r="B316" i="34"/>
  <c r="L316" i="34" s="1"/>
  <c r="J316" i="34" l="1"/>
  <c r="M316" i="34" s="1"/>
  <c r="O316" i="34" s="1"/>
  <c r="C316" i="34"/>
  <c r="N317" i="34" s="1"/>
  <c r="K317" i="34" l="1"/>
  <c r="F317" i="34"/>
  <c r="D317" i="34"/>
  <c r="E317" i="34"/>
  <c r="H317" i="34"/>
  <c r="I317" i="34"/>
  <c r="B317" i="34"/>
  <c r="L317" i="34" s="1"/>
  <c r="G317" i="34"/>
  <c r="C317" i="34" l="1"/>
  <c r="N318" i="34" s="1"/>
  <c r="J317" i="34"/>
  <c r="M317" i="34" s="1"/>
  <c r="O317" i="34" s="1"/>
  <c r="K318" i="34" l="1"/>
  <c r="F318" i="34"/>
  <c r="D318" i="34"/>
  <c r="E318" i="34"/>
  <c r="I318" i="34"/>
  <c r="B318" i="34"/>
  <c r="L318" i="34" s="1"/>
  <c r="H318" i="34"/>
  <c r="G318" i="34"/>
  <c r="J318" i="34" l="1"/>
  <c r="M318" i="34" s="1"/>
  <c r="O318" i="34" s="1"/>
  <c r="C318" i="34" l="1"/>
  <c r="N319" i="34" s="1"/>
  <c r="K319" i="34" l="1"/>
  <c r="F319" i="34"/>
  <c r="D319" i="34"/>
  <c r="E319" i="34"/>
  <c r="B319" i="34"/>
  <c r="L319" i="34" s="1"/>
  <c r="I319" i="34"/>
  <c r="G319" i="34"/>
  <c r="H319" i="34"/>
  <c r="J319" i="34" l="1"/>
  <c r="M319" i="34" s="1"/>
  <c r="O319" i="34" s="1"/>
  <c r="C319" i="34" l="1"/>
  <c r="N320" i="34" s="1"/>
  <c r="K320" i="34" l="1"/>
  <c r="F320" i="34"/>
  <c r="D320" i="34"/>
  <c r="E320" i="34"/>
  <c r="B320" i="34"/>
  <c r="L320" i="34" s="1"/>
  <c r="H320" i="34"/>
  <c r="I320" i="34"/>
  <c r="G320" i="34"/>
  <c r="C320" i="34" l="1"/>
  <c r="N321" i="34" s="1"/>
  <c r="J320" i="34"/>
  <c r="M320" i="34" s="1"/>
  <c r="O320" i="34" s="1"/>
  <c r="F321" i="34" l="1"/>
  <c r="K321" i="34"/>
  <c r="D321" i="34"/>
  <c r="E321" i="34"/>
  <c r="H321" i="34"/>
  <c r="I321" i="34"/>
  <c r="G321" i="34"/>
  <c r="B321" i="34"/>
  <c r="L321" i="34" s="1"/>
  <c r="J321" i="34" l="1"/>
  <c r="M321" i="34" s="1"/>
  <c r="O321" i="34" s="1"/>
  <c r="C321" i="34"/>
  <c r="N322" i="34" s="1"/>
  <c r="K322" i="34" l="1"/>
  <c r="F322" i="34"/>
  <c r="D322" i="34"/>
  <c r="E322" i="34"/>
  <c r="I322" i="34"/>
  <c r="H322" i="34"/>
  <c r="G322" i="34"/>
  <c r="B322" i="34"/>
  <c r="L322" i="34" s="1"/>
  <c r="J322" i="34" l="1"/>
  <c r="M322" i="34" s="1"/>
  <c r="O322" i="34" s="1"/>
  <c r="C322" i="34"/>
  <c r="N323" i="34" s="1"/>
  <c r="K323" i="34" l="1"/>
  <c r="F323" i="34"/>
  <c r="D323" i="34"/>
  <c r="E323" i="34"/>
  <c r="I323" i="34"/>
  <c r="B323" i="34"/>
  <c r="L323" i="34" s="1"/>
  <c r="G323" i="34"/>
  <c r="H323" i="34"/>
  <c r="J323" i="34" l="1"/>
  <c r="M323" i="34" s="1"/>
  <c r="O323" i="34" s="1"/>
  <c r="C323" i="34"/>
  <c r="N324" i="34" s="1"/>
  <c r="F324" i="34" l="1"/>
  <c r="K324" i="34"/>
  <c r="D324" i="34"/>
  <c r="E324" i="34"/>
  <c r="I324" i="34"/>
  <c r="B324" i="34"/>
  <c r="L324" i="34" s="1"/>
  <c r="H324" i="34"/>
  <c r="G324" i="34"/>
  <c r="J324" i="34" l="1"/>
  <c r="M324" i="34" s="1"/>
  <c r="O324" i="34" s="1"/>
  <c r="C324" i="34" l="1"/>
  <c r="N325" i="34" s="1"/>
  <c r="K325" i="34" l="1"/>
  <c r="F325" i="34"/>
  <c r="D325" i="34"/>
  <c r="E325" i="34"/>
  <c r="B325" i="34"/>
  <c r="L325" i="34" s="1"/>
  <c r="H325" i="34"/>
  <c r="G325" i="34"/>
  <c r="I325" i="34"/>
  <c r="J325" i="34" l="1"/>
  <c r="M325" i="34" s="1"/>
  <c r="O325" i="34" s="1"/>
  <c r="C325" i="34" l="1"/>
  <c r="N326" i="34" s="1"/>
  <c r="F326" i="34" l="1"/>
  <c r="K326" i="34"/>
  <c r="D326" i="34"/>
  <c r="E326" i="34"/>
  <c r="G326" i="34"/>
  <c r="I326" i="34"/>
  <c r="B326" i="34"/>
  <c r="L326" i="34" s="1"/>
  <c r="H326" i="34"/>
  <c r="J326" i="34" l="1"/>
  <c r="M326" i="34" s="1"/>
  <c r="O326" i="34" s="1"/>
  <c r="C326" i="34"/>
  <c r="N327" i="34" s="1"/>
  <c r="F327" i="34" l="1"/>
  <c r="K327" i="34"/>
  <c r="D327" i="34"/>
  <c r="E327" i="34"/>
  <c r="H327" i="34"/>
  <c r="G327" i="34"/>
  <c r="B327" i="34"/>
  <c r="L327" i="34" s="1"/>
  <c r="I327" i="34"/>
  <c r="C327" i="34" l="1"/>
  <c r="N328" i="34" s="1"/>
  <c r="J327" i="34"/>
  <c r="M327" i="34" s="1"/>
  <c r="O327" i="34" s="1"/>
  <c r="K328" i="34" l="1"/>
  <c r="F328" i="34"/>
  <c r="D328" i="34"/>
  <c r="E328" i="34"/>
  <c r="I328" i="34"/>
  <c r="H328" i="34"/>
  <c r="G328" i="34"/>
  <c r="B328" i="34"/>
  <c r="L328" i="34" s="1"/>
  <c r="J328" i="34" l="1"/>
  <c r="M328" i="34" s="1"/>
  <c r="O328" i="34" s="1"/>
  <c r="C328" i="34"/>
  <c r="N329" i="34" s="1"/>
  <c r="F329" i="34" l="1"/>
  <c r="K329" i="34"/>
  <c r="D329" i="34"/>
  <c r="E329" i="34"/>
  <c r="H329" i="34"/>
  <c r="G329" i="34"/>
  <c r="B329" i="34"/>
  <c r="L329" i="34" s="1"/>
  <c r="I329" i="34"/>
  <c r="J329" i="34" l="1"/>
  <c r="M329" i="34" s="1"/>
  <c r="O329" i="34" s="1"/>
  <c r="C329" i="34"/>
  <c r="N330" i="34" s="1"/>
  <c r="K330" i="34" l="1"/>
  <c r="F330" i="34"/>
  <c r="D330" i="34"/>
  <c r="E330" i="34"/>
  <c r="G330" i="34"/>
  <c r="H330" i="34"/>
  <c r="I330" i="34"/>
  <c r="B330" i="34"/>
  <c r="L330" i="34" s="1"/>
  <c r="C330" i="34" l="1"/>
  <c r="N331" i="34" s="1"/>
  <c r="J330" i="34"/>
  <c r="M330" i="34" s="1"/>
  <c r="O330" i="34" s="1"/>
  <c r="F331" i="34" l="1"/>
  <c r="K331" i="34"/>
  <c r="D331" i="34"/>
  <c r="E331" i="34"/>
  <c r="I331" i="34"/>
  <c r="B331" i="34"/>
  <c r="L331" i="34" s="1"/>
  <c r="H331" i="34"/>
  <c r="G331" i="34"/>
  <c r="J331" i="34" l="1"/>
  <c r="M331" i="34" s="1"/>
  <c r="O331" i="34" s="1"/>
  <c r="C331" i="34"/>
  <c r="N332" i="34" s="1"/>
  <c r="F332" i="34" l="1"/>
  <c r="K332" i="34"/>
  <c r="D332" i="34"/>
  <c r="E332" i="34"/>
  <c r="H332" i="34"/>
  <c r="I332" i="34"/>
  <c r="B332" i="34"/>
  <c r="L332" i="34" s="1"/>
  <c r="G332" i="34"/>
  <c r="J332" i="34" l="1"/>
  <c r="M332" i="34" s="1"/>
  <c r="O332" i="34" s="1"/>
  <c r="C332" i="34"/>
  <c r="N333" i="34" s="1"/>
  <c r="K333" i="34" l="1"/>
  <c r="F333" i="34"/>
  <c r="D333" i="34"/>
  <c r="E333" i="34"/>
  <c r="I333" i="34"/>
  <c r="B333" i="34"/>
  <c r="L333" i="34" s="1"/>
  <c r="H333" i="34"/>
  <c r="G333" i="34"/>
  <c r="J333" i="34" l="1"/>
  <c r="M333" i="34" s="1"/>
  <c r="O333" i="34" s="1"/>
  <c r="C333" i="34" l="1"/>
  <c r="N334" i="34" s="1"/>
  <c r="K334" i="34" l="1"/>
  <c r="F334" i="34"/>
  <c r="D334" i="34"/>
  <c r="E334" i="34"/>
  <c r="I334" i="34"/>
  <c r="H334" i="34"/>
  <c r="G334" i="34"/>
  <c r="B334" i="34"/>
  <c r="L334" i="34" s="1"/>
  <c r="J334" i="34" l="1"/>
  <c r="M334" i="34" s="1"/>
  <c r="O334" i="34" s="1"/>
  <c r="C334" i="34"/>
  <c r="N335" i="34" s="1"/>
  <c r="K335" i="34" l="1"/>
  <c r="F335" i="34"/>
  <c r="D335" i="34"/>
  <c r="E335" i="34"/>
  <c r="B335" i="34"/>
  <c r="L335" i="34" s="1"/>
  <c r="G335" i="34"/>
  <c r="H335" i="34"/>
  <c r="I335" i="34"/>
  <c r="J335" i="34" l="1"/>
  <c r="M335" i="34" s="1"/>
  <c r="O335" i="34" s="1"/>
  <c r="C335" i="34"/>
  <c r="N336" i="34" s="1"/>
  <c r="K336" i="34" l="1"/>
  <c r="F336" i="34"/>
  <c r="D336" i="34"/>
  <c r="E336" i="34"/>
  <c r="G336" i="34"/>
  <c r="B336" i="34"/>
  <c r="L336" i="34" s="1"/>
  <c r="I336" i="34"/>
  <c r="H336" i="34"/>
  <c r="J336" i="34" l="1"/>
  <c r="M336" i="34" s="1"/>
  <c r="O336" i="34" s="1"/>
  <c r="C336" i="34"/>
  <c r="N337" i="34" s="1"/>
  <c r="F337" i="34" l="1"/>
  <c r="K337" i="34"/>
  <c r="D337" i="34"/>
  <c r="E337" i="34"/>
  <c r="G337" i="34"/>
  <c r="I337" i="34"/>
  <c r="H337" i="34"/>
  <c r="B337" i="34"/>
  <c r="L337" i="34" s="1"/>
  <c r="J337" i="34" l="1"/>
  <c r="M337" i="34" s="1"/>
  <c r="O337" i="34" s="1"/>
  <c r="C337" i="34"/>
  <c r="N338" i="34" s="1"/>
  <c r="F338" i="34" l="1"/>
  <c r="K338" i="34"/>
  <c r="D338" i="34"/>
  <c r="E338" i="34"/>
  <c r="G338" i="34"/>
  <c r="I338" i="34"/>
  <c r="H338" i="34"/>
  <c r="B338" i="34"/>
  <c r="L338" i="34" s="1"/>
  <c r="C338" i="34" l="1"/>
  <c r="N339" i="34" s="1"/>
  <c r="J338" i="34"/>
  <c r="M338" i="34" s="1"/>
  <c r="O338" i="34" s="1"/>
  <c r="F339" i="34" l="1"/>
  <c r="K339" i="34"/>
  <c r="D339" i="34"/>
  <c r="E339" i="34"/>
  <c r="I339" i="34"/>
  <c r="G339" i="34"/>
  <c r="B339" i="34"/>
  <c r="L339" i="34" s="1"/>
  <c r="H339" i="34"/>
  <c r="J339" i="34" l="1"/>
  <c r="M339" i="34" s="1"/>
  <c r="O339" i="34" s="1"/>
  <c r="C339" i="34"/>
  <c r="N340" i="34" s="1"/>
  <c r="F340" i="34" l="1"/>
  <c r="K340" i="34"/>
  <c r="D340" i="34"/>
  <c r="E340" i="34"/>
  <c r="I340" i="34"/>
  <c r="G340" i="34"/>
  <c r="B340" i="34"/>
  <c r="L340" i="34" s="1"/>
  <c r="H340" i="34"/>
  <c r="J340" i="34" l="1"/>
  <c r="M340" i="34" s="1"/>
  <c r="O340" i="34" s="1"/>
  <c r="C340" i="34"/>
  <c r="N341" i="34" s="1"/>
  <c r="K341" i="34" l="1"/>
  <c r="F341" i="34"/>
  <c r="D341" i="34"/>
  <c r="E341" i="34"/>
  <c r="G341" i="34"/>
  <c r="I341" i="34"/>
  <c r="H341" i="34"/>
  <c r="B341" i="34"/>
  <c r="L341" i="34" s="1"/>
  <c r="J341" i="34" l="1"/>
  <c r="M341" i="34" s="1"/>
  <c r="O341" i="34" s="1"/>
  <c r="C341" i="34"/>
  <c r="N342" i="34" s="1"/>
  <c r="F342" i="34" l="1"/>
  <c r="K342" i="34"/>
  <c r="D342" i="34"/>
  <c r="E342" i="34"/>
  <c r="H342" i="34"/>
  <c r="G342" i="34"/>
  <c r="B342" i="34"/>
  <c r="L342" i="34" s="1"/>
  <c r="I342" i="34"/>
  <c r="C342" i="34" l="1"/>
  <c r="N343" i="34" s="1"/>
  <c r="J342" i="34"/>
  <c r="M342" i="34" s="1"/>
  <c r="O342" i="34" s="1"/>
  <c r="K343" i="34" l="1"/>
  <c r="F343" i="34"/>
  <c r="D343" i="34"/>
  <c r="E343" i="34"/>
  <c r="H343" i="34"/>
  <c r="I343" i="34"/>
  <c r="B343" i="34"/>
  <c r="L343" i="34" s="1"/>
  <c r="G343" i="34"/>
  <c r="J343" i="34" l="1"/>
  <c r="M343" i="34" s="1"/>
  <c r="O343" i="34" s="1"/>
  <c r="C343" i="34"/>
  <c r="N344" i="34" s="1"/>
  <c r="K344" i="34" l="1"/>
  <c r="F344" i="34"/>
  <c r="D344" i="34"/>
  <c r="E344" i="34"/>
  <c r="H344" i="34"/>
  <c r="G344" i="34"/>
  <c r="B344" i="34"/>
  <c r="L344" i="34" s="1"/>
  <c r="I344" i="34"/>
  <c r="J344" i="34" l="1"/>
  <c r="M344" i="34" s="1"/>
  <c r="O344" i="34" s="1"/>
  <c r="C344" i="34"/>
  <c r="N345" i="34" s="1"/>
  <c r="F345" i="34" l="1"/>
  <c r="K345" i="34"/>
  <c r="D345" i="34"/>
  <c r="E345" i="34"/>
  <c r="B345" i="34"/>
  <c r="L345" i="34" s="1"/>
  <c r="G345" i="34"/>
  <c r="H345" i="34"/>
  <c r="I345" i="34"/>
  <c r="J345" i="34" l="1"/>
  <c r="M345" i="34" s="1"/>
  <c r="O345" i="34" s="1"/>
  <c r="C345" i="34" l="1"/>
  <c r="N346" i="34" s="1"/>
  <c r="K346" i="34" l="1"/>
  <c r="F346" i="34"/>
  <c r="D346" i="34"/>
  <c r="E346" i="34"/>
  <c r="H346" i="34"/>
  <c r="I346" i="34"/>
  <c r="G346" i="34"/>
  <c r="B346" i="34"/>
  <c r="L346" i="34" s="1"/>
  <c r="J346" i="34" l="1"/>
  <c r="M346" i="34" s="1"/>
  <c r="O346" i="34" s="1"/>
  <c r="C346" i="34"/>
  <c r="N347" i="34" s="1"/>
  <c r="K347" i="34" l="1"/>
  <c r="F347" i="34"/>
  <c r="D347" i="34"/>
  <c r="E347" i="34"/>
  <c r="H347" i="34"/>
  <c r="I347" i="34"/>
  <c r="G347" i="34"/>
  <c r="B347" i="34"/>
  <c r="L347" i="34" s="1"/>
  <c r="J347" i="34" l="1"/>
  <c r="M347" i="34" s="1"/>
  <c r="O347" i="34" s="1"/>
  <c r="C347" i="34"/>
  <c r="N348" i="34" s="1"/>
  <c r="F348" i="34" l="1"/>
  <c r="K348" i="34"/>
  <c r="D348" i="34"/>
  <c r="E348" i="34"/>
  <c r="B348" i="34"/>
  <c r="L348" i="34" s="1"/>
  <c r="I348" i="34"/>
  <c r="H348" i="34"/>
  <c r="G348" i="34"/>
  <c r="J348" i="34" l="1"/>
  <c r="M348" i="34" s="1"/>
  <c r="O348" i="34" s="1"/>
  <c r="C348" i="34" l="1"/>
  <c r="N349" i="34" s="1"/>
  <c r="K349" i="34" l="1"/>
  <c r="F349" i="34"/>
  <c r="D349" i="34"/>
  <c r="E349" i="34"/>
  <c r="H349" i="34"/>
  <c r="I349" i="34"/>
  <c r="B349" i="34"/>
  <c r="L349" i="34" s="1"/>
  <c r="G349" i="34"/>
  <c r="J349" i="34" l="1"/>
  <c r="M349" i="34" s="1"/>
  <c r="O349" i="34" s="1"/>
  <c r="C349" i="34"/>
  <c r="N350" i="34" s="1"/>
  <c r="F350" i="34" l="1"/>
  <c r="K350" i="34"/>
  <c r="D350" i="34"/>
  <c r="E350" i="34"/>
  <c r="G350" i="34"/>
  <c r="I350" i="34"/>
  <c r="H350" i="34"/>
  <c r="B350" i="34"/>
  <c r="L350" i="34" s="1"/>
  <c r="J350" i="34" l="1"/>
  <c r="M350" i="34" s="1"/>
  <c r="O350" i="34" s="1"/>
  <c r="C350" i="34"/>
  <c r="N351" i="34" s="1"/>
  <c r="F351" i="34" l="1"/>
  <c r="K351" i="34"/>
  <c r="D351" i="34"/>
  <c r="E351" i="34"/>
  <c r="B351" i="34"/>
  <c r="L351" i="34" s="1"/>
  <c r="H351" i="34"/>
  <c r="G351" i="34"/>
  <c r="I351" i="34"/>
  <c r="J351" i="34" l="1"/>
  <c r="M351" i="34" s="1"/>
  <c r="O351" i="34" s="1"/>
  <c r="C351" i="34"/>
  <c r="N352" i="34" s="1"/>
  <c r="K352" i="34" l="1"/>
  <c r="F352" i="34"/>
  <c r="D352" i="34"/>
  <c r="E352" i="34"/>
  <c r="G352" i="34"/>
  <c r="H352" i="34"/>
  <c r="I352" i="34"/>
  <c r="B352" i="34"/>
  <c r="L352" i="34" s="1"/>
  <c r="J352" i="34" l="1"/>
  <c r="M352" i="34" s="1"/>
  <c r="O352" i="34" s="1"/>
  <c r="C352" i="34"/>
  <c r="N353" i="34" s="1"/>
  <c r="F353" i="34" l="1"/>
  <c r="K353" i="34"/>
  <c r="D353" i="34"/>
  <c r="E353" i="34"/>
  <c r="H353" i="34"/>
  <c r="G353" i="34"/>
  <c r="I353" i="34"/>
  <c r="B353" i="34"/>
  <c r="L353" i="34" s="1"/>
  <c r="J353" i="34" l="1"/>
  <c r="M353" i="34" s="1"/>
  <c r="O353" i="34" s="1"/>
  <c r="C353" i="34"/>
  <c r="N354" i="34" s="1"/>
  <c r="K354" i="34" l="1"/>
  <c r="F354" i="34"/>
  <c r="D354" i="34"/>
  <c r="E354" i="34"/>
  <c r="H354" i="34"/>
  <c r="B354" i="34"/>
  <c r="L354" i="34" s="1"/>
  <c r="I354" i="34"/>
  <c r="G354" i="34"/>
  <c r="J354" i="34" l="1"/>
  <c r="M354" i="34" s="1"/>
  <c r="O354" i="34" s="1"/>
  <c r="C354" i="34"/>
  <c r="N355" i="34" s="1"/>
  <c r="K355" i="34" l="1"/>
  <c r="F355" i="34"/>
  <c r="D355" i="34"/>
  <c r="E355" i="34"/>
  <c r="B355" i="34"/>
  <c r="L355" i="34" s="1"/>
  <c r="I355" i="34"/>
  <c r="H355" i="34"/>
  <c r="G355" i="34"/>
  <c r="J355" i="34" l="1"/>
  <c r="M355" i="34" s="1"/>
  <c r="O355" i="34" s="1"/>
  <c r="C355" i="34"/>
  <c r="N356" i="34" s="1"/>
  <c r="F356" i="34" l="1"/>
  <c r="K356" i="34"/>
  <c r="D356" i="34"/>
  <c r="E356" i="34"/>
  <c r="G356" i="34"/>
  <c r="I356" i="34"/>
  <c r="B356" i="34"/>
  <c r="L356" i="34" s="1"/>
  <c r="H356" i="34"/>
  <c r="J356" i="34" l="1"/>
  <c r="M356" i="34" s="1"/>
  <c r="O356" i="34" s="1"/>
  <c r="C356" i="34"/>
  <c r="N357" i="34" s="1"/>
  <c r="K357" i="34" l="1"/>
  <c r="F357" i="34"/>
  <c r="D357" i="34"/>
  <c r="E357" i="34"/>
  <c r="G357" i="34"/>
  <c r="H357" i="34"/>
  <c r="I357" i="34"/>
  <c r="B357" i="34"/>
  <c r="L357" i="34" s="1"/>
  <c r="C357" i="34" l="1"/>
  <c r="N358" i="34" s="1"/>
  <c r="J357" i="34"/>
  <c r="M357" i="34" s="1"/>
  <c r="O357" i="34" s="1"/>
  <c r="K358" i="34" l="1"/>
  <c r="F358" i="34"/>
  <c r="D358" i="34"/>
  <c r="E358" i="34"/>
  <c r="B358" i="34"/>
  <c r="L358" i="34" s="1"/>
  <c r="G358" i="34"/>
  <c r="H358" i="34"/>
  <c r="I358" i="34"/>
  <c r="J358" i="34" l="1"/>
  <c r="M358" i="34" s="1"/>
  <c r="O358" i="34" s="1"/>
  <c r="C358" i="34"/>
  <c r="N359" i="34" s="1"/>
  <c r="K359" i="34" l="1"/>
  <c r="F359" i="34"/>
  <c r="D359" i="34"/>
  <c r="E359" i="34"/>
  <c r="I359" i="34"/>
  <c r="H359" i="34"/>
  <c r="B359" i="34"/>
  <c r="L359" i="34" s="1"/>
  <c r="G359" i="34"/>
  <c r="J359" i="34" l="1"/>
  <c r="M359" i="34" s="1"/>
  <c r="O359" i="34" s="1"/>
  <c r="C359" i="34"/>
  <c r="N360" i="34" s="1"/>
  <c r="K360" i="34" l="1"/>
  <c r="F360" i="34"/>
  <c r="D360" i="34"/>
  <c r="E360" i="34"/>
  <c r="G360" i="34"/>
  <c r="H360" i="34"/>
  <c r="B360" i="34"/>
  <c r="L360" i="34" s="1"/>
  <c r="I360" i="34"/>
  <c r="C360" i="34" l="1"/>
  <c r="N361" i="34" s="1"/>
  <c r="J360" i="34"/>
  <c r="M360" i="34" s="1"/>
  <c r="O360" i="34" s="1"/>
  <c r="F361" i="34" l="1"/>
  <c r="K361" i="34"/>
  <c r="D361" i="34"/>
  <c r="E361" i="34"/>
  <c r="G361" i="34"/>
  <c r="H361" i="34"/>
  <c r="B361" i="34"/>
  <c r="L361" i="34" s="1"/>
  <c r="I361" i="34"/>
  <c r="C361" i="34" l="1"/>
  <c r="N362" i="34" s="1"/>
  <c r="J361" i="34"/>
  <c r="M361" i="34" s="1"/>
  <c r="O361" i="34" s="1"/>
  <c r="F362" i="34" l="1"/>
  <c r="K362" i="34"/>
  <c r="D362" i="34"/>
  <c r="E362" i="34"/>
  <c r="I362" i="34"/>
  <c r="H362" i="34"/>
  <c r="B362" i="34"/>
  <c r="L362" i="34" s="1"/>
  <c r="G362" i="34"/>
  <c r="J362" i="34" l="1"/>
  <c r="M362" i="34" s="1"/>
  <c r="O362" i="34" s="1"/>
  <c r="C362" i="34"/>
  <c r="N363" i="34" s="1"/>
  <c r="F363" i="34" l="1"/>
  <c r="K363" i="34"/>
  <c r="D363" i="34"/>
  <c r="E363" i="34"/>
  <c r="H363" i="34"/>
  <c r="G363" i="34"/>
  <c r="I363" i="34"/>
  <c r="B363" i="34"/>
  <c r="L363" i="34" s="1"/>
  <c r="J363" i="34" l="1"/>
  <c r="M363" i="34" s="1"/>
  <c r="O363" i="34" s="1"/>
  <c r="C363" i="34"/>
  <c r="N364" i="34" s="1"/>
  <c r="F364" i="34" l="1"/>
  <c r="K364" i="34"/>
  <c r="D364" i="34"/>
  <c r="E364" i="34"/>
  <c r="B364" i="34"/>
  <c r="L364" i="34" s="1"/>
  <c r="I364" i="34"/>
  <c r="G364" i="34"/>
  <c r="H364" i="34"/>
  <c r="J364" i="34" l="1"/>
  <c r="M364" i="34" s="1"/>
  <c r="O364" i="34" s="1"/>
  <c r="C364" i="34" l="1"/>
  <c r="N365" i="34" s="1"/>
  <c r="K365" i="34" l="1"/>
  <c r="F365" i="34"/>
  <c r="D365" i="34"/>
  <c r="E365" i="34"/>
  <c r="G365" i="34"/>
  <c r="B365" i="34"/>
  <c r="L365" i="34" s="1"/>
  <c r="H365" i="34"/>
  <c r="I365" i="34"/>
  <c r="J365" i="34" l="1"/>
  <c r="M365" i="34" s="1"/>
  <c r="O365" i="34" s="1"/>
  <c r="C365" i="34" l="1"/>
  <c r="N366" i="34" s="1"/>
  <c r="K366" i="34" l="1"/>
  <c r="F366" i="34"/>
  <c r="D366" i="34"/>
  <c r="E366" i="34"/>
  <c r="G366" i="34"/>
  <c r="B366" i="34"/>
  <c r="L366" i="34" s="1"/>
  <c r="H366" i="34"/>
  <c r="I366" i="34"/>
  <c r="J366" i="34" l="1"/>
  <c r="M366" i="34" s="1"/>
  <c r="O366" i="34" s="1"/>
  <c r="C366" i="34" l="1"/>
  <c r="N367" i="34" s="1"/>
  <c r="F367" i="34" l="1"/>
  <c r="K367" i="34"/>
  <c r="D367" i="34"/>
  <c r="E367" i="34"/>
  <c r="B367" i="34"/>
  <c r="L367" i="34" s="1"/>
  <c r="I367" i="34"/>
  <c r="G367" i="34"/>
  <c r="H367" i="34"/>
  <c r="C367" i="34" l="1"/>
  <c r="N368" i="34" s="1"/>
  <c r="J367" i="34"/>
  <c r="M367" i="34" s="1"/>
  <c r="O367" i="34" s="1"/>
  <c r="K368" i="34" l="1"/>
  <c r="F368" i="34"/>
  <c r="D368" i="34"/>
  <c r="E368" i="34"/>
  <c r="H368" i="34"/>
  <c r="G368" i="34"/>
  <c r="B368" i="34"/>
  <c r="L368" i="34" s="1"/>
  <c r="I368" i="34"/>
  <c r="J368" i="34" l="1"/>
  <c r="M368" i="34" s="1"/>
  <c r="O368" i="34" s="1"/>
  <c r="C368" i="34" l="1"/>
  <c r="N369" i="34" s="1"/>
  <c r="F369" i="34" l="1"/>
  <c r="K369" i="34"/>
  <c r="D369" i="34"/>
  <c r="E369" i="34"/>
  <c r="G369" i="34"/>
  <c r="B369" i="34"/>
  <c r="L369" i="34" s="1"/>
  <c r="C369" i="34" s="1"/>
  <c r="N370" i="34" s="1"/>
  <c r="I369" i="34"/>
  <c r="H369" i="34"/>
  <c r="F370" i="34" l="1"/>
  <c r="K370" i="34"/>
  <c r="D370" i="34"/>
  <c r="E370" i="34"/>
  <c r="H370" i="34"/>
  <c r="G370" i="34"/>
  <c r="I370" i="34"/>
  <c r="B370" i="34"/>
  <c r="L370" i="34" s="1"/>
  <c r="J369" i="34"/>
  <c r="M369" i="34" s="1"/>
  <c r="O369" i="34" s="1"/>
  <c r="J370" i="34" l="1"/>
  <c r="M370" i="34" s="1"/>
  <c r="O370" i="34" s="1"/>
  <c r="C370" i="34"/>
  <c r="N371" i="34" s="1"/>
  <c r="F371" i="34" l="1"/>
  <c r="K371" i="34"/>
  <c r="D371" i="34"/>
  <c r="E371" i="34"/>
  <c r="I371" i="34"/>
  <c r="G371" i="34"/>
  <c r="B371" i="34"/>
  <c r="L371" i="34" s="1"/>
  <c r="H371" i="34"/>
  <c r="J371" i="34" l="1"/>
  <c r="M371" i="34" s="1"/>
  <c r="O371" i="34" s="1"/>
  <c r="C371" i="34"/>
  <c r="N372" i="34" s="1"/>
  <c r="F372" i="34" l="1"/>
  <c r="K372" i="34"/>
  <c r="D372" i="34"/>
  <c r="E372" i="34"/>
  <c r="B372" i="34"/>
  <c r="L372" i="34" s="1"/>
  <c r="I372" i="34"/>
  <c r="G372" i="34"/>
  <c r="H372" i="34"/>
  <c r="C372" i="34" l="1"/>
  <c r="N373" i="34" s="1"/>
  <c r="J372" i="34"/>
  <c r="M372" i="34" s="1"/>
  <c r="O372" i="34" s="1"/>
  <c r="K373" i="34" l="1"/>
  <c r="F373" i="34"/>
  <c r="D373" i="34"/>
  <c r="E373" i="34"/>
  <c r="I373" i="34"/>
  <c r="B373" i="34"/>
  <c r="L373" i="34" s="1"/>
  <c r="G373" i="34"/>
  <c r="H373" i="34"/>
  <c r="C373" i="34" l="1"/>
  <c r="N374" i="34" s="1"/>
  <c r="J373" i="34"/>
  <c r="M373" i="34" s="1"/>
  <c r="O373" i="34" s="1"/>
  <c r="F374" i="34" l="1"/>
  <c r="K374" i="34"/>
  <c r="D374" i="34"/>
  <c r="E374" i="34"/>
  <c r="H374" i="34"/>
  <c r="G374" i="34"/>
  <c r="B374" i="34"/>
  <c r="L374" i="34" s="1"/>
  <c r="I374" i="34"/>
  <c r="J374" i="34" l="1"/>
  <c r="M374" i="34" s="1"/>
  <c r="O374" i="34" s="1"/>
  <c r="C374" i="34"/>
  <c r="N375" i="34" s="1"/>
  <c r="K375" i="34" l="1"/>
  <c r="F375" i="34"/>
  <c r="D375" i="34"/>
  <c r="E375" i="34"/>
  <c r="I375" i="34"/>
  <c r="H375" i="34"/>
  <c r="B375" i="34"/>
  <c r="L375" i="34" s="1"/>
  <c r="G375" i="34"/>
  <c r="J375" i="34" l="1"/>
  <c r="M375" i="34" s="1"/>
  <c r="O375" i="34" s="1"/>
  <c r="C375" i="34"/>
  <c r="N376" i="34" s="1"/>
  <c r="K376" i="34" l="1"/>
  <c r="F376" i="34"/>
  <c r="D376" i="34"/>
  <c r="E376" i="34"/>
  <c r="H376" i="34"/>
  <c r="G376" i="34"/>
  <c r="I376" i="34"/>
  <c r="B376" i="34"/>
  <c r="L376" i="34" s="1"/>
  <c r="J376" i="34" l="1"/>
  <c r="M376" i="34" s="1"/>
  <c r="O376" i="34" s="1"/>
  <c r="C376" i="34"/>
  <c r="N377" i="34" s="1"/>
  <c r="F377" i="34" l="1"/>
  <c r="K377" i="34"/>
  <c r="D377" i="34"/>
  <c r="E377" i="34"/>
  <c r="B377" i="34"/>
  <c r="L377" i="34" s="1"/>
  <c r="H377" i="34"/>
  <c r="G377" i="34"/>
  <c r="I377" i="34"/>
  <c r="C377" i="34" l="1"/>
  <c r="N378" i="34" s="1"/>
  <c r="J377" i="34"/>
  <c r="M377" i="34" s="1"/>
  <c r="O377" i="34" s="1"/>
  <c r="K378" i="34" l="1"/>
  <c r="F378" i="34"/>
  <c r="D378" i="34"/>
  <c r="E378" i="34"/>
  <c r="B378" i="34"/>
  <c r="L378" i="34" s="1"/>
  <c r="H378" i="34"/>
  <c r="I378" i="34"/>
  <c r="G378" i="34"/>
  <c r="J378" i="34" l="1"/>
  <c r="M378" i="34" s="1"/>
  <c r="O378" i="34" s="1"/>
  <c r="C378" i="34"/>
  <c r="N379" i="34" s="1"/>
  <c r="F379" i="34" l="1"/>
  <c r="K379" i="34"/>
  <c r="D379" i="34"/>
  <c r="E379" i="34"/>
  <c r="B379" i="34"/>
  <c r="L379" i="34" s="1"/>
  <c r="C379" i="34" s="1"/>
  <c r="G379" i="34"/>
  <c r="I379" i="34"/>
  <c r="H379" i="34"/>
  <c r="J379" i="34" l="1"/>
  <c r="M379" i="34" s="1"/>
  <c r="O379" i="34" s="1"/>
  <c r="D31" i="57"/>
  <c r="C31" i="57" s="1"/>
  <c r="L32" i="57" l="1"/>
  <c r="G32" i="57"/>
  <c r="H32" i="57"/>
  <c r="I32" i="57"/>
  <c r="J32" i="57"/>
  <c r="E32" i="57"/>
  <c r="B32" i="57"/>
  <c r="F32" i="57" s="1"/>
  <c r="K32" i="57" l="1"/>
  <c r="M32" i="57" s="1"/>
  <c r="D32" i="57"/>
  <c r="C32" i="57" s="1"/>
  <c r="L33" i="57" l="1"/>
  <c r="G33" i="57"/>
  <c r="H33" i="57"/>
  <c r="I33" i="57"/>
  <c r="J33" i="57"/>
  <c r="B33" i="57"/>
  <c r="F33" i="57" s="1"/>
  <c r="E33" i="57"/>
  <c r="D33" i="57" l="1"/>
  <c r="C33" i="57" s="1"/>
  <c r="K33" i="57"/>
  <c r="M33" i="57" s="1"/>
  <c r="L34" i="57" l="1"/>
  <c r="G34" i="57"/>
  <c r="H34" i="57"/>
  <c r="J34" i="57"/>
  <c r="I34" i="57"/>
  <c r="E34" i="57"/>
  <c r="B34" i="57"/>
  <c r="F34" i="57" l="1"/>
  <c r="D34" i="57" s="1"/>
  <c r="C34" i="57" s="1"/>
  <c r="K34" i="57"/>
  <c r="M34" i="57" l="1"/>
  <c r="B35" i="57"/>
  <c r="F35" i="57" s="1"/>
  <c r="E35" i="57"/>
  <c r="J35" i="57"/>
  <c r="H35" i="57"/>
  <c r="L35" i="57"/>
  <c r="G35" i="57"/>
  <c r="I35" i="57"/>
  <c r="D35" i="57" l="1"/>
  <c r="C35" i="57" s="1"/>
  <c r="L36" i="57" s="1"/>
  <c r="K35" i="57"/>
  <c r="M35" i="57" s="1"/>
  <c r="B36" i="57" l="1"/>
  <c r="F36" i="57" s="1"/>
  <c r="J36" i="57"/>
  <c r="I36" i="57"/>
  <c r="E36" i="57"/>
  <c r="H36" i="57"/>
  <c r="G36" i="57"/>
  <c r="D36" i="57" l="1"/>
  <c r="C36" i="57" s="1"/>
  <c r="B37" i="57" s="1"/>
  <c r="F37" i="57" s="1"/>
  <c r="K36" i="57"/>
  <c r="M36" i="57" s="1"/>
  <c r="J37" i="57" l="1"/>
  <c r="I37" i="57"/>
  <c r="G37" i="57"/>
  <c r="H37" i="57"/>
  <c r="L37" i="57"/>
  <c r="E37" i="57"/>
  <c r="D37" i="57" s="1"/>
  <c r="C37" i="57" s="1"/>
  <c r="K37" i="57" l="1"/>
  <c r="M37" i="57" s="1"/>
  <c r="L38" i="57"/>
  <c r="G38" i="57"/>
  <c r="I38" i="57"/>
  <c r="H38" i="57"/>
  <c r="B38" i="57"/>
  <c r="F38" i="57" s="1"/>
  <c r="J38" i="57"/>
  <c r="E38" i="57"/>
  <c r="D38" i="57" l="1"/>
  <c r="C38" i="57" s="1"/>
  <c r="J39" i="57" s="1"/>
  <c r="K38" i="57"/>
  <c r="M38" i="57" s="1"/>
  <c r="B39" i="57" l="1"/>
  <c r="F39" i="57" s="1"/>
  <c r="G39" i="57"/>
  <c r="E39" i="57"/>
  <c r="H39" i="57"/>
  <c r="L39" i="57"/>
  <c r="I39" i="57"/>
  <c r="K39" i="57" l="1"/>
  <c r="M39" i="57" s="1"/>
  <c r="D39" i="57"/>
  <c r="C39" i="57" s="1"/>
  <c r="G40" i="57" l="1"/>
  <c r="B40" i="57"/>
  <c r="F40" i="57" s="1"/>
  <c r="H40" i="57"/>
  <c r="E40" i="57"/>
  <c r="J40" i="57"/>
  <c r="I40" i="57"/>
  <c r="L40" i="57"/>
  <c r="D40" i="57" l="1"/>
  <c r="C40" i="57" s="1"/>
  <c r="L41" i="57" s="1"/>
  <c r="K40" i="57"/>
  <c r="M40" i="57" s="1"/>
  <c r="J41" i="57" l="1"/>
  <c r="I41" i="57"/>
  <c r="G41" i="57"/>
  <c r="H41" i="57"/>
  <c r="B41" i="57"/>
  <c r="F41" i="57" s="1"/>
  <c r="E41" i="57"/>
  <c r="D41" i="57" l="1"/>
  <c r="C41" i="57" s="1"/>
  <c r="G42" i="57" s="1"/>
  <c r="K41" i="57"/>
  <c r="M41" i="57" s="1"/>
  <c r="E42" i="57" l="1"/>
  <c r="J42" i="57"/>
  <c r="H42" i="57"/>
  <c r="B42" i="57"/>
  <c r="F42" i="57" s="1"/>
  <c r="D42" i="57" s="1"/>
  <c r="C42" i="57" s="1"/>
  <c r="E43" i="57" s="1"/>
  <c r="L42" i="57"/>
  <c r="I42" i="57"/>
  <c r="K42" i="57" l="1"/>
  <c r="M42" i="57" s="1"/>
  <c r="I43" i="57"/>
  <c r="J43" i="57"/>
  <c r="L43" i="57"/>
  <c r="H43" i="57"/>
  <c r="B43" i="57"/>
  <c r="F43" i="57" s="1"/>
  <c r="D43" i="57" s="1"/>
  <c r="C43" i="57" s="1"/>
  <c r="G43" i="57"/>
  <c r="K43" i="57" l="1"/>
  <c r="M43" i="57" s="1"/>
  <c r="L44" i="57"/>
  <c r="B44" i="57"/>
  <c r="F44" i="57" s="1"/>
  <c r="H44" i="57"/>
  <c r="G44" i="57"/>
  <c r="I44" i="57"/>
  <c r="J44" i="57"/>
  <c r="E44" i="57"/>
  <c r="D44" i="57" l="1"/>
  <c r="C44" i="57" s="1"/>
  <c r="E45" i="57" s="1"/>
  <c r="K44" i="57"/>
  <c r="M44" i="57" s="1"/>
  <c r="J45" i="57" l="1"/>
  <c r="H45" i="57"/>
  <c r="G45" i="57"/>
  <c r="I45" i="57"/>
  <c r="L45" i="57"/>
  <c r="B45" i="57"/>
  <c r="F45" i="57" s="1"/>
  <c r="K45" i="57" l="1"/>
  <c r="M45" i="57" s="1"/>
  <c r="D45" i="57"/>
  <c r="C45" i="57" s="1"/>
  <c r="E46" i="57" l="1"/>
  <c r="J46" i="57"/>
  <c r="I46" i="57"/>
  <c r="H46" i="57"/>
  <c r="B46" i="57"/>
  <c r="G46" i="57"/>
  <c r="L46" i="57"/>
  <c r="K46" i="57" l="1"/>
  <c r="F46" i="57"/>
  <c r="M46" i="57" l="1"/>
  <c r="D46" i="57"/>
  <c r="C46" i="57" s="1"/>
  <c r="J47" i="57" l="1"/>
  <c r="E47" i="57"/>
  <c r="G47" i="57"/>
  <c r="I47" i="57"/>
  <c r="B47" i="57"/>
  <c r="L47" i="57"/>
  <c r="H47" i="57"/>
  <c r="F47" i="57" l="1"/>
  <c r="D47" i="57" s="1"/>
  <c r="C47" i="57" s="1"/>
  <c r="K47" i="57"/>
  <c r="J48" i="57" l="1"/>
  <c r="G48" i="57"/>
  <c r="L48" i="57"/>
  <c r="I48" i="57"/>
  <c r="H48" i="57"/>
  <c r="E48" i="57"/>
  <c r="B48" i="57"/>
  <c r="M47" i="57"/>
  <c r="F48" i="57" l="1"/>
  <c r="D48" i="57" s="1"/>
  <c r="C48" i="57" s="1"/>
  <c r="K48" i="57"/>
  <c r="M48" i="57" l="1"/>
  <c r="E49" i="57"/>
  <c r="H49" i="57"/>
  <c r="J49" i="57"/>
  <c r="I49" i="57"/>
  <c r="G49" i="57"/>
  <c r="B49" i="57"/>
  <c r="L49" i="57"/>
  <c r="K49" i="57" l="1"/>
  <c r="F49" i="57"/>
  <c r="D49" i="57" s="1"/>
  <c r="C49" i="57" s="1"/>
  <c r="J50" i="57" l="1"/>
  <c r="G50" i="57"/>
  <c r="L50" i="57"/>
  <c r="I50" i="57"/>
  <c r="B50" i="57"/>
  <c r="F50" i="57" s="1"/>
  <c r="E50" i="57"/>
  <c r="H50" i="57"/>
  <c r="M49" i="57"/>
  <c r="D50" i="57" l="1"/>
  <c r="C50" i="57" s="1"/>
  <c r="L51" i="57" s="1"/>
  <c r="K50" i="57"/>
  <c r="M50" i="57" s="1"/>
  <c r="J51" i="57" l="1"/>
  <c r="I51" i="57"/>
  <c r="H51" i="57"/>
  <c r="B51" i="57"/>
  <c r="F51" i="57" s="1"/>
  <c r="G51" i="57"/>
  <c r="E51" i="57"/>
  <c r="D51" i="57" l="1"/>
  <c r="C51" i="57" s="1"/>
  <c r="B52" i="57" s="1"/>
  <c r="F52" i="57" s="1"/>
  <c r="K51" i="57"/>
  <c r="M51" i="57" s="1"/>
  <c r="J52" i="57" l="1"/>
  <c r="E52" i="57"/>
  <c r="I52" i="57"/>
  <c r="G52" i="57"/>
  <c r="H52" i="57"/>
  <c r="L52" i="57"/>
  <c r="D52" i="57"/>
  <c r="C52" i="57" s="1"/>
  <c r="G53" i="57" s="1"/>
  <c r="K52" i="57" l="1"/>
  <c r="M52" i="57" s="1"/>
  <c r="I53" i="57"/>
  <c r="J53" i="57"/>
  <c r="H53" i="57"/>
  <c r="L53" i="57"/>
  <c r="B53" i="57"/>
  <c r="F53" i="57" s="1"/>
  <c r="E53" i="57"/>
  <c r="D53" i="57" l="1"/>
  <c r="C53" i="57" s="1"/>
  <c r="H54" i="57" s="1"/>
  <c r="K53" i="57"/>
  <c r="M53" i="57" s="1"/>
  <c r="J54" i="57" l="1"/>
  <c r="L54" i="57"/>
  <c r="B54" i="57"/>
  <c r="F54" i="57" s="1"/>
  <c r="E54" i="57"/>
  <c r="I54" i="57"/>
  <c r="G54" i="57"/>
  <c r="D54" i="57" l="1"/>
  <c r="C54" i="57" s="1"/>
  <c r="H55" i="57" s="1"/>
  <c r="K54" i="57"/>
  <c r="M54" i="57" s="1"/>
  <c r="I55" i="57" l="1"/>
  <c r="L55" i="57"/>
  <c r="J55" i="57"/>
  <c r="E55" i="57"/>
  <c r="G55" i="57"/>
  <c r="B55" i="57"/>
  <c r="F55" i="57" s="1"/>
  <c r="D55" i="57" s="1"/>
  <c r="C55" i="57" s="1"/>
  <c r="K55" i="57" l="1"/>
  <c r="M55" i="57" s="1"/>
  <c r="E56" i="57"/>
  <c r="B56" i="57"/>
  <c r="I56" i="57"/>
  <c r="J56" i="57"/>
  <c r="H56" i="57"/>
  <c r="G56" i="57"/>
  <c r="L56" i="57"/>
  <c r="K56" i="57" l="1"/>
  <c r="F56" i="57"/>
  <c r="M56" i="57" l="1"/>
  <c r="D56" i="57"/>
  <c r="C56" i="57" s="1"/>
  <c r="E57" i="57" l="1"/>
  <c r="I57" i="57"/>
  <c r="J57" i="57"/>
  <c r="L57" i="57"/>
  <c r="H57" i="57"/>
  <c r="B57" i="57"/>
  <c r="G57" i="57"/>
  <c r="K57" i="57" l="1"/>
  <c r="F57" i="57"/>
  <c r="D57" i="57" s="1"/>
  <c r="C57" i="57" s="1"/>
  <c r="H58" i="57" l="1"/>
  <c r="J58" i="57"/>
  <c r="I58" i="57"/>
  <c r="E58" i="57"/>
  <c r="L58" i="57"/>
  <c r="B58" i="57"/>
  <c r="G58" i="57"/>
  <c r="M57" i="57"/>
  <c r="K58" i="57" l="1"/>
  <c r="F58" i="57"/>
  <c r="D58" i="57" s="1"/>
  <c r="C58" i="57" s="1"/>
  <c r="G59" i="57" l="1"/>
  <c r="H59" i="57"/>
  <c r="L59" i="57"/>
  <c r="E59" i="57"/>
  <c r="I59" i="57"/>
  <c r="B59" i="57"/>
  <c r="J59" i="57"/>
  <c r="M58" i="57"/>
  <c r="F59" i="57" l="1"/>
  <c r="D59" i="57" s="1"/>
  <c r="C59" i="57" s="1"/>
  <c r="K59" i="57"/>
  <c r="H60" i="57" l="1"/>
  <c r="G60" i="57"/>
  <c r="B60" i="57"/>
  <c r="E60" i="57"/>
  <c r="L60" i="57"/>
  <c r="J60" i="57"/>
  <c r="I60" i="57"/>
  <c r="M59" i="57"/>
  <c r="F60" i="57" l="1"/>
  <c r="D60" i="57" s="1"/>
  <c r="C60" i="57" s="1"/>
  <c r="K60" i="57"/>
  <c r="E61" i="57" l="1"/>
  <c r="B61" i="57"/>
  <c r="L61" i="57"/>
  <c r="G61" i="57"/>
  <c r="H61" i="57"/>
  <c r="I61" i="57"/>
  <c r="J61" i="57"/>
  <c r="M60" i="57"/>
  <c r="K61" i="57" l="1"/>
  <c r="F61" i="57"/>
  <c r="D61" i="57" s="1"/>
  <c r="C61" i="57" s="1"/>
  <c r="H62" i="57" l="1"/>
  <c r="B62" i="57"/>
  <c r="J62" i="57"/>
  <c r="E62" i="57"/>
  <c r="I62" i="57"/>
  <c r="G62" i="57"/>
  <c r="L62" i="57"/>
  <c r="M61" i="57"/>
  <c r="K62" i="57" l="1"/>
  <c r="F62" i="57"/>
  <c r="M62" i="57" l="1"/>
  <c r="D62" i="57"/>
  <c r="C62" i="57" s="1"/>
  <c r="L63" i="57" l="1"/>
  <c r="J63" i="57"/>
  <c r="G63" i="57"/>
  <c r="H63" i="57"/>
  <c r="E63" i="57"/>
  <c r="B63" i="57"/>
  <c r="F63" i="57" s="1"/>
  <c r="D63" i="57" s="1"/>
  <c r="C63" i="57" s="1"/>
  <c r="I63" i="57"/>
  <c r="L64" i="57" l="1"/>
  <c r="B64" i="57"/>
  <c r="G64" i="57"/>
  <c r="I64" i="57"/>
  <c r="E64" i="57"/>
  <c r="H64" i="57"/>
  <c r="J64" i="57"/>
  <c r="K63" i="57"/>
  <c r="M63" i="57" s="1"/>
  <c r="K64" i="57" l="1"/>
  <c r="F64" i="57"/>
  <c r="D64" i="57" s="1"/>
  <c r="C64" i="57" s="1"/>
  <c r="H65" i="57" l="1"/>
  <c r="G65" i="57"/>
  <c r="B65" i="57"/>
  <c r="L65" i="57"/>
  <c r="I65" i="57"/>
  <c r="E65" i="57"/>
  <c r="J65" i="57"/>
  <c r="M64" i="57"/>
  <c r="F65" i="57" l="1"/>
  <c r="D65" i="57" s="1"/>
  <c r="C65" i="57" s="1"/>
  <c r="K65" i="57"/>
  <c r="G66" i="57" l="1"/>
  <c r="B66" i="57"/>
  <c r="L66" i="57"/>
  <c r="I66" i="57"/>
  <c r="J66" i="57"/>
  <c r="H66" i="57"/>
  <c r="E66" i="57"/>
  <c r="M65" i="57"/>
  <c r="F66" i="57" l="1"/>
  <c r="D66" i="57" s="1"/>
  <c r="C66" i="57" s="1"/>
  <c r="K66" i="57"/>
  <c r="G67" i="57" l="1"/>
  <c r="L67" i="57"/>
  <c r="H67" i="57"/>
  <c r="I67" i="57"/>
  <c r="E67" i="57"/>
  <c r="J67" i="57"/>
  <c r="B67" i="57"/>
  <c r="F67" i="57" s="1"/>
  <c r="D67" i="57" s="1"/>
  <c r="C67" i="57" s="1"/>
  <c r="M66" i="57"/>
  <c r="H68" i="57" l="1"/>
  <c r="B68" i="57"/>
  <c r="F68" i="57" s="1"/>
  <c r="I68" i="57"/>
  <c r="L68" i="57"/>
  <c r="G68" i="57"/>
  <c r="E68" i="57"/>
  <c r="J68" i="57"/>
  <c r="K67" i="57"/>
  <c r="M67" i="57" s="1"/>
  <c r="D68" i="57" l="1"/>
  <c r="C68" i="57" s="1"/>
  <c r="L69" i="57" s="1"/>
  <c r="K68" i="57"/>
  <c r="M68" i="57" s="1"/>
  <c r="I69" i="57" l="1"/>
  <c r="H69" i="57"/>
  <c r="J69" i="57"/>
  <c r="B69" i="57"/>
  <c r="F69" i="57" s="1"/>
  <c r="E69" i="57"/>
  <c r="G69" i="57"/>
  <c r="K69" i="57" l="1"/>
  <c r="M69" i="57" s="1"/>
  <c r="D69" i="57"/>
  <c r="C69" i="57" s="1"/>
  <c r="J70" i="57" s="1"/>
  <c r="I70" i="57" l="1"/>
  <c r="E70" i="57"/>
  <c r="G70" i="57"/>
  <c r="B70" i="57"/>
  <c r="F70" i="57" s="1"/>
  <c r="D70" i="57" s="1"/>
  <c r="C70" i="57" s="1"/>
  <c r="I71" i="57" s="1"/>
  <c r="H70" i="57"/>
  <c r="L70" i="57"/>
  <c r="K70" i="57" l="1"/>
  <c r="M70" i="57" s="1"/>
  <c r="H71" i="57"/>
  <c r="J71" i="57"/>
  <c r="G71" i="57"/>
  <c r="B71" i="57"/>
  <c r="F71" i="57" s="1"/>
  <c r="L71" i="57"/>
  <c r="E71" i="57"/>
  <c r="D71" i="57" l="1"/>
  <c r="C71" i="57" s="1"/>
  <c r="G72" i="57" s="1"/>
  <c r="K71" i="57"/>
  <c r="M71" i="57" s="1"/>
  <c r="E72" i="57" l="1"/>
  <c r="H72" i="57"/>
  <c r="J72" i="57"/>
  <c r="B72" i="57"/>
  <c r="F72" i="57" s="1"/>
  <c r="I72" i="57"/>
  <c r="L72" i="57"/>
  <c r="K72" i="57" l="1"/>
  <c r="M72" i="57" s="1"/>
  <c r="D72" i="57"/>
  <c r="C72" i="57" s="1"/>
  <c r="G73" i="57" s="1"/>
  <c r="H73" i="57" l="1"/>
  <c r="E73" i="57"/>
  <c r="I73" i="57"/>
  <c r="J73" i="57"/>
  <c r="L73" i="57"/>
  <c r="B73" i="57"/>
  <c r="F73" i="57" s="1"/>
  <c r="D73" i="57" s="1"/>
  <c r="C73" i="57" s="1"/>
  <c r="B74" i="57" s="1"/>
  <c r="F74" i="57" s="1"/>
  <c r="K73" i="57" l="1"/>
  <c r="M73" i="57" s="1"/>
  <c r="E74" i="57"/>
  <c r="D74" i="57" s="1"/>
  <c r="C74" i="57" s="1"/>
  <c r="L75" i="57" s="1"/>
  <c r="L74" i="57"/>
  <c r="G74" i="57"/>
  <c r="J74" i="57"/>
  <c r="H74" i="57"/>
  <c r="I74" i="57"/>
  <c r="H75" i="57" l="1"/>
  <c r="G75" i="57"/>
  <c r="B75" i="57"/>
  <c r="F75" i="57" s="1"/>
  <c r="J75" i="57"/>
  <c r="E75" i="57"/>
  <c r="K74" i="57"/>
  <c r="M74" i="57" s="1"/>
  <c r="I75" i="57"/>
  <c r="D75" i="57" l="1"/>
  <c r="C75" i="57" s="1"/>
  <c r="L76" i="57" s="1"/>
  <c r="K75" i="57"/>
  <c r="M75" i="57" s="1"/>
  <c r="E76" i="57" l="1"/>
  <c r="G76" i="57"/>
  <c r="J76" i="57"/>
  <c r="I76" i="57"/>
  <c r="H76" i="57"/>
  <c r="B76" i="57"/>
  <c r="F76" i="57" s="1"/>
  <c r="D76" i="57" s="1"/>
  <c r="C76" i="57" s="1"/>
  <c r="L77" i="57" s="1"/>
  <c r="K76" i="57" l="1"/>
  <c r="M76" i="57" s="1"/>
  <c r="J77" i="57"/>
  <c r="B77" i="57"/>
  <c r="F77" i="57" s="1"/>
  <c r="I77" i="57"/>
  <c r="E77" i="57"/>
  <c r="H77" i="57"/>
  <c r="G77" i="57"/>
  <c r="D77" i="57" l="1"/>
  <c r="C77" i="57" s="1"/>
  <c r="B78" i="57" s="1"/>
  <c r="F78" i="57" s="1"/>
  <c r="K77" i="57"/>
  <c r="M77" i="57" s="1"/>
  <c r="I78" i="57" l="1"/>
  <c r="E78" i="57"/>
  <c r="H78" i="57"/>
  <c r="L78" i="57"/>
  <c r="J78" i="57"/>
  <c r="G78" i="57"/>
  <c r="D78" i="57"/>
  <c r="C78" i="57" s="1"/>
  <c r="E79" i="57" s="1"/>
  <c r="K78" i="57" l="1"/>
  <c r="M78" i="57" s="1"/>
  <c r="H79" i="57"/>
  <c r="G79" i="57"/>
  <c r="J79" i="57"/>
  <c r="I79" i="57"/>
  <c r="B79" i="57"/>
  <c r="F79" i="57" s="1"/>
  <c r="D79" i="57" s="1"/>
  <c r="C79" i="57" s="1"/>
  <c r="L79" i="57"/>
  <c r="K79" i="57" l="1"/>
  <c r="M79" i="57" s="1"/>
  <c r="G80" i="57"/>
  <c r="I80" i="57"/>
  <c r="B80" i="57"/>
  <c r="F80" i="57" s="1"/>
  <c r="E80" i="57"/>
  <c r="L80" i="57"/>
  <c r="J80" i="57"/>
  <c r="H80" i="57"/>
  <c r="D80" i="57" l="1"/>
  <c r="C80" i="57" s="1"/>
  <c r="J81" i="57" s="1"/>
  <c r="K80" i="57"/>
  <c r="M80" i="57" s="1"/>
  <c r="B81" i="57" l="1"/>
  <c r="F81" i="57" s="1"/>
  <c r="H81" i="57"/>
  <c r="I81" i="57"/>
  <c r="G81" i="57"/>
  <c r="E81" i="57"/>
  <c r="L81" i="57"/>
  <c r="D81" i="57" l="1"/>
  <c r="C81" i="57" s="1"/>
  <c r="I82" i="57" s="1"/>
  <c r="K81" i="57"/>
  <c r="M81" i="57" s="1"/>
  <c r="H82" i="57" l="1"/>
  <c r="B82" i="57"/>
  <c r="F82" i="57" s="1"/>
  <c r="G82" i="57"/>
  <c r="E82" i="57"/>
  <c r="L82" i="57"/>
  <c r="J82" i="57"/>
  <c r="K82" i="57" l="1"/>
  <c r="M82" i="57" s="1"/>
  <c r="D82" i="57"/>
  <c r="C82" i="57" s="1"/>
  <c r="E83" i="57" s="1"/>
  <c r="J83" i="57" l="1"/>
  <c r="H83" i="57"/>
  <c r="G83" i="57"/>
  <c r="L83" i="57"/>
  <c r="I83" i="57"/>
  <c r="B83" i="57"/>
  <c r="F83" i="57" s="1"/>
  <c r="D83" i="57" s="1"/>
  <c r="C83" i="57" s="1"/>
  <c r="G84" i="57" s="1"/>
  <c r="K83" i="57" l="1"/>
  <c r="M83" i="57" s="1"/>
  <c r="L84" i="57"/>
  <c r="E84" i="57"/>
  <c r="B84" i="57"/>
  <c r="F84" i="57" s="1"/>
  <c r="D84" i="57" s="1"/>
  <c r="C84" i="57" s="1"/>
  <c r="B85" i="57" s="1"/>
  <c r="H84" i="57"/>
  <c r="I84" i="57"/>
  <c r="J84" i="57"/>
  <c r="K84" i="57" l="1"/>
  <c r="M84" i="57" s="1"/>
  <c r="E85" i="57"/>
  <c r="J85" i="57"/>
  <c r="I85" i="57"/>
  <c r="L85" i="57"/>
  <c r="H85" i="57"/>
  <c r="G85" i="57"/>
  <c r="F85" i="57"/>
  <c r="D85" i="57" s="1"/>
  <c r="C85" i="57" s="1"/>
  <c r="K85" i="57" l="1"/>
  <c r="M85" i="57" s="1"/>
  <c r="B86" i="57"/>
  <c r="J86" i="57"/>
  <c r="H86" i="57"/>
  <c r="I86" i="57"/>
  <c r="G86" i="57"/>
  <c r="E86" i="57"/>
  <c r="L86" i="57"/>
  <c r="K86" i="57" l="1"/>
  <c r="F86" i="57"/>
  <c r="M86" i="57" l="1"/>
  <c r="D86" i="57"/>
  <c r="C86" i="57" s="1"/>
  <c r="I87" i="57" l="1"/>
  <c r="B87" i="57"/>
  <c r="F87" i="57" s="1"/>
  <c r="E87" i="57"/>
  <c r="H87" i="57"/>
  <c r="G87" i="57"/>
  <c r="L87" i="57"/>
  <c r="J87" i="57"/>
  <c r="D87" i="57" l="1"/>
  <c r="C87" i="57" s="1"/>
  <c r="H88" i="57" s="1"/>
  <c r="K87" i="57"/>
  <c r="M87" i="57" s="1"/>
  <c r="I88" i="57" l="1"/>
  <c r="E88" i="57"/>
  <c r="G88" i="57"/>
  <c r="B88" i="57"/>
  <c r="F88" i="57" s="1"/>
  <c r="L88" i="57"/>
  <c r="J88" i="57"/>
  <c r="K88" i="57" l="1"/>
  <c r="M88" i="57" s="1"/>
  <c r="D88" i="57"/>
  <c r="C88" i="57" s="1"/>
  <c r="H89" i="57" s="1"/>
  <c r="J89" i="57" l="1"/>
  <c r="E89" i="57"/>
  <c r="L89" i="57"/>
  <c r="B89" i="57"/>
  <c r="F89" i="57" s="1"/>
  <c r="I89" i="57"/>
  <c r="G89" i="57"/>
  <c r="D89" i="57" l="1"/>
  <c r="C89" i="57" s="1"/>
  <c r="L90" i="57" s="1"/>
  <c r="K89" i="57"/>
  <c r="M89" i="57" s="1"/>
  <c r="H90" i="57" l="1"/>
  <c r="J90" i="57"/>
  <c r="B90" i="57"/>
  <c r="F90" i="57" s="1"/>
  <c r="G90" i="57"/>
  <c r="E90" i="57"/>
  <c r="I90" i="57"/>
  <c r="K90" i="57" l="1"/>
  <c r="M90" i="57" s="1"/>
  <c r="D90" i="57"/>
  <c r="C90" i="57" s="1"/>
  <c r="J91" i="57" s="1"/>
  <c r="G91" i="57" l="1"/>
  <c r="B91" i="57"/>
  <c r="F91" i="57" s="1"/>
  <c r="L91" i="57"/>
  <c r="H91" i="57"/>
  <c r="E91" i="57"/>
  <c r="I91" i="57"/>
  <c r="D91" i="57" l="1"/>
  <c r="C91" i="57" s="1"/>
  <c r="I92" i="57" s="1"/>
  <c r="K91" i="57"/>
  <c r="M91" i="57" s="1"/>
  <c r="H92" i="57" l="1"/>
  <c r="J92" i="57"/>
  <c r="B92" i="57"/>
  <c r="F92" i="57" s="1"/>
  <c r="E92" i="57"/>
  <c r="G92" i="57"/>
  <c r="L92" i="57"/>
  <c r="D92" i="57" l="1"/>
  <c r="C92" i="57" s="1"/>
  <c r="B93" i="57" s="1"/>
  <c r="F93" i="57" s="1"/>
  <c r="K92" i="57"/>
  <c r="M92" i="57" s="1"/>
  <c r="E93" i="57" l="1"/>
  <c r="D93" i="57" s="1"/>
  <c r="C93" i="57" s="1"/>
  <c r="G94" i="57" s="1"/>
  <c r="G93" i="57"/>
  <c r="L93" i="57"/>
  <c r="J93" i="57"/>
  <c r="H93" i="57"/>
  <c r="I93" i="57"/>
  <c r="K93" i="57" l="1"/>
  <c r="M93" i="57" s="1"/>
  <c r="E94" i="57"/>
  <c r="H94" i="57"/>
  <c r="I94" i="57"/>
  <c r="J94" i="57"/>
  <c r="L94" i="57"/>
  <c r="B94" i="57"/>
  <c r="F94" i="57" s="1"/>
  <c r="K94" i="57" l="1"/>
  <c r="M94" i="57" s="1"/>
  <c r="D94" i="57"/>
  <c r="C94" i="57" s="1"/>
  <c r="G95" i="57" s="1"/>
  <c r="J95" i="57" l="1"/>
  <c r="I95" i="57"/>
  <c r="B95" i="57"/>
  <c r="F95" i="57" s="1"/>
  <c r="L95" i="57"/>
  <c r="E95" i="57"/>
  <c r="H95" i="57"/>
  <c r="K95" i="57" l="1"/>
  <c r="M95" i="57" s="1"/>
  <c r="D95" i="57"/>
  <c r="C95" i="57" s="1"/>
  <c r="I96" i="57" l="1"/>
  <c r="G96" i="57"/>
  <c r="B96" i="57"/>
  <c r="F96" i="57" s="1"/>
  <c r="J96" i="57"/>
  <c r="H96" i="57"/>
  <c r="L96" i="57"/>
  <c r="E96" i="57"/>
  <c r="K96" i="57" l="1"/>
  <c r="M96" i="57" s="1"/>
  <c r="D96" i="57"/>
  <c r="C96" i="57" s="1"/>
  <c r="G97" i="57" l="1"/>
  <c r="J97" i="57"/>
  <c r="B97" i="57"/>
  <c r="F97" i="57" s="1"/>
  <c r="H97" i="57"/>
  <c r="L97" i="57"/>
  <c r="I97" i="57"/>
  <c r="E97" i="57"/>
  <c r="D97" i="57" l="1"/>
  <c r="C97" i="57" s="1"/>
  <c r="E98" i="57" s="1"/>
  <c r="K97" i="57"/>
  <c r="M97" i="57" s="1"/>
  <c r="I98" i="57" l="1"/>
  <c r="L98" i="57"/>
  <c r="H98" i="57"/>
  <c r="J98" i="57"/>
  <c r="B98" i="57"/>
  <c r="F98" i="57" s="1"/>
  <c r="D98" i="57" s="1"/>
  <c r="C98" i="57" s="1"/>
  <c r="G98" i="57"/>
  <c r="K98" i="57" l="1"/>
  <c r="M98" i="57" s="1"/>
  <c r="B99" i="57"/>
  <c r="F99" i="57" s="1"/>
  <c r="L99" i="57"/>
  <c r="I99" i="57"/>
  <c r="J99" i="57"/>
  <c r="G99" i="57"/>
  <c r="E99" i="57"/>
  <c r="H99" i="57"/>
  <c r="K99" i="57" l="1"/>
  <c r="M99" i="57" s="1"/>
  <c r="D99" i="57"/>
  <c r="C99" i="57" s="1"/>
  <c r="B100" i="57" l="1"/>
  <c r="F100" i="57" s="1"/>
  <c r="H100" i="57"/>
  <c r="I100" i="57"/>
  <c r="G100" i="57"/>
  <c r="J100" i="57"/>
  <c r="L100" i="57"/>
  <c r="E100" i="57"/>
  <c r="D100" i="57" l="1"/>
  <c r="C100" i="57" s="1"/>
  <c r="H101" i="57" s="1"/>
  <c r="K100" i="57"/>
  <c r="M100" i="57" s="1"/>
  <c r="B101" i="57" l="1"/>
  <c r="F101" i="57" s="1"/>
  <c r="L101" i="57"/>
  <c r="G101" i="57"/>
  <c r="I101" i="57"/>
  <c r="J101" i="57"/>
  <c r="E101" i="57"/>
  <c r="D101" i="57" l="1"/>
  <c r="C101" i="57" s="1"/>
  <c r="L102" i="57" s="1"/>
  <c r="K101" i="57"/>
  <c r="M101" i="57" s="1"/>
  <c r="J102" i="57" l="1"/>
  <c r="B102" i="57"/>
  <c r="F102" i="57" s="1"/>
  <c r="H102" i="57"/>
  <c r="E102" i="57"/>
  <c r="I102" i="57"/>
  <c r="G102" i="57"/>
  <c r="D102" i="57" l="1"/>
  <c r="C102" i="57" s="1"/>
  <c r="B103" i="57" s="1"/>
  <c r="F103" i="57" s="1"/>
  <c r="K102" i="57"/>
  <c r="M102" i="57" s="1"/>
  <c r="I103" i="57" l="1"/>
  <c r="G103" i="57"/>
  <c r="J103" i="57"/>
  <c r="H103" i="57"/>
  <c r="L103" i="57"/>
  <c r="E103" i="57"/>
  <c r="D103" i="57" s="1"/>
  <c r="C103" i="57" s="1"/>
  <c r="L104" i="57" s="1"/>
  <c r="K103" i="57" l="1"/>
  <c r="M103" i="57" s="1"/>
  <c r="G104" i="57"/>
  <c r="H104" i="57"/>
  <c r="I104" i="57"/>
  <c r="B104" i="57"/>
  <c r="F104" i="57" s="1"/>
  <c r="J104" i="57"/>
  <c r="E104" i="57"/>
  <c r="K104" i="57" l="1"/>
  <c r="M104" i="57" s="1"/>
  <c r="D104" i="57"/>
  <c r="C104" i="57" s="1"/>
  <c r="H105" i="57" s="1"/>
  <c r="E105" i="57" l="1"/>
  <c r="L105" i="57"/>
  <c r="J105" i="57"/>
  <c r="G105" i="57"/>
  <c r="I105" i="57"/>
  <c r="B105" i="57"/>
  <c r="F105" i="57" s="1"/>
  <c r="D105" i="57" s="1"/>
  <c r="C105" i="57" s="1"/>
  <c r="K105" i="57" l="1"/>
  <c r="M105" i="57" s="1"/>
  <c r="J106" i="57"/>
  <c r="B106" i="57"/>
  <c r="F106" i="57" s="1"/>
  <c r="H106" i="57"/>
  <c r="G106" i="57"/>
  <c r="I106" i="57"/>
  <c r="L106" i="57"/>
  <c r="E106" i="57"/>
  <c r="D106" i="57" l="1"/>
  <c r="C106" i="57" s="1"/>
  <c r="B107" i="57" s="1"/>
  <c r="F107" i="57" s="1"/>
  <c r="K106" i="57"/>
  <c r="M106" i="57" s="1"/>
  <c r="H107" i="57" l="1"/>
  <c r="G107" i="57"/>
  <c r="L107" i="57"/>
  <c r="I107" i="57"/>
  <c r="E107" i="57"/>
  <c r="D107" i="57" s="1"/>
  <c r="C107" i="57" s="1"/>
  <c r="J107" i="57"/>
  <c r="K107" i="57" l="1"/>
  <c r="M107" i="57" s="1"/>
  <c r="I108" i="57"/>
  <c r="J108" i="57"/>
  <c r="G108" i="57"/>
  <c r="H108" i="57"/>
  <c r="B108" i="57"/>
  <c r="F108" i="57" s="1"/>
  <c r="E108" i="57"/>
  <c r="L108" i="57"/>
  <c r="D108" i="57" l="1"/>
  <c r="C108" i="57" s="1"/>
  <c r="J109" i="57" s="1"/>
  <c r="K108" i="57"/>
  <c r="M108" i="57" s="1"/>
  <c r="I109" i="57" l="1"/>
  <c r="G109" i="57"/>
  <c r="B109" i="57"/>
  <c r="F109" i="57" s="1"/>
  <c r="H109" i="57"/>
  <c r="E109" i="57"/>
  <c r="L109" i="57"/>
  <c r="D109" i="57" l="1"/>
  <c r="C109" i="57" s="1"/>
  <c r="L110" i="57" s="1"/>
  <c r="K109" i="57"/>
  <c r="M109" i="57" s="1"/>
  <c r="B110" i="57" l="1"/>
  <c r="F110" i="57" s="1"/>
  <c r="D110" i="57" s="1"/>
  <c r="C110" i="57" s="1"/>
  <c r="L111" i="57" s="1"/>
  <c r="I110" i="57"/>
  <c r="G110" i="57"/>
  <c r="J110" i="57"/>
  <c r="E110" i="57"/>
  <c r="H110" i="57"/>
  <c r="K110" i="57" l="1"/>
  <c r="M110" i="57" s="1"/>
  <c r="J111" i="57"/>
  <c r="H111" i="57"/>
  <c r="G111" i="57"/>
  <c r="E111" i="57"/>
  <c r="B111" i="57"/>
  <c r="F111" i="57" s="1"/>
  <c r="D111" i="57" s="1"/>
  <c r="C111" i="57" s="1"/>
  <c r="L112" i="57" s="1"/>
  <c r="I111" i="57"/>
  <c r="D112" i="57" l="1"/>
  <c r="C112" i="57" s="1"/>
  <c r="J113" i="57" s="1"/>
  <c r="J112" i="57"/>
  <c r="H112" i="57"/>
  <c r="K111" i="57"/>
  <c r="M111" i="57" s="1"/>
  <c r="G112" i="57"/>
  <c r="I112" i="57"/>
  <c r="B112" i="57"/>
  <c r="F112" i="57" s="1"/>
  <c r="E112" i="57"/>
  <c r="I113" i="57" l="1"/>
  <c r="L113" i="57"/>
  <c r="E113" i="57"/>
  <c r="H113" i="57"/>
  <c r="G113" i="57"/>
  <c r="B113" i="57"/>
  <c r="F113" i="57" s="1"/>
  <c r="K112" i="57"/>
  <c r="M112" i="57" s="1"/>
  <c r="D113" i="57"/>
  <c r="C113" i="57" s="1"/>
  <c r="I114" i="57" s="1"/>
  <c r="K113" i="57" l="1"/>
  <c r="M113" i="57" s="1"/>
  <c r="B114" i="57"/>
  <c r="F114" i="57" s="1"/>
  <c r="L114" i="57"/>
  <c r="J114" i="57"/>
  <c r="H114" i="57"/>
  <c r="E114" i="57"/>
  <c r="G114" i="57"/>
  <c r="D114" i="57"/>
  <c r="C114" i="57" s="1"/>
  <c r="H115" i="57" s="1"/>
  <c r="K114" i="57" l="1"/>
  <c r="M114" i="57" s="1"/>
  <c r="E115" i="57"/>
  <c r="I115" i="57"/>
  <c r="J115" i="57"/>
  <c r="L115" i="57"/>
  <c r="G115" i="57"/>
  <c r="B115" i="57"/>
  <c r="F115" i="57" s="1"/>
  <c r="D115" i="57" s="1"/>
  <c r="C115" i="57" s="1"/>
  <c r="K115" i="57" l="1"/>
  <c r="M115" i="57" s="1"/>
  <c r="I116" i="57"/>
  <c r="B116" i="57"/>
  <c r="F116" i="57" s="1"/>
  <c r="L116" i="57"/>
  <c r="J116" i="57"/>
  <c r="G116" i="57"/>
  <c r="H116" i="57"/>
  <c r="E116" i="57"/>
  <c r="D116" i="57" l="1"/>
  <c r="C116" i="57" s="1"/>
  <c r="B117" i="57" s="1"/>
  <c r="F117" i="57" s="1"/>
  <c r="K116" i="57"/>
  <c r="M116" i="57" s="1"/>
  <c r="L117" i="57" l="1"/>
  <c r="H117" i="57"/>
  <c r="G117" i="57"/>
  <c r="J117" i="57"/>
  <c r="E117" i="57"/>
  <c r="D117" i="57" s="1"/>
  <c r="C117" i="57" s="1"/>
  <c r="I117" i="57"/>
  <c r="K117" i="57" l="1"/>
  <c r="M117" i="57" s="1"/>
  <c r="H118" i="57"/>
  <c r="G118" i="57"/>
  <c r="I118" i="57"/>
  <c r="E118" i="57"/>
  <c r="J118" i="57"/>
  <c r="B118" i="57"/>
  <c r="F118" i="57" s="1"/>
  <c r="D118" i="57" s="1"/>
  <c r="C118" i="57" s="1"/>
  <c r="L118" i="57"/>
  <c r="B119" i="57" l="1"/>
  <c r="G119" i="57"/>
  <c r="L119" i="57"/>
  <c r="J119" i="57"/>
  <c r="E119" i="57"/>
  <c r="I119" i="57"/>
  <c r="H119" i="57"/>
  <c r="K118" i="57"/>
  <c r="M118" i="57" s="1"/>
  <c r="K119" i="57" l="1"/>
  <c r="F119" i="57"/>
  <c r="D119" i="57" s="1"/>
  <c r="C119" i="57" s="1"/>
  <c r="G120" i="57" l="1"/>
  <c r="E120" i="57"/>
  <c r="B120" i="57"/>
  <c r="J120" i="57"/>
  <c r="L120" i="57"/>
  <c r="I120" i="57"/>
  <c r="H120" i="57"/>
  <c r="M119" i="57"/>
  <c r="F120" i="57" l="1"/>
  <c r="D120" i="57" s="1"/>
  <c r="C120" i="57" s="1"/>
  <c r="K120" i="57"/>
  <c r="I121" i="57" l="1"/>
  <c r="J121" i="57"/>
  <c r="E121" i="57"/>
  <c r="H121" i="57"/>
  <c r="B121" i="57"/>
  <c r="F121" i="57" s="1"/>
  <c r="L121" i="57"/>
  <c r="G121" i="57"/>
  <c r="M120" i="57"/>
  <c r="D121" i="57" l="1"/>
  <c r="C121" i="57" s="1"/>
  <c r="B122" i="57" s="1"/>
  <c r="F122" i="57" s="1"/>
  <c r="K121" i="57"/>
  <c r="M121" i="57" s="1"/>
  <c r="J122" i="57" l="1"/>
  <c r="G122" i="57"/>
  <c r="I122" i="57"/>
  <c r="L122" i="57"/>
  <c r="E122" i="57"/>
  <c r="D122" i="57" s="1"/>
  <c r="C122" i="57" s="1"/>
  <c r="H123" i="57" s="1"/>
  <c r="H122" i="57"/>
  <c r="K122" i="57" l="1"/>
  <c r="M122" i="57" s="1"/>
  <c r="J123" i="57"/>
  <c r="L123" i="57"/>
  <c r="E123" i="57"/>
  <c r="I123" i="57"/>
  <c r="G123" i="57"/>
  <c r="B123" i="57"/>
  <c r="F123" i="57" s="1"/>
  <c r="D123" i="57" s="1"/>
  <c r="C123" i="57" s="1"/>
  <c r="K123" i="57" l="1"/>
  <c r="M123" i="57" s="1"/>
  <c r="I124" i="57"/>
  <c r="H124" i="57"/>
  <c r="G124" i="57"/>
  <c r="L124" i="57"/>
  <c r="B124" i="57"/>
  <c r="F124" i="57" s="1"/>
  <c r="J124" i="57"/>
  <c r="E124" i="57"/>
  <c r="D124" i="57" l="1"/>
  <c r="C124" i="57" s="1"/>
  <c r="L125" i="57" s="1"/>
  <c r="K124" i="57"/>
  <c r="M124" i="57" s="1"/>
  <c r="I125" i="57" l="1"/>
  <c r="E125" i="57"/>
  <c r="G125" i="57"/>
  <c r="B125" i="57"/>
  <c r="F125" i="57" s="1"/>
  <c r="H125" i="57"/>
  <c r="J125" i="57"/>
  <c r="D125" i="57" l="1"/>
  <c r="C125" i="57" s="1"/>
  <c r="I126" i="57" s="1"/>
  <c r="K125" i="57"/>
  <c r="M125" i="57" s="1"/>
  <c r="J126" i="57" l="1"/>
  <c r="B126" i="57"/>
  <c r="F126" i="57" s="1"/>
  <c r="L126" i="57"/>
  <c r="G126" i="57"/>
  <c r="E126" i="57"/>
  <c r="H126" i="57"/>
  <c r="K126" i="57" l="1"/>
  <c r="M126" i="57" s="1"/>
  <c r="D126" i="57"/>
  <c r="C126" i="57" s="1"/>
  <c r="G127" i="57" s="1"/>
  <c r="J127" i="57" l="1"/>
  <c r="E127" i="57"/>
  <c r="I127" i="57"/>
  <c r="H127" i="57"/>
  <c r="L127" i="57"/>
  <c r="B127" i="57"/>
  <c r="F127" i="57" s="1"/>
  <c r="D127" i="57" s="1"/>
  <c r="C127" i="57" s="1"/>
  <c r="J128" i="57" s="1"/>
  <c r="K127" i="57" l="1"/>
  <c r="M127" i="57" s="1"/>
  <c r="H128" i="57"/>
  <c r="I128" i="57"/>
  <c r="L128" i="57"/>
  <c r="B128" i="57"/>
  <c r="F128" i="57" s="1"/>
  <c r="G128" i="57"/>
  <c r="E128" i="57"/>
  <c r="K128" i="57" l="1"/>
  <c r="M128" i="57" s="1"/>
  <c r="D128" i="57"/>
  <c r="C128" i="57" s="1"/>
  <c r="J129" i="57" s="1"/>
  <c r="B129" i="57" l="1"/>
  <c r="F129" i="57" s="1"/>
  <c r="L129" i="57"/>
  <c r="G129" i="57"/>
  <c r="H129" i="57"/>
  <c r="E129" i="57"/>
  <c r="I129" i="57"/>
  <c r="K129" i="57" l="1"/>
  <c r="M129" i="57" s="1"/>
  <c r="D129" i="57"/>
  <c r="C129" i="57" s="1"/>
  <c r="G130" i="57" s="1"/>
  <c r="B130" i="57" l="1"/>
  <c r="F130" i="57" s="1"/>
  <c r="L130" i="57"/>
  <c r="E130" i="57"/>
  <c r="I130" i="57"/>
  <c r="H130" i="57"/>
  <c r="J130" i="57"/>
  <c r="K130" i="57" l="1"/>
  <c r="M130" i="57" s="1"/>
  <c r="D130" i="57"/>
  <c r="C130" i="57" s="1"/>
  <c r="H131" i="57" s="1"/>
  <c r="L131" i="57" l="1"/>
  <c r="G131" i="57"/>
  <c r="I131" i="57"/>
  <c r="B131" i="57"/>
  <c r="F131" i="57" s="1"/>
  <c r="J131" i="57"/>
  <c r="E131" i="57"/>
  <c r="K131" i="57" l="1"/>
  <c r="M131" i="57" s="1"/>
  <c r="D131" i="57"/>
  <c r="C131" i="57" s="1"/>
  <c r="L132" i="57" s="1"/>
  <c r="G132" i="57" l="1"/>
  <c r="E132" i="57"/>
  <c r="H132" i="57"/>
  <c r="B132" i="57"/>
  <c r="F132" i="57" s="1"/>
  <c r="D132" i="57" s="1"/>
  <c r="C132" i="57" s="1"/>
  <c r="J132" i="57"/>
  <c r="I132" i="57"/>
  <c r="K132" i="57" l="1"/>
  <c r="M132" i="57" s="1"/>
  <c r="I133" i="57"/>
  <c r="J133" i="57"/>
  <c r="G133" i="57"/>
  <c r="E133" i="57"/>
  <c r="L133" i="57"/>
  <c r="B133" i="57"/>
  <c r="F133" i="57" s="1"/>
  <c r="D133" i="57" s="1"/>
  <c r="C133" i="57" s="1"/>
  <c r="I134" i="57" s="1"/>
  <c r="H133" i="57"/>
  <c r="K133" i="57" l="1"/>
  <c r="M133" i="57" s="1"/>
  <c r="H134" i="57"/>
  <c r="L134" i="57"/>
  <c r="B134" i="57"/>
  <c r="F134" i="57" s="1"/>
  <c r="J134" i="57"/>
  <c r="E134" i="57"/>
  <c r="G134" i="57"/>
  <c r="D134" i="57" l="1"/>
  <c r="C134" i="57" s="1"/>
  <c r="L135" i="57" s="1"/>
  <c r="K134" i="57"/>
  <c r="M134" i="57" s="1"/>
  <c r="H135" i="57" l="1"/>
  <c r="I135" i="57"/>
  <c r="G135" i="57"/>
  <c r="B135" i="57"/>
  <c r="F135" i="57" s="1"/>
  <c r="E135" i="57"/>
  <c r="J135" i="57"/>
  <c r="K135" i="57" l="1"/>
  <c r="M135" i="57" s="1"/>
  <c r="D135" i="57"/>
  <c r="C135" i="57" s="1"/>
  <c r="L136" i="57" s="1"/>
  <c r="G136" i="57" l="1"/>
  <c r="I136" i="57"/>
  <c r="J136" i="57"/>
  <c r="H136" i="57"/>
  <c r="B136" i="57"/>
  <c r="F136" i="57" s="1"/>
  <c r="E136" i="57"/>
  <c r="K136" i="57" l="1"/>
  <c r="M136" i="57" s="1"/>
  <c r="D136" i="57"/>
  <c r="C136" i="57" s="1"/>
  <c r="B137" i="57" s="1"/>
  <c r="F137" i="57" s="1"/>
  <c r="E137" i="57" l="1"/>
  <c r="D137" i="57" s="1"/>
  <c r="C137" i="57" s="1"/>
  <c r="G137" i="57"/>
  <c r="H137" i="57"/>
  <c r="I137" i="57"/>
  <c r="J137" i="57"/>
  <c r="L137" i="57"/>
  <c r="J138" i="57" l="1"/>
  <c r="I138" i="57"/>
  <c r="B138" i="57"/>
  <c r="F138" i="57" s="1"/>
  <c r="L138" i="57"/>
  <c r="E138" i="57"/>
  <c r="G138" i="57"/>
  <c r="H138" i="57"/>
  <c r="K137" i="57"/>
  <c r="M137" i="57" s="1"/>
  <c r="D138" i="57" l="1"/>
  <c r="C138" i="57" s="1"/>
  <c r="J139" i="57" s="1"/>
  <c r="K138" i="57"/>
  <c r="M138" i="57" s="1"/>
  <c r="L139" i="57" l="1"/>
  <c r="B139" i="57"/>
  <c r="F139" i="57" s="1"/>
  <c r="I139" i="57"/>
  <c r="G139" i="57"/>
  <c r="H139" i="57"/>
  <c r="E139" i="57"/>
  <c r="K139" i="57" l="1"/>
  <c r="M139" i="57" s="1"/>
  <c r="D139" i="57"/>
  <c r="C139" i="57" s="1"/>
  <c r="E140" i="57" s="1"/>
  <c r="J140" i="57" l="1"/>
  <c r="B140" i="57"/>
  <c r="F140" i="57" s="1"/>
  <c r="D140" i="57" s="1"/>
  <c r="C140" i="57" s="1"/>
  <c r="L140" i="57"/>
  <c r="G140" i="57"/>
  <c r="H140" i="57"/>
  <c r="I140" i="57"/>
  <c r="K140" i="57" l="1"/>
  <c r="M140" i="57" s="1"/>
  <c r="H141" i="57"/>
  <c r="E141" i="57"/>
  <c r="I141" i="57"/>
  <c r="L141" i="57"/>
  <c r="B141" i="57"/>
  <c r="F141" i="57" s="1"/>
  <c r="D141" i="57" s="1"/>
  <c r="C141" i="57" s="1"/>
  <c r="J141" i="57"/>
  <c r="G141" i="57"/>
  <c r="K141" i="57" l="1"/>
  <c r="M141" i="57" s="1"/>
  <c r="E142" i="57"/>
  <c r="I142" i="57"/>
  <c r="L142" i="57"/>
  <c r="J142" i="57"/>
  <c r="G142" i="57"/>
  <c r="H142" i="57"/>
  <c r="B142" i="57"/>
  <c r="K142" i="57" l="1"/>
  <c r="F142" i="57"/>
  <c r="M142" i="57" l="1"/>
  <c r="D142" i="57"/>
  <c r="C142" i="57" s="1"/>
  <c r="H143" i="57" l="1"/>
  <c r="I143" i="57"/>
  <c r="J143" i="57"/>
  <c r="E143" i="57"/>
  <c r="B143" i="57"/>
  <c r="G143" i="57"/>
  <c r="L143" i="57"/>
  <c r="K143" i="57" l="1"/>
  <c r="F143" i="57"/>
  <c r="M143" i="57" l="1"/>
  <c r="D143" i="57"/>
  <c r="C143" i="57" s="1"/>
  <c r="I144" i="57" l="1"/>
  <c r="J144" i="57"/>
  <c r="E144" i="57"/>
  <c r="L144" i="57"/>
  <c r="H144" i="57"/>
  <c r="G144" i="57"/>
  <c r="B144" i="57"/>
  <c r="F144" i="57" s="1"/>
  <c r="D144" i="57" s="1"/>
  <c r="C144" i="57" s="1"/>
  <c r="H145" i="57" l="1"/>
  <c r="G145" i="57"/>
  <c r="I145" i="57"/>
  <c r="J145" i="57"/>
  <c r="L145" i="57"/>
  <c r="E145" i="57"/>
  <c r="B145" i="57"/>
  <c r="K144" i="57"/>
  <c r="M144" i="57" s="1"/>
  <c r="F145" i="57" l="1"/>
  <c r="D145" i="57" s="1"/>
  <c r="C145" i="57" s="1"/>
  <c r="K145" i="57"/>
  <c r="L146" i="57" l="1"/>
  <c r="E146" i="57"/>
  <c r="G146" i="57"/>
  <c r="J146" i="57"/>
  <c r="I146" i="57"/>
  <c r="H146" i="57"/>
  <c r="B146" i="57"/>
  <c r="M145" i="57"/>
  <c r="F146" i="57" l="1"/>
  <c r="D146" i="57" s="1"/>
  <c r="C146" i="57" s="1"/>
  <c r="K146" i="57"/>
  <c r="I147" i="57" l="1"/>
  <c r="J147" i="57"/>
  <c r="E147" i="57"/>
  <c r="H147" i="57"/>
  <c r="B147" i="57"/>
  <c r="G147" i="57"/>
  <c r="L147" i="57"/>
  <c r="M146" i="57"/>
  <c r="K147" i="57" l="1"/>
  <c r="F147" i="57"/>
  <c r="D147" i="57" s="1"/>
  <c r="C147" i="57" s="1"/>
  <c r="J148" i="57" l="1"/>
  <c r="H148" i="57"/>
  <c r="I148" i="57"/>
  <c r="E148" i="57"/>
  <c r="L148" i="57"/>
  <c r="G148" i="57"/>
  <c r="B148" i="57"/>
  <c r="M147" i="57"/>
  <c r="K148" i="57" l="1"/>
  <c r="F148" i="57"/>
  <c r="D148" i="57" s="1"/>
  <c r="C148" i="57" s="1"/>
  <c r="I149" i="57" l="1"/>
  <c r="B149" i="57"/>
  <c r="E149" i="57"/>
  <c r="J149" i="57"/>
  <c r="H149" i="57"/>
  <c r="L149" i="57"/>
  <c r="G149" i="57"/>
  <c r="M148" i="57"/>
  <c r="K149" i="57" l="1"/>
  <c r="F149" i="57"/>
  <c r="M149" i="57" l="1"/>
  <c r="D149" i="57"/>
  <c r="C149" i="57" s="1"/>
  <c r="I150" i="57" l="1"/>
  <c r="E150" i="57"/>
  <c r="L150" i="57"/>
  <c r="H150" i="57"/>
  <c r="B150" i="57"/>
  <c r="J150" i="57"/>
  <c r="G150" i="57"/>
  <c r="F150" i="57" l="1"/>
  <c r="D150" i="57" s="1"/>
  <c r="C150" i="57" s="1"/>
  <c r="K150" i="57"/>
  <c r="M150" i="57" l="1"/>
  <c r="L151" i="57"/>
  <c r="B151" i="57"/>
  <c r="F151" i="57" s="1"/>
  <c r="E151" i="57"/>
  <c r="I151" i="57"/>
  <c r="J151" i="57"/>
  <c r="H151" i="57"/>
  <c r="G151" i="57"/>
  <c r="D151" i="57" l="1"/>
  <c r="C151" i="57" s="1"/>
  <c r="H152" i="57" s="1"/>
  <c r="K151" i="57"/>
  <c r="M151" i="57" s="1"/>
  <c r="G152" i="57" l="1"/>
  <c r="L152" i="57"/>
  <c r="J152" i="57"/>
  <c r="I152" i="57"/>
  <c r="B152" i="57"/>
  <c r="F152" i="57" s="1"/>
  <c r="E152" i="57"/>
  <c r="K152" i="57" l="1"/>
  <c r="M152" i="57" s="1"/>
  <c r="D152" i="57"/>
  <c r="C152" i="57" s="1"/>
  <c r="I153" i="57" s="1"/>
  <c r="L153" i="57" l="1"/>
  <c r="E153" i="57"/>
  <c r="J153" i="57"/>
  <c r="B153" i="57"/>
  <c r="F153" i="57" s="1"/>
  <c r="D153" i="57" s="1"/>
  <c r="C153" i="57" s="1"/>
  <c r="G154" i="57" s="1"/>
  <c r="G153" i="57"/>
  <c r="H153" i="57"/>
  <c r="K153" i="57" l="1"/>
  <c r="M153" i="57" s="1"/>
  <c r="I154" i="57"/>
  <c r="H154" i="57"/>
  <c r="J154" i="57"/>
  <c r="B154" i="57"/>
  <c r="F154" i="57" s="1"/>
  <c r="L154" i="57"/>
  <c r="E154" i="57"/>
  <c r="K154" i="57" l="1"/>
  <c r="M154" i="57" s="1"/>
  <c r="D154" i="57"/>
  <c r="C154" i="57" s="1"/>
  <c r="G155" i="57" s="1"/>
  <c r="I155" i="57" l="1"/>
  <c r="L155" i="57"/>
  <c r="B155" i="57"/>
  <c r="F155" i="57" s="1"/>
  <c r="H155" i="57"/>
  <c r="J155" i="57"/>
  <c r="E155" i="57"/>
  <c r="K155" i="57" l="1"/>
  <c r="M155" i="57" s="1"/>
  <c r="D155" i="57"/>
  <c r="C155" i="57" s="1"/>
  <c r="L156" i="57" s="1"/>
  <c r="B156" i="57" l="1"/>
  <c r="F156" i="57" s="1"/>
  <c r="G156" i="57"/>
  <c r="E156" i="57"/>
  <c r="H156" i="57"/>
  <c r="I156" i="57"/>
  <c r="J156" i="57"/>
  <c r="K156" i="57" l="1"/>
  <c r="M156" i="57" s="1"/>
  <c r="D156" i="57"/>
  <c r="C156" i="57" s="1"/>
  <c r="G157" i="57" s="1"/>
  <c r="E157" i="57" l="1"/>
  <c r="I157" i="57"/>
  <c r="H157" i="57"/>
  <c r="B157" i="57"/>
  <c r="F157" i="57" s="1"/>
  <c r="L157" i="57"/>
  <c r="J157" i="57"/>
  <c r="K157" i="57" l="1"/>
  <c r="M157" i="57" s="1"/>
  <c r="D157" i="57"/>
  <c r="C157" i="57" s="1"/>
  <c r="I158" i="57" s="1"/>
  <c r="H158" i="57" l="1"/>
  <c r="B158" i="57"/>
  <c r="F158" i="57" s="1"/>
  <c r="E158" i="57"/>
  <c r="G158" i="57"/>
  <c r="J158" i="57"/>
  <c r="L158" i="57"/>
  <c r="K158" i="57" l="1"/>
  <c r="M158" i="57" s="1"/>
  <c r="D158" i="57"/>
  <c r="C158" i="57" s="1"/>
  <c r="H159" i="57" s="1"/>
  <c r="B159" i="57" l="1"/>
  <c r="F159" i="57" s="1"/>
  <c r="G159" i="57"/>
  <c r="L159" i="57"/>
  <c r="I159" i="57"/>
  <c r="E159" i="57"/>
  <c r="J159" i="57"/>
  <c r="K159" i="57" l="1"/>
  <c r="M159" i="57" s="1"/>
  <c r="D159" i="57"/>
  <c r="C159" i="57" s="1"/>
  <c r="B160" i="57" s="1"/>
  <c r="F160" i="57" s="1"/>
  <c r="G160" i="57" l="1"/>
  <c r="I160" i="57"/>
  <c r="J160" i="57"/>
  <c r="L160" i="57"/>
  <c r="E160" i="57"/>
  <c r="H160" i="57"/>
  <c r="D160" i="57"/>
  <c r="C160" i="57" s="1"/>
  <c r="J161" i="57" s="1"/>
  <c r="K160" i="57" l="1"/>
  <c r="M160" i="57" s="1"/>
  <c r="B161" i="57"/>
  <c r="F161" i="57" s="1"/>
  <c r="H161" i="57"/>
  <c r="G161" i="57"/>
  <c r="L161" i="57"/>
  <c r="E161" i="57"/>
  <c r="D161" i="57" s="1"/>
  <c r="C161" i="57" s="1"/>
  <c r="I161" i="57"/>
  <c r="K161" i="57" l="1"/>
  <c r="M161" i="57" s="1"/>
  <c r="G162" i="57"/>
  <c r="H162" i="57"/>
  <c r="L162" i="57"/>
  <c r="I162" i="57"/>
  <c r="B162" i="57"/>
  <c r="F162" i="57" s="1"/>
  <c r="J162" i="57"/>
  <c r="E162" i="57"/>
  <c r="K162" i="57" l="1"/>
  <c r="M162" i="57" s="1"/>
  <c r="D162" i="57"/>
  <c r="C162" i="57" s="1"/>
  <c r="J163" i="57" s="1"/>
  <c r="E163" i="57" l="1"/>
  <c r="I163" i="57"/>
  <c r="L163" i="57"/>
  <c r="H163" i="57"/>
  <c r="B163" i="57"/>
  <c r="F163" i="57" s="1"/>
  <c r="D163" i="57" s="1"/>
  <c r="C163" i="57" s="1"/>
  <c r="B164" i="57" s="1"/>
  <c r="G163" i="57"/>
  <c r="K163" i="57" l="1"/>
  <c r="M163" i="57" s="1"/>
  <c r="G164" i="57"/>
  <c r="L164" i="57"/>
  <c r="E164" i="57"/>
  <c r="I164" i="57"/>
  <c r="H164" i="57"/>
  <c r="J164" i="57"/>
  <c r="F164" i="57"/>
  <c r="D164" i="57" s="1"/>
  <c r="C164" i="57" s="1"/>
  <c r="K164" i="57" l="1"/>
  <c r="M164" i="57" s="1"/>
  <c r="G165" i="57"/>
  <c r="H165" i="57"/>
  <c r="I165" i="57"/>
  <c r="L165" i="57"/>
  <c r="E165" i="57"/>
  <c r="J165" i="57"/>
  <c r="B165" i="57"/>
  <c r="F165" i="57" l="1"/>
  <c r="D165" i="57" s="1"/>
  <c r="C165" i="57" s="1"/>
  <c r="K165" i="57"/>
  <c r="L166" i="57" l="1"/>
  <c r="J166" i="57"/>
  <c r="E166" i="57"/>
  <c r="B166" i="57"/>
  <c r="I166" i="57"/>
  <c r="H166" i="57"/>
  <c r="G166" i="57"/>
  <c r="M165" i="57"/>
  <c r="F166" i="57" l="1"/>
  <c r="D166" i="57" s="1"/>
  <c r="C166" i="57" s="1"/>
  <c r="K166" i="57"/>
  <c r="M166" i="57" l="1"/>
  <c r="G167" i="57"/>
  <c r="H167" i="57"/>
  <c r="E167" i="57"/>
  <c r="L167" i="57"/>
  <c r="B167" i="57"/>
  <c r="F167" i="57" s="1"/>
  <c r="D167" i="57" s="1"/>
  <c r="C167" i="57" s="1"/>
  <c r="I167" i="57"/>
  <c r="J167" i="57"/>
  <c r="B168" i="57" l="1"/>
  <c r="F168" i="57" s="1"/>
  <c r="J168" i="57"/>
  <c r="G168" i="57"/>
  <c r="H168" i="57"/>
  <c r="L168" i="57"/>
  <c r="I168" i="57"/>
  <c r="E168" i="57"/>
  <c r="K167" i="57"/>
  <c r="M167" i="57" s="1"/>
  <c r="D168" i="57" l="1"/>
  <c r="C168" i="57" s="1"/>
  <c r="E169" i="57" s="1"/>
  <c r="K168" i="57"/>
  <c r="M168" i="57" s="1"/>
  <c r="J169" i="57" l="1"/>
  <c r="G169" i="57"/>
  <c r="B169" i="57"/>
  <c r="F169" i="57" s="1"/>
  <c r="H169" i="57"/>
  <c r="I169" i="57"/>
  <c r="L169" i="57"/>
  <c r="K169" i="57" l="1"/>
  <c r="M169" i="57" s="1"/>
  <c r="D169" i="57"/>
  <c r="C169" i="57" s="1"/>
  <c r="L170" i="57" l="1"/>
  <c r="B170" i="57"/>
  <c r="G170" i="57"/>
  <c r="E170" i="57"/>
  <c r="J170" i="57"/>
  <c r="I170" i="57"/>
  <c r="H170" i="57"/>
  <c r="K170" i="57" l="1"/>
  <c r="F170" i="57"/>
  <c r="D170" i="57" s="1"/>
  <c r="C170" i="57" s="1"/>
  <c r="I171" i="57" l="1"/>
  <c r="E171" i="57"/>
  <c r="H171" i="57"/>
  <c r="L171" i="57"/>
  <c r="J171" i="57"/>
  <c r="G171" i="57"/>
  <c r="B171" i="57"/>
  <c r="M170" i="57"/>
  <c r="K171" i="57" l="1"/>
  <c r="F171" i="57"/>
  <c r="D171" i="57" s="1"/>
  <c r="C171" i="57" s="1"/>
  <c r="H172" i="57" l="1"/>
  <c r="L172" i="57"/>
  <c r="E172" i="57"/>
  <c r="I172" i="57"/>
  <c r="J172" i="57"/>
  <c r="G172" i="57"/>
  <c r="B172" i="57"/>
  <c r="F172" i="57" s="1"/>
  <c r="D172" i="57" s="1"/>
  <c r="C172" i="57" s="1"/>
  <c r="M171" i="57"/>
  <c r="K172" i="57" l="1"/>
  <c r="M172" i="57" s="1"/>
  <c r="J173" i="57"/>
  <c r="E173" i="57"/>
  <c r="G173" i="57"/>
  <c r="L173" i="57"/>
  <c r="H173" i="57"/>
  <c r="B173" i="57"/>
  <c r="I173" i="57"/>
  <c r="K173" i="57" l="1"/>
  <c r="F173" i="57"/>
  <c r="M173" i="57" l="1"/>
  <c r="D173" i="57"/>
  <c r="C173" i="57" s="1"/>
  <c r="I174" i="57" l="1"/>
  <c r="B174" i="57"/>
  <c r="J174" i="57"/>
  <c r="L174" i="57"/>
  <c r="H174" i="57"/>
  <c r="E174" i="57"/>
  <c r="G174" i="57"/>
  <c r="K174" i="57" l="1"/>
  <c r="F174" i="57"/>
  <c r="M174" i="57" l="1"/>
  <c r="D174" i="57"/>
  <c r="C174" i="57" s="1"/>
  <c r="J175" i="57" l="1"/>
  <c r="B175" i="57"/>
  <c r="F175" i="57" s="1"/>
  <c r="H175" i="57"/>
  <c r="L175" i="57"/>
  <c r="G175" i="57"/>
  <c r="I175" i="57"/>
  <c r="E175" i="57"/>
  <c r="D175" i="57" l="1"/>
  <c r="C175" i="57" s="1"/>
  <c r="E176" i="57" s="1"/>
  <c r="K175" i="57"/>
  <c r="M175" i="57" s="1"/>
  <c r="L176" i="57" l="1"/>
  <c r="I176" i="57"/>
  <c r="B176" i="57"/>
  <c r="F176" i="57" s="1"/>
  <c r="D176" i="57" s="1"/>
  <c r="C176" i="57" s="1"/>
  <c r="H176" i="57"/>
  <c r="J176" i="57"/>
  <c r="G176" i="57"/>
  <c r="K176" i="57" l="1"/>
  <c r="M176" i="57" s="1"/>
  <c r="B177" i="57"/>
  <c r="F177" i="57" s="1"/>
  <c r="L177" i="57"/>
  <c r="G177" i="57"/>
  <c r="J177" i="57"/>
  <c r="E177" i="57"/>
  <c r="H177" i="57"/>
  <c r="I177" i="57"/>
  <c r="D177" i="57" l="1"/>
  <c r="C177" i="57" s="1"/>
  <c r="H178" i="57" s="1"/>
  <c r="K177" i="57"/>
  <c r="M177" i="57" s="1"/>
  <c r="L178" i="57" l="1"/>
  <c r="G178" i="57"/>
  <c r="B178" i="57"/>
  <c r="F178" i="57" s="1"/>
  <c r="J178" i="57"/>
  <c r="E178" i="57"/>
  <c r="I178" i="57"/>
  <c r="K178" i="57" l="1"/>
  <c r="M178" i="57" s="1"/>
  <c r="D178" i="57"/>
  <c r="C178" i="57" s="1"/>
  <c r="L179" i="57" l="1"/>
  <c r="B179" i="57"/>
  <c r="F179" i="57" s="1"/>
  <c r="H179" i="57"/>
  <c r="I179" i="57"/>
  <c r="G179" i="57"/>
  <c r="J179" i="57"/>
  <c r="E179" i="57"/>
  <c r="D179" i="57" l="1"/>
  <c r="C179" i="57" s="1"/>
  <c r="L180" i="57" s="1"/>
  <c r="K179" i="57"/>
  <c r="M179" i="57" s="1"/>
  <c r="J180" i="57" l="1"/>
  <c r="G180" i="57"/>
  <c r="H180" i="57"/>
  <c r="I180" i="57"/>
  <c r="B180" i="57"/>
  <c r="F180" i="57" s="1"/>
  <c r="E180" i="57"/>
  <c r="D180" i="57" l="1"/>
  <c r="C180" i="57" s="1"/>
  <c r="L181" i="57" s="1"/>
  <c r="K180" i="57"/>
  <c r="M180" i="57" s="1"/>
  <c r="E181" i="57" l="1"/>
  <c r="B181" i="57"/>
  <c r="F181" i="57" s="1"/>
  <c r="G181" i="57"/>
  <c r="I181" i="57"/>
  <c r="J181" i="57"/>
  <c r="H181" i="57"/>
  <c r="K181" i="57" l="1"/>
  <c r="M181" i="57" s="1"/>
  <c r="D181" i="57"/>
  <c r="C181" i="57" s="1"/>
  <c r="L182" i="57" l="1"/>
  <c r="J182" i="57"/>
  <c r="I182" i="57"/>
  <c r="G182" i="57"/>
  <c r="B182" i="57"/>
  <c r="F182" i="57" s="1"/>
  <c r="E182" i="57"/>
  <c r="H182" i="57"/>
  <c r="D182" i="57" l="1"/>
  <c r="C182" i="57" s="1"/>
  <c r="G183" i="57" s="1"/>
  <c r="K182" i="57"/>
  <c r="M182" i="57" s="1"/>
  <c r="J183" i="57" l="1"/>
  <c r="I183" i="57"/>
  <c r="L183" i="57"/>
  <c r="B183" i="57"/>
  <c r="F183" i="57" s="1"/>
  <c r="H183" i="57"/>
  <c r="E183" i="57"/>
  <c r="D183" i="57" l="1"/>
  <c r="C183" i="57" s="1"/>
  <c r="L184" i="57" s="1"/>
  <c r="K183" i="57"/>
  <c r="M183" i="57" s="1"/>
  <c r="J184" i="57" l="1"/>
  <c r="B184" i="57"/>
  <c r="F184" i="57" s="1"/>
  <c r="G184" i="57"/>
  <c r="I184" i="57"/>
  <c r="E184" i="57"/>
  <c r="H184" i="57"/>
  <c r="D184" i="57" l="1"/>
  <c r="C184" i="57" s="1"/>
  <c r="J185" i="57" s="1"/>
  <c r="K184" i="57"/>
  <c r="M184" i="57" s="1"/>
  <c r="I185" i="57" l="1"/>
  <c r="E185" i="57"/>
  <c r="L185" i="57"/>
  <c r="H185" i="57"/>
  <c r="B185" i="57"/>
  <c r="F185" i="57" s="1"/>
  <c r="D185" i="57" s="1"/>
  <c r="C185" i="57" s="1"/>
  <c r="G185" i="57"/>
  <c r="K185" i="57" l="1"/>
  <c r="M185" i="57" s="1"/>
  <c r="J186" i="57"/>
  <c r="I186" i="57"/>
  <c r="H186" i="57"/>
  <c r="B186" i="57"/>
  <c r="L186" i="57"/>
  <c r="G186" i="57"/>
  <c r="E186" i="57"/>
  <c r="K186" i="57" l="1"/>
  <c r="F186" i="57"/>
  <c r="M186" i="57" l="1"/>
  <c r="D186" i="57"/>
  <c r="C186" i="57" s="1"/>
  <c r="H187" i="57" l="1"/>
  <c r="L187" i="57"/>
  <c r="E187" i="57"/>
  <c r="B187" i="57"/>
  <c r="G187" i="57"/>
  <c r="I187" i="57"/>
  <c r="J187" i="57"/>
  <c r="F187" i="57" l="1"/>
  <c r="D187" i="57" s="1"/>
  <c r="C187" i="57" s="1"/>
  <c r="K187" i="57"/>
  <c r="I188" i="57" l="1"/>
  <c r="B188" i="57"/>
  <c r="F188" i="57" s="1"/>
  <c r="L188" i="57"/>
  <c r="H188" i="57"/>
  <c r="E188" i="57"/>
  <c r="J188" i="57"/>
  <c r="G188" i="57"/>
  <c r="M187" i="57"/>
  <c r="D188" i="57" l="1"/>
  <c r="C188" i="57" s="1"/>
  <c r="I189" i="57" s="1"/>
  <c r="K188" i="57"/>
  <c r="M188" i="57" s="1"/>
  <c r="L189" i="57" l="1"/>
  <c r="H189" i="57"/>
  <c r="J189" i="57"/>
  <c r="B189" i="57"/>
  <c r="F189" i="57" s="1"/>
  <c r="E189" i="57"/>
  <c r="G189" i="57"/>
  <c r="D189" i="57" l="1"/>
  <c r="C189" i="57" s="1"/>
  <c r="H190" i="57" s="1"/>
  <c r="K189" i="57"/>
  <c r="M189" i="57" s="1"/>
  <c r="L190" i="57" l="1"/>
  <c r="G190" i="57"/>
  <c r="I190" i="57"/>
  <c r="E190" i="57"/>
  <c r="J190" i="57"/>
  <c r="B190" i="57"/>
  <c r="F190" i="57" s="1"/>
  <c r="K190" i="57" l="1"/>
  <c r="M190" i="57" s="1"/>
  <c r="D190" i="57"/>
  <c r="C190" i="57" s="1"/>
  <c r="J191" i="57" l="1"/>
  <c r="I191" i="57"/>
  <c r="G191" i="57"/>
  <c r="B191" i="57"/>
  <c r="F191" i="57" s="1"/>
  <c r="H191" i="57"/>
  <c r="E191" i="57"/>
  <c r="L191" i="57"/>
  <c r="D191" i="57" l="1"/>
  <c r="C191" i="57" s="1"/>
  <c r="J192" i="57" s="1"/>
  <c r="K191" i="57"/>
  <c r="M191" i="57" s="1"/>
  <c r="I192" i="57" l="1"/>
  <c r="B192" i="57"/>
  <c r="F192" i="57" s="1"/>
  <c r="L192" i="57"/>
  <c r="H192" i="57"/>
  <c r="G192" i="57"/>
  <c r="E192" i="57"/>
  <c r="D192" i="57" l="1"/>
  <c r="C192" i="57" s="1"/>
  <c r="L193" i="57" s="1"/>
  <c r="K192" i="57"/>
  <c r="M192" i="57" s="1"/>
  <c r="E193" i="57" l="1"/>
  <c r="I193" i="57"/>
  <c r="B193" i="57"/>
  <c r="F193" i="57" s="1"/>
  <c r="D193" i="57" s="1"/>
  <c r="C193" i="57" s="1"/>
  <c r="J193" i="57"/>
  <c r="G193" i="57"/>
  <c r="H193" i="57"/>
  <c r="K193" i="57" l="1"/>
  <c r="M193" i="57" s="1"/>
  <c r="H194" i="57"/>
  <c r="J194" i="57"/>
  <c r="I194" i="57"/>
  <c r="E194" i="57"/>
  <c r="G194" i="57"/>
  <c r="L194" i="57"/>
  <c r="B194" i="57"/>
  <c r="K194" i="57" l="1"/>
  <c r="F194" i="57"/>
  <c r="M194" i="57" l="1"/>
  <c r="D194" i="57"/>
  <c r="C194" i="57" s="1"/>
  <c r="L195" i="57" l="1"/>
  <c r="I195" i="57"/>
  <c r="B195" i="57"/>
  <c r="H195" i="57"/>
  <c r="E195" i="57"/>
  <c r="J195" i="57"/>
  <c r="G195" i="57"/>
  <c r="F195" i="57" l="1"/>
  <c r="D195" i="57" s="1"/>
  <c r="C195" i="57" s="1"/>
  <c r="K195" i="57"/>
  <c r="M195" i="57" l="1"/>
  <c r="H196" i="57"/>
  <c r="E196" i="57"/>
  <c r="B196" i="57"/>
  <c r="I196" i="57"/>
  <c r="L196" i="57"/>
  <c r="J196" i="57"/>
  <c r="G196" i="57"/>
  <c r="K196" i="57" l="1"/>
  <c r="F196" i="57"/>
  <c r="M196" i="57" l="1"/>
  <c r="D196" i="57"/>
  <c r="C196" i="57" s="1"/>
  <c r="G197" i="57" l="1"/>
  <c r="J197" i="57"/>
  <c r="L197" i="57"/>
  <c r="E197" i="57"/>
  <c r="H197" i="57"/>
  <c r="B197" i="57"/>
  <c r="I197" i="57"/>
  <c r="F197" i="57" l="1"/>
  <c r="D197" i="57" s="1"/>
  <c r="C197" i="57" s="1"/>
  <c r="K197" i="57"/>
  <c r="M197" i="57" l="1"/>
  <c r="I198" i="57"/>
  <c r="J198" i="57"/>
  <c r="L198" i="57"/>
  <c r="E198" i="57"/>
  <c r="B198" i="57"/>
  <c r="F198" i="57" s="1"/>
  <c r="D198" i="57" s="1"/>
  <c r="C198" i="57" s="1"/>
  <c r="H198" i="57"/>
  <c r="G198" i="57"/>
  <c r="G199" i="57" l="1"/>
  <c r="L199" i="57"/>
  <c r="J199" i="57"/>
  <c r="I199" i="57"/>
  <c r="E199" i="57"/>
  <c r="B199" i="57"/>
  <c r="H199" i="57"/>
  <c r="K198" i="57"/>
  <c r="M198" i="57" s="1"/>
  <c r="F199" i="57" l="1"/>
  <c r="D199" i="57" s="1"/>
  <c r="C199" i="57" s="1"/>
  <c r="K199" i="57"/>
  <c r="J200" i="57" l="1"/>
  <c r="H200" i="57"/>
  <c r="B200" i="57"/>
  <c r="I200" i="57"/>
  <c r="G200" i="57"/>
  <c r="L200" i="57"/>
  <c r="E200" i="57"/>
  <c r="M199" i="57"/>
  <c r="K200" i="57" l="1"/>
  <c r="F200" i="57"/>
  <c r="M200" i="57" l="1"/>
  <c r="D200" i="57"/>
  <c r="C200" i="57" s="1"/>
  <c r="E201" i="57" l="1"/>
  <c r="I201" i="57"/>
  <c r="J201" i="57"/>
  <c r="L201" i="57"/>
  <c r="H201" i="57"/>
  <c r="G201" i="57"/>
  <c r="B201" i="57"/>
  <c r="K201" i="57" l="1"/>
  <c r="F201" i="57"/>
  <c r="D201" i="57" s="1"/>
  <c r="C201" i="57" s="1"/>
  <c r="I202" i="57" l="1"/>
  <c r="G202" i="57"/>
  <c r="J202" i="57"/>
  <c r="H202" i="57"/>
  <c r="E202" i="57"/>
  <c r="L202" i="57"/>
  <c r="B202" i="57"/>
  <c r="M201" i="57"/>
  <c r="F202" i="57" l="1"/>
  <c r="D202" i="57" s="1"/>
  <c r="C202" i="57" s="1"/>
  <c r="K202" i="57"/>
  <c r="M202" i="57" l="1"/>
  <c r="G203" i="57"/>
  <c r="L203" i="57"/>
  <c r="H203" i="57"/>
  <c r="B203" i="57"/>
  <c r="F203" i="57" s="1"/>
  <c r="E203" i="57"/>
  <c r="I203" i="57"/>
  <c r="J203" i="57"/>
  <c r="D203" i="57" l="1"/>
  <c r="C203" i="57" s="1"/>
  <c r="I204" i="57" s="1"/>
  <c r="K203" i="57"/>
  <c r="M203" i="57" s="1"/>
  <c r="L204" i="57" l="1"/>
  <c r="B204" i="57"/>
  <c r="F204" i="57" s="1"/>
  <c r="H204" i="57"/>
  <c r="E204" i="57"/>
  <c r="J204" i="57"/>
  <c r="G204" i="57"/>
  <c r="D204" i="57" l="1"/>
  <c r="C204" i="57" s="1"/>
  <c r="J205" i="57" s="1"/>
  <c r="K204" i="57"/>
  <c r="M204" i="57" s="1"/>
  <c r="L205" i="57" l="1"/>
  <c r="E205" i="57"/>
  <c r="I205" i="57"/>
  <c r="B205" i="57"/>
  <c r="F205" i="57" s="1"/>
  <c r="D205" i="57" s="1"/>
  <c r="C205" i="57" s="1"/>
  <c r="B206" i="57" s="1"/>
  <c r="F206" i="57" s="1"/>
  <c r="H205" i="57"/>
  <c r="G205" i="57"/>
  <c r="K205" i="57" l="1"/>
  <c r="M205" i="57" s="1"/>
  <c r="H206" i="57"/>
  <c r="J206" i="57"/>
  <c r="L206" i="57"/>
  <c r="E206" i="57"/>
  <c r="D206" i="57" s="1"/>
  <c r="C206" i="57" s="1"/>
  <c r="I206" i="57"/>
  <c r="G206" i="57"/>
  <c r="E207" i="57" l="1"/>
  <c r="B207" i="57"/>
  <c r="F207" i="57" s="1"/>
  <c r="G207" i="57"/>
  <c r="H207" i="57"/>
  <c r="K206" i="57"/>
  <c r="M206" i="57" s="1"/>
  <c r="L207" i="57"/>
  <c r="I207" i="57"/>
  <c r="J207" i="57"/>
  <c r="D207" i="57" l="1"/>
  <c r="C207" i="57" s="1"/>
  <c r="E208" i="57" s="1"/>
  <c r="K207" i="57"/>
  <c r="M207" i="57" s="1"/>
  <c r="G208" i="57" l="1"/>
  <c r="H208" i="57"/>
  <c r="L208" i="57"/>
  <c r="B208" i="57"/>
  <c r="F208" i="57" s="1"/>
  <c r="D208" i="57" s="1"/>
  <c r="C208" i="57" s="1"/>
  <c r="G209" i="57" s="1"/>
  <c r="I208" i="57"/>
  <c r="J208" i="57"/>
  <c r="K208" i="57" l="1"/>
  <c r="M208" i="57" s="1"/>
  <c r="I209" i="57"/>
  <c r="H209" i="57"/>
  <c r="L209" i="57"/>
  <c r="B209" i="57"/>
  <c r="F209" i="57" s="1"/>
  <c r="E209" i="57"/>
  <c r="J209" i="57"/>
  <c r="D209" i="57" l="1"/>
  <c r="C209" i="57" s="1"/>
  <c r="H210" i="57" s="1"/>
  <c r="K209" i="57"/>
  <c r="M209" i="57" s="1"/>
  <c r="G210" i="57" l="1"/>
  <c r="B210" i="57"/>
  <c r="F210" i="57" s="1"/>
  <c r="J210" i="57"/>
  <c r="E210" i="57"/>
  <c r="I210" i="57"/>
  <c r="L210" i="57"/>
  <c r="D210" i="57" l="1"/>
  <c r="C210" i="57" s="1"/>
  <c r="B211" i="57" s="1"/>
  <c r="F211" i="57" s="1"/>
  <c r="K210" i="57"/>
  <c r="M210" i="57" s="1"/>
  <c r="J211" i="57" l="1"/>
  <c r="I211" i="57"/>
  <c r="H211" i="57"/>
  <c r="L211" i="57"/>
  <c r="G211" i="57"/>
  <c r="E211" i="57"/>
  <c r="D211" i="57" s="1"/>
  <c r="C211" i="57" s="1"/>
  <c r="K211" i="57" l="1"/>
  <c r="M211" i="57" s="1"/>
  <c r="H212" i="57"/>
  <c r="J212" i="57"/>
  <c r="E212" i="57"/>
  <c r="I212" i="57"/>
  <c r="L212" i="57"/>
  <c r="G212" i="57"/>
  <c r="B212" i="57"/>
  <c r="F212" i="57" s="1"/>
  <c r="D212" i="57" s="1"/>
  <c r="C212" i="57" s="1"/>
  <c r="K212" i="57" l="1"/>
  <c r="M212" i="57" s="1"/>
  <c r="J213" i="57"/>
  <c r="H213" i="57"/>
  <c r="L213" i="57"/>
  <c r="I213" i="57"/>
  <c r="E213" i="57"/>
  <c r="G213" i="57"/>
  <c r="B213" i="57"/>
  <c r="K213" i="57" l="1"/>
  <c r="F213" i="57"/>
  <c r="D213" i="57" s="1"/>
  <c r="C213" i="57" s="1"/>
  <c r="J214" i="57" l="1"/>
  <c r="G214" i="57"/>
  <c r="E214" i="57"/>
  <c r="L214" i="57"/>
  <c r="B214" i="57"/>
  <c r="H214" i="57"/>
  <c r="I214" i="57"/>
  <c r="M213" i="57"/>
  <c r="F214" i="57" l="1"/>
  <c r="D214" i="57" s="1"/>
  <c r="C214" i="57" s="1"/>
  <c r="K214" i="57"/>
  <c r="I215" i="57" l="1"/>
  <c r="B215" i="57"/>
  <c r="G215" i="57"/>
  <c r="H215" i="57"/>
  <c r="J215" i="57"/>
  <c r="E215" i="57"/>
  <c r="L215" i="57"/>
  <c r="M214" i="57"/>
  <c r="K215" i="57" l="1"/>
  <c r="F215" i="57"/>
  <c r="D215" i="57" s="1"/>
  <c r="C215" i="57" s="1"/>
  <c r="J216" i="57" l="1"/>
  <c r="H216" i="57"/>
  <c r="G216" i="57"/>
  <c r="E216" i="57"/>
  <c r="L216" i="57"/>
  <c r="I216" i="57"/>
  <c r="B216" i="57"/>
  <c r="M215" i="57"/>
  <c r="F216" i="57" l="1"/>
  <c r="D216" i="57" s="1"/>
  <c r="C216" i="57" s="1"/>
  <c r="K216" i="57"/>
  <c r="H217" i="57" l="1"/>
  <c r="E217" i="57"/>
  <c r="I217" i="57"/>
  <c r="J217" i="57"/>
  <c r="B217" i="57"/>
  <c r="F217" i="57" s="1"/>
  <c r="G217" i="57"/>
  <c r="L217" i="57"/>
  <c r="M216" i="57"/>
  <c r="D217" i="57" l="1"/>
  <c r="C217" i="57" s="1"/>
  <c r="G218" i="57" s="1"/>
  <c r="K217" i="57"/>
  <c r="M217" i="57" s="1"/>
  <c r="L218" i="57" l="1"/>
  <c r="I218" i="57"/>
  <c r="B218" i="57"/>
  <c r="E218" i="57"/>
  <c r="H218" i="57"/>
  <c r="J218" i="57"/>
  <c r="F218" i="57"/>
  <c r="D218" i="57" s="1"/>
  <c r="C218" i="57" s="1"/>
  <c r="K218" i="57" l="1"/>
  <c r="M218" i="57" s="1"/>
  <c r="G219" i="57"/>
  <c r="H219" i="57"/>
  <c r="I219" i="57"/>
  <c r="L219" i="57"/>
  <c r="J219" i="57"/>
  <c r="B219" i="57"/>
  <c r="F219" i="57" s="1"/>
  <c r="E219" i="57"/>
  <c r="D219" i="57" l="1"/>
  <c r="C219" i="57" s="1"/>
  <c r="I220" i="57" s="1"/>
  <c r="K219" i="57"/>
  <c r="M219" i="57" s="1"/>
  <c r="J220" i="57" l="1"/>
  <c r="B220" i="57"/>
  <c r="F220" i="57" s="1"/>
  <c r="E220" i="57"/>
  <c r="L220" i="57"/>
  <c r="G220" i="57"/>
  <c r="H220" i="57"/>
  <c r="K220" i="57" l="1"/>
  <c r="M220" i="57" s="1"/>
  <c r="D220" i="57"/>
  <c r="C220" i="57" s="1"/>
  <c r="G221" i="57" s="1"/>
  <c r="I221" i="57" l="1"/>
  <c r="H221" i="57"/>
  <c r="L221" i="57"/>
  <c r="B221" i="57"/>
  <c r="F221" i="57" s="1"/>
  <c r="E221" i="57"/>
  <c r="J221" i="57"/>
  <c r="K221" i="57" l="1"/>
  <c r="M221" i="57" s="1"/>
  <c r="D221" i="57"/>
  <c r="C221" i="57" s="1"/>
  <c r="L222" i="57" s="1"/>
  <c r="G222" i="57" l="1"/>
  <c r="J222" i="57"/>
  <c r="B222" i="57"/>
  <c r="F222" i="57" s="1"/>
  <c r="H222" i="57"/>
  <c r="E222" i="57"/>
  <c r="I222" i="57"/>
  <c r="K222" i="57" l="1"/>
  <c r="M222" i="57" s="1"/>
  <c r="D222" i="57"/>
  <c r="C222" i="57" s="1"/>
  <c r="H223" i="57" s="1"/>
  <c r="E223" i="57" l="1"/>
  <c r="B223" i="57"/>
  <c r="F223" i="57" s="1"/>
  <c r="I223" i="57"/>
  <c r="J223" i="57"/>
  <c r="L223" i="57"/>
  <c r="G223" i="57"/>
  <c r="D223" i="57" l="1"/>
  <c r="C223" i="57" s="1"/>
  <c r="H224" i="57" s="1"/>
  <c r="K223" i="57"/>
  <c r="M223" i="57" s="1"/>
  <c r="L224" i="57" l="1"/>
  <c r="J224" i="57"/>
  <c r="I224" i="57"/>
  <c r="B224" i="57"/>
  <c r="F224" i="57" s="1"/>
  <c r="D224" i="57" s="1"/>
  <c r="C224" i="57" s="1"/>
  <c r="H225" i="57" s="1"/>
  <c r="G224" i="57"/>
  <c r="E224" i="57"/>
  <c r="K224" i="57" l="1"/>
  <c r="M224" i="57" s="1"/>
  <c r="E225" i="57"/>
  <c r="G225" i="57"/>
  <c r="B225" i="57"/>
  <c r="F225" i="57" s="1"/>
  <c r="L225" i="57"/>
  <c r="J225" i="57"/>
  <c r="I225" i="57"/>
  <c r="D225" i="57"/>
  <c r="C225" i="57" s="1"/>
  <c r="J226" i="57" s="1"/>
  <c r="K225" i="57" l="1"/>
  <c r="M225" i="57" s="1"/>
  <c r="E226" i="57"/>
  <c r="G226" i="57"/>
  <c r="H226" i="57"/>
  <c r="L226" i="57"/>
  <c r="I226" i="57"/>
  <c r="B226" i="57"/>
  <c r="F226" i="57" s="1"/>
  <c r="D226" i="57" s="1"/>
  <c r="C226" i="57" s="1"/>
  <c r="G227" i="57" s="1"/>
  <c r="K226" i="57" l="1"/>
  <c r="M226" i="57" s="1"/>
  <c r="H227" i="57"/>
  <c r="E227" i="57"/>
  <c r="I227" i="57"/>
  <c r="J227" i="57"/>
  <c r="L227" i="57"/>
  <c r="B227" i="57"/>
  <c r="F227" i="57" s="1"/>
  <c r="D227" i="57" s="1"/>
  <c r="C227" i="57" s="1"/>
  <c r="L228" i="57" s="1"/>
  <c r="K227" i="57" l="1"/>
  <c r="M227" i="57" s="1"/>
  <c r="J228" i="57"/>
  <c r="B228" i="57"/>
  <c r="F228" i="57" s="1"/>
  <c r="H228" i="57"/>
  <c r="G228" i="57"/>
  <c r="E228" i="57"/>
  <c r="I228" i="57"/>
  <c r="D228" i="57" l="1"/>
  <c r="C228" i="57" s="1"/>
  <c r="E229" i="57" s="1"/>
  <c r="K228" i="57"/>
  <c r="M228" i="57" s="1"/>
  <c r="J229" i="57" l="1"/>
  <c r="B229" i="57"/>
  <c r="F229" i="57" s="1"/>
  <c r="D229" i="57" s="1"/>
  <c r="C229" i="57" s="1"/>
  <c r="G229" i="57"/>
  <c r="H229" i="57"/>
  <c r="L229" i="57"/>
  <c r="I229" i="57"/>
  <c r="G230" i="57" l="1"/>
  <c r="B230" i="57"/>
  <c r="F230" i="57" s="1"/>
  <c r="L230" i="57"/>
  <c r="H230" i="57"/>
  <c r="E230" i="57"/>
  <c r="J230" i="57"/>
  <c r="I230" i="57"/>
  <c r="K229" i="57"/>
  <c r="M229" i="57" s="1"/>
  <c r="D230" i="57" l="1"/>
  <c r="C230" i="57" s="1"/>
  <c r="G231" i="57" s="1"/>
  <c r="K230" i="57"/>
  <c r="M230" i="57" s="1"/>
  <c r="J231" i="57" l="1"/>
  <c r="B231" i="57"/>
  <c r="F231" i="57" s="1"/>
  <c r="H231" i="57"/>
  <c r="I231" i="57"/>
  <c r="E231" i="57"/>
  <c r="L231" i="57"/>
  <c r="D231" i="57" l="1"/>
  <c r="C231" i="57" s="1"/>
  <c r="J232" i="57" s="1"/>
  <c r="K231" i="57"/>
  <c r="M231" i="57" s="1"/>
  <c r="E232" i="57" l="1"/>
  <c r="I232" i="57"/>
  <c r="B232" i="57"/>
  <c r="F232" i="57" s="1"/>
  <c r="D232" i="57" s="1"/>
  <c r="C232" i="57" s="1"/>
  <c r="G232" i="57"/>
  <c r="H232" i="57"/>
  <c r="L232" i="57"/>
  <c r="K232" i="57" l="1"/>
  <c r="M232" i="57" s="1"/>
  <c r="H233" i="57"/>
  <c r="E233" i="57"/>
  <c r="B233" i="57"/>
  <c r="L233" i="57"/>
  <c r="J233" i="57"/>
  <c r="I233" i="57"/>
  <c r="G233" i="57"/>
  <c r="K233" i="57" l="1"/>
  <c r="F233" i="57"/>
  <c r="M233" i="57" l="1"/>
  <c r="D233" i="57"/>
  <c r="C233" i="57" s="1"/>
  <c r="L234" i="57" l="1"/>
  <c r="H234" i="57"/>
  <c r="G234" i="57"/>
  <c r="B234" i="57"/>
  <c r="J234" i="57"/>
  <c r="E234" i="57"/>
  <c r="I234" i="57"/>
  <c r="F234" i="57" l="1"/>
  <c r="D234" i="57" s="1"/>
  <c r="C234" i="57" s="1"/>
  <c r="K234" i="57"/>
  <c r="E235" i="57" l="1"/>
  <c r="G235" i="57"/>
  <c r="L235" i="57"/>
  <c r="H235" i="57"/>
  <c r="B235" i="57"/>
  <c r="F235" i="57" s="1"/>
  <c r="J235" i="57"/>
  <c r="I235" i="57"/>
  <c r="M234" i="57"/>
  <c r="D235" i="57" l="1"/>
  <c r="C235" i="57" s="1"/>
  <c r="J236" i="57" s="1"/>
  <c r="K235" i="57"/>
  <c r="M235" i="57" s="1"/>
  <c r="B236" i="57" l="1"/>
  <c r="F236" i="57" s="1"/>
  <c r="G236" i="57"/>
  <c r="I236" i="57"/>
  <c r="H236" i="57"/>
  <c r="L236" i="57"/>
  <c r="E236" i="57"/>
  <c r="K236" i="57" l="1"/>
  <c r="M236" i="57" s="1"/>
  <c r="D236" i="57"/>
  <c r="C236" i="57" s="1"/>
  <c r="L237" i="57" l="1"/>
  <c r="B237" i="57"/>
  <c r="F237" i="57" s="1"/>
  <c r="E237" i="57"/>
  <c r="G237" i="57"/>
  <c r="I237" i="57"/>
  <c r="J237" i="57"/>
  <c r="H237" i="57"/>
  <c r="D237" i="57" l="1"/>
  <c r="C237" i="57" s="1"/>
  <c r="J238" i="57" s="1"/>
  <c r="K237" i="57"/>
  <c r="M237" i="57" s="1"/>
  <c r="E238" i="57" l="1"/>
  <c r="B238" i="57"/>
  <c r="F238" i="57" s="1"/>
  <c r="H238" i="57"/>
  <c r="L238" i="57"/>
  <c r="G238" i="57"/>
  <c r="I238" i="57"/>
  <c r="D238" i="57"/>
  <c r="C238" i="57" s="1"/>
  <c r="E239" i="57" s="1"/>
  <c r="K238" i="57" l="1"/>
  <c r="M238" i="57" s="1"/>
  <c r="B239" i="57"/>
  <c r="F239" i="57" s="1"/>
  <c r="D239" i="57" s="1"/>
  <c r="C239" i="57" s="1"/>
  <c r="L239" i="57"/>
  <c r="I239" i="57"/>
  <c r="G239" i="57"/>
  <c r="H239" i="57"/>
  <c r="J239" i="57"/>
  <c r="K239" i="57" l="1"/>
  <c r="M239" i="57" s="1"/>
  <c r="I240" i="57"/>
  <c r="B240" i="57"/>
  <c r="E240" i="57"/>
  <c r="H240" i="57"/>
  <c r="J240" i="57"/>
  <c r="L240" i="57"/>
  <c r="G240" i="57"/>
  <c r="K240" i="57" l="1"/>
  <c r="F240" i="57"/>
  <c r="M240" i="57" l="1"/>
  <c r="D240" i="57"/>
  <c r="C240" i="57" s="1"/>
  <c r="L241" i="57" l="1"/>
  <c r="H241" i="57"/>
  <c r="I241" i="57"/>
  <c r="E241" i="57"/>
  <c r="J241" i="57"/>
  <c r="B241" i="57"/>
  <c r="G241" i="57"/>
  <c r="K241" i="57" l="1"/>
  <c r="F241" i="57"/>
  <c r="D241" i="57" s="1"/>
  <c r="C241" i="57" s="1"/>
  <c r="G242" i="57" l="1"/>
  <c r="I242" i="57"/>
  <c r="E242" i="57"/>
  <c r="L242" i="57"/>
  <c r="B242" i="57"/>
  <c r="J242" i="57"/>
  <c r="H242" i="57"/>
  <c r="M241" i="57"/>
  <c r="F242" i="57" l="1"/>
  <c r="D242" i="57" s="1"/>
  <c r="C242" i="57" s="1"/>
  <c r="K242" i="57"/>
  <c r="I243" i="57" l="1"/>
  <c r="H243" i="57"/>
  <c r="B243" i="57"/>
  <c r="L243" i="57"/>
  <c r="E243" i="57"/>
  <c r="J243" i="57"/>
  <c r="G243" i="57"/>
  <c r="M242" i="57"/>
  <c r="K243" i="57" l="1"/>
  <c r="F243" i="57"/>
  <c r="M243" i="57" l="1"/>
  <c r="D243" i="57"/>
  <c r="C243" i="57" s="1"/>
  <c r="G244" i="57" l="1"/>
  <c r="J244" i="57"/>
  <c r="L244" i="57"/>
  <c r="I244" i="57"/>
  <c r="H244" i="57"/>
  <c r="E244" i="57"/>
  <c r="B244" i="57"/>
  <c r="F244" i="57" s="1"/>
  <c r="D244" i="57" s="1"/>
  <c r="C244" i="57" s="1"/>
  <c r="J245" i="57" l="1"/>
  <c r="G245" i="57"/>
  <c r="I245" i="57"/>
  <c r="E245" i="57"/>
  <c r="B245" i="57"/>
  <c r="L245" i="57"/>
  <c r="H245" i="57"/>
  <c r="K244" i="57"/>
  <c r="M244" i="57" s="1"/>
  <c r="F245" i="57" l="1"/>
  <c r="D245" i="57" s="1"/>
  <c r="C245" i="57" s="1"/>
  <c r="K245" i="57"/>
  <c r="H246" i="57" l="1"/>
  <c r="I246" i="57"/>
  <c r="J246" i="57"/>
  <c r="G246" i="57"/>
  <c r="B246" i="57"/>
  <c r="F246" i="57" s="1"/>
  <c r="E246" i="57"/>
  <c r="L246" i="57"/>
  <c r="M245" i="57"/>
  <c r="D246" i="57" l="1"/>
  <c r="C246" i="57" s="1"/>
  <c r="L247" i="57" s="1"/>
  <c r="K246" i="57"/>
  <c r="M246" i="57" s="1"/>
  <c r="H247" i="57" l="1"/>
  <c r="E247" i="57"/>
  <c r="B247" i="57"/>
  <c r="F247" i="57" s="1"/>
  <c r="D247" i="57" s="1"/>
  <c r="C247" i="57" s="1"/>
  <c r="I247" i="57"/>
  <c r="G247" i="57"/>
  <c r="J247" i="57"/>
  <c r="K247" i="57" l="1"/>
  <c r="M247" i="57" s="1"/>
  <c r="E248" i="57"/>
  <c r="I248" i="57"/>
  <c r="B248" i="57"/>
  <c r="J248" i="57"/>
  <c r="L248" i="57"/>
  <c r="H248" i="57"/>
  <c r="G248" i="57"/>
  <c r="K248" i="57" l="1"/>
  <c r="F248" i="57"/>
  <c r="M248" i="57" l="1"/>
  <c r="D248" i="57"/>
  <c r="C248" i="57" s="1"/>
  <c r="H249" i="57" l="1"/>
  <c r="E249" i="57"/>
  <c r="I249" i="57"/>
  <c r="J249" i="57"/>
  <c r="G249" i="57"/>
  <c r="B249" i="57"/>
  <c r="F249" i="57" s="1"/>
  <c r="D249" i="57" s="1"/>
  <c r="C249" i="57" s="1"/>
  <c r="L249" i="57"/>
  <c r="L250" i="57" l="1"/>
  <c r="B250" i="57"/>
  <c r="E250" i="57"/>
  <c r="I250" i="57"/>
  <c r="G250" i="57"/>
  <c r="J250" i="57"/>
  <c r="H250" i="57"/>
  <c r="K249" i="57"/>
  <c r="M249" i="57" s="1"/>
  <c r="K250" i="57" l="1"/>
  <c r="F250" i="57"/>
  <c r="D250" i="57" s="1"/>
  <c r="C250" i="57" s="1"/>
  <c r="E251" i="57" l="1"/>
  <c r="I251" i="57"/>
  <c r="G251" i="57"/>
  <c r="H251" i="57"/>
  <c r="J251" i="57"/>
  <c r="B251" i="57"/>
  <c r="F251" i="57" s="1"/>
  <c r="L251" i="57"/>
  <c r="M250" i="57"/>
  <c r="D251" i="57" l="1"/>
  <c r="C251" i="57" s="1"/>
  <c r="H252" i="57" s="1"/>
  <c r="K251" i="57"/>
  <c r="M251" i="57" s="1"/>
  <c r="B252" i="57" l="1"/>
  <c r="F252" i="57" s="1"/>
  <c r="I252" i="57"/>
  <c r="J252" i="57"/>
  <c r="E252" i="57"/>
  <c r="L252" i="57"/>
  <c r="G252" i="57"/>
  <c r="K252" i="57" l="1"/>
  <c r="M252" i="57" s="1"/>
  <c r="D252" i="57"/>
  <c r="C252" i="57" s="1"/>
  <c r="E253" i="57" l="1"/>
  <c r="G253" i="57"/>
  <c r="I253" i="57"/>
  <c r="L253" i="57"/>
  <c r="B253" i="57"/>
  <c r="J253" i="57"/>
  <c r="H253" i="57"/>
  <c r="K253" i="57" l="1"/>
  <c r="F253" i="57"/>
  <c r="D253" i="57" s="1"/>
  <c r="C253" i="57" s="1"/>
  <c r="J254" i="57" l="1"/>
  <c r="L254" i="57"/>
  <c r="B254" i="57"/>
  <c r="F254" i="57" s="1"/>
  <c r="H254" i="57"/>
  <c r="G254" i="57"/>
  <c r="I254" i="57"/>
  <c r="E254" i="57"/>
  <c r="M253" i="57"/>
  <c r="D254" i="57" l="1"/>
  <c r="C254" i="57" s="1"/>
  <c r="G255" i="57" s="1"/>
  <c r="K254" i="57"/>
  <c r="M254" i="57" s="1"/>
  <c r="E255" i="57" l="1"/>
  <c r="J255" i="57"/>
  <c r="B255" i="57"/>
  <c r="F255" i="57" s="1"/>
  <c r="I255" i="57"/>
  <c r="L255" i="57"/>
  <c r="H255" i="57"/>
  <c r="D255" i="57" l="1"/>
  <c r="C255" i="57" s="1"/>
  <c r="J256" i="57" s="1"/>
  <c r="K255" i="57"/>
  <c r="M255" i="57" s="1"/>
  <c r="L256" i="57" l="1"/>
  <c r="H256" i="57"/>
  <c r="B256" i="57"/>
  <c r="F256" i="57" s="1"/>
  <c r="G256" i="57"/>
  <c r="E256" i="57"/>
  <c r="I256" i="57"/>
  <c r="K256" i="57" l="1"/>
  <c r="M256" i="57" s="1"/>
  <c r="D256" i="57"/>
  <c r="C256" i="57" s="1"/>
  <c r="I257" i="57" s="1"/>
  <c r="H257" i="57" l="1"/>
  <c r="J257" i="57"/>
  <c r="L257" i="57"/>
  <c r="E257" i="57"/>
  <c r="G257" i="57"/>
  <c r="B257" i="57"/>
  <c r="F257" i="57" s="1"/>
  <c r="D257" i="57" s="1"/>
  <c r="C257" i="57" s="1"/>
  <c r="K257" i="57" l="1"/>
  <c r="M257" i="57" s="1"/>
  <c r="E258" i="57"/>
  <c r="I258" i="57"/>
  <c r="B258" i="57"/>
  <c r="F258" i="57" s="1"/>
  <c r="H258" i="57"/>
  <c r="L258" i="57"/>
  <c r="G258" i="57"/>
  <c r="J258" i="57"/>
  <c r="D258" i="57" l="1"/>
  <c r="C258" i="57" s="1"/>
  <c r="G259" i="57" s="1"/>
  <c r="K258" i="57"/>
  <c r="M258" i="57" s="1"/>
  <c r="L259" i="57" l="1"/>
  <c r="I259" i="57"/>
  <c r="H259" i="57"/>
  <c r="J259" i="57"/>
  <c r="E259" i="57"/>
  <c r="B259" i="57"/>
  <c r="F259" i="57" s="1"/>
  <c r="D259" i="57" s="1"/>
  <c r="C259" i="57" s="1"/>
  <c r="H260" i="57" s="1"/>
  <c r="K259" i="57" l="1"/>
  <c r="M259" i="57" s="1"/>
  <c r="I260" i="57"/>
  <c r="L260" i="57"/>
  <c r="G260" i="57"/>
  <c r="E260" i="57"/>
  <c r="B260" i="57"/>
  <c r="F260" i="57" s="1"/>
  <c r="D260" i="57" s="1"/>
  <c r="C260" i="57" s="1"/>
  <c r="G261" i="57" s="1"/>
  <c r="J260" i="57"/>
  <c r="K260" i="57" l="1"/>
  <c r="M260" i="57" s="1"/>
  <c r="J261" i="57"/>
  <c r="L261" i="57"/>
  <c r="E261" i="57"/>
  <c r="H261" i="57"/>
  <c r="I261" i="57"/>
  <c r="B261" i="57"/>
  <c r="F261" i="57" s="1"/>
  <c r="D261" i="57" s="1"/>
  <c r="C261" i="57" s="1"/>
  <c r="I262" i="57" s="1"/>
  <c r="K261" i="57" l="1"/>
  <c r="M261" i="57" s="1"/>
  <c r="E262" i="57"/>
  <c r="G262" i="57"/>
  <c r="J262" i="57"/>
  <c r="L262" i="57"/>
  <c r="H262" i="57"/>
  <c r="B262" i="57"/>
  <c r="F262" i="57" s="1"/>
  <c r="D262" i="57" s="1"/>
  <c r="C262" i="57" s="1"/>
  <c r="K262" i="57" l="1"/>
  <c r="M262" i="57" s="1"/>
  <c r="J263" i="57"/>
  <c r="E263" i="57"/>
  <c r="B263" i="57"/>
  <c r="I263" i="57"/>
  <c r="L263" i="57"/>
  <c r="H263" i="57"/>
  <c r="G263" i="57"/>
  <c r="K263" i="57" l="1"/>
  <c r="F263" i="57"/>
  <c r="D263" i="57" s="1"/>
  <c r="C263" i="57" s="1"/>
  <c r="E264" i="57" l="1"/>
  <c r="B264" i="57"/>
  <c r="L264" i="57"/>
  <c r="H264" i="57"/>
  <c r="I264" i="57"/>
  <c r="G264" i="57"/>
  <c r="J264" i="57"/>
  <c r="M263" i="57"/>
  <c r="K264" i="57" l="1"/>
  <c r="F264" i="57"/>
  <c r="D264" i="57" s="1"/>
  <c r="C264" i="57" s="1"/>
  <c r="M264" i="57" l="1"/>
  <c r="G265" i="57"/>
  <c r="B265" i="57"/>
  <c r="F265" i="57" s="1"/>
  <c r="E265" i="57"/>
  <c r="J265" i="57"/>
  <c r="I265" i="57"/>
  <c r="H265" i="57"/>
  <c r="L265" i="57"/>
  <c r="D265" i="57" l="1"/>
  <c r="C265" i="57" s="1"/>
  <c r="B266" i="57" s="1"/>
  <c r="K265" i="57"/>
  <c r="M265" i="57" s="1"/>
  <c r="E266" i="57" l="1"/>
  <c r="J266" i="57"/>
  <c r="G266" i="57"/>
  <c r="L266" i="57"/>
  <c r="H266" i="57"/>
  <c r="I266" i="57"/>
  <c r="F266" i="57"/>
  <c r="D266" i="57" s="1"/>
  <c r="C266" i="57" s="1"/>
  <c r="K266" i="57" l="1"/>
  <c r="M266" i="57" s="1"/>
  <c r="H267" i="57"/>
  <c r="B267" i="57"/>
  <c r="I267" i="57"/>
  <c r="L267" i="57"/>
  <c r="G267" i="57"/>
  <c r="E267" i="57"/>
  <c r="J267" i="57"/>
  <c r="K267" i="57" l="1"/>
  <c r="F267" i="57"/>
  <c r="D267" i="57" s="1"/>
  <c r="C267" i="57" s="1"/>
  <c r="M267" i="57" l="1"/>
  <c r="G268" i="57"/>
  <c r="H268" i="57"/>
  <c r="J268" i="57"/>
  <c r="L268" i="57"/>
  <c r="E268" i="57"/>
  <c r="I268" i="57"/>
  <c r="B268" i="57"/>
  <c r="F268" i="57" l="1"/>
  <c r="D268" i="57" s="1"/>
  <c r="C268" i="57" s="1"/>
  <c r="K268" i="57"/>
  <c r="M268" i="57" l="1"/>
  <c r="E269" i="57"/>
  <c r="G269" i="57"/>
  <c r="L269" i="57"/>
  <c r="B269" i="57"/>
  <c r="J269" i="57"/>
  <c r="H269" i="57"/>
  <c r="I269" i="57"/>
  <c r="F269" i="57" l="1"/>
  <c r="D269" i="57" s="1"/>
  <c r="C269" i="57" s="1"/>
  <c r="K269" i="57"/>
  <c r="M269" i="57" l="1"/>
  <c r="J270" i="57"/>
  <c r="L270" i="57"/>
  <c r="I270" i="57"/>
  <c r="E270" i="57"/>
  <c r="H270" i="57"/>
  <c r="G270" i="57"/>
  <c r="B270" i="57"/>
  <c r="K270" i="57" l="1"/>
  <c r="F270" i="57"/>
  <c r="D270" i="57" s="1"/>
  <c r="C270" i="57" s="1"/>
  <c r="M270" i="57" l="1"/>
  <c r="J271" i="57"/>
  <c r="E271" i="57"/>
  <c r="I271" i="57"/>
  <c r="H271" i="57"/>
  <c r="G271" i="57"/>
  <c r="B271" i="57"/>
  <c r="L271" i="57"/>
  <c r="F271" i="57" l="1"/>
  <c r="D271" i="57" s="1"/>
  <c r="C271" i="57" s="1"/>
  <c r="K271" i="57"/>
  <c r="M271" i="57" l="1"/>
  <c r="E272" i="57"/>
  <c r="J272" i="57"/>
  <c r="H272" i="57"/>
  <c r="L272" i="57"/>
  <c r="G272" i="57"/>
  <c r="B272" i="57"/>
  <c r="I272" i="57"/>
  <c r="F272" i="57" l="1"/>
  <c r="D272" i="57" s="1"/>
  <c r="C272" i="57" s="1"/>
  <c r="K272" i="57"/>
  <c r="M272" i="57" l="1"/>
  <c r="J273" i="57"/>
  <c r="E273" i="57"/>
  <c r="B273" i="57"/>
  <c r="G273" i="57"/>
  <c r="H273" i="57"/>
  <c r="I273" i="57"/>
  <c r="L273" i="57"/>
  <c r="F273" i="57" l="1"/>
  <c r="D273" i="57" s="1"/>
  <c r="C273" i="57" s="1"/>
  <c r="K273" i="57"/>
  <c r="M273" i="57" l="1"/>
  <c r="E274" i="57"/>
  <c r="G274" i="57"/>
  <c r="L274" i="57"/>
  <c r="B274" i="57"/>
  <c r="F274" i="57" s="1"/>
  <c r="H274" i="57"/>
  <c r="I274" i="57"/>
  <c r="J274" i="57"/>
  <c r="D274" i="57" l="1"/>
  <c r="C274" i="57" s="1"/>
  <c r="G275" i="57" s="1"/>
  <c r="K274" i="57"/>
  <c r="M274" i="57" s="1"/>
  <c r="H275" i="57" l="1"/>
  <c r="L275" i="57"/>
  <c r="J275" i="57"/>
  <c r="E275" i="57"/>
  <c r="B275" i="57"/>
  <c r="F275" i="57" s="1"/>
  <c r="D275" i="57" s="1"/>
  <c r="C275" i="57" s="1"/>
  <c r="H276" i="57" s="1"/>
  <c r="I275" i="57"/>
  <c r="G276" i="57" l="1"/>
  <c r="L276" i="57"/>
  <c r="J276" i="57"/>
  <c r="K275" i="57"/>
  <c r="M275" i="57" s="1"/>
  <c r="I276" i="57"/>
  <c r="E276" i="57"/>
  <c r="B276" i="57"/>
  <c r="F276" i="57" s="1"/>
  <c r="D276" i="57" s="1"/>
  <c r="C276" i="57" s="1"/>
  <c r="K276" i="57" l="1"/>
  <c r="M276" i="57" s="1"/>
  <c r="J277" i="57"/>
  <c r="H277" i="57"/>
  <c r="E277" i="57"/>
  <c r="G277" i="57"/>
  <c r="I277" i="57"/>
  <c r="B277" i="57"/>
  <c r="L277" i="57"/>
  <c r="K277" i="57" l="1"/>
  <c r="F277" i="57"/>
  <c r="D277" i="57" s="1"/>
  <c r="C277" i="57" s="1"/>
  <c r="M277" i="57" l="1"/>
  <c r="E278" i="57"/>
  <c r="G278" i="57"/>
  <c r="L278" i="57"/>
  <c r="B278" i="57"/>
  <c r="I278" i="57"/>
  <c r="H278" i="57"/>
  <c r="J278" i="57"/>
  <c r="K278" i="57" l="1"/>
  <c r="F278" i="57"/>
  <c r="D278" i="57" s="1"/>
  <c r="C278" i="57" s="1"/>
  <c r="I279" i="57" l="1"/>
  <c r="J279" i="57"/>
  <c r="E279" i="57"/>
  <c r="B279" i="57"/>
  <c r="H279" i="57"/>
  <c r="L279" i="57"/>
  <c r="G279" i="57"/>
  <c r="M278" i="57"/>
  <c r="F279" i="57" l="1"/>
  <c r="D279" i="57" s="1"/>
  <c r="C279" i="57" s="1"/>
  <c r="K279" i="57"/>
  <c r="M279" i="57" l="1"/>
  <c r="H280" i="57"/>
  <c r="J280" i="57"/>
  <c r="B280" i="57"/>
  <c r="F280" i="57" s="1"/>
  <c r="G280" i="57"/>
  <c r="L280" i="57"/>
  <c r="E280" i="57"/>
  <c r="I280" i="57"/>
  <c r="D280" i="57" l="1"/>
  <c r="C280" i="57" s="1"/>
  <c r="H281" i="57" s="1"/>
  <c r="K280" i="57"/>
  <c r="M280" i="57" s="1"/>
  <c r="E281" i="57" l="1"/>
  <c r="B281" i="57"/>
  <c r="F281" i="57" s="1"/>
  <c r="J281" i="57"/>
  <c r="L281" i="57"/>
  <c r="G281" i="57"/>
  <c r="I281" i="57"/>
  <c r="D281" i="57" l="1"/>
  <c r="C281" i="57" s="1"/>
  <c r="L282" i="57" s="1"/>
  <c r="K281" i="57"/>
  <c r="M281" i="57" s="1"/>
  <c r="E282" i="57" l="1"/>
  <c r="H282" i="57"/>
  <c r="B282" i="57"/>
  <c r="I282" i="57"/>
  <c r="G282" i="57"/>
  <c r="J282" i="57"/>
  <c r="F282" i="57"/>
  <c r="D282" i="57" s="1"/>
  <c r="C282" i="57" s="1"/>
  <c r="K282" i="57" l="1"/>
  <c r="M282" i="57" s="1"/>
  <c r="H283" i="57"/>
  <c r="I283" i="57"/>
  <c r="L283" i="57"/>
  <c r="E283" i="57"/>
  <c r="J283" i="57"/>
  <c r="B283" i="57"/>
  <c r="G283" i="57"/>
  <c r="K283" i="57" l="1"/>
  <c r="F283" i="57"/>
  <c r="D283" i="57" s="1"/>
  <c r="C283" i="57" s="1"/>
  <c r="M283" i="57" l="1"/>
  <c r="I284" i="57"/>
  <c r="H284" i="57"/>
  <c r="B284" i="57"/>
  <c r="E284" i="57"/>
  <c r="G284" i="57"/>
  <c r="J284" i="57"/>
  <c r="L284" i="57"/>
  <c r="K284" i="57" l="1"/>
  <c r="F284" i="57"/>
  <c r="D284" i="57" s="1"/>
  <c r="C284" i="57" s="1"/>
  <c r="L285" i="57" l="1"/>
  <c r="H285" i="57"/>
  <c r="B285" i="57"/>
  <c r="I285" i="57"/>
  <c r="G285" i="57"/>
  <c r="E285" i="57"/>
  <c r="J285" i="57"/>
  <c r="M284" i="57"/>
  <c r="K285" i="57" l="1"/>
  <c r="F285" i="57"/>
  <c r="D285" i="57" s="1"/>
  <c r="C285" i="57" s="1"/>
  <c r="M285" i="57" l="1"/>
  <c r="E286" i="57"/>
  <c r="B286" i="57"/>
  <c r="L286" i="57"/>
  <c r="J286" i="57"/>
  <c r="G286" i="57"/>
  <c r="I286" i="57"/>
  <c r="H286" i="57"/>
  <c r="F286" i="57" l="1"/>
  <c r="D286" i="57" s="1"/>
  <c r="C286" i="57" s="1"/>
  <c r="K286" i="57"/>
  <c r="M286" i="57" l="1"/>
  <c r="J287" i="57"/>
  <c r="E287" i="57"/>
  <c r="H287" i="57"/>
  <c r="L287" i="57"/>
  <c r="G287" i="57"/>
  <c r="I287" i="57"/>
  <c r="B287" i="57"/>
  <c r="K287" i="57" l="1"/>
  <c r="F287" i="57"/>
  <c r="D287" i="57" s="1"/>
  <c r="C287" i="57" s="1"/>
  <c r="B288" i="57" l="1"/>
  <c r="J288" i="57"/>
  <c r="L288" i="57"/>
  <c r="G288" i="57"/>
  <c r="I288" i="57"/>
  <c r="E288" i="57"/>
  <c r="H288" i="57"/>
  <c r="M287" i="57"/>
  <c r="K288" i="57" l="1"/>
  <c r="F288" i="57"/>
  <c r="D288" i="57" s="1"/>
  <c r="C288" i="57" s="1"/>
  <c r="B289" i="57" l="1"/>
  <c r="G289" i="57"/>
  <c r="J289" i="57"/>
  <c r="I289" i="57"/>
  <c r="E289" i="57"/>
  <c r="L289" i="57"/>
  <c r="H289" i="57"/>
  <c r="M288" i="57"/>
  <c r="K289" i="57" l="1"/>
  <c r="F289" i="57"/>
  <c r="D289" i="57" s="1"/>
  <c r="C289" i="57" s="1"/>
  <c r="G290" i="57" l="1"/>
  <c r="E290" i="57"/>
  <c r="B290" i="57"/>
  <c r="F290" i="57" s="1"/>
  <c r="D290" i="57" s="1"/>
  <c r="C290" i="57" s="1"/>
  <c r="I290" i="57"/>
  <c r="L290" i="57"/>
  <c r="J290" i="57"/>
  <c r="H290" i="57"/>
  <c r="M289" i="57"/>
  <c r="G291" i="57" l="1"/>
  <c r="J291" i="57"/>
  <c r="E291" i="57"/>
  <c r="L291" i="57"/>
  <c r="I291" i="57"/>
  <c r="B291" i="57"/>
  <c r="H291" i="57"/>
  <c r="K290" i="57"/>
  <c r="M290" i="57" s="1"/>
  <c r="F291" i="57" l="1"/>
  <c r="D291" i="57" s="1"/>
  <c r="C291" i="57" s="1"/>
  <c r="K291" i="57"/>
  <c r="M291" i="57" l="1"/>
  <c r="J292" i="57"/>
  <c r="B292" i="57"/>
  <c r="E292" i="57"/>
  <c r="L292" i="57"/>
  <c r="H292" i="57"/>
  <c r="G292" i="57"/>
  <c r="I292" i="57"/>
  <c r="K292" i="57" l="1"/>
  <c r="F292" i="57"/>
  <c r="D292" i="57" s="1"/>
  <c r="C292" i="57" s="1"/>
  <c r="M292" i="57" l="1"/>
  <c r="L293" i="57"/>
  <c r="B293" i="57"/>
  <c r="I293" i="57"/>
  <c r="E293" i="57"/>
  <c r="H293" i="57"/>
  <c r="J293" i="57"/>
  <c r="G293" i="57"/>
  <c r="F293" i="57" l="1"/>
  <c r="D293" i="57" s="1"/>
  <c r="C293" i="57" s="1"/>
  <c r="K293" i="57"/>
  <c r="M293" i="57" l="1"/>
  <c r="G294" i="57"/>
  <c r="L294" i="57"/>
  <c r="I294" i="57"/>
  <c r="B294" i="57"/>
  <c r="E294" i="57"/>
  <c r="J294" i="57"/>
  <c r="H294" i="57"/>
  <c r="F294" i="57" l="1"/>
  <c r="D294" i="57" s="1"/>
  <c r="C294" i="57" s="1"/>
  <c r="K294" i="57"/>
  <c r="M294" i="57" l="1"/>
  <c r="E295" i="57"/>
  <c r="J295" i="57"/>
  <c r="G295" i="57"/>
  <c r="B295" i="57"/>
  <c r="I295" i="57"/>
  <c r="L295" i="57"/>
  <c r="H295" i="57"/>
  <c r="F295" i="57" l="1"/>
  <c r="D295" i="57" s="1"/>
  <c r="C295" i="57" s="1"/>
  <c r="K295" i="57"/>
  <c r="M295" i="57" l="1"/>
  <c r="B296" i="57"/>
  <c r="J296" i="57"/>
  <c r="I296" i="57"/>
  <c r="G296" i="57"/>
  <c r="L296" i="57"/>
  <c r="H296" i="57"/>
  <c r="E296" i="57"/>
  <c r="K296" i="57" l="1"/>
  <c r="F296" i="57"/>
  <c r="D296" i="57" s="1"/>
  <c r="C296" i="57" s="1"/>
  <c r="G297" i="57" l="1"/>
  <c r="L297" i="57"/>
  <c r="E297" i="57"/>
  <c r="I297" i="57"/>
  <c r="J297" i="57"/>
  <c r="B297" i="57"/>
  <c r="H297" i="57"/>
  <c r="M296" i="57"/>
  <c r="F297" i="57" l="1"/>
  <c r="D297" i="57" s="1"/>
  <c r="C297" i="57" s="1"/>
  <c r="K297" i="57"/>
  <c r="M297" i="57" l="1"/>
  <c r="L298" i="57"/>
  <c r="E298" i="57"/>
  <c r="B298" i="57"/>
  <c r="H298" i="57"/>
  <c r="G298" i="57"/>
  <c r="J298" i="57"/>
  <c r="I298" i="57"/>
  <c r="F298" i="57" l="1"/>
  <c r="D298" i="57" s="1"/>
  <c r="C298" i="57" s="1"/>
  <c r="K298" i="57"/>
  <c r="M298" i="57" l="1"/>
  <c r="H299" i="57"/>
  <c r="E299" i="57"/>
  <c r="L299" i="57"/>
  <c r="J299" i="57"/>
  <c r="G299" i="57"/>
  <c r="B299" i="57"/>
  <c r="I299" i="57"/>
  <c r="F299" i="57" l="1"/>
  <c r="D299" i="57" s="1"/>
  <c r="C299" i="57" s="1"/>
  <c r="K299" i="57"/>
  <c r="M299" i="57" l="1"/>
  <c r="I300" i="57"/>
  <c r="L300" i="57"/>
  <c r="E300" i="57"/>
  <c r="H300" i="57"/>
  <c r="G300" i="57"/>
  <c r="D300" i="57"/>
  <c r="C300" i="57" s="1"/>
  <c r="J300" i="57"/>
  <c r="B300" i="57"/>
  <c r="F300" i="57" s="1"/>
  <c r="K300" i="57" l="1"/>
  <c r="M300" i="57" s="1"/>
  <c r="J301" i="57"/>
  <c r="G301" i="57"/>
  <c r="I301" i="57"/>
  <c r="H301" i="57"/>
  <c r="L301" i="57"/>
  <c r="B301" i="57"/>
  <c r="F301" i="57" s="1"/>
  <c r="D301" i="57" s="1"/>
  <c r="C301" i="57" s="1"/>
  <c r="E301" i="57"/>
  <c r="K301" i="57" l="1"/>
  <c r="M301" i="57" s="1"/>
  <c r="H302" i="57"/>
  <c r="G302" i="57"/>
  <c r="L302" i="57"/>
  <c r="I302" i="57"/>
  <c r="E302" i="57"/>
  <c r="B302" i="57"/>
  <c r="J302" i="57"/>
  <c r="K302" i="57" l="1"/>
  <c r="F302" i="57"/>
  <c r="D302" i="57" s="1"/>
  <c r="C302" i="57" s="1"/>
  <c r="E303" i="57" l="1"/>
  <c r="L303" i="57"/>
  <c r="H303" i="57"/>
  <c r="B303" i="57"/>
  <c r="F303" i="57" s="1"/>
  <c r="D303" i="57" s="1"/>
  <c r="C303" i="57" s="1"/>
  <c r="J303" i="57"/>
  <c r="I303" i="57"/>
  <c r="G303" i="57"/>
  <c r="M302" i="57"/>
  <c r="K303" i="57" l="1"/>
  <c r="M303" i="57" s="1"/>
  <c r="J304" i="57"/>
  <c r="E304" i="57"/>
  <c r="G304" i="57"/>
  <c r="H304" i="57"/>
  <c r="L304" i="57"/>
  <c r="B304" i="57"/>
  <c r="F304" i="57" s="1"/>
  <c r="D304" i="57" s="1"/>
  <c r="C304" i="57" s="1"/>
  <c r="I304" i="57"/>
  <c r="K304" i="57" l="1"/>
  <c r="M304" i="57" s="1"/>
  <c r="B305" i="57"/>
  <c r="F305" i="57" s="1"/>
  <c r="J305" i="57"/>
  <c r="G305" i="57"/>
  <c r="L305" i="57"/>
  <c r="H305" i="57"/>
  <c r="E305" i="57"/>
  <c r="I305" i="57"/>
  <c r="D305" i="57" l="1"/>
  <c r="C305" i="57" s="1"/>
  <c r="L306" i="57" s="1"/>
  <c r="K305" i="57"/>
  <c r="M305" i="57" s="1"/>
  <c r="H306" i="57" l="1"/>
  <c r="I306" i="57"/>
  <c r="J306" i="57"/>
  <c r="G306" i="57"/>
  <c r="B306" i="57"/>
  <c r="F306" i="57" s="1"/>
  <c r="E306" i="57"/>
  <c r="K306" i="57" l="1"/>
  <c r="M306" i="57" s="1"/>
  <c r="D306" i="57"/>
  <c r="C306" i="57" s="1"/>
  <c r="J307" i="57" s="1"/>
  <c r="L307" i="57" l="1"/>
  <c r="H307" i="57"/>
  <c r="G307" i="57"/>
  <c r="B307" i="57"/>
  <c r="F307" i="57" s="1"/>
  <c r="I307" i="57"/>
  <c r="E307" i="57"/>
  <c r="D307" i="57" l="1"/>
  <c r="C307" i="57" s="1"/>
  <c r="E308" i="57" s="1"/>
  <c r="K307" i="57"/>
  <c r="M307" i="57" s="1"/>
  <c r="L308" i="57" l="1"/>
  <c r="B308" i="57"/>
  <c r="F308" i="57" s="1"/>
  <c r="H308" i="57"/>
  <c r="I308" i="57"/>
  <c r="G308" i="57"/>
  <c r="J308" i="57"/>
  <c r="D308" i="57"/>
  <c r="C308" i="57" s="1"/>
  <c r="I309" i="57" s="1"/>
  <c r="K308" i="57" l="1"/>
  <c r="M308" i="57" s="1"/>
  <c r="H309" i="57"/>
  <c r="L309" i="57"/>
  <c r="E309" i="57"/>
  <c r="G309" i="57"/>
  <c r="J309" i="57"/>
  <c r="B309" i="57"/>
  <c r="F309" i="57" s="1"/>
  <c r="D309" i="57" s="1"/>
  <c r="C309" i="57" s="1"/>
  <c r="B310" i="57" s="1"/>
  <c r="K309" i="57" l="1"/>
  <c r="M309" i="57" s="1"/>
  <c r="H310" i="57"/>
  <c r="L310" i="57"/>
  <c r="E310" i="57"/>
  <c r="I310" i="57"/>
  <c r="J310" i="57"/>
  <c r="G310" i="57"/>
  <c r="F310" i="57"/>
  <c r="D310" i="57" s="1"/>
  <c r="C310" i="57" s="1"/>
  <c r="K310" i="57" l="1"/>
  <c r="M310" i="57" s="1"/>
  <c r="B311" i="57"/>
  <c r="F311" i="57" s="1"/>
  <c r="J311" i="57"/>
  <c r="G311" i="57"/>
  <c r="I311" i="57"/>
  <c r="E311" i="57"/>
  <c r="D311" i="57" s="1"/>
  <c r="C311" i="57" s="1"/>
  <c r="H311" i="57"/>
  <c r="L311" i="57"/>
  <c r="K311" i="57" l="1"/>
  <c r="M311" i="57" s="1"/>
  <c r="L312" i="57"/>
  <c r="H312" i="57"/>
  <c r="J312" i="57"/>
  <c r="E312" i="57"/>
  <c r="I312" i="57"/>
  <c r="G312" i="57"/>
  <c r="B312" i="57"/>
  <c r="F312" i="57" s="1"/>
  <c r="D312" i="57" s="1"/>
  <c r="C312" i="57" s="1"/>
  <c r="K312" i="57" l="1"/>
  <c r="M312" i="57" s="1"/>
  <c r="B313" i="57"/>
  <c r="G313" i="57"/>
  <c r="J313" i="57"/>
  <c r="E313" i="57"/>
  <c r="I313" i="57"/>
  <c r="H313" i="57"/>
  <c r="L313" i="57"/>
  <c r="K313" i="57" l="1"/>
  <c r="F313" i="57"/>
  <c r="D313" i="57" s="1"/>
  <c r="C313" i="57" s="1"/>
  <c r="H314" i="57" l="1"/>
  <c r="B314" i="57"/>
  <c r="F314" i="57" s="1"/>
  <c r="G314" i="57"/>
  <c r="J314" i="57"/>
  <c r="I314" i="57"/>
  <c r="L314" i="57"/>
  <c r="E314" i="57"/>
  <c r="M313" i="57"/>
  <c r="D314" i="57" l="1"/>
  <c r="C314" i="57" s="1"/>
  <c r="B315" i="57" s="1"/>
  <c r="K314" i="57"/>
  <c r="M314" i="57" s="1"/>
  <c r="E315" i="57" l="1"/>
  <c r="J315" i="57"/>
  <c r="H315" i="57"/>
  <c r="G315" i="57"/>
  <c r="I315" i="57"/>
  <c r="L315" i="57"/>
  <c r="F315" i="57"/>
  <c r="D315" i="57" s="1"/>
  <c r="C315" i="57" s="1"/>
  <c r="K315" i="57" l="1"/>
  <c r="M315" i="57" s="1"/>
  <c r="G316" i="57"/>
  <c r="J316" i="57"/>
  <c r="B316" i="57"/>
  <c r="F316" i="57" s="1"/>
  <c r="L316" i="57"/>
  <c r="E316" i="57"/>
  <c r="H316" i="57"/>
  <c r="I316" i="57"/>
  <c r="D316" i="57" l="1"/>
  <c r="C316" i="57" s="1"/>
  <c r="L317" i="57" s="1"/>
  <c r="K316" i="57"/>
  <c r="M316" i="57" s="1"/>
  <c r="H317" i="57" l="1"/>
  <c r="G317" i="57"/>
  <c r="B317" i="57"/>
  <c r="F317" i="57" s="1"/>
  <c r="J317" i="57"/>
  <c r="E317" i="57"/>
  <c r="I317" i="57"/>
  <c r="D317" i="57" l="1"/>
  <c r="C317" i="57" s="1"/>
  <c r="E318" i="57" s="1"/>
  <c r="K317" i="57"/>
  <c r="M317" i="57" s="1"/>
  <c r="H318" i="57"/>
  <c r="J318" i="57"/>
  <c r="L318" i="57" l="1"/>
  <c r="B318" i="57"/>
  <c r="G318" i="57"/>
  <c r="I318" i="57"/>
  <c r="K318" i="57" s="1"/>
  <c r="F318" i="57"/>
  <c r="D318" i="57" s="1"/>
  <c r="C318" i="57" s="1"/>
  <c r="M318" i="57" l="1"/>
  <c r="L319" i="57"/>
  <c r="H319" i="57"/>
  <c r="I319" i="57"/>
  <c r="B319" i="57"/>
  <c r="E319" i="57"/>
  <c r="J319" i="57"/>
  <c r="G319" i="57"/>
  <c r="K319" i="57" l="1"/>
  <c r="F319" i="57"/>
  <c r="D319" i="57" s="1"/>
  <c r="C319" i="57" s="1"/>
  <c r="M319" i="57" l="1"/>
  <c r="G320" i="57"/>
  <c r="E320" i="57"/>
  <c r="H320" i="57"/>
  <c r="B320" i="57"/>
  <c r="I320" i="57"/>
  <c r="L320" i="57"/>
  <c r="J320" i="57"/>
  <c r="F320" i="57" l="1"/>
  <c r="D320" i="57" s="1"/>
  <c r="C320" i="57" s="1"/>
  <c r="K320" i="57"/>
  <c r="M320" i="57" l="1"/>
  <c r="G321" i="57"/>
  <c r="H321" i="57"/>
  <c r="J321" i="57"/>
  <c r="L321" i="57"/>
  <c r="B321" i="57"/>
  <c r="E321" i="57"/>
  <c r="I321" i="57"/>
  <c r="F321" i="57" l="1"/>
  <c r="D321" i="57" s="1"/>
  <c r="C321" i="57" s="1"/>
  <c r="K321" i="57"/>
  <c r="M321" i="57" l="1"/>
  <c r="H322" i="57"/>
  <c r="E322" i="57"/>
  <c r="L322" i="57"/>
  <c r="I322" i="57"/>
  <c r="B322" i="57"/>
  <c r="F322" i="57" s="1"/>
  <c r="J322" i="57"/>
  <c r="G322" i="57"/>
  <c r="D322" i="57" l="1"/>
  <c r="C322" i="57" s="1"/>
  <c r="B323" i="57" s="1"/>
  <c r="F323" i="57" s="1"/>
  <c r="K322" i="57"/>
  <c r="M322" i="57" s="1"/>
  <c r="L323" i="57" l="1"/>
  <c r="I323" i="57"/>
  <c r="H323" i="57"/>
  <c r="G323" i="57"/>
  <c r="J323" i="57"/>
  <c r="E323" i="57"/>
  <c r="D323" i="57" s="1"/>
  <c r="C323" i="57" s="1"/>
  <c r="L324" i="57" s="1"/>
  <c r="K323" i="57" l="1"/>
  <c r="M323" i="57" s="1"/>
  <c r="B324" i="57"/>
  <c r="F324" i="57" s="1"/>
  <c r="J324" i="57"/>
  <c r="I324" i="57"/>
  <c r="G324" i="57"/>
  <c r="H324" i="57"/>
  <c r="E324" i="57"/>
  <c r="D324" i="57" l="1"/>
  <c r="C324" i="57" s="1"/>
  <c r="B325" i="57" s="1"/>
  <c r="F325" i="57" s="1"/>
  <c r="K324" i="57"/>
  <c r="M324" i="57" s="1"/>
  <c r="J325" i="57" l="1"/>
  <c r="E325" i="57"/>
  <c r="L325" i="57"/>
  <c r="H325" i="57"/>
  <c r="G325" i="57"/>
  <c r="I325" i="57"/>
  <c r="D325" i="57"/>
  <c r="C325" i="57" s="1"/>
  <c r="L326" i="57" s="1"/>
  <c r="K325" i="57" l="1"/>
  <c r="M325" i="57" s="1"/>
  <c r="H326" i="57"/>
  <c r="J326" i="57"/>
  <c r="I326" i="57"/>
  <c r="B326" i="57"/>
  <c r="F326" i="57" s="1"/>
  <c r="G326" i="57"/>
  <c r="E326" i="57"/>
  <c r="D326" i="57" l="1"/>
  <c r="C326" i="57" s="1"/>
  <c r="G327" i="57" s="1"/>
  <c r="K326" i="57"/>
  <c r="M326" i="57" s="1"/>
  <c r="L327" i="57" l="1"/>
  <c r="H327" i="57"/>
  <c r="B327" i="57"/>
  <c r="F327" i="57" s="1"/>
  <c r="D327" i="57" s="1"/>
  <c r="C327" i="57" s="1"/>
  <c r="J327" i="57"/>
  <c r="I327" i="57"/>
  <c r="E327" i="57"/>
  <c r="K327" i="57" l="1"/>
  <c r="M327" i="57" s="1"/>
  <c r="L328" i="57"/>
  <c r="G328" i="57"/>
  <c r="J328" i="57"/>
  <c r="B328" i="57"/>
  <c r="I328" i="57"/>
  <c r="H328" i="57"/>
  <c r="E328" i="57"/>
  <c r="F328" i="57" l="1"/>
  <c r="D328" i="57" s="1"/>
  <c r="C328" i="57" s="1"/>
  <c r="K328" i="57"/>
  <c r="M328" i="57" l="1"/>
  <c r="J329" i="57"/>
  <c r="B329" i="57"/>
  <c r="F329" i="57" s="1"/>
  <c r="H329" i="57"/>
  <c r="L329" i="57"/>
  <c r="E329" i="57"/>
  <c r="I329" i="57"/>
  <c r="G329" i="57"/>
  <c r="D329" i="57" l="1"/>
  <c r="C329" i="57" s="1"/>
  <c r="E330" i="57" s="1"/>
  <c r="K329" i="57"/>
  <c r="M329" i="57" s="1"/>
  <c r="B330" i="57" l="1"/>
  <c r="F330" i="57" s="1"/>
  <c r="D330" i="57" s="1"/>
  <c r="C330" i="57" s="1"/>
  <c r="J330" i="57"/>
  <c r="L330" i="57"/>
  <c r="I330" i="57"/>
  <c r="H330" i="57"/>
  <c r="G330" i="57"/>
  <c r="K330" i="57" l="1"/>
  <c r="M330" i="57" s="1"/>
  <c r="G331" i="57"/>
  <c r="B331" i="57"/>
  <c r="E331" i="57"/>
  <c r="J331" i="57"/>
  <c r="L331" i="57"/>
  <c r="I331" i="57"/>
  <c r="H331" i="57"/>
  <c r="F331" i="57" l="1"/>
  <c r="D331" i="57" s="1"/>
  <c r="C331" i="57" s="1"/>
  <c r="K331" i="57"/>
  <c r="M331" i="57" l="1"/>
  <c r="B332" i="57"/>
  <c r="I332" i="57"/>
  <c r="H332" i="57"/>
  <c r="E332" i="57"/>
  <c r="G332" i="57"/>
  <c r="J332" i="57"/>
  <c r="L332" i="57"/>
  <c r="K332" i="57" l="1"/>
  <c r="F332" i="57"/>
  <c r="D332" i="57" s="1"/>
  <c r="C332" i="57" s="1"/>
  <c r="J333" i="57" l="1"/>
  <c r="H333" i="57"/>
  <c r="L333" i="57"/>
  <c r="G333" i="57"/>
  <c r="E333" i="57"/>
  <c r="B333" i="57"/>
  <c r="I333" i="57"/>
  <c r="M332" i="57"/>
  <c r="K333" i="57" l="1"/>
  <c r="F333" i="57"/>
  <c r="D333" i="57" s="1"/>
  <c r="C333" i="57" s="1"/>
  <c r="M333" i="57" l="1"/>
  <c r="G334" i="57"/>
  <c r="J334" i="57"/>
  <c r="I334" i="57"/>
  <c r="H334" i="57"/>
  <c r="B334" i="57"/>
  <c r="E334" i="57"/>
  <c r="L334" i="57"/>
  <c r="F334" i="57" l="1"/>
  <c r="D334" i="57" s="1"/>
  <c r="C334" i="57" s="1"/>
  <c r="K334" i="57"/>
  <c r="M334" i="57" l="1"/>
  <c r="I335" i="57"/>
  <c r="L335" i="57"/>
  <c r="J335" i="57"/>
  <c r="E335" i="57"/>
  <c r="H335" i="57"/>
  <c r="B335" i="57"/>
  <c r="G335" i="57"/>
  <c r="F335" i="57" l="1"/>
  <c r="D335" i="57" s="1"/>
  <c r="C335" i="57" s="1"/>
  <c r="K335" i="57"/>
  <c r="M335" i="57" l="1"/>
  <c r="G336" i="57"/>
  <c r="J336" i="57"/>
  <c r="B336" i="57"/>
  <c r="I336" i="57"/>
  <c r="E336" i="57"/>
  <c r="H336" i="57"/>
  <c r="L336" i="57"/>
  <c r="F336" i="57" l="1"/>
  <c r="D336" i="57" s="1"/>
  <c r="C336" i="57" s="1"/>
  <c r="K336" i="57"/>
  <c r="M336" i="57" l="1"/>
  <c r="E337" i="57"/>
  <c r="I337" i="57"/>
  <c r="B337" i="57"/>
  <c r="F337" i="57" s="1"/>
  <c r="H337" i="57"/>
  <c r="G337" i="57"/>
  <c r="L337" i="57"/>
  <c r="J337" i="57"/>
  <c r="D337" i="57" l="1"/>
  <c r="C337" i="57" s="1"/>
  <c r="H338" i="57" s="1"/>
  <c r="K337" i="57"/>
  <c r="M337" i="57" s="1"/>
  <c r="E338" i="57" l="1"/>
  <c r="B338" i="57"/>
  <c r="F338" i="57" s="1"/>
  <c r="D338" i="57" s="1"/>
  <c r="C338" i="57" s="1"/>
  <c r="J338" i="57"/>
  <c r="L338" i="57"/>
  <c r="G338" i="57"/>
  <c r="I338" i="57"/>
  <c r="K338" i="57" l="1"/>
  <c r="M338" i="57" s="1"/>
  <c r="J339" i="57"/>
  <c r="E339" i="57"/>
  <c r="H339" i="57"/>
  <c r="G339" i="57"/>
  <c r="B339" i="57"/>
  <c r="I339" i="57"/>
  <c r="L339" i="57"/>
  <c r="F339" i="57" l="1"/>
  <c r="D339" i="57" s="1"/>
  <c r="C339" i="57" s="1"/>
  <c r="K339" i="57"/>
  <c r="M339" i="57" l="1"/>
  <c r="L340" i="57"/>
  <c r="I340" i="57"/>
  <c r="J340" i="57"/>
  <c r="G340" i="57"/>
  <c r="B340" i="57"/>
  <c r="H340" i="57"/>
  <c r="E340" i="57"/>
  <c r="F340" i="57" l="1"/>
  <c r="D340" i="57" s="1"/>
  <c r="C340" i="57" s="1"/>
  <c r="K340" i="57"/>
  <c r="M340" i="57" l="1"/>
  <c r="J341" i="57"/>
  <c r="G341" i="57"/>
  <c r="E341" i="57"/>
  <c r="I341" i="57"/>
  <c r="B341" i="57"/>
  <c r="H341" i="57"/>
  <c r="L341" i="57"/>
  <c r="F341" i="57" l="1"/>
  <c r="D341" i="57" s="1"/>
  <c r="C341" i="57" s="1"/>
  <c r="K341" i="57"/>
  <c r="M341" i="57" l="1"/>
  <c r="G342" i="57"/>
  <c r="I342" i="57"/>
  <c r="B342" i="57"/>
  <c r="L342" i="57"/>
  <c r="H342" i="57"/>
  <c r="E342" i="57"/>
  <c r="J342" i="57"/>
  <c r="F342" i="57" l="1"/>
  <c r="D342" i="57" s="1"/>
  <c r="C342" i="57" s="1"/>
  <c r="K342" i="57"/>
  <c r="M342" i="57" l="1"/>
  <c r="L343" i="57"/>
  <c r="G343" i="57"/>
  <c r="H343" i="57"/>
  <c r="E343" i="57"/>
  <c r="J343" i="57"/>
  <c r="B343" i="57"/>
  <c r="I343" i="57"/>
  <c r="F343" i="57" l="1"/>
  <c r="D343" i="57" s="1"/>
  <c r="C343" i="57" s="1"/>
  <c r="K343" i="57"/>
  <c r="M343" i="57" l="1"/>
  <c r="B344" i="57"/>
  <c r="F344" i="57" s="1"/>
  <c r="H344" i="57"/>
  <c r="E344" i="57"/>
  <c r="G344" i="57"/>
  <c r="L344" i="57"/>
  <c r="J344" i="57"/>
  <c r="I344" i="57"/>
  <c r="D344" i="57" l="1"/>
  <c r="C344" i="57" s="1"/>
  <c r="G345" i="57" s="1"/>
  <c r="K344" i="57"/>
  <c r="M344" i="57" s="1"/>
  <c r="I345" i="57" l="1"/>
  <c r="E345" i="57"/>
  <c r="L345" i="57"/>
  <c r="B345" i="57"/>
  <c r="F345" i="57" s="1"/>
  <c r="D345" i="57" s="1"/>
  <c r="C345" i="57" s="1"/>
  <c r="H345" i="57"/>
  <c r="J345" i="57"/>
  <c r="K345" i="57" l="1"/>
  <c r="M345" i="57" s="1"/>
  <c r="H346" i="57"/>
  <c r="I346" i="57"/>
  <c r="G346" i="57"/>
  <c r="J346" i="57"/>
  <c r="E346" i="57"/>
  <c r="L346" i="57"/>
  <c r="B346" i="57"/>
  <c r="F346" i="57" l="1"/>
  <c r="D346" i="57" s="1"/>
  <c r="C346" i="57" s="1"/>
  <c r="K346" i="57"/>
  <c r="M346" i="57" l="1"/>
  <c r="G347" i="57"/>
  <c r="B347" i="57"/>
  <c r="F347" i="57" s="1"/>
  <c r="L347" i="57"/>
  <c r="E347" i="57"/>
  <c r="J347" i="57"/>
  <c r="H347" i="57"/>
  <c r="I347" i="57"/>
  <c r="D347" i="57" l="1"/>
  <c r="C347" i="57" s="1"/>
  <c r="L348" i="57" s="1"/>
  <c r="K347" i="57"/>
  <c r="M347" i="57" s="1"/>
  <c r="G348" i="57" l="1"/>
  <c r="E348" i="57"/>
  <c r="I348" i="57"/>
  <c r="B348" i="57"/>
  <c r="F348" i="57" s="1"/>
  <c r="D348" i="57" s="1"/>
  <c r="C348" i="57" s="1"/>
  <c r="J348" i="57"/>
  <c r="H348" i="57"/>
  <c r="K348" i="57" l="1"/>
  <c r="M348" i="57" s="1"/>
  <c r="G349" i="57"/>
  <c r="I349" i="57"/>
  <c r="B349" i="57"/>
  <c r="H349" i="57"/>
  <c r="L349" i="57"/>
  <c r="J349" i="57"/>
  <c r="E349" i="57"/>
  <c r="F349" i="57" l="1"/>
  <c r="D349" i="57" s="1"/>
  <c r="C349" i="57" s="1"/>
  <c r="K349" i="57"/>
  <c r="M349" i="57" l="1"/>
  <c r="J350" i="57"/>
  <c r="B350" i="57"/>
  <c r="G350" i="57"/>
  <c r="L350" i="57"/>
  <c r="E350" i="57"/>
  <c r="H350" i="57"/>
  <c r="I350" i="57"/>
  <c r="K350" i="57" l="1"/>
  <c r="F350" i="57"/>
  <c r="D350" i="57" s="1"/>
  <c r="C350" i="57" s="1"/>
  <c r="G351" i="57" l="1"/>
  <c r="E351" i="57"/>
  <c r="J351" i="57"/>
  <c r="I351" i="57"/>
  <c r="H351" i="57"/>
  <c r="B351" i="57"/>
  <c r="F351" i="57" s="1"/>
  <c r="D351" i="57" s="1"/>
  <c r="C351" i="57" s="1"/>
  <c r="L351" i="57"/>
  <c r="M350" i="57"/>
  <c r="L352" i="57" l="1"/>
  <c r="E352" i="57"/>
  <c r="I352" i="57"/>
  <c r="G352" i="57"/>
  <c r="H352" i="57"/>
  <c r="J352" i="57"/>
  <c r="B352" i="57"/>
  <c r="K351" i="57"/>
  <c r="M351" i="57" s="1"/>
  <c r="F352" i="57" l="1"/>
  <c r="D352" i="57" s="1"/>
  <c r="C352" i="57" s="1"/>
  <c r="K352" i="57"/>
  <c r="M352" i="57" l="1"/>
  <c r="I353" i="57"/>
  <c r="E353" i="57"/>
  <c r="J353" i="57"/>
  <c r="H353" i="57"/>
  <c r="G353" i="57"/>
  <c r="B353" i="57"/>
  <c r="F353" i="57" s="1"/>
  <c r="D353" i="57" s="1"/>
  <c r="C353" i="57" s="1"/>
  <c r="L353" i="57"/>
  <c r="K353" i="57" l="1"/>
  <c r="M353" i="57" s="1"/>
  <c r="L354" i="57"/>
  <c r="G354" i="57"/>
  <c r="J354" i="57"/>
  <c r="I354" i="57"/>
  <c r="E354" i="57"/>
  <c r="H354" i="57"/>
  <c r="B354" i="57"/>
  <c r="F354" i="57" l="1"/>
  <c r="D354" i="57" s="1"/>
  <c r="C354" i="57" s="1"/>
  <c r="K354" i="57"/>
  <c r="M354" i="57" l="1"/>
  <c r="L355" i="57"/>
  <c r="H355" i="57"/>
  <c r="B355" i="57"/>
  <c r="E355" i="57"/>
  <c r="I355" i="57"/>
  <c r="G355" i="57"/>
  <c r="J355" i="57"/>
  <c r="K355" i="57" l="1"/>
  <c r="F355" i="57"/>
  <c r="D355" i="57" s="1"/>
  <c r="C355" i="57" s="1"/>
  <c r="M355" i="57" l="1"/>
  <c r="G356" i="57"/>
  <c r="L356" i="57"/>
  <c r="H356" i="57"/>
  <c r="I356" i="57"/>
  <c r="E356" i="57"/>
  <c r="J356" i="57"/>
  <c r="B356" i="57"/>
  <c r="F356" i="57" s="1"/>
  <c r="D356" i="57" l="1"/>
  <c r="C356" i="57" s="1"/>
  <c r="I357" i="57" s="1"/>
  <c r="K356" i="57"/>
  <c r="M356" i="57" s="1"/>
  <c r="G357" i="57" l="1"/>
  <c r="L357" i="57"/>
  <c r="B357" i="57"/>
  <c r="F357" i="57" s="1"/>
  <c r="J357" i="57"/>
  <c r="E357" i="57"/>
  <c r="H357" i="57"/>
  <c r="D357" i="57" l="1"/>
  <c r="C357" i="57" s="1"/>
  <c r="I358" i="57" s="1"/>
  <c r="K357" i="57"/>
  <c r="M357" i="57" s="1"/>
  <c r="L358" i="57" l="1"/>
  <c r="H358" i="57"/>
  <c r="J358" i="57"/>
  <c r="G358" i="57"/>
  <c r="E358" i="57"/>
  <c r="B358" i="57"/>
  <c r="F358" i="57" s="1"/>
  <c r="D358" i="57" s="1"/>
  <c r="C358" i="57" s="1"/>
  <c r="L359" i="57" s="1"/>
  <c r="K358" i="57" l="1"/>
  <c r="M358" i="57" s="1"/>
  <c r="I359" i="57"/>
  <c r="H359" i="57"/>
  <c r="B359" i="57"/>
  <c r="F359" i="57" s="1"/>
  <c r="E359" i="57"/>
  <c r="G359" i="57"/>
  <c r="J359" i="57"/>
  <c r="D359" i="57" l="1"/>
  <c r="C359" i="57" s="1"/>
  <c r="I360" i="57" s="1"/>
  <c r="K359" i="57"/>
  <c r="M359" i="57" s="1"/>
  <c r="H360" i="57" l="1"/>
  <c r="G360" i="57"/>
  <c r="E360" i="57"/>
  <c r="J360" i="57"/>
  <c r="K360" i="57" s="1"/>
  <c r="L360" i="57"/>
  <c r="B360" i="57"/>
  <c r="F360" i="57" s="1"/>
  <c r="D360" i="57"/>
  <c r="C360" i="57" s="1"/>
  <c r="E361" i="57" s="1"/>
  <c r="L361" i="57" l="1"/>
  <c r="I361" i="57"/>
  <c r="J361" i="57"/>
  <c r="M360" i="57"/>
  <c r="G361" i="57"/>
  <c r="B361" i="57"/>
  <c r="F361" i="57" s="1"/>
  <c r="H361" i="57"/>
  <c r="D361" i="57"/>
  <c r="C361" i="57" s="1"/>
  <c r="J362" i="57" s="1"/>
  <c r="K361" i="57" l="1"/>
  <c r="M361" i="57" s="1"/>
  <c r="H362" i="57"/>
  <c r="E362" i="57"/>
  <c r="G362" i="57"/>
  <c r="L362" i="57"/>
  <c r="B362" i="57"/>
  <c r="F362" i="57" s="1"/>
  <c r="D362" i="57" s="1"/>
  <c r="C362" i="57" s="1"/>
  <c r="I362" i="57"/>
  <c r="K362" i="57" l="1"/>
  <c r="M362" i="57" s="1"/>
  <c r="G363" i="57"/>
  <c r="E363" i="57"/>
  <c r="J363" i="57"/>
  <c r="I363" i="57"/>
  <c r="B363" i="57"/>
  <c r="L363" i="57"/>
  <c r="H363" i="57"/>
  <c r="F363" i="57" l="1"/>
  <c r="D363" i="57" s="1"/>
  <c r="C363" i="57" s="1"/>
  <c r="K363" i="57"/>
  <c r="M363" i="57" l="1"/>
  <c r="G364" i="57"/>
  <c r="J364" i="57"/>
  <c r="I364" i="57"/>
  <c r="E364" i="57"/>
  <c r="B364" i="57"/>
  <c r="L364" i="57"/>
  <c r="H364" i="57"/>
  <c r="F364" i="57" l="1"/>
  <c r="D364" i="57" s="1"/>
  <c r="C364" i="57" s="1"/>
  <c r="K364" i="57"/>
  <c r="M364" i="57" l="1"/>
  <c r="G365" i="57"/>
  <c r="E365" i="57"/>
  <c r="L365" i="57"/>
  <c r="H365" i="57"/>
  <c r="B365" i="57"/>
  <c r="I365" i="57"/>
  <c r="J365" i="57"/>
  <c r="F365" i="57" l="1"/>
  <c r="D365" i="57" s="1"/>
  <c r="C365" i="57" s="1"/>
  <c r="K365" i="57"/>
  <c r="M365" i="57" l="1"/>
  <c r="H366" i="57"/>
  <c r="L366" i="57"/>
  <c r="I366" i="57"/>
  <c r="J366" i="57"/>
  <c r="E366" i="57"/>
  <c r="G366" i="57"/>
  <c r="B366" i="57"/>
  <c r="F366" i="57" l="1"/>
  <c r="D366" i="57" s="1"/>
  <c r="C366" i="57" s="1"/>
  <c r="K366" i="57"/>
  <c r="M366" i="57" l="1"/>
  <c r="B367" i="57"/>
  <c r="L367" i="57"/>
  <c r="E367" i="57"/>
  <c r="G367" i="57"/>
  <c r="J367" i="57"/>
  <c r="I367" i="57"/>
  <c r="H367" i="57"/>
  <c r="K367" i="57" l="1"/>
  <c r="F367" i="57"/>
  <c r="D367" i="57" s="1"/>
  <c r="C367" i="57" s="1"/>
  <c r="J368" i="57" l="1"/>
  <c r="I368" i="57"/>
  <c r="H368" i="57"/>
  <c r="E368" i="57"/>
  <c r="L368" i="57"/>
  <c r="B368" i="57"/>
  <c r="G368" i="57"/>
  <c r="M367" i="57"/>
  <c r="K368" i="57" l="1"/>
  <c r="F368" i="57"/>
  <c r="D368" i="57" s="1"/>
  <c r="C368" i="57" s="1"/>
  <c r="M368" i="57" l="1"/>
  <c r="I369" i="57"/>
  <c r="B369" i="57"/>
  <c r="G369" i="57"/>
  <c r="E369" i="57"/>
  <c r="H369" i="57"/>
  <c r="J369" i="57"/>
  <c r="L369" i="57"/>
  <c r="K369" i="57" l="1"/>
  <c r="F369" i="57"/>
  <c r="D369" i="57" s="1"/>
  <c r="C369" i="57" s="1"/>
  <c r="H370" i="57" l="1"/>
  <c r="I370" i="57"/>
  <c r="B370" i="57"/>
  <c r="F370" i="57" s="1"/>
  <c r="J370" i="57"/>
  <c r="L370" i="57"/>
  <c r="E370" i="57"/>
  <c r="G370" i="57"/>
  <c r="M369" i="57"/>
  <c r="D370" i="57" l="1"/>
  <c r="C370" i="57" s="1"/>
  <c r="I371" i="57" s="1"/>
  <c r="K370" i="57"/>
  <c r="M370" i="57" s="1"/>
  <c r="J371" i="57" l="1"/>
  <c r="B371" i="57"/>
  <c r="F371" i="57" s="1"/>
  <c r="D371" i="57" s="1"/>
  <c r="C371" i="57" s="1"/>
  <c r="E371" i="57"/>
  <c r="H371" i="57"/>
  <c r="G371" i="57"/>
  <c r="L371" i="57"/>
  <c r="K371" i="57" l="1"/>
  <c r="M371" i="57" s="1"/>
  <c r="J372" i="57"/>
  <c r="L372" i="57"/>
  <c r="B372" i="57"/>
  <c r="F372" i="57" s="1"/>
  <c r="H372" i="57"/>
  <c r="G372" i="57"/>
  <c r="I372" i="57"/>
  <c r="E372" i="57"/>
  <c r="D372" i="57" s="1"/>
  <c r="C372" i="57" s="1"/>
  <c r="J373" i="57" l="1"/>
  <c r="H373" i="57"/>
  <c r="I373" i="57"/>
  <c r="E373" i="57"/>
  <c r="G373" i="57"/>
  <c r="L373" i="57"/>
  <c r="B373" i="57"/>
  <c r="F373" i="57" s="1"/>
  <c r="D373" i="57" s="1"/>
  <c r="C373" i="57" s="1"/>
  <c r="K372" i="57"/>
  <c r="M372" i="57" s="1"/>
  <c r="K373" i="57" l="1"/>
  <c r="M373" i="57" s="1"/>
  <c r="I374" i="57"/>
  <c r="L374" i="57"/>
  <c r="G374" i="57"/>
  <c r="H374" i="57"/>
  <c r="B374" i="57"/>
  <c r="J374" i="57"/>
  <c r="E374" i="57"/>
  <c r="K374" i="57" l="1"/>
  <c r="F374" i="57"/>
  <c r="D374" i="57" s="1"/>
  <c r="C374" i="57" s="1"/>
  <c r="H375" i="57" l="1"/>
  <c r="G375" i="57"/>
  <c r="J375" i="57"/>
  <c r="I375" i="57"/>
  <c r="B375" i="57"/>
  <c r="L375" i="57"/>
  <c r="E375" i="57"/>
  <c r="M374" i="57"/>
  <c r="K375" i="57" l="1"/>
  <c r="F375" i="57"/>
  <c r="D375" i="57" s="1"/>
  <c r="C375" i="57" s="1"/>
  <c r="G376" i="57" l="1"/>
  <c r="E376" i="57"/>
  <c r="I376" i="57"/>
  <c r="L376" i="57"/>
  <c r="H376" i="57"/>
  <c r="B376" i="57"/>
  <c r="F376" i="57" s="1"/>
  <c r="J376" i="57"/>
  <c r="M375" i="57"/>
  <c r="D376" i="57" l="1"/>
  <c r="C376" i="57" s="1"/>
  <c r="J377" i="57" s="1"/>
  <c r="K376" i="57"/>
  <c r="M376" i="57" s="1"/>
  <c r="B377" i="57" l="1"/>
  <c r="F377" i="57" s="1"/>
  <c r="H377" i="57"/>
  <c r="G377" i="57"/>
  <c r="E377" i="57"/>
  <c r="L377" i="57"/>
  <c r="I377" i="57"/>
  <c r="D377" i="57" l="1"/>
  <c r="C377" i="57" s="1"/>
  <c r="B378" i="57" s="1"/>
  <c r="K377" i="57"/>
  <c r="M377" i="57" s="1"/>
  <c r="L378" i="57" l="1"/>
  <c r="H378" i="57"/>
  <c r="I378" i="57"/>
  <c r="G378" i="57"/>
  <c r="E378" i="57"/>
  <c r="J378" i="57"/>
  <c r="F378" i="57"/>
  <c r="D378" i="57" s="1"/>
  <c r="C378" i="57" s="1"/>
  <c r="K378" i="57" l="1"/>
  <c r="M378" i="57" s="1"/>
  <c r="C14" i="57"/>
  <c r="E14" i="5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<sst xmlns="http://schemas.openxmlformats.org/spreadsheetml/2006/main" count="11943" uniqueCount="2748">
  <si>
    <t>Crédito de ViviendaHasta 60</t>
  </si>
  <si>
    <t>Crédito de ViviendaEntre 61 y 84</t>
  </si>
  <si>
    <t>Crédito de ViviendaEntre 85 y 120</t>
  </si>
  <si>
    <t>Crédito de ViviendaEntre 121 y 180</t>
  </si>
  <si>
    <t>Crédito de ViviendaEntre 181 y 240</t>
  </si>
  <si>
    <t>Crédito de ViviendaMás de 240</t>
  </si>
  <si>
    <t>Leasing Habitacional FamiliarHasta 60</t>
  </si>
  <si>
    <t>Leasing Habitacional FamiliarEntre 61 y 84</t>
  </si>
  <si>
    <t>Leasing Habitacional FamiliarEntre 85 y 120</t>
  </si>
  <si>
    <t>Leasing Habitacional FamiliarEntre 121 y 180</t>
  </si>
  <si>
    <t>Leasing Habitacional FamiliarEntre 181 y 240</t>
  </si>
  <si>
    <t>Leasing Habitacional FamiliarMás de 240</t>
  </si>
  <si>
    <t>Compra de carteraHasta 60</t>
  </si>
  <si>
    <t>Compra de carteraEntre 61 y 84</t>
  </si>
  <si>
    <t>Compra de carteraEntre 85 y 120</t>
  </si>
  <si>
    <t>Compra de carteraEntre 121 y 180</t>
  </si>
  <si>
    <t>Compra de carteraEntre 181 y 240</t>
  </si>
  <si>
    <t>Compra de carteraMás de 240</t>
  </si>
  <si>
    <t>RemodelacionHasta 60</t>
  </si>
  <si>
    <t>RemodelacionEntre 61 y 84</t>
  </si>
  <si>
    <t>RemodelacionEntre 85 y 120</t>
  </si>
  <si>
    <t>RemodelacionEntre 121 y 180</t>
  </si>
  <si>
    <t>RemodelacionEntre 181 y 240</t>
  </si>
  <si>
    <t>RemodelacionMás de 240</t>
  </si>
  <si>
    <t>Leasing Habitacional No FamiliarHasta 60</t>
  </si>
  <si>
    <t>Leasing Habitacional No FamiliarEntre 61 y 84</t>
  </si>
  <si>
    <t>Leasing Habitacional No FamiliarEntre 85 y 120</t>
  </si>
  <si>
    <t>Leasing Habitacional No FamiliarEntre 121 y 180</t>
  </si>
  <si>
    <t>Leasing Habitacional No FamiliarEntre 181 y 240</t>
  </si>
  <si>
    <t>Leasing Habitacional No FamiliarMás de 240</t>
  </si>
  <si>
    <t>Tasas EA</t>
  </si>
  <si>
    <t>Crédito de Vivienda</t>
  </si>
  <si>
    <t>Leasing Habitacional Familiar</t>
  </si>
  <si>
    <t>Compra de cartera</t>
  </si>
  <si>
    <t>Remodelacion</t>
  </si>
  <si>
    <t>Leasing Habitacional No Familiar</t>
  </si>
  <si>
    <t>Crédito de Vivienda en UVR</t>
  </si>
  <si>
    <t>Segmento</t>
  </si>
  <si>
    <t>Tipo de Vivienda</t>
  </si>
  <si>
    <t>Proyecto Financiado</t>
  </si>
  <si>
    <t>Acierta</t>
  </si>
  <si>
    <t>Tipo de Cliente</t>
  </si>
  <si>
    <t>Hasta 60</t>
  </si>
  <si>
    <t>Entre 61 y 84</t>
  </si>
  <si>
    <t>Entre 85 y 120</t>
  </si>
  <si>
    <t>Entre 121 y 180</t>
  </si>
  <si>
    <t>Entre 181 y 240</t>
  </si>
  <si>
    <t>Más de 240</t>
  </si>
  <si>
    <t>Mas de 240</t>
  </si>
  <si>
    <t>PersonasNO VISSi&gt;=789Asalariado y Pensionado</t>
  </si>
  <si>
    <t>Personas</t>
  </si>
  <si>
    <t>NO VIS</t>
  </si>
  <si>
    <t>Si</t>
  </si>
  <si>
    <t>&gt;=789</t>
  </si>
  <si>
    <t>Asalariado y Pensionado</t>
  </si>
  <si>
    <t>PersonasNO VISSi&gt;=789Otros</t>
  </si>
  <si>
    <t>Otros</t>
  </si>
  <si>
    <t>PersonasNO VISSi&lt;789Asalariado y Pensionado</t>
  </si>
  <si>
    <t>&lt;789</t>
  </si>
  <si>
    <t>PersonasNO VISSi&lt;789Otros</t>
  </si>
  <si>
    <t>PersonasNO VISNo&gt;=789Asalariado y Pensionado</t>
  </si>
  <si>
    <t>No</t>
  </si>
  <si>
    <t>PersonasNO VISNo&gt;=789Otros</t>
  </si>
  <si>
    <t>PersonasNO VISNo&lt;789Asalariado y Pensionado</t>
  </si>
  <si>
    <t>PersonasNO VISNo&lt;789Otros</t>
  </si>
  <si>
    <t>PersonasVISSi&gt;=789Asalariado y Pensionado</t>
  </si>
  <si>
    <t>VIS</t>
  </si>
  <si>
    <t>PersonasVISSi&gt;=789Otros</t>
  </si>
  <si>
    <t>PersonasVISSi&lt;789Asalariado y Pensionado</t>
  </si>
  <si>
    <t>PersonasVISSi&lt;789Otros</t>
  </si>
  <si>
    <t>PersonasVISNo&gt;=789Asalariado y Pensionado</t>
  </si>
  <si>
    <t>PersonasVISNo&gt;=789Otros</t>
  </si>
  <si>
    <t>PersonasVISNo&lt;789Asalariado y Pensionado</t>
  </si>
  <si>
    <t>PersonasVISNo&lt;789Otros</t>
  </si>
  <si>
    <t>PreferenteNO VISSi&gt;=789Asalariado y Pensionado</t>
  </si>
  <si>
    <t>Preferente</t>
  </si>
  <si>
    <t>PreferenteNO VISSi&gt;=789Otros</t>
  </si>
  <si>
    <t>PreferenteNO VISSi&lt;789Asalariado y Pensionado</t>
  </si>
  <si>
    <t>PreferenteNO VISSi&lt;789Otros</t>
  </si>
  <si>
    <t>PreferenteNO VISNo&gt;=789Asalariado y Pensionado</t>
  </si>
  <si>
    <t>PreferenteNO VISNo&gt;=789Otros</t>
  </si>
  <si>
    <t>PreferenteNO VISNo&lt;789Asalariado y Pensionado</t>
  </si>
  <si>
    <t>PreferenteNO VISNo&lt;789Otros</t>
  </si>
  <si>
    <t>PreferenteVISSi&gt;=789Asalariado y Pensionado</t>
  </si>
  <si>
    <t>PreferenteVISSi&gt;=789Otros</t>
  </si>
  <si>
    <t>PreferenteVISSi&lt;789Asalariado y Pensionado</t>
  </si>
  <si>
    <t>PreferenteVISSi&lt;789Otros</t>
  </si>
  <si>
    <t>PreferenteVISNo&gt;=789Asalariado y Pensionado</t>
  </si>
  <si>
    <t>PreferenteVISNo&gt;=789Otros</t>
  </si>
  <si>
    <t>PreferenteVISNo&lt;789Asalariado y Pensionado</t>
  </si>
  <si>
    <t>PreferenteVISNo&lt;789Otros</t>
  </si>
  <si>
    <t>PremiumNO VISSi&gt;=789Asalariado y Pensionado</t>
  </si>
  <si>
    <t>Premium</t>
  </si>
  <si>
    <t>PremiumNO VISSi&gt;=789Otros</t>
  </si>
  <si>
    <t>PremiumNO VISSi&lt;789Asalariado y Pensionado</t>
  </si>
  <si>
    <t>PremiumNO VISSi&lt;789Otros</t>
  </si>
  <si>
    <t>PremiumNO VISNo&gt;=789Asalariado y Pensionado</t>
  </si>
  <si>
    <t>PremiumNO VISNo&gt;=789Otros</t>
  </si>
  <si>
    <t>PremiumNO VISNo&lt;789Asalariado y Pensionado</t>
  </si>
  <si>
    <t>PremiumNO VISNo&lt;789Otros</t>
  </si>
  <si>
    <t>PremiumVISSi&gt;=789Asalariado y Pensionado</t>
  </si>
  <si>
    <t>PremiumVISSi&gt;=789Otros</t>
  </si>
  <si>
    <t>PremiumVISSi&lt;789Asalariado y Pensionado</t>
  </si>
  <si>
    <t>PremiumVISSi&lt;789Otros</t>
  </si>
  <si>
    <t>PremiumVISNo&gt;=789Asalariado y Pensionado</t>
  </si>
  <si>
    <t>PremiumVISNo&gt;=789Otros</t>
  </si>
  <si>
    <t>PremiumVISNo&lt;789Asalariado y Pensionado</t>
  </si>
  <si>
    <t>PremiumVISNo&lt;789Otros</t>
  </si>
  <si>
    <t>Actualizado PESOS</t>
  </si>
  <si>
    <t>PRODUCTO</t>
  </si>
  <si>
    <t>DESDE</t>
  </si>
  <si>
    <t>HASTA</t>
  </si>
  <si>
    <t>PESOS</t>
  </si>
  <si>
    <t>UVR</t>
  </si>
  <si>
    <t>LHF</t>
  </si>
  <si>
    <t>LHNF</t>
  </si>
  <si>
    <t>CRÉDITO DIRECTO (VIS / VIP)</t>
  </si>
  <si>
    <t>NA</t>
  </si>
  <si>
    <t>CRÉDITO DIRECTO (NO VIS)</t>
  </si>
  <si>
    <t>LEASING HABITACIONAL FAMILIAR (NO VIS)</t>
  </si>
  <si>
    <t>LEASING HABITACIONAL NO FAMILIAR (NO VIS)</t>
  </si>
  <si>
    <t>COMPRA DE CARTERA (VIS / VIP)</t>
  </si>
  <si>
    <t>COMPRA DE CARTERA (NO VIS)</t>
  </si>
  <si>
    <t>CRÉDITO DE REMODELACIÓN (VIS)</t>
  </si>
  <si>
    <t>CRÉDITO DE REMODELACIÓN (NO VIS)</t>
  </si>
  <si>
    <t>Actualizado UVR</t>
  </si>
  <si>
    <t>EA</t>
  </si>
  <si>
    <t>Nominal</t>
  </si>
  <si>
    <t>Crédito de Vivienda NO VIS - Proyectos NO Financiados</t>
  </si>
  <si>
    <t>Crédito de Vivienda y Remodelación</t>
  </si>
  <si>
    <t>SIMULADORES</t>
  </si>
  <si>
    <t>CRÉDITO DE VIVIENDA</t>
  </si>
  <si>
    <t>LEASING</t>
  </si>
  <si>
    <t>OTROS PRODUCTOS DE VIVIENDA</t>
  </si>
  <si>
    <t>Selecciona el producto que vas a ofrecer</t>
  </si>
  <si>
    <t>Ciudades</t>
  </si>
  <si>
    <t>Cobro</t>
  </si>
  <si>
    <t>SMMLV</t>
  </si>
  <si>
    <t>Valor</t>
  </si>
  <si>
    <t>Municipio / Ciudad</t>
  </si>
  <si>
    <t xml:space="preserve">Departamento </t>
  </si>
  <si>
    <t>Clasificación</t>
  </si>
  <si>
    <t>Zona</t>
  </si>
  <si>
    <t xml:space="preserve">Tipo de </t>
  </si>
  <si>
    <t>Incremento</t>
  </si>
  <si>
    <t>ABEJORRAL - Antioquia</t>
  </si>
  <si>
    <t>SI</t>
  </si>
  <si>
    <t>135 SMMLV</t>
  </si>
  <si>
    <t>ABEJORRAL</t>
  </si>
  <si>
    <t xml:space="preserve"> Antioquia</t>
  </si>
  <si>
    <t>Lejano</t>
  </si>
  <si>
    <t>ZONA NOROCCIDENTAL</t>
  </si>
  <si>
    <t>smlv</t>
  </si>
  <si>
    <t>ABREGO - Norte de Santander</t>
  </si>
  <si>
    <t>ABREGO</t>
  </si>
  <si>
    <t xml:space="preserve"> Norte de Santander</t>
  </si>
  <si>
    <t/>
  </si>
  <si>
    <t>ABRIAQUÍ - Antioquia</t>
  </si>
  <si>
    <t>ABRIAQUÍ</t>
  </si>
  <si>
    <t>ACACÍAS - Meta</t>
  </si>
  <si>
    <t>NO</t>
  </si>
  <si>
    <t>ACACÍAS</t>
  </si>
  <si>
    <t xml:space="preserve"> Meta</t>
  </si>
  <si>
    <t>Principal</t>
  </si>
  <si>
    <t>ZONA CENTRAL</t>
  </si>
  <si>
    <t>ACANDÍ - Chocó</t>
  </si>
  <si>
    <t>ACANDÍ</t>
  </si>
  <si>
    <t xml:space="preserve"> Chocó</t>
  </si>
  <si>
    <t>ACEVEDO - Huila</t>
  </si>
  <si>
    <t>ACEVEDO</t>
  </si>
  <si>
    <t xml:space="preserve"> Huila</t>
  </si>
  <si>
    <t>ACHÍ - Bolívar</t>
  </si>
  <si>
    <t>ACHÍ</t>
  </si>
  <si>
    <t xml:space="preserve"> Bolívar</t>
  </si>
  <si>
    <t>AGRADO - Huila</t>
  </si>
  <si>
    <t>AGRADO</t>
  </si>
  <si>
    <t>AGUA DE DIOS - Cundinamarca</t>
  </si>
  <si>
    <t>AGUA DE DIOS</t>
  </si>
  <si>
    <t xml:space="preserve"> Cundinamarca</t>
  </si>
  <si>
    <t>AGUACHICA - Cesar</t>
  </si>
  <si>
    <t>AGUACHICA</t>
  </si>
  <si>
    <t xml:space="preserve"> Cesar</t>
  </si>
  <si>
    <t>ZONA NORTE</t>
  </si>
  <si>
    <t>AGUADA - Santander</t>
  </si>
  <si>
    <t>AGUADA</t>
  </si>
  <si>
    <t xml:space="preserve"> Santander</t>
  </si>
  <si>
    <t>AGUADAS - Caldas</t>
  </si>
  <si>
    <t>AGUADAS</t>
  </si>
  <si>
    <t xml:space="preserve"> Caldas</t>
  </si>
  <si>
    <t>AGUAZUL - Casanare</t>
  </si>
  <si>
    <t>AGUAZUL</t>
  </si>
  <si>
    <t xml:space="preserve"> Casanare</t>
  </si>
  <si>
    <t>ZONA ORIENTAL</t>
  </si>
  <si>
    <t>AGUSTÍN CODAZZI - Cesar</t>
  </si>
  <si>
    <t>AGUSTÍN CODAZZI</t>
  </si>
  <si>
    <t>AIPE - Huila</t>
  </si>
  <si>
    <t>AIPE</t>
  </si>
  <si>
    <t>ALBÁN - Cundinamarca</t>
  </si>
  <si>
    <t>ALBÁN</t>
  </si>
  <si>
    <t>ALBÁN - Nariño</t>
  </si>
  <si>
    <t xml:space="preserve"> Nariño</t>
  </si>
  <si>
    <t>ALBANIA - Caquetá</t>
  </si>
  <si>
    <t>ALBANIA</t>
  </si>
  <si>
    <t xml:space="preserve"> Caquetá</t>
  </si>
  <si>
    <t>ALBANIA - La Guajira</t>
  </si>
  <si>
    <t xml:space="preserve"> La Guajira</t>
  </si>
  <si>
    <t>ALBANIA - Santander</t>
  </si>
  <si>
    <t>ALCALÁ - Valle del Cauca</t>
  </si>
  <si>
    <t>ALCALÁ</t>
  </si>
  <si>
    <t xml:space="preserve"> Valle del Cauca</t>
  </si>
  <si>
    <t>ALDANA - Nariño</t>
  </si>
  <si>
    <t>ALDANA</t>
  </si>
  <si>
    <t>ALEJANDRÍA - Antioquia</t>
  </si>
  <si>
    <t>ALEJANDRÍA</t>
  </si>
  <si>
    <t>ALGARROBO - Magdalena</t>
  </si>
  <si>
    <t>ALGARROBO</t>
  </si>
  <si>
    <t xml:space="preserve"> Magdalena</t>
  </si>
  <si>
    <t>ALGECIRAS - Huila</t>
  </si>
  <si>
    <t>ALGECIRAS</t>
  </si>
  <si>
    <t>ALMAGUER - Cauca</t>
  </si>
  <si>
    <t>ALMAGUER</t>
  </si>
  <si>
    <t xml:space="preserve"> Cauca</t>
  </si>
  <si>
    <t>ALMEIDA - Boyacá</t>
  </si>
  <si>
    <t>ALMEIDA</t>
  </si>
  <si>
    <t xml:space="preserve"> Boyacá</t>
  </si>
  <si>
    <t>ALPUJARRA - Tolima</t>
  </si>
  <si>
    <t>ALPUJARRA</t>
  </si>
  <si>
    <t xml:space="preserve"> Tolima</t>
  </si>
  <si>
    <t>ALTAMIRA - Huila</t>
  </si>
  <si>
    <t>ALTAMIRA</t>
  </si>
  <si>
    <t>ALTO BAUDO - Chocó</t>
  </si>
  <si>
    <t>ALTO BAUDO</t>
  </si>
  <si>
    <t>ALTOS DEL ROSARIO - Bolívar</t>
  </si>
  <si>
    <t>ALTOS DEL ROSARIO</t>
  </si>
  <si>
    <t>ALVARADO - Tolima</t>
  </si>
  <si>
    <t>ALVARADO</t>
  </si>
  <si>
    <t>AMAGÁ - Antioquia</t>
  </si>
  <si>
    <t>AMAGÁ</t>
  </si>
  <si>
    <t>AMALFI - Antioquia</t>
  </si>
  <si>
    <t>AMALFI</t>
  </si>
  <si>
    <t>Muy Lejano</t>
  </si>
  <si>
    <t>AMBALEMA - Tolima</t>
  </si>
  <si>
    <t>AMBALEMA</t>
  </si>
  <si>
    <t>ANAPOIMA - Cundinamarca</t>
  </si>
  <si>
    <t>ANAPOIMA</t>
  </si>
  <si>
    <t>ANCUYÁ - Nariño</t>
  </si>
  <si>
    <t>ANCUYÁ</t>
  </si>
  <si>
    <t>ANDALUCÍA - Valle del Cauca</t>
  </si>
  <si>
    <t>ANDALUCÍA</t>
  </si>
  <si>
    <t>ZONA SUR</t>
  </si>
  <si>
    <t>ANDES - Antioquia</t>
  </si>
  <si>
    <t>ANDES</t>
  </si>
  <si>
    <t>ANGELÓPOLIS - Antioquia</t>
  </si>
  <si>
    <t>ANGELÓPOLIS</t>
  </si>
  <si>
    <t>ANGOSTURA - Antioquia</t>
  </si>
  <si>
    <t>ANGOSTURA</t>
  </si>
  <si>
    <t>ANOLAIMA - Cundinamarca</t>
  </si>
  <si>
    <t>ANOLAIMA</t>
  </si>
  <si>
    <t>ANORÍ - Antioquia</t>
  </si>
  <si>
    <t>ANORÍ</t>
  </si>
  <si>
    <t>ANSERMA - Caldas</t>
  </si>
  <si>
    <t>ANSERMA</t>
  </si>
  <si>
    <t>ANSERMANUEVO - Valle del Cauca</t>
  </si>
  <si>
    <t>ANSERMANUEVO</t>
  </si>
  <si>
    <t>ANZA - Antioquia</t>
  </si>
  <si>
    <t>ANZA</t>
  </si>
  <si>
    <t>ANZOÁTEGUI - Tolima</t>
  </si>
  <si>
    <t>ANZOÁTEGUI</t>
  </si>
  <si>
    <t>APARTADÓ - Antioquia</t>
  </si>
  <si>
    <t>APARTADÓ</t>
  </si>
  <si>
    <t>APÍA - Risaralda</t>
  </si>
  <si>
    <t>APÍA</t>
  </si>
  <si>
    <t xml:space="preserve"> Risaralda</t>
  </si>
  <si>
    <t>APULO - Cundinamarca</t>
  </si>
  <si>
    <t>APULO</t>
  </si>
  <si>
    <t>AQUITANIA - Boyacá</t>
  </si>
  <si>
    <t>AQUITANIA</t>
  </si>
  <si>
    <t>ARACATACA - Magdalena</t>
  </si>
  <si>
    <t>ARACATACA</t>
  </si>
  <si>
    <t>ARANZAZU - Caldas</t>
  </si>
  <si>
    <t>ARANZAZU</t>
  </si>
  <si>
    <t>ARATOCA - Santander</t>
  </si>
  <si>
    <t>ARATOCA</t>
  </si>
  <si>
    <t>ARAUCA - Arauca</t>
  </si>
  <si>
    <t>ARAUCA</t>
  </si>
  <si>
    <t xml:space="preserve"> Arauca</t>
  </si>
  <si>
    <t>ARAUQUITA - Arauca</t>
  </si>
  <si>
    <t>ARAUQUITA</t>
  </si>
  <si>
    <t>ARBELÁEZ - Cundinamarca</t>
  </si>
  <si>
    <t>ARBELÁEZ</t>
  </si>
  <si>
    <t>ARBOLEDA - Nariño</t>
  </si>
  <si>
    <t>ARBOLEDA</t>
  </si>
  <si>
    <t>ARBOLEDAS - Norte de Santander</t>
  </si>
  <si>
    <t>ARBOLEDAS</t>
  </si>
  <si>
    <t>ARBOLETES - Antioquia</t>
  </si>
  <si>
    <t>ARBOLETES</t>
  </si>
  <si>
    <t>ARCABUCO - Boyacá</t>
  </si>
  <si>
    <t>ARCABUCO</t>
  </si>
  <si>
    <t>ARENAL - Bolívar</t>
  </si>
  <si>
    <t>ARENAL</t>
  </si>
  <si>
    <t>ARGELIA - Antioquia</t>
  </si>
  <si>
    <t>ARGELIA</t>
  </si>
  <si>
    <t>ARGELIA - Cauca</t>
  </si>
  <si>
    <t>ARGELIA - Valle del Cauca</t>
  </si>
  <si>
    <t>ARIGUANÍ - Magdalena</t>
  </si>
  <si>
    <t>ARIGUANÍ</t>
  </si>
  <si>
    <t>ARJONA - Bolívar</t>
  </si>
  <si>
    <t>ARJONA</t>
  </si>
  <si>
    <t>ARMENIA - Antioquia</t>
  </si>
  <si>
    <t>ARMENIA</t>
  </si>
  <si>
    <t>ARMENIA - Quindio</t>
  </si>
  <si>
    <t xml:space="preserve"> Quindio</t>
  </si>
  <si>
    <t>ARMERO - Tolima</t>
  </si>
  <si>
    <t>ARMERO</t>
  </si>
  <si>
    <t>ARROYOHONDO - Bolívar</t>
  </si>
  <si>
    <t>ARROYOHONDO</t>
  </si>
  <si>
    <t>ASTREA - Cesar</t>
  </si>
  <si>
    <t>ASTREA</t>
  </si>
  <si>
    <t>ATACO - Tolima</t>
  </si>
  <si>
    <t>ATACO</t>
  </si>
  <si>
    <t>ATRATO - Chocó</t>
  </si>
  <si>
    <t>ATRATO</t>
  </si>
  <si>
    <t>AYAPEL - Córdoba</t>
  </si>
  <si>
    <t>AYAPEL</t>
  </si>
  <si>
    <t xml:space="preserve"> Córdoba</t>
  </si>
  <si>
    <t>BAGADÓ - Chocó</t>
  </si>
  <si>
    <t>BAGADÓ</t>
  </si>
  <si>
    <t>BAHÍA SOLANO - Chocó</t>
  </si>
  <si>
    <t>BAHÍA SOLANO</t>
  </si>
  <si>
    <t>BAJO BAUDÓ - Chocó</t>
  </si>
  <si>
    <t>BAJO BAUDÓ</t>
  </si>
  <si>
    <t>BALBOA - Cauca</t>
  </si>
  <si>
    <t>BALBOA</t>
  </si>
  <si>
    <t>BALBOA - Risaralda</t>
  </si>
  <si>
    <t>BARANOA - Atlántico</t>
  </si>
  <si>
    <t>BARANOA</t>
  </si>
  <si>
    <t xml:space="preserve"> Atlántico</t>
  </si>
  <si>
    <t>BARAYA - Huila</t>
  </si>
  <si>
    <t>BARAYA</t>
  </si>
  <si>
    <t>BARBACOAS - Nariño</t>
  </si>
  <si>
    <t>BARBACOAS</t>
  </si>
  <si>
    <t>BARBOSA - Antioquia</t>
  </si>
  <si>
    <t>BARBOSA</t>
  </si>
  <si>
    <t>BARBOSA - Santander</t>
  </si>
  <si>
    <t>BARICHARA - Santander</t>
  </si>
  <si>
    <t>BARICHARA</t>
  </si>
  <si>
    <t>BARRANCA DE UPÍA - Meta</t>
  </si>
  <si>
    <t>BARRANCA DE UPÍA</t>
  </si>
  <si>
    <t>BARRANCABERMEJA - Santander</t>
  </si>
  <si>
    <t>BARRANCABERMEJA</t>
  </si>
  <si>
    <t>BARRANCAS - La Guajira</t>
  </si>
  <si>
    <t>BARRANCAS</t>
  </si>
  <si>
    <t>BARRANCO DE LOBA - Bolívar</t>
  </si>
  <si>
    <t>BARRANCO DE LOBA</t>
  </si>
  <si>
    <t>BARRANCO MINAS - Guainía</t>
  </si>
  <si>
    <t>BARRANCO MINAS</t>
  </si>
  <si>
    <t xml:space="preserve"> Guainía</t>
  </si>
  <si>
    <t>BARRANQUILLA - Atlántico</t>
  </si>
  <si>
    <t>150 SMMLV</t>
  </si>
  <si>
    <t>BARRANQUILLA</t>
  </si>
  <si>
    <t>BECERRIL - Cesar</t>
  </si>
  <si>
    <t>BECERRIL</t>
  </si>
  <si>
    <t>BELALCÁZAR - Caldas</t>
  </si>
  <si>
    <t>BELALCÁZAR</t>
  </si>
  <si>
    <t>BELÉN - Boyacá</t>
  </si>
  <si>
    <t>BELÉN</t>
  </si>
  <si>
    <t>BELÉN - Nariño</t>
  </si>
  <si>
    <t>BELÉN DE BAJIRÁ - Chocó</t>
  </si>
  <si>
    <t>BELÉN DE BAJIRÁ</t>
  </si>
  <si>
    <t>BELÉN DE LOS ANDAQUIES - Caquetá</t>
  </si>
  <si>
    <t>BELÉN DE LOS ANDAQUIES</t>
  </si>
  <si>
    <t>BELÉN DE UMBRÍA - Risaralda</t>
  </si>
  <si>
    <t>BELÉN DE UMBRÍA</t>
  </si>
  <si>
    <t>BELLO - Antioquia</t>
  </si>
  <si>
    <t>BELLO</t>
  </si>
  <si>
    <t>BELMIRA - Antioquia</t>
  </si>
  <si>
    <t>BELMIRA</t>
  </si>
  <si>
    <t>BELTRÁN - Cundinamarca</t>
  </si>
  <si>
    <t>BELTRÁN</t>
  </si>
  <si>
    <t>BERBEO - Boyacá</t>
  </si>
  <si>
    <t>BERBEO</t>
  </si>
  <si>
    <t>BETANIA - Antioquia</t>
  </si>
  <si>
    <t>BETANIA</t>
  </si>
  <si>
    <t>BETÉITIVA - Boyacá</t>
  </si>
  <si>
    <t>BETÉITIVA</t>
  </si>
  <si>
    <t>BETULIA - Antioquia</t>
  </si>
  <si>
    <t>BETULIA</t>
  </si>
  <si>
    <t>BETULIA - Santander</t>
  </si>
  <si>
    <t>BITUIMA - Cundinamarca</t>
  </si>
  <si>
    <t>BITUIMA</t>
  </si>
  <si>
    <t>BOAVITA - Boyacá</t>
  </si>
  <si>
    <t>BOAVITA</t>
  </si>
  <si>
    <t>BOCHALEMA - Norte de Santander</t>
  </si>
  <si>
    <t>BOCHALEMA</t>
  </si>
  <si>
    <t>BOGOTÁ - Bogotá D.C</t>
  </si>
  <si>
    <t>BOGOTÁ</t>
  </si>
  <si>
    <t xml:space="preserve"> Bogotá D.C</t>
  </si>
  <si>
    <t>CAPITAL</t>
  </si>
  <si>
    <t>BOJACÁ - Cundinamarca</t>
  </si>
  <si>
    <t>BOJACÁ</t>
  </si>
  <si>
    <t>BOJAYA - Chocó</t>
  </si>
  <si>
    <t>BOJAYA</t>
  </si>
  <si>
    <t>BOLÍVAR - Cauca</t>
  </si>
  <si>
    <t>BOLÍVAR</t>
  </si>
  <si>
    <t>BOLÍVAR - Santander</t>
  </si>
  <si>
    <t>BOLÍVAR - Valle del Cauca</t>
  </si>
  <si>
    <t>BOSCONIA - Cesar</t>
  </si>
  <si>
    <t>BOSCONIA</t>
  </si>
  <si>
    <t>BOYACÁ - Boyacá</t>
  </si>
  <si>
    <t>BOYACÁ</t>
  </si>
  <si>
    <t>BRICEÑO - Antioquia</t>
  </si>
  <si>
    <t>BRICEÑO</t>
  </si>
  <si>
    <t>BRICEÑO - Boyacá</t>
  </si>
  <si>
    <t>BUCARAMANGA - Santander</t>
  </si>
  <si>
    <t>BUCARAMANGA</t>
  </si>
  <si>
    <t>BUCARASICA - Norte de Santander</t>
  </si>
  <si>
    <t>BUCARASICA</t>
  </si>
  <si>
    <t>BUENAVENTURA - Valle del Cauca</t>
  </si>
  <si>
    <t>BUENAVENTURA</t>
  </si>
  <si>
    <t>BUENAVISTA - Boyacá</t>
  </si>
  <si>
    <t>BUENAVISTA</t>
  </si>
  <si>
    <t>BUENAVISTA - Córdoba</t>
  </si>
  <si>
    <t>BUENAVISTA - Quindio</t>
  </si>
  <si>
    <t>BUENAVISTA - Sucre</t>
  </si>
  <si>
    <t xml:space="preserve"> Sucre</t>
  </si>
  <si>
    <t>BUENOS AIRES - Cauca</t>
  </si>
  <si>
    <t>BUENOS AIRES</t>
  </si>
  <si>
    <t>BUESACO - Nariño</t>
  </si>
  <si>
    <t>BUESACO</t>
  </si>
  <si>
    <t>BUGALAGRANDE - Valle del Cauca</t>
  </si>
  <si>
    <t>BUGALAGRANDE</t>
  </si>
  <si>
    <t>BURITICÁ - Antioquia</t>
  </si>
  <si>
    <t>BURITICÁ</t>
  </si>
  <si>
    <t>BUSBANZÁ - Boyacá</t>
  </si>
  <si>
    <t>BUSBANZÁ</t>
  </si>
  <si>
    <t>CABRERA - Cundinamarca</t>
  </si>
  <si>
    <t>CABRERA</t>
  </si>
  <si>
    <t>CABRERA - Santander</t>
  </si>
  <si>
    <t>CABUYARO - Meta</t>
  </si>
  <si>
    <t>CABUYARO</t>
  </si>
  <si>
    <t>CACAHUAL - Guainía</t>
  </si>
  <si>
    <t>CACAHUAL</t>
  </si>
  <si>
    <t>CÁCERES - Antioquia</t>
  </si>
  <si>
    <t>CÁCERES</t>
  </si>
  <si>
    <t>CACHIPAY - Cundinamarca</t>
  </si>
  <si>
    <t>CACHIPAY</t>
  </si>
  <si>
    <t>CACHIRÁ - Norte de Santander</t>
  </si>
  <si>
    <t>CACHIRÁ</t>
  </si>
  <si>
    <t>CÁCOTA - Norte de Santander</t>
  </si>
  <si>
    <t>CÁCOTA</t>
  </si>
  <si>
    <t>CAICEDO - Antioquia</t>
  </si>
  <si>
    <t>CAICEDO</t>
  </si>
  <si>
    <t>CAICEDONIA - Valle del Cauca</t>
  </si>
  <si>
    <t>CAICEDONIA</t>
  </si>
  <si>
    <t>CAIMITO - Sucre</t>
  </si>
  <si>
    <t>CAIMITO</t>
  </si>
  <si>
    <t>CAJAMARCA - Tolima</t>
  </si>
  <si>
    <t>CAJAMARCA</t>
  </si>
  <si>
    <t>CAJIBÍO - Cauca</t>
  </si>
  <si>
    <t>CAJIBÍO</t>
  </si>
  <si>
    <t>CAJICÁ - Cundinamarca</t>
  </si>
  <si>
    <t>CAJICÁ</t>
  </si>
  <si>
    <t>Intermedia</t>
  </si>
  <si>
    <t>CALAMAR - Bolívar</t>
  </si>
  <si>
    <t>CALAMAR</t>
  </si>
  <si>
    <t>CALAMAR - Guaviare</t>
  </si>
  <si>
    <t xml:space="preserve"> Guaviare</t>
  </si>
  <si>
    <t>CALARCA - Quindio</t>
  </si>
  <si>
    <t>CALARCA</t>
  </si>
  <si>
    <t>CALDAS - Antioquia</t>
  </si>
  <si>
    <t>CALDAS</t>
  </si>
  <si>
    <t>CALDAS - Boyacá</t>
  </si>
  <si>
    <t>CALDONO - Cauca</t>
  </si>
  <si>
    <t>CALDONO</t>
  </si>
  <si>
    <t>CALI - Valle del Cauca</t>
  </si>
  <si>
    <t>CALI</t>
  </si>
  <si>
    <t>CALIFORNIA - Santander</t>
  </si>
  <si>
    <t>CALIFORNIA</t>
  </si>
  <si>
    <t>CALIMA - Valle del Cauca</t>
  </si>
  <si>
    <t>CALIMA</t>
  </si>
  <si>
    <t>CALOTO - Cauca</t>
  </si>
  <si>
    <t>CALOTO</t>
  </si>
  <si>
    <t>CAMPAMENTO - Antioquia</t>
  </si>
  <si>
    <t>CAMPAMENTO</t>
  </si>
  <si>
    <t>CAMPO DE LA CRUZ - Atlántico</t>
  </si>
  <si>
    <t>CAMPO DE LA CRUZ</t>
  </si>
  <si>
    <t>CAMPOALEGRE - Huila</t>
  </si>
  <si>
    <t>CAMPOALEGRE</t>
  </si>
  <si>
    <t>CAMPOHERMOSO - Boyacá</t>
  </si>
  <si>
    <t>CAMPOHERMOSO</t>
  </si>
  <si>
    <t>CANALETE - Córdoba</t>
  </si>
  <si>
    <t>CANALETE</t>
  </si>
  <si>
    <t>CANDELARIA - Atlántico</t>
  </si>
  <si>
    <t>CANDELARIA</t>
  </si>
  <si>
    <t>CANDELARIA - Valle del Cauca</t>
  </si>
  <si>
    <t>CANTAGALLO - Bolívar</t>
  </si>
  <si>
    <t>CANTAGALLO</t>
  </si>
  <si>
    <t>CAÑASGORDAS - Antioquia</t>
  </si>
  <si>
    <t>CAÑASGORDAS</t>
  </si>
  <si>
    <t>CAPARRAPÍ - Cundinamarca</t>
  </si>
  <si>
    <t>CAPARRAPÍ</t>
  </si>
  <si>
    <t>CAPITANEJO - Santander</t>
  </si>
  <si>
    <t>CAPITANEJO</t>
  </si>
  <si>
    <t>CAQUEZA - Cundinamarca</t>
  </si>
  <si>
    <t>CAQUEZA</t>
  </si>
  <si>
    <t>CARACOLÍ - Antioquia</t>
  </si>
  <si>
    <t>CARACOLÍ</t>
  </si>
  <si>
    <t>CARAMANTA - Antioquia</t>
  </si>
  <si>
    <t>CARAMANTA</t>
  </si>
  <si>
    <t>CARCASÍ - Santander</t>
  </si>
  <si>
    <t>CARCASÍ</t>
  </si>
  <si>
    <t>CAREPA - Antioquia</t>
  </si>
  <si>
    <t>CAREPA</t>
  </si>
  <si>
    <t>CARMEN DE APICALÁ - Tolima</t>
  </si>
  <si>
    <t>CARMEN DE APICALÁ</t>
  </si>
  <si>
    <t>CARMEN DE CARUPA - Cundinamarca</t>
  </si>
  <si>
    <t>CARMEN DE CARUPA</t>
  </si>
  <si>
    <t>CARMEN DEL DARIEN - Chocó</t>
  </si>
  <si>
    <t>CARMEN DEL DARIEN</t>
  </si>
  <si>
    <t>CAROLINA - Antioquia</t>
  </si>
  <si>
    <t>CAROLINA</t>
  </si>
  <si>
    <t>CARTAGENA - Bolívar</t>
  </si>
  <si>
    <t>CARTAGENA</t>
  </si>
  <si>
    <t>CARTAGENA DEL CHAIRÁ - Caquetá</t>
  </si>
  <si>
    <t>CARTAGENA DEL CHAIRÁ</t>
  </si>
  <si>
    <t>CARTAGO - Valle del Cauca</t>
  </si>
  <si>
    <t>CARTAGO</t>
  </si>
  <si>
    <t>CARURU - Vaupés</t>
  </si>
  <si>
    <t>CARURU</t>
  </si>
  <si>
    <t xml:space="preserve"> Vaupés</t>
  </si>
  <si>
    <t>CASABIANCA - Tolima</t>
  </si>
  <si>
    <t>CASABIANCA</t>
  </si>
  <si>
    <t>CASTILLA LA NUEVA - Meta</t>
  </si>
  <si>
    <t>CASTILLA LA NUEVA</t>
  </si>
  <si>
    <t>CAUCASIA - Antioquia</t>
  </si>
  <si>
    <t>CAUCASIA</t>
  </si>
  <si>
    <t>CEPITÁ - Santander</t>
  </si>
  <si>
    <t>CEPITÁ</t>
  </si>
  <si>
    <t>CERETÉ - Córdoba</t>
  </si>
  <si>
    <t>CERETÉ</t>
  </si>
  <si>
    <t>CERINZA - Boyacá</t>
  </si>
  <si>
    <t>CERINZA</t>
  </si>
  <si>
    <t>CERRITO - Santander</t>
  </si>
  <si>
    <t>CERRITO</t>
  </si>
  <si>
    <t>CERRO SAN ANTONIO - Magdalena</t>
  </si>
  <si>
    <t>CERRO SAN ANTONIO</t>
  </si>
  <si>
    <t>CÉRTEGUI - Chocó</t>
  </si>
  <si>
    <t>CÉRTEGUI</t>
  </si>
  <si>
    <t>CHACHAGÜÍ - Nariño</t>
  </si>
  <si>
    <t>CHACHAGÜÍ</t>
  </si>
  <si>
    <t>CHAGUANÍ - Cundinamarca</t>
  </si>
  <si>
    <t>CHAGUANÍ</t>
  </si>
  <si>
    <t>CHALÁN - Sucre</t>
  </si>
  <si>
    <t>CHALÁN</t>
  </si>
  <si>
    <t>CHAMEZA - Casanare</t>
  </si>
  <si>
    <t>CHAMEZA</t>
  </si>
  <si>
    <t>CHAPARRAL - Tolima</t>
  </si>
  <si>
    <t>CHAPARRAL</t>
  </si>
  <si>
    <t>CHARALÁ - Santander</t>
  </si>
  <si>
    <t>CHARALÁ</t>
  </si>
  <si>
    <t>CHARTA - Santander</t>
  </si>
  <si>
    <t>CHARTA</t>
  </si>
  <si>
    <t>CHÍA - Cundinamarca</t>
  </si>
  <si>
    <t>CHÍA</t>
  </si>
  <si>
    <t>CHIBOLO - Magdalena</t>
  </si>
  <si>
    <t>CHIBOLO</t>
  </si>
  <si>
    <t>CHIGORODÓ - Antioquia</t>
  </si>
  <si>
    <t>CHIGORODÓ</t>
  </si>
  <si>
    <t>CHIMÁ - Córdoba</t>
  </si>
  <si>
    <t>CHIMÁ</t>
  </si>
  <si>
    <t>CHIMA - Santander</t>
  </si>
  <si>
    <t>CHIMA</t>
  </si>
  <si>
    <t>CHIMICHAGUA - Cesar</t>
  </si>
  <si>
    <t>CHIMICHAGUA</t>
  </si>
  <si>
    <t>CHINÁCOTA - Norte de Santander</t>
  </si>
  <si>
    <t>CHINÁCOTA</t>
  </si>
  <si>
    <t>CHINAVITA - Boyacá</t>
  </si>
  <si>
    <t>CHINAVITA</t>
  </si>
  <si>
    <t>CHINCHINÁ - Caldas</t>
  </si>
  <si>
    <t>CHINCHINÁ</t>
  </si>
  <si>
    <t>CHINÚ - Córdoba</t>
  </si>
  <si>
    <t>CHINÚ</t>
  </si>
  <si>
    <t>CHIPAQUE - Cundinamarca</t>
  </si>
  <si>
    <t>CHIPAQUE</t>
  </si>
  <si>
    <t>CHIPATÁ - Santander</t>
  </si>
  <si>
    <t>CHIPATÁ</t>
  </si>
  <si>
    <t>CHIQUINQUIRÁ - Boyacá</t>
  </si>
  <si>
    <t>CHIQUINQUIRÁ</t>
  </si>
  <si>
    <t>CHÍQUIZA - Boyacá</t>
  </si>
  <si>
    <t>CHÍQUIZA</t>
  </si>
  <si>
    <t>CHIRIGUANÁ - Cesar</t>
  </si>
  <si>
    <t>CHIRIGUANÁ</t>
  </si>
  <si>
    <t>CHISCAS - Boyacá</t>
  </si>
  <si>
    <t>CHISCAS</t>
  </si>
  <si>
    <t>CHITA - Boyacá</t>
  </si>
  <si>
    <t>CHITA</t>
  </si>
  <si>
    <t>CHITAGÁ - Norte de Santander</t>
  </si>
  <si>
    <t>CHITAGÁ</t>
  </si>
  <si>
    <t>CHITARAQUE - Boyacá</t>
  </si>
  <si>
    <t>CHITARAQUE</t>
  </si>
  <si>
    <t>CHIVATÁ - Boyacá</t>
  </si>
  <si>
    <t>CHIVATÁ</t>
  </si>
  <si>
    <t>CHIVOR - Boyacá</t>
  </si>
  <si>
    <t>CHIVOR</t>
  </si>
  <si>
    <t>CHOACHÍ - Cundinamarca</t>
  </si>
  <si>
    <t>CHOACHÍ</t>
  </si>
  <si>
    <t>CHOCONTÁ - Cundinamarca</t>
  </si>
  <si>
    <t>CHOCONTÁ</t>
  </si>
  <si>
    <t>CICUCO - Bolívar</t>
  </si>
  <si>
    <t>CICUCO</t>
  </si>
  <si>
    <t>CIÉNAGA - Magdalena</t>
  </si>
  <si>
    <t>CIÉNAGA</t>
  </si>
  <si>
    <t>CIÉNAGA DE ORO - Córdoba</t>
  </si>
  <si>
    <t>CIÉNAGA DE ORO</t>
  </si>
  <si>
    <t>CIÉNEGA - Boyacá</t>
  </si>
  <si>
    <t>CIÉNEGA</t>
  </si>
  <si>
    <t>CIMITARRA - Santander</t>
  </si>
  <si>
    <t>CIMITARRA</t>
  </si>
  <si>
    <t>CIRCASIA - Quindio</t>
  </si>
  <si>
    <t>CIRCASIA</t>
  </si>
  <si>
    <t>CISNEROS - Antioquia</t>
  </si>
  <si>
    <t>CISNEROS</t>
  </si>
  <si>
    <t>CIUDAD BOLÍVAR - Antioquia</t>
  </si>
  <si>
    <t>CIUDAD BOLÍVAR</t>
  </si>
  <si>
    <t>CLEMENCIA - Bolívar</t>
  </si>
  <si>
    <t>CLEMENCIA</t>
  </si>
  <si>
    <t>COCORNÁ - Antioquia</t>
  </si>
  <si>
    <t>COCORNÁ</t>
  </si>
  <si>
    <t>COELLO - Tolima</t>
  </si>
  <si>
    <t>COELLO</t>
  </si>
  <si>
    <t>COGUA - Cundinamarca</t>
  </si>
  <si>
    <t>COGUA</t>
  </si>
  <si>
    <t>COLOMBIA - Huila</t>
  </si>
  <si>
    <t>COLOMBIA</t>
  </si>
  <si>
    <t>COLÓN - Nariño</t>
  </si>
  <si>
    <t>COLÓN</t>
  </si>
  <si>
    <t>COLÓN - Putumayo</t>
  </si>
  <si>
    <t xml:space="preserve"> Putumayo</t>
  </si>
  <si>
    <t>COLOSO - Sucre</t>
  </si>
  <si>
    <t>COLOSO</t>
  </si>
  <si>
    <t>CÓMBITA - Boyacá</t>
  </si>
  <si>
    <t>CÓMBITA</t>
  </si>
  <si>
    <t>CONCEPCIÓN - Antioquia</t>
  </si>
  <si>
    <t>CONCEPCIÓN</t>
  </si>
  <si>
    <t>CONCEPCIÓN - Santander</t>
  </si>
  <si>
    <t>CONCORDIA - Antioquia</t>
  </si>
  <si>
    <t>CONCORDIA</t>
  </si>
  <si>
    <t>CONCORDIA - Magdalena</t>
  </si>
  <si>
    <t>CONDOTO - Chocó</t>
  </si>
  <si>
    <t>CONDOTO</t>
  </si>
  <si>
    <t>CONFINES - Santander</t>
  </si>
  <si>
    <t>CONFINES</t>
  </si>
  <si>
    <t>CONSACA - Nariño</t>
  </si>
  <si>
    <t>CONSACA</t>
  </si>
  <si>
    <t>CONTADERO - Nariño</t>
  </si>
  <si>
    <t>CONTADERO</t>
  </si>
  <si>
    <t>CONTRATACIÓN - Santander</t>
  </si>
  <si>
    <t>CONTRATACIÓN</t>
  </si>
  <si>
    <t>CONVENCIÓN - Norte de Santander</t>
  </si>
  <si>
    <t>CONVENCIÓN</t>
  </si>
  <si>
    <t>COPACABANA - Antioquia</t>
  </si>
  <si>
    <t>COPACABANA</t>
  </si>
  <si>
    <t>COPER - Boyacá</t>
  </si>
  <si>
    <t>COPER</t>
  </si>
  <si>
    <t>CÓRDOBA - Bolívar</t>
  </si>
  <si>
    <t>CÓRDOBA</t>
  </si>
  <si>
    <t>CÓRDOBA - Nariño</t>
  </si>
  <si>
    <t>CÓRDOBA - Quindio</t>
  </si>
  <si>
    <t>CORINTO - Cauca</t>
  </si>
  <si>
    <t>CORINTO</t>
  </si>
  <si>
    <t>COROMORO - Santander</t>
  </si>
  <si>
    <t>COROMORO</t>
  </si>
  <si>
    <t>COROZAL - Sucre</t>
  </si>
  <si>
    <t>COROZAL</t>
  </si>
  <si>
    <t>CORRALES - Boyacá</t>
  </si>
  <si>
    <t>CORRALES</t>
  </si>
  <si>
    <t>COTA - Cundinamarca</t>
  </si>
  <si>
    <t>COTA</t>
  </si>
  <si>
    <t>COTORRA - Córdoba</t>
  </si>
  <si>
    <t>COTORRA</t>
  </si>
  <si>
    <t>COVARACHÍA - Boyacá</t>
  </si>
  <si>
    <t>COVARACHÍA</t>
  </si>
  <si>
    <t>COVEÑAS - Sucre</t>
  </si>
  <si>
    <t>COVEÑAS</t>
  </si>
  <si>
    <t>COYAIMA - Tolima</t>
  </si>
  <si>
    <t>COYAIMA</t>
  </si>
  <si>
    <t>CRAVO NORTE - Arauca</t>
  </si>
  <si>
    <t>CRAVO NORTE</t>
  </si>
  <si>
    <t>CUASPUD - Nariño</t>
  </si>
  <si>
    <t>CUASPUD</t>
  </si>
  <si>
    <t>CUBARÁ - Boyacá</t>
  </si>
  <si>
    <t>CUBARÁ</t>
  </si>
  <si>
    <t>CUBARRAL - Meta</t>
  </si>
  <si>
    <t>CUBARRAL</t>
  </si>
  <si>
    <t>CUCAITA - Boyacá</t>
  </si>
  <si>
    <t>CUCAITA</t>
  </si>
  <si>
    <t>CUCUNUBÁ - Cundinamarca</t>
  </si>
  <si>
    <t>CUCUNUBÁ</t>
  </si>
  <si>
    <t>CÚCUTA - Norte de Santander</t>
  </si>
  <si>
    <t>CÚCUTA</t>
  </si>
  <si>
    <t>CUCUTILLA - Norte de Santander</t>
  </si>
  <si>
    <t>CUCUTILLA</t>
  </si>
  <si>
    <t>CUÍTIVA - Boyacá</t>
  </si>
  <si>
    <t>CUÍTIVA</t>
  </si>
  <si>
    <t>CUMARAL - Meta</t>
  </si>
  <si>
    <t>CUMARAL</t>
  </si>
  <si>
    <t>CUMARIBO - Vichada</t>
  </si>
  <si>
    <t>CUMARIBO</t>
  </si>
  <si>
    <t xml:space="preserve"> Vichada</t>
  </si>
  <si>
    <t>CUMBAL - Nariño</t>
  </si>
  <si>
    <t>CUMBAL</t>
  </si>
  <si>
    <t>CUMBITARA - Nariño</t>
  </si>
  <si>
    <t>CUMBITARA</t>
  </si>
  <si>
    <t>CUNDAY - Tolima</t>
  </si>
  <si>
    <t>CUNDAY</t>
  </si>
  <si>
    <t>CURILLO - Caquetá</t>
  </si>
  <si>
    <t>CURILLO</t>
  </si>
  <si>
    <t>CURITÍ - Santander</t>
  </si>
  <si>
    <t>CURITÍ</t>
  </si>
  <si>
    <t>CURUMANÍ - Cesar</t>
  </si>
  <si>
    <t>CURUMANÍ</t>
  </si>
  <si>
    <t>DABEIBA - Antioquia</t>
  </si>
  <si>
    <t>DABEIBA</t>
  </si>
  <si>
    <t>DAGUA - Valle del Cauca</t>
  </si>
  <si>
    <t>DAGUA</t>
  </si>
  <si>
    <t>DIBULLA - La Guajira</t>
  </si>
  <si>
    <t>DIBULLA</t>
  </si>
  <si>
    <t>DISTRACCIÓN - La Guajira</t>
  </si>
  <si>
    <t>DISTRACCIÓN</t>
  </si>
  <si>
    <t>DOLORES - Tolima</t>
  </si>
  <si>
    <t>DOLORES</t>
  </si>
  <si>
    <t>DON MATÍAS - Antioquia</t>
  </si>
  <si>
    <t>DON MATÍAS</t>
  </si>
  <si>
    <t>DOSQUEBRADAS - Risaralda</t>
  </si>
  <si>
    <t>DOSQUEBRADAS</t>
  </si>
  <si>
    <t>DUITAMA - Boyacá</t>
  </si>
  <si>
    <t>DUITAMA</t>
  </si>
  <si>
    <t>DURANIA - Norte de Santander</t>
  </si>
  <si>
    <t>DURANIA</t>
  </si>
  <si>
    <t>EBÉJICO - Antioquia</t>
  </si>
  <si>
    <t>EBÉJICO</t>
  </si>
  <si>
    <t>EL ÁGUILA - Valle del Cauca</t>
  </si>
  <si>
    <t>EL ÁGUILA</t>
  </si>
  <si>
    <t>EL BAGRE - Antioquia</t>
  </si>
  <si>
    <t>EL BAGRE</t>
  </si>
  <si>
    <t>EL BANCO - Magdalena</t>
  </si>
  <si>
    <t>EL BANCO</t>
  </si>
  <si>
    <t>EL CAIRO - Valle del Cauca</t>
  </si>
  <si>
    <t>EL CAIRO</t>
  </si>
  <si>
    <t>EL CALVARIO - Meta</t>
  </si>
  <si>
    <t>EL CALVARIO</t>
  </si>
  <si>
    <t>EL CANTÓN DEL SAN PABLO - Chocó</t>
  </si>
  <si>
    <t>EL CANTÓN DEL SAN PABLO</t>
  </si>
  <si>
    <t>EL CARMEN - Norte de Santander</t>
  </si>
  <si>
    <t>EL CARMEN</t>
  </si>
  <si>
    <t>EL CARMEN DE ATRATO - Chocó</t>
  </si>
  <si>
    <t>EL CARMEN DE ATRATO</t>
  </si>
  <si>
    <t>EL CARMEN DE BOLÍVAR - Bolívar</t>
  </si>
  <si>
    <t>EL CARMEN DE BOLÍVAR</t>
  </si>
  <si>
    <t>EL CARMEN DE CHUCURÍ - Santander</t>
  </si>
  <si>
    <t>EL CARMEN DE CHUCURÍ</t>
  </si>
  <si>
    <t>EL CARMEN DE VIBORAL - Antioquia</t>
  </si>
  <si>
    <t>EL CARMEN DE VIBORAL</t>
  </si>
  <si>
    <t>EL CASTILLO - Meta</t>
  </si>
  <si>
    <t>EL CASTILLO</t>
  </si>
  <si>
    <t>EL CERRITO - Valle del Cauca</t>
  </si>
  <si>
    <t>EL CERRITO</t>
  </si>
  <si>
    <t>EL CHARCO - Nariño</t>
  </si>
  <si>
    <t>EL CHARCO</t>
  </si>
  <si>
    <t>EL COCUY - Boyacá</t>
  </si>
  <si>
    <t>EL COCUY</t>
  </si>
  <si>
    <t>EL COLEGIO - Cundinamarca</t>
  </si>
  <si>
    <t>EL COLEGIO</t>
  </si>
  <si>
    <t>EL COPEY - Cesar</t>
  </si>
  <si>
    <t>EL COPEY</t>
  </si>
  <si>
    <t>EL DONCELLO - Caquetá</t>
  </si>
  <si>
    <t>EL DONCELLO</t>
  </si>
  <si>
    <t>EL DORADO - Meta</t>
  </si>
  <si>
    <t>EL DORADO</t>
  </si>
  <si>
    <t>EL DOVIO - Valle del Cauca</t>
  </si>
  <si>
    <t>EL DOVIO</t>
  </si>
  <si>
    <t>EL ENCANTO - Amazonas</t>
  </si>
  <si>
    <t>EL ENCANTO</t>
  </si>
  <si>
    <t xml:space="preserve"> Amazonas</t>
  </si>
  <si>
    <t>EL ESPINO - Boyacá</t>
  </si>
  <si>
    <t>EL ESPINO</t>
  </si>
  <si>
    <t>EL GUACAMAYO - Santander</t>
  </si>
  <si>
    <t>EL GUACAMAYO</t>
  </si>
  <si>
    <t>EL GUAMO - Bolívar</t>
  </si>
  <si>
    <t>EL GUAMO</t>
  </si>
  <si>
    <t>EL LITORAL DEL SAN JUAN - Chocó</t>
  </si>
  <si>
    <t>EL LITORAL DEL SAN JUAN</t>
  </si>
  <si>
    <t>EL MOLINO - La Guajira</t>
  </si>
  <si>
    <t>EL MOLINO</t>
  </si>
  <si>
    <t>EL PASO - Cesar</t>
  </si>
  <si>
    <t>EL PASO</t>
  </si>
  <si>
    <t>EL PAUJIL - Caquetá</t>
  </si>
  <si>
    <t>EL PAUJIL</t>
  </si>
  <si>
    <t>EL PEÑOL - Nariño</t>
  </si>
  <si>
    <t>EL PEÑOL</t>
  </si>
  <si>
    <t>EL PEÑÓN - Bolívar</t>
  </si>
  <si>
    <t>EL PEÑÓN</t>
  </si>
  <si>
    <t>EL PEÑÓN - Cundinamarca</t>
  </si>
  <si>
    <t>EL PEÑÓN - Santander</t>
  </si>
  <si>
    <t>EL PIÑON - Magdalena</t>
  </si>
  <si>
    <t>EL PIÑON</t>
  </si>
  <si>
    <t>EL PLAYÓN - Santander</t>
  </si>
  <si>
    <t>EL PLAYÓN</t>
  </si>
  <si>
    <t>EL RETÉN - Magdalena</t>
  </si>
  <si>
    <t>EL RETÉN</t>
  </si>
  <si>
    <t>EL RETORNO - Guaviare</t>
  </si>
  <si>
    <t>EL RETORNO</t>
  </si>
  <si>
    <t>EL ROBLE - Sucre</t>
  </si>
  <si>
    <t>EL ROBLE</t>
  </si>
  <si>
    <t>EL ROSAL - Cundinamarca</t>
  </si>
  <si>
    <t>EL ROSAL</t>
  </si>
  <si>
    <t>EL ROSARIO - Nariño</t>
  </si>
  <si>
    <t>EL ROSARIO</t>
  </si>
  <si>
    <t>EL SANTUARIO - Antioquia</t>
  </si>
  <si>
    <t>EL SANTUARIO</t>
  </si>
  <si>
    <t>EL TABLÓN DE GÓMEZ - Nariño</t>
  </si>
  <si>
    <t>EL TABLÓN DE GÓMEZ</t>
  </si>
  <si>
    <t>EL TAMBO - Cauca</t>
  </si>
  <si>
    <t>EL TAMBO</t>
  </si>
  <si>
    <t>EL TAMBO - Nariño</t>
  </si>
  <si>
    <t>EL TARRA - Norte de Santander</t>
  </si>
  <si>
    <t>EL TARRA</t>
  </si>
  <si>
    <t>EL ZULIA - Norte de Santander</t>
  </si>
  <si>
    <t>EL ZULIA</t>
  </si>
  <si>
    <t>ELÍAS - Huila</t>
  </si>
  <si>
    <t>ELÍAS</t>
  </si>
  <si>
    <t>ENCINO - Santander</t>
  </si>
  <si>
    <t>ENCINO</t>
  </si>
  <si>
    <t>ENCISO - Santander</t>
  </si>
  <si>
    <t>ENCISO</t>
  </si>
  <si>
    <t>ENTRERRIOS - Antioquia</t>
  </si>
  <si>
    <t>ENTRERRIOS</t>
  </si>
  <si>
    <t>ENVIGADO - Antioquia</t>
  </si>
  <si>
    <t>ENVIGADO</t>
  </si>
  <si>
    <t>ESPINAL - Tolima</t>
  </si>
  <si>
    <t>ESPINAL</t>
  </si>
  <si>
    <t>FACATATIVÁ - Cundinamarca</t>
  </si>
  <si>
    <t>FACATATIVÁ</t>
  </si>
  <si>
    <t>FALAN - Tolima</t>
  </si>
  <si>
    <t>FALAN</t>
  </si>
  <si>
    <t>FILADELFIA - Caldas</t>
  </si>
  <si>
    <t>FILADELFIA</t>
  </si>
  <si>
    <t>FILANDIA - Quindio</t>
  </si>
  <si>
    <t>FILANDIA</t>
  </si>
  <si>
    <t>FIRAVITOBA - Boyacá</t>
  </si>
  <si>
    <t>FIRAVITOBA</t>
  </si>
  <si>
    <t>FLANDES - Tolima</t>
  </si>
  <si>
    <t>FLANDES</t>
  </si>
  <si>
    <t>FLORENCIA - Caquetá</t>
  </si>
  <si>
    <t>FLORENCIA</t>
  </si>
  <si>
    <t>FLORENCIA - Cauca</t>
  </si>
  <si>
    <t>FLORESTA - Boyacá</t>
  </si>
  <si>
    <t>FLORESTA</t>
  </si>
  <si>
    <t>FLORIÁN - Santander</t>
  </si>
  <si>
    <t>FLORIÁN</t>
  </si>
  <si>
    <t>FLORIDA - Valle del Cauca</t>
  </si>
  <si>
    <t>FLORIDA</t>
  </si>
  <si>
    <t>FLORIDABLANCA - Santander</t>
  </si>
  <si>
    <t>FLORIDABLANCA</t>
  </si>
  <si>
    <t>FOMEQUE - Cundinamarca</t>
  </si>
  <si>
    <t>FOMEQUE</t>
  </si>
  <si>
    <t>FONSECA - La Guajira</t>
  </si>
  <si>
    <t>FONSECA</t>
  </si>
  <si>
    <t>FORTUL - Arauca</t>
  </si>
  <si>
    <t>FORTUL</t>
  </si>
  <si>
    <t>FOSCA - Cundinamarca</t>
  </si>
  <si>
    <t>FOSCA</t>
  </si>
  <si>
    <t>FRANCISCO PIZARRO - Nariño</t>
  </si>
  <si>
    <t>FRANCISCO PIZARRO</t>
  </si>
  <si>
    <t>FREDONIA - Antioquia</t>
  </si>
  <si>
    <t>FREDONIA</t>
  </si>
  <si>
    <t>FRESNO - Tolima</t>
  </si>
  <si>
    <t>FRESNO</t>
  </si>
  <si>
    <t>FRONTINO - Antioquia</t>
  </si>
  <si>
    <t>FRONTINO</t>
  </si>
  <si>
    <t>FUENTE DE ORO - Meta</t>
  </si>
  <si>
    <t>FUENTE DE ORO</t>
  </si>
  <si>
    <t>FUNDACIÓN - Magdalena</t>
  </si>
  <si>
    <t>FUNDACIÓN</t>
  </si>
  <si>
    <t>FUNES - Nariño</t>
  </si>
  <si>
    <t>FUNES</t>
  </si>
  <si>
    <t>FUNZA - Cundinamarca</t>
  </si>
  <si>
    <t>FUNZA</t>
  </si>
  <si>
    <t>FÚQUENE - Cundinamarca</t>
  </si>
  <si>
    <t>FÚQUENE</t>
  </si>
  <si>
    <t>FUSAGASUGÁ - Cundinamarca</t>
  </si>
  <si>
    <t>FUSAGASUGÁ</t>
  </si>
  <si>
    <t>GACHALA - Cundinamarca</t>
  </si>
  <si>
    <t>GACHALA</t>
  </si>
  <si>
    <t>GACHANCIPÁ - Cundinamarca</t>
  </si>
  <si>
    <t>GACHANCIPÁ</t>
  </si>
  <si>
    <t>GACHANTIVÁ - Boyacá</t>
  </si>
  <si>
    <t>GACHANTIVÁ</t>
  </si>
  <si>
    <t>GACHETÁ - Cundinamarca</t>
  </si>
  <si>
    <t>GACHETÁ</t>
  </si>
  <si>
    <t>GALÁN - Santander</t>
  </si>
  <si>
    <t>GALÁN</t>
  </si>
  <si>
    <t>GALAPA - Atlántico</t>
  </si>
  <si>
    <t>GALAPA</t>
  </si>
  <si>
    <t>GALERAS - Sucre</t>
  </si>
  <si>
    <t>GALERAS</t>
  </si>
  <si>
    <t>GAMA - Cundinamarca</t>
  </si>
  <si>
    <t>GAMA</t>
  </si>
  <si>
    <t>GAMARRA - Cesar</t>
  </si>
  <si>
    <t>GAMARRA</t>
  </si>
  <si>
    <t>GAMBITA - Santander</t>
  </si>
  <si>
    <t>GAMBITA</t>
  </si>
  <si>
    <t>GAMEZA - Boyacá</t>
  </si>
  <si>
    <t>GAMEZA</t>
  </si>
  <si>
    <t>GARAGOA - Boyacá</t>
  </si>
  <si>
    <t>GARAGOA</t>
  </si>
  <si>
    <t>GARZÓN - Huila</t>
  </si>
  <si>
    <t>GARZÓN</t>
  </si>
  <si>
    <t>GÉNOVA - Quindio</t>
  </si>
  <si>
    <t>GÉNOVA</t>
  </si>
  <si>
    <t>GIGANTE - Huila</t>
  </si>
  <si>
    <t>GIGANTE</t>
  </si>
  <si>
    <t>GINEBRA - Valle del Cauca</t>
  </si>
  <si>
    <t>GINEBRA</t>
  </si>
  <si>
    <t>GIRALDO - Antioquia</t>
  </si>
  <si>
    <t>GIRALDO</t>
  </si>
  <si>
    <t>GIRARDOT - Cundinamarca</t>
  </si>
  <si>
    <t>GIRARDOT</t>
  </si>
  <si>
    <t>GIRARDOTA - Antioquia</t>
  </si>
  <si>
    <t>GIRARDOTA</t>
  </si>
  <si>
    <t>GIRÓN - Santander</t>
  </si>
  <si>
    <t>GIRÓN</t>
  </si>
  <si>
    <t>GÓMEZ PLATA - Antioquia</t>
  </si>
  <si>
    <t>GÓMEZ PLATA</t>
  </si>
  <si>
    <t>GONZÁLEZ - Cesar</t>
  </si>
  <si>
    <t>GONZÁLEZ</t>
  </si>
  <si>
    <t>GRAMALOTE - Norte de Santander</t>
  </si>
  <si>
    <t>GRAMALOTE</t>
  </si>
  <si>
    <t>GRANADA - Antioquia</t>
  </si>
  <si>
    <t>GRANADA</t>
  </si>
  <si>
    <t>GRANADA - Cundinamarca</t>
  </si>
  <si>
    <t>GRANADA - Meta</t>
  </si>
  <si>
    <t>GUACA - Santander</t>
  </si>
  <si>
    <t>GUACA</t>
  </si>
  <si>
    <t>GUACAMAYAS - Boyacá</t>
  </si>
  <si>
    <t>GUACAMAYAS</t>
  </si>
  <si>
    <t>GUACARÍ - Valle del Cauca</t>
  </si>
  <si>
    <t>GUACARÍ</t>
  </si>
  <si>
    <t>GUACHETÁ - Cundinamarca</t>
  </si>
  <si>
    <t>GUACHETÁ</t>
  </si>
  <si>
    <t>GUACHUCAL - Nariño</t>
  </si>
  <si>
    <t>GUACHUCAL</t>
  </si>
  <si>
    <t>GUADALAJARA DE BUGA - Valle del Cauca</t>
  </si>
  <si>
    <t>GUADALAJARA DE BUGA</t>
  </si>
  <si>
    <t>GUADALUPE - Antioquia</t>
  </si>
  <si>
    <t>GUADALUPE</t>
  </si>
  <si>
    <t>GUADALUPE - Huila</t>
  </si>
  <si>
    <t>GUADALUPE - Santander</t>
  </si>
  <si>
    <t>GUADUAS - Cundinamarca</t>
  </si>
  <si>
    <t>GUADUAS</t>
  </si>
  <si>
    <t>GUAITARILLA - Nariño</t>
  </si>
  <si>
    <t>GUAITARILLA</t>
  </si>
  <si>
    <t>GUALMATÁN - Nariño</t>
  </si>
  <si>
    <t>GUALMATÁN</t>
  </si>
  <si>
    <t>GUAMAL - Magdalena</t>
  </si>
  <si>
    <t>GUAMAL</t>
  </si>
  <si>
    <t>GUAMAL - Meta</t>
  </si>
  <si>
    <t>GUAMO - Tolima</t>
  </si>
  <si>
    <t>GUAMO</t>
  </si>
  <si>
    <t>GUAPI - Cauca</t>
  </si>
  <si>
    <t>GUAPI</t>
  </si>
  <si>
    <t>GUAPOTÁ - Santander</t>
  </si>
  <si>
    <t>GUAPOTÁ</t>
  </si>
  <si>
    <t>GUARANDA - Sucre</t>
  </si>
  <si>
    <t>GUARANDA</t>
  </si>
  <si>
    <t>GUARNE - Antioquia</t>
  </si>
  <si>
    <t>GUARNE</t>
  </si>
  <si>
    <t>GUASCA - Cundinamarca</t>
  </si>
  <si>
    <t>GUASCA</t>
  </si>
  <si>
    <t>GUATAPE - Antioquia</t>
  </si>
  <si>
    <t>GUATAPE</t>
  </si>
  <si>
    <t>GUATAQUÍ - Cundinamarca</t>
  </si>
  <si>
    <t>GUATAQUÍ</t>
  </si>
  <si>
    <t>GUATAVITA - Cundinamarca</t>
  </si>
  <si>
    <t>GUATAVITA</t>
  </si>
  <si>
    <t>GUATEQUE - Boyacá</t>
  </si>
  <si>
    <t>GUATEQUE</t>
  </si>
  <si>
    <t>GUÁTICA - Risaralda</t>
  </si>
  <si>
    <t>GUÁTICA</t>
  </si>
  <si>
    <t>GUAVATÁ - Santander</t>
  </si>
  <si>
    <t>GUAVATÁ</t>
  </si>
  <si>
    <t>GUAYABAL DE SIQUIMA - Cundinamarca</t>
  </si>
  <si>
    <t>GUAYABAL DE SIQUIMA</t>
  </si>
  <si>
    <t>GUAYABETAL - Cundinamarca</t>
  </si>
  <si>
    <t>GUAYABETAL</t>
  </si>
  <si>
    <t>GUAYATÁ - Boyacá</t>
  </si>
  <si>
    <t>GUAYATÁ</t>
  </si>
  <si>
    <t>GÜEPSA - Santander</t>
  </si>
  <si>
    <t>GÜEPSA</t>
  </si>
  <si>
    <t>GÜICÁN - Boyacá</t>
  </si>
  <si>
    <t>GÜICÁN</t>
  </si>
  <si>
    <t>GUTIÉRREZ - Cundinamarca</t>
  </si>
  <si>
    <t>GUTIÉRREZ</t>
  </si>
  <si>
    <t>HACARÍ - Norte de Santander</t>
  </si>
  <si>
    <t>HACARÍ</t>
  </si>
  <si>
    <t>HATILLO DE LOBA - Bolívar</t>
  </si>
  <si>
    <t>HATILLO DE LOBA</t>
  </si>
  <si>
    <t>HATO - Santander</t>
  </si>
  <si>
    <t>HATO</t>
  </si>
  <si>
    <t>HATO COROZAL - Casanare</t>
  </si>
  <si>
    <t>HATO COROZAL</t>
  </si>
  <si>
    <t>HATONUEVO - La Guajira</t>
  </si>
  <si>
    <t>HATONUEVO</t>
  </si>
  <si>
    <t>HELICONIA - Antioquia</t>
  </si>
  <si>
    <t>HELICONIA</t>
  </si>
  <si>
    <t>HERRÁN - Norte de Santander</t>
  </si>
  <si>
    <t>HERRÁN</t>
  </si>
  <si>
    <t>HERVEO - Tolima</t>
  </si>
  <si>
    <t>HERVEO</t>
  </si>
  <si>
    <t>HISPANIA - Antioquia</t>
  </si>
  <si>
    <t>HISPANIA</t>
  </si>
  <si>
    <t>HOBO - Huila</t>
  </si>
  <si>
    <t>HOBO</t>
  </si>
  <si>
    <t>HONDA - Tolima</t>
  </si>
  <si>
    <t>HONDA</t>
  </si>
  <si>
    <t>IBAGUÉ - Tolima</t>
  </si>
  <si>
    <t>IBAGUÉ</t>
  </si>
  <si>
    <t>ICONONZO - Tolima</t>
  </si>
  <si>
    <t>ICONONZO</t>
  </si>
  <si>
    <t>ILES - Nariño</t>
  </si>
  <si>
    <t>ILES</t>
  </si>
  <si>
    <t>IMUÉS - Nariño</t>
  </si>
  <si>
    <t>IMUÉS</t>
  </si>
  <si>
    <t>INÍRIDA - Guainía</t>
  </si>
  <si>
    <t>INÍRIDA</t>
  </si>
  <si>
    <t>INZÁ - Cauca</t>
  </si>
  <si>
    <t>INZÁ</t>
  </si>
  <si>
    <t>IPIALES - Nariño</t>
  </si>
  <si>
    <t>IPIALES</t>
  </si>
  <si>
    <t>IQUIRA - Huila</t>
  </si>
  <si>
    <t>IQUIRA</t>
  </si>
  <si>
    <t>ISNOS - Huila</t>
  </si>
  <si>
    <t>ISNOS</t>
  </si>
  <si>
    <t>ISTMINA - Chocó</t>
  </si>
  <si>
    <t>ISTMINA</t>
  </si>
  <si>
    <t>ITAGUI - Antioquia</t>
  </si>
  <si>
    <t>ITAGUI</t>
  </si>
  <si>
    <t>ITUANGO - Antioquia</t>
  </si>
  <si>
    <t>ITUANGO</t>
  </si>
  <si>
    <t>IZA - Boyacá</t>
  </si>
  <si>
    <t>IZA</t>
  </si>
  <si>
    <t>JAMBALÓ - Cauca</t>
  </si>
  <si>
    <t>JAMBALÓ</t>
  </si>
  <si>
    <t>JAMUNDÍ - Valle del Cauca</t>
  </si>
  <si>
    <t>JAMUNDÍ</t>
  </si>
  <si>
    <t>JARDÍN - Antioquia</t>
  </si>
  <si>
    <t>JARDÍN</t>
  </si>
  <si>
    <t>JENESANO - Boyacá</t>
  </si>
  <si>
    <t>JENESANO</t>
  </si>
  <si>
    <t>JERICÓ - Antioquia</t>
  </si>
  <si>
    <t>JERICÓ</t>
  </si>
  <si>
    <t>JERICÓ - Boyacá</t>
  </si>
  <si>
    <t>JERUSALÉN - Cundinamarca</t>
  </si>
  <si>
    <t>JERUSALÉN</t>
  </si>
  <si>
    <t>JESÚS MARÍA - Santander</t>
  </si>
  <si>
    <t>JESÚS MARÍA</t>
  </si>
  <si>
    <t>JORDÁN - Santander</t>
  </si>
  <si>
    <t>JORDÁN</t>
  </si>
  <si>
    <t>JUAN DE ACOSTA - Atlántico</t>
  </si>
  <si>
    <t>JUAN DE ACOSTA</t>
  </si>
  <si>
    <t>JUNÍN - Cundinamarca</t>
  </si>
  <si>
    <t>JUNÍN</t>
  </si>
  <si>
    <t>JURADÓ - Chocó</t>
  </si>
  <si>
    <t>JURADÓ</t>
  </si>
  <si>
    <t>LA APARTADA - Córdoba</t>
  </si>
  <si>
    <t>LA APARTADA</t>
  </si>
  <si>
    <t>LA ARGENTINA - Huila</t>
  </si>
  <si>
    <t>LA ARGENTINA</t>
  </si>
  <si>
    <t>LA BELLEZA - Santander</t>
  </si>
  <si>
    <t>LA BELLEZA</t>
  </si>
  <si>
    <t>LA CALERA - Cundinamarca</t>
  </si>
  <si>
    <t>LA CALERA</t>
  </si>
  <si>
    <t>LA CAPILLA - Boyacá</t>
  </si>
  <si>
    <t>LA CAPILLA</t>
  </si>
  <si>
    <t>LA CEJA - Antioquia</t>
  </si>
  <si>
    <t>LA CEJA</t>
  </si>
  <si>
    <t>LA CELIA - Risaralda</t>
  </si>
  <si>
    <t>LA CELIA</t>
  </si>
  <si>
    <t>LA CHORRERA - Amazonas</t>
  </si>
  <si>
    <t>LA CHORRERA</t>
  </si>
  <si>
    <t>LA CRUZ - Nariño</t>
  </si>
  <si>
    <t>LA CRUZ</t>
  </si>
  <si>
    <t>LA CUMBRE - Valle del Cauca</t>
  </si>
  <si>
    <t>LA CUMBRE</t>
  </si>
  <si>
    <t>LA DORADA - Caldas</t>
  </si>
  <si>
    <t>LA DORADA</t>
  </si>
  <si>
    <t>LA ESPERANZA - Norte de Santander</t>
  </si>
  <si>
    <t>LA ESPERANZA</t>
  </si>
  <si>
    <t>LA ESTRELLA - Antioquia</t>
  </si>
  <si>
    <t>LA ESTRELLA</t>
  </si>
  <si>
    <t>LA FLORIDA - Nariño</t>
  </si>
  <si>
    <t>LA FLORIDA</t>
  </si>
  <si>
    <t>LA GLORIA - Cesar</t>
  </si>
  <si>
    <t>LA GLORIA</t>
  </si>
  <si>
    <t>LA GUADALUPE - Guainía</t>
  </si>
  <si>
    <t>LA GUADALUPE</t>
  </si>
  <si>
    <t>LA JAGUA DE IBIRICO - Cesar</t>
  </si>
  <si>
    <t>LA JAGUA DE IBIRICO</t>
  </si>
  <si>
    <t>LA JAGUA DEL PILAR - La Guajira</t>
  </si>
  <si>
    <t>LA JAGUA DEL PILAR</t>
  </si>
  <si>
    <t>LA LLANADA - Nariño</t>
  </si>
  <si>
    <t>LA LLANADA</t>
  </si>
  <si>
    <t>LA MACARENA - Meta</t>
  </si>
  <si>
    <t>LA MACARENA</t>
  </si>
  <si>
    <t>LA MERCED - Caldas</t>
  </si>
  <si>
    <t>LA MERCED</t>
  </si>
  <si>
    <t>LA MESA - Cundinamarca</t>
  </si>
  <si>
    <t>LA MESA</t>
  </si>
  <si>
    <t>LA MONTAÑITA - Caquetá</t>
  </si>
  <si>
    <t>LA MONTAÑITA</t>
  </si>
  <si>
    <t>LA PALMA - Cundinamarca</t>
  </si>
  <si>
    <t>LA PALMA</t>
  </si>
  <si>
    <t>LA PAZ - Cesar</t>
  </si>
  <si>
    <t>LA PAZ</t>
  </si>
  <si>
    <t>LA PAZ - Santander</t>
  </si>
  <si>
    <t>LA PEDRERA - Amazonas</t>
  </si>
  <si>
    <t>LA PEDRERA</t>
  </si>
  <si>
    <t>LA PEÑA - Cundinamarca</t>
  </si>
  <si>
    <t>LA PEÑA</t>
  </si>
  <si>
    <t>LA PINTADA - Antioquia</t>
  </si>
  <si>
    <t>LA PINTADA</t>
  </si>
  <si>
    <t>LA PLATA - Huila</t>
  </si>
  <si>
    <t>LA PLATA</t>
  </si>
  <si>
    <t>LA PLAYA - Norte de Santander</t>
  </si>
  <si>
    <t>LA PLAYA</t>
  </si>
  <si>
    <t>LA PRIMAVERA - Vichada</t>
  </si>
  <si>
    <t>LA PRIMAVERA</t>
  </si>
  <si>
    <t>LA SALINA - Casanare</t>
  </si>
  <si>
    <t>LA SALINA</t>
  </si>
  <si>
    <t>LA SIERRA - Cauca</t>
  </si>
  <si>
    <t>LA SIERRA</t>
  </si>
  <si>
    <t>LA TEBAIDA - Quindio</t>
  </si>
  <si>
    <t>LA TEBAIDA</t>
  </si>
  <si>
    <t>LA TOLA - Nariño</t>
  </si>
  <si>
    <t>LA TOLA</t>
  </si>
  <si>
    <t>LA UNIÓN - Antioquia</t>
  </si>
  <si>
    <t>LA UNIÓN</t>
  </si>
  <si>
    <t>LA UNIÓN - Nariño</t>
  </si>
  <si>
    <t>LA UNIÓN - Sucre</t>
  </si>
  <si>
    <t>LA UNIÓN - Valle del Cauca</t>
  </si>
  <si>
    <t>LA UVITA - Boyacá</t>
  </si>
  <si>
    <t>LA UVITA</t>
  </si>
  <si>
    <t>LA VEGA - Cauca</t>
  </si>
  <si>
    <t>LA VEGA</t>
  </si>
  <si>
    <t>LA VEGA - Cundinamarca</t>
  </si>
  <si>
    <t>LA VICTORIA - Amazonas</t>
  </si>
  <si>
    <t>LA VICTORIA</t>
  </si>
  <si>
    <t>LA VICTORIA - Boyacá</t>
  </si>
  <si>
    <t>LA VICTORIA - Valle del Cauca</t>
  </si>
  <si>
    <t>LA VIRGINIA - Risaralda</t>
  </si>
  <si>
    <t>LA VIRGINIA</t>
  </si>
  <si>
    <t>LABATECA - Norte de Santander</t>
  </si>
  <si>
    <t>LABATECA</t>
  </si>
  <si>
    <t>LABRANZAGRANDE - Boyacá</t>
  </si>
  <si>
    <t>LABRANZAGRANDE</t>
  </si>
  <si>
    <t>LANDÁZURI - Santander</t>
  </si>
  <si>
    <t>LANDÁZURI</t>
  </si>
  <si>
    <t>LEBRÍJA - Santander</t>
  </si>
  <si>
    <t>LEBRÍJA</t>
  </si>
  <si>
    <t>LEGUÍZAMO - Putumayo</t>
  </si>
  <si>
    <t>LEGUÍZAMO</t>
  </si>
  <si>
    <t>LEIVA - Nariño</t>
  </si>
  <si>
    <t>LEIVA</t>
  </si>
  <si>
    <t>LEJANÍAS - Meta</t>
  </si>
  <si>
    <t>LEJANÍAS</t>
  </si>
  <si>
    <t>LENGUAZAQUE - Cundinamarca</t>
  </si>
  <si>
    <t>LENGUAZAQUE</t>
  </si>
  <si>
    <t>LÉRIDA - Tolima</t>
  </si>
  <si>
    <t>LÉRIDA</t>
  </si>
  <si>
    <t>LETICIA - Amazonas</t>
  </si>
  <si>
    <t>LETICIA</t>
  </si>
  <si>
    <t>LÍBANO - Tolima</t>
  </si>
  <si>
    <t>LÍBANO</t>
  </si>
  <si>
    <t>LIBORINA - Antioquia</t>
  </si>
  <si>
    <t>LIBORINA</t>
  </si>
  <si>
    <t>LINARES - Nariño</t>
  </si>
  <si>
    <t>LINARES</t>
  </si>
  <si>
    <t>LLORÓ - Chocó</t>
  </si>
  <si>
    <t>LLORÓ</t>
  </si>
  <si>
    <t>LÓPEZ - Cauca</t>
  </si>
  <si>
    <t>LÓPEZ</t>
  </si>
  <si>
    <t>LORICA - Córdoba</t>
  </si>
  <si>
    <t>LORICA</t>
  </si>
  <si>
    <t>LOS ANDES - Nariño</t>
  </si>
  <si>
    <t>LOS ANDES</t>
  </si>
  <si>
    <t>LOS CÓRDOBAS - Córdoba</t>
  </si>
  <si>
    <t>LOS CÓRDOBAS</t>
  </si>
  <si>
    <t>LOS PALMITOS - Sucre</t>
  </si>
  <si>
    <t>LOS PALMITOS</t>
  </si>
  <si>
    <t>LOS PATIOS - Norte de Santander</t>
  </si>
  <si>
    <t>LOS PATIOS</t>
  </si>
  <si>
    <t>LOS SANTOS - Santander</t>
  </si>
  <si>
    <t>LOS SANTOS</t>
  </si>
  <si>
    <t>LOURDES - Norte de Santander</t>
  </si>
  <si>
    <t>LOURDES</t>
  </si>
  <si>
    <t>LURUACO - Atlántico</t>
  </si>
  <si>
    <t>LURUACO</t>
  </si>
  <si>
    <t>MACANAL - Boyacá</t>
  </si>
  <si>
    <t>MACANAL</t>
  </si>
  <si>
    <t>MACARAVITA - Santander</t>
  </si>
  <si>
    <t>MACARAVITA</t>
  </si>
  <si>
    <t>MACEO - Antioquia</t>
  </si>
  <si>
    <t>MACEO</t>
  </si>
  <si>
    <t>MACHETA - Cundinamarca</t>
  </si>
  <si>
    <t>MACHETA</t>
  </si>
  <si>
    <t>MADRID - Cundinamarca</t>
  </si>
  <si>
    <t>MADRID</t>
  </si>
  <si>
    <t>MAGANGUÉ - Bolívar</t>
  </si>
  <si>
    <t>MAGANGUÉ</t>
  </si>
  <si>
    <t>MAGÜI - Nariño</t>
  </si>
  <si>
    <t>MAGÜI</t>
  </si>
  <si>
    <t>MAHATES - Bolívar</t>
  </si>
  <si>
    <t>MAHATES</t>
  </si>
  <si>
    <t>MAICAO - La Guajira</t>
  </si>
  <si>
    <t>MAICAO</t>
  </si>
  <si>
    <t>MAJAGUAL - Sucre</t>
  </si>
  <si>
    <t>MAJAGUAL</t>
  </si>
  <si>
    <t>MÁLAGA - Santander</t>
  </si>
  <si>
    <t>MÁLAGA</t>
  </si>
  <si>
    <t>MALAMBO - Atlántico</t>
  </si>
  <si>
    <t>MALAMBO</t>
  </si>
  <si>
    <t>MALLAMA - Nariño</t>
  </si>
  <si>
    <t>MALLAMA</t>
  </si>
  <si>
    <t>MANATÍ - Atlántico</t>
  </si>
  <si>
    <t>MANATÍ</t>
  </si>
  <si>
    <t>MANAURE - Cesar</t>
  </si>
  <si>
    <t>MANAURE</t>
  </si>
  <si>
    <t>MANAURE - La Guajira</t>
  </si>
  <si>
    <t>MANÍ - Casanare</t>
  </si>
  <si>
    <t>MANÍ</t>
  </si>
  <si>
    <t>MANIZALES - Caldas</t>
  </si>
  <si>
    <t>MANIZALES</t>
  </si>
  <si>
    <t>MANTA - Cundinamarca</t>
  </si>
  <si>
    <t>MANTA</t>
  </si>
  <si>
    <t>MANZANARES - Caldas</t>
  </si>
  <si>
    <t>MANZANARES</t>
  </si>
  <si>
    <t>MAPIRIPÁN - Meta</t>
  </si>
  <si>
    <t>MAPIRIPÁN</t>
  </si>
  <si>
    <t>MAPIRIPANA - Guainía</t>
  </si>
  <si>
    <t>MAPIRIPANA</t>
  </si>
  <si>
    <t>MARGARITA - Bolívar</t>
  </si>
  <si>
    <t>MARGARITA</t>
  </si>
  <si>
    <t>MARÍA LA BAJA - Bolívar</t>
  </si>
  <si>
    <t>MARÍA LA BAJA</t>
  </si>
  <si>
    <t>MARINILLA - Antioquia</t>
  </si>
  <si>
    <t>MARINILLA</t>
  </si>
  <si>
    <t>MARIPÍ - Boyacá</t>
  </si>
  <si>
    <t>MARIPÍ</t>
  </si>
  <si>
    <t>MARIQUITA - Tolima</t>
  </si>
  <si>
    <t>MARIQUITA</t>
  </si>
  <si>
    <t>MARMATO - Caldas</t>
  </si>
  <si>
    <t>MARMATO</t>
  </si>
  <si>
    <t>MARQUETALIA - Caldas</t>
  </si>
  <si>
    <t>MARQUETALIA</t>
  </si>
  <si>
    <t>MARSELLA - Risaralda</t>
  </si>
  <si>
    <t>MARSELLA</t>
  </si>
  <si>
    <t>MARULANDA - Caldas</t>
  </si>
  <si>
    <t>MARULANDA</t>
  </si>
  <si>
    <t>MATANZA - Santander</t>
  </si>
  <si>
    <t>MATANZA</t>
  </si>
  <si>
    <t>MEDELLÍN - Antioquia</t>
  </si>
  <si>
    <t>MEDELLÍN</t>
  </si>
  <si>
    <t>MEDINA - Cundinamarca</t>
  </si>
  <si>
    <t>MEDINA</t>
  </si>
  <si>
    <t>MEDIO ATRATO - Chocó</t>
  </si>
  <si>
    <t>MEDIO ATRATO</t>
  </si>
  <si>
    <t>MEDIO BAUDÓ - Chocó</t>
  </si>
  <si>
    <t>MEDIO BAUDÓ</t>
  </si>
  <si>
    <t>MEDIO SAN JUAN - Chocó</t>
  </si>
  <si>
    <t>MEDIO SAN JUAN</t>
  </si>
  <si>
    <t>MELGAR - Tolima</t>
  </si>
  <si>
    <t>MELGAR</t>
  </si>
  <si>
    <t>MERCADERES - Cauca</t>
  </si>
  <si>
    <t>MERCADERES</t>
  </si>
  <si>
    <t>MESETAS - Meta</t>
  </si>
  <si>
    <t>MESETAS</t>
  </si>
  <si>
    <t>MILÁN - Caquetá</t>
  </si>
  <si>
    <t>MILÁN</t>
  </si>
  <si>
    <t>MIRAFLORES - Boyacá</t>
  </si>
  <si>
    <t>MIRAFLORES</t>
  </si>
  <si>
    <t>MIRAFLORES - Guaviare</t>
  </si>
  <si>
    <t>MIRANDA - Cauca</t>
  </si>
  <si>
    <t>MIRANDA</t>
  </si>
  <si>
    <t xml:space="preserve">MIRITI - PARANÁ </t>
  </si>
  <si>
    <t>MIRITI</t>
  </si>
  <si>
    <t xml:space="preserve"> PARANÁ </t>
  </si>
  <si>
    <t>MISTRATÓ - Risaralda</t>
  </si>
  <si>
    <t>MISTRATÓ</t>
  </si>
  <si>
    <t>MITÚ - Vaupés</t>
  </si>
  <si>
    <t>MITÚ</t>
  </si>
  <si>
    <t>MOCOA - Putumayo</t>
  </si>
  <si>
    <t>MOCOA</t>
  </si>
  <si>
    <t>MOGOTES - Santander</t>
  </si>
  <si>
    <t>MOGOTES</t>
  </si>
  <si>
    <t>MOLAGAVITA - Santander</t>
  </si>
  <si>
    <t>MOLAGAVITA</t>
  </si>
  <si>
    <t>MOMIL - Córdoba</t>
  </si>
  <si>
    <t>MOMIL</t>
  </si>
  <si>
    <t>MOMPÓS - Bolívar</t>
  </si>
  <si>
    <t>MOMPÓS</t>
  </si>
  <si>
    <t>MONGUA - Boyacá</t>
  </si>
  <si>
    <t>MONGUA</t>
  </si>
  <si>
    <t>MONGUÍ - Boyacá</t>
  </si>
  <si>
    <t>MONGUÍ</t>
  </si>
  <si>
    <t>MONIQUIRÁ - Boyacá</t>
  </si>
  <si>
    <t>MONIQUIRÁ</t>
  </si>
  <si>
    <t>MONTEBELLO - Antioquia</t>
  </si>
  <si>
    <t>MONTEBELLO</t>
  </si>
  <si>
    <t>MONTECRISTO - Bolívar</t>
  </si>
  <si>
    <t>MONTECRISTO</t>
  </si>
  <si>
    <t>MONTELÍBANO - Córdoba</t>
  </si>
  <si>
    <t>MONTELÍBANO</t>
  </si>
  <si>
    <t>MONTENEGRO - Quindio</t>
  </si>
  <si>
    <t>MONTENEGRO</t>
  </si>
  <si>
    <t>MONTERÍA - Córdoba</t>
  </si>
  <si>
    <t>MONTERÍA</t>
  </si>
  <si>
    <t>MONTERREY - Casanare</t>
  </si>
  <si>
    <t>MONTERREY</t>
  </si>
  <si>
    <t>MOÑITOS - Córdoba</t>
  </si>
  <si>
    <t>MOÑITOS</t>
  </si>
  <si>
    <t>MORALES - Bolívar</t>
  </si>
  <si>
    <t>MORALES</t>
  </si>
  <si>
    <t>MORALES - Cauca</t>
  </si>
  <si>
    <t>MORELIA - Caquetá</t>
  </si>
  <si>
    <t>MORELIA</t>
  </si>
  <si>
    <t>MORICHAL - Guainía</t>
  </si>
  <si>
    <t>MORICHAL</t>
  </si>
  <si>
    <t>MORROA - Sucre</t>
  </si>
  <si>
    <t>MORROA</t>
  </si>
  <si>
    <t>MOSQUERA - Cundinamarca</t>
  </si>
  <si>
    <t>MOSQUERA</t>
  </si>
  <si>
    <t>MOSQUERA - Nariño</t>
  </si>
  <si>
    <t>MOTAVITA - Boyacá</t>
  </si>
  <si>
    <t>MOTAVITA</t>
  </si>
  <si>
    <t>MURILLO - Tolima</t>
  </si>
  <si>
    <t>MURILLO</t>
  </si>
  <si>
    <t>MURINDÓ - Antioquia</t>
  </si>
  <si>
    <t>MURINDÓ</t>
  </si>
  <si>
    <t>MUTATÁ - Antioquia</t>
  </si>
  <si>
    <t>MUTATÁ</t>
  </si>
  <si>
    <t>MUTISCUA - Norte de Santander</t>
  </si>
  <si>
    <t>MUTISCUA</t>
  </si>
  <si>
    <t>MUZO - Boyacá</t>
  </si>
  <si>
    <t>MUZO</t>
  </si>
  <si>
    <t>NARIÑO - Antioquia</t>
  </si>
  <si>
    <t>NARIÑO</t>
  </si>
  <si>
    <t>NARIÑO - Cundinamarca</t>
  </si>
  <si>
    <t>NARIÑO - Nariño</t>
  </si>
  <si>
    <t>NÁTAGA - Huila</t>
  </si>
  <si>
    <t>NÁTAGA</t>
  </si>
  <si>
    <t>NATAGAIMA - Tolima</t>
  </si>
  <si>
    <t>NATAGAIMA</t>
  </si>
  <si>
    <t>NECHÍ - Antioquia</t>
  </si>
  <si>
    <t>NECHÍ</t>
  </si>
  <si>
    <t>NECOCLÍ - Antioquia</t>
  </si>
  <si>
    <t>NECOCLÍ</t>
  </si>
  <si>
    <t>NEIRA - Caldas</t>
  </si>
  <si>
    <t>NEIRA</t>
  </si>
  <si>
    <t>NEIVA - Huila</t>
  </si>
  <si>
    <t>NEIVA</t>
  </si>
  <si>
    <t>NEMOCÓN - Cundinamarca</t>
  </si>
  <si>
    <t>NEMOCÓN</t>
  </si>
  <si>
    <t>NILO - Cundinamarca</t>
  </si>
  <si>
    <t>NILO</t>
  </si>
  <si>
    <t>NIMAIMA - Cundinamarca</t>
  </si>
  <si>
    <t>NIMAIMA</t>
  </si>
  <si>
    <t>NOBSA - Boyacá</t>
  </si>
  <si>
    <t>NOBSA</t>
  </si>
  <si>
    <t>NOCAIMA - Cundinamarca</t>
  </si>
  <si>
    <t>NOCAIMA</t>
  </si>
  <si>
    <t>NORCASIA - Caldas</t>
  </si>
  <si>
    <t>NORCASIA</t>
  </si>
  <si>
    <t>NÓVITA - Chocó</t>
  </si>
  <si>
    <t>NÓVITA</t>
  </si>
  <si>
    <t>NUEVA GRANADA - Magdalena</t>
  </si>
  <si>
    <t>NUEVA GRANADA</t>
  </si>
  <si>
    <t>NUEVO COLÓN - Boyacá</t>
  </si>
  <si>
    <t>NUEVO COLÓN</t>
  </si>
  <si>
    <t>NUNCHÍA - Casanare</t>
  </si>
  <si>
    <t>NUNCHÍA</t>
  </si>
  <si>
    <t>NUQUÍ - Chocó</t>
  </si>
  <si>
    <t>NUQUÍ</t>
  </si>
  <si>
    <t>OBANDO - Valle del Cauca</t>
  </si>
  <si>
    <t>OBANDO</t>
  </si>
  <si>
    <t>OCAMONTE - Santander</t>
  </si>
  <si>
    <t>OCAMONTE</t>
  </si>
  <si>
    <t>OCAÑA - Norte de Santander</t>
  </si>
  <si>
    <t>OCAÑA</t>
  </si>
  <si>
    <t>OIBA - Santander</t>
  </si>
  <si>
    <t>OIBA</t>
  </si>
  <si>
    <t>OICATÁ - Boyacá</t>
  </si>
  <si>
    <t>OICATÁ</t>
  </si>
  <si>
    <t>OLAYA - Antioquia</t>
  </si>
  <si>
    <t>OLAYA</t>
  </si>
  <si>
    <t>OLAYA HERRERA - Nariño</t>
  </si>
  <si>
    <t>OLAYA HERRERA</t>
  </si>
  <si>
    <t>ONZAGA - Santander</t>
  </si>
  <si>
    <t>ONZAGA</t>
  </si>
  <si>
    <t>OPORAPA - Huila</t>
  </si>
  <si>
    <t>OPORAPA</t>
  </si>
  <si>
    <t>ORITO - Putumayo</t>
  </si>
  <si>
    <t>ORITO</t>
  </si>
  <si>
    <t>OROCUÉ - Casanare</t>
  </si>
  <si>
    <t>OROCUÉ</t>
  </si>
  <si>
    <t>ORTEGA - Tolima</t>
  </si>
  <si>
    <t>ORTEGA</t>
  </si>
  <si>
    <t>OSPINA - Nariño</t>
  </si>
  <si>
    <t>OSPINA</t>
  </si>
  <si>
    <t>OTANCHE - Boyacá</t>
  </si>
  <si>
    <t>OTANCHE</t>
  </si>
  <si>
    <t>OVEJAS - Sucre</t>
  </si>
  <si>
    <t>OVEJAS</t>
  </si>
  <si>
    <t>PACHAVITA - Boyacá</t>
  </si>
  <si>
    <t>PACHAVITA</t>
  </si>
  <si>
    <t>PACHO - Cundinamarca</t>
  </si>
  <si>
    <t>PACHO</t>
  </si>
  <si>
    <t>PACOA - Vaupés</t>
  </si>
  <si>
    <t>PACOA</t>
  </si>
  <si>
    <t>PÁCORA - Caldas</t>
  </si>
  <si>
    <t>PÁCORA</t>
  </si>
  <si>
    <t>PADILLA - Cauca</t>
  </si>
  <si>
    <t>PADILLA</t>
  </si>
  <si>
    <t>PÁEZ - Boyacá</t>
  </si>
  <si>
    <t>PÁEZ</t>
  </si>
  <si>
    <t>PAEZ - Cauca</t>
  </si>
  <si>
    <t>PAEZ</t>
  </si>
  <si>
    <t>PAICOL - Huila</t>
  </si>
  <si>
    <t>PAICOL</t>
  </si>
  <si>
    <t>PAILITAS - Cesar</t>
  </si>
  <si>
    <t>PAILITAS</t>
  </si>
  <si>
    <t>PAIME - Cundinamarca</t>
  </si>
  <si>
    <t>PAIME</t>
  </si>
  <si>
    <t>PAIPA - Boyacá</t>
  </si>
  <si>
    <t>PAIPA</t>
  </si>
  <si>
    <t>PAJARITO - Boyacá</t>
  </si>
  <si>
    <t>PAJARITO</t>
  </si>
  <si>
    <t>PALERMO - Huila</t>
  </si>
  <si>
    <t>PALERMO</t>
  </si>
  <si>
    <t>PALESTINA - Caldas</t>
  </si>
  <si>
    <t>PALESTINA</t>
  </si>
  <si>
    <t>PALESTINA - Huila</t>
  </si>
  <si>
    <t>PALMAR - Santander</t>
  </si>
  <si>
    <t>PALMAR</t>
  </si>
  <si>
    <t>PALMAR DE VARELA - Atlántico</t>
  </si>
  <si>
    <t>PALMAR DE VARELA</t>
  </si>
  <si>
    <t>PALMAS DEL SOCORRO - Santander</t>
  </si>
  <si>
    <t>PALMAS DEL SOCORRO</t>
  </si>
  <si>
    <t>PALMIRA - Valle del Cauca</t>
  </si>
  <si>
    <t>PALMIRA</t>
  </si>
  <si>
    <t>PALMITO - Sucre</t>
  </si>
  <si>
    <t>PALMITO</t>
  </si>
  <si>
    <t>PALOCABILDO - Tolima</t>
  </si>
  <si>
    <t>PALOCABILDO</t>
  </si>
  <si>
    <t>PAMPLONA - Norte de Santander</t>
  </si>
  <si>
    <t>PAMPLONA</t>
  </si>
  <si>
    <t>PAMPLONITA - Norte de Santander</t>
  </si>
  <si>
    <t>PAMPLONITA</t>
  </si>
  <si>
    <t>PANA PANA - Guainía</t>
  </si>
  <si>
    <t>PANA PANA</t>
  </si>
  <si>
    <t>PANDI - Cundinamarca</t>
  </si>
  <si>
    <t>PANDI</t>
  </si>
  <si>
    <t>PANQUEBA - Boyacá</t>
  </si>
  <si>
    <t>PANQUEBA</t>
  </si>
  <si>
    <t>PAPUNAUA - Vaupés</t>
  </si>
  <si>
    <t>PAPUNAUA</t>
  </si>
  <si>
    <t>PÁRAMO - Santander</t>
  </si>
  <si>
    <t>PÁRAMO</t>
  </si>
  <si>
    <t>PARATEBUENO - Cundinamarca</t>
  </si>
  <si>
    <t>PARATEBUENO</t>
  </si>
  <si>
    <t>PASCA - Cundinamarca</t>
  </si>
  <si>
    <t>PASCA</t>
  </si>
  <si>
    <t>PASTO - Nariño</t>
  </si>
  <si>
    <t>PASTO</t>
  </si>
  <si>
    <t>PATÍA - Cauca</t>
  </si>
  <si>
    <t>PATÍA</t>
  </si>
  <si>
    <t>PAUNA - Boyacá</t>
  </si>
  <si>
    <t>PAUNA</t>
  </si>
  <si>
    <t>PAYA - Boyacá</t>
  </si>
  <si>
    <t>PAYA</t>
  </si>
  <si>
    <t>PAZ DE ARIPORO - Casanare</t>
  </si>
  <si>
    <t>PAZ DE ARIPORO</t>
  </si>
  <si>
    <t>PAZ DE RÍO - Boyacá</t>
  </si>
  <si>
    <t>PAZ DE RÍO</t>
  </si>
  <si>
    <t>PEDRAZA - Magdalena</t>
  </si>
  <si>
    <t>PEDRAZA</t>
  </si>
  <si>
    <t>PELAYA - Cesar</t>
  </si>
  <si>
    <t>PELAYA</t>
  </si>
  <si>
    <t>PENSILVANIA - Caldas</t>
  </si>
  <si>
    <t>PENSILVANIA</t>
  </si>
  <si>
    <t>PEÑOL - Antioquia</t>
  </si>
  <si>
    <t>PEÑOL</t>
  </si>
  <si>
    <t>PEQUE - Antioquia</t>
  </si>
  <si>
    <t>PEQUE</t>
  </si>
  <si>
    <t>PEREIRA - Risaralda</t>
  </si>
  <si>
    <t>PEREIRA</t>
  </si>
  <si>
    <t>PESCA - Boyacá</t>
  </si>
  <si>
    <t>PESCA</t>
  </si>
  <si>
    <t>PIAMONTE - Cauca</t>
  </si>
  <si>
    <t>PIAMONTE</t>
  </si>
  <si>
    <t>PIEDECUESTA - Santander</t>
  </si>
  <si>
    <t>PIEDECUESTA</t>
  </si>
  <si>
    <t>PIEDRAS - Tolima</t>
  </si>
  <si>
    <t>PIEDRAS</t>
  </si>
  <si>
    <t>PIENDAMÓ - Cauca</t>
  </si>
  <si>
    <t>PIENDAMÓ</t>
  </si>
  <si>
    <t>PIJAO - Quindio</t>
  </si>
  <si>
    <t>PIJAO</t>
  </si>
  <si>
    <t>PIJIÑO DEL CARMEN - Magdalena</t>
  </si>
  <si>
    <t>PIJIÑO DEL CARMEN</t>
  </si>
  <si>
    <t>PINCHOTE - Santander</t>
  </si>
  <si>
    <t>PINCHOTE</t>
  </si>
  <si>
    <t>PINILLOS - Bolívar</t>
  </si>
  <si>
    <t>PINILLOS</t>
  </si>
  <si>
    <t>PIOJÓ - Atlántico</t>
  </si>
  <si>
    <t>PIOJÓ</t>
  </si>
  <si>
    <t>PISBA - Boyacá</t>
  </si>
  <si>
    <t>PISBA</t>
  </si>
  <si>
    <t>PITAL - Huila</t>
  </si>
  <si>
    <t>PITAL</t>
  </si>
  <si>
    <t>PITALITO - Huila</t>
  </si>
  <si>
    <t>PITALITO</t>
  </si>
  <si>
    <t>PIVIJAY - Magdalena</t>
  </si>
  <si>
    <t>PIVIJAY</t>
  </si>
  <si>
    <t>PLANADAS - Tolima</t>
  </si>
  <si>
    <t>PLANADAS</t>
  </si>
  <si>
    <t>PLANETA RICA - Córdoba</t>
  </si>
  <si>
    <t>PLANETA RICA</t>
  </si>
  <si>
    <t>PLATO - Magdalena</t>
  </si>
  <si>
    <t>PLATO</t>
  </si>
  <si>
    <t>POLICARPA - Nariño</t>
  </si>
  <si>
    <t>POLICARPA</t>
  </si>
  <si>
    <t>POLONUEVO - Atlántico</t>
  </si>
  <si>
    <t>POLONUEVO</t>
  </si>
  <si>
    <t>PONEDERA - Atlántico</t>
  </si>
  <si>
    <t>PONEDERA</t>
  </si>
  <si>
    <t>POPAYÁN - Cauca</t>
  </si>
  <si>
    <t>POPAYÁN</t>
  </si>
  <si>
    <t>PORE - Casanare</t>
  </si>
  <si>
    <t>PORE</t>
  </si>
  <si>
    <t>POTOSÍ - Nariño</t>
  </si>
  <si>
    <t>POTOSÍ</t>
  </si>
  <si>
    <t>PRADERA - Valle del Cauca</t>
  </si>
  <si>
    <t>PRADERA</t>
  </si>
  <si>
    <t>PRADO - Tolima</t>
  </si>
  <si>
    <t>PRADO</t>
  </si>
  <si>
    <t>PROVIDENCIA - Archipiélago de San Andrés, Providencia y Santa Catalina</t>
  </si>
  <si>
    <t>PROVIDENCIA</t>
  </si>
  <si>
    <t xml:space="preserve"> Archipiélago de San Andrés, Providencia y Santa Catalina</t>
  </si>
  <si>
    <t>PROVIDENCIA - Nariño</t>
  </si>
  <si>
    <t>PUEBLO BELLO - Cesar</t>
  </si>
  <si>
    <t>PUEBLO BELLO</t>
  </si>
  <si>
    <t>PUEBLO NUEVO - Córdoba</t>
  </si>
  <si>
    <t>PUEBLO NUEVO</t>
  </si>
  <si>
    <t>PUEBLO RICO - Risaralda</t>
  </si>
  <si>
    <t>PUEBLO RICO</t>
  </si>
  <si>
    <t>PUEBLORRICO - Antioquia</t>
  </si>
  <si>
    <t>PUEBLORRICO</t>
  </si>
  <si>
    <t>PUEBLOVIEJO - Magdalena</t>
  </si>
  <si>
    <t>PUEBLOVIEJO</t>
  </si>
  <si>
    <t>PUENTE NACIONAL - Santander</t>
  </si>
  <si>
    <t>PUENTE NACIONAL</t>
  </si>
  <si>
    <t>PUERRES - Nariño</t>
  </si>
  <si>
    <t>PUERRES</t>
  </si>
  <si>
    <t>PUERTO ALEGRÍA - Amazonas</t>
  </si>
  <si>
    <t>PUERTO ALEGRÍA</t>
  </si>
  <si>
    <t>PUERTO ARICA - Amazonas</t>
  </si>
  <si>
    <t>PUERTO ARICA</t>
  </si>
  <si>
    <t>PUERTO ASÍS - Putumayo</t>
  </si>
  <si>
    <t>PUERTO ASÍS</t>
  </si>
  <si>
    <t>PUERTO BERRÍO - Antioquia</t>
  </si>
  <si>
    <t>PUERTO BERRÍO</t>
  </si>
  <si>
    <t>PUERTO BOYACÁ - Boyacá</t>
  </si>
  <si>
    <t>PUERTO BOYACÁ</t>
  </si>
  <si>
    <t>PUERTO CAICEDO - Putumayo</t>
  </si>
  <si>
    <t>PUERTO CAICEDO</t>
  </si>
  <si>
    <t>PUERTO CARREÑO - Vichada</t>
  </si>
  <si>
    <t>PUERTO CARREÑO</t>
  </si>
  <si>
    <t>PUERTO COLOMBIA - Atlántico</t>
  </si>
  <si>
    <t>PUERTO COLOMBIA</t>
  </si>
  <si>
    <t>PUERTO COLOMBIA - Guainía</t>
  </si>
  <si>
    <t>PUERTO CONCORDIA - Meta</t>
  </si>
  <si>
    <t>PUERTO CONCORDIA</t>
  </si>
  <si>
    <t>PUERTO ESCONDIDO - Córdoba</t>
  </si>
  <si>
    <t>PUERTO ESCONDIDO</t>
  </si>
  <si>
    <t>PUERTO GAITÁN - Meta</t>
  </si>
  <si>
    <t>PUERTO GAITÁN</t>
  </si>
  <si>
    <t>PUERTO GUZMÁN - Putumayo</t>
  </si>
  <si>
    <t>PUERTO GUZMÁN</t>
  </si>
  <si>
    <t>PUERTO LIBERTADOR - Córdoba</t>
  </si>
  <si>
    <t>PUERTO LIBERTADOR</t>
  </si>
  <si>
    <t>PUERTO LLERAS - Meta</t>
  </si>
  <si>
    <t>PUERTO LLERAS</t>
  </si>
  <si>
    <t>PUERTO LÓPEZ - Meta</t>
  </si>
  <si>
    <t>PUERTO LÓPEZ</t>
  </si>
  <si>
    <t>PUERTO NARE - Antioquia</t>
  </si>
  <si>
    <t>PUERTO NARE</t>
  </si>
  <si>
    <t>PUERTO NARIÑO - Amazonas</t>
  </si>
  <si>
    <t>PUERTO NARIÑO</t>
  </si>
  <si>
    <t>PUERTO PARRA - Santander</t>
  </si>
  <si>
    <t>PUERTO PARRA</t>
  </si>
  <si>
    <t>PUERTO RICO - Caquetá</t>
  </si>
  <si>
    <t>PUERTO RICO</t>
  </si>
  <si>
    <t>PUERTO RICO - Meta</t>
  </si>
  <si>
    <t>PUERTO RONDÓN - Arauca</t>
  </si>
  <si>
    <t>PUERTO RONDÓN</t>
  </si>
  <si>
    <t>PUERTO SALGAR - Cundinamarca</t>
  </si>
  <si>
    <t>PUERTO SALGAR</t>
  </si>
  <si>
    <t>PUERTO SANTANDER - Amazonas</t>
  </si>
  <si>
    <t>PUERTO SANTANDER</t>
  </si>
  <si>
    <t>PUERTO SANTANDER - Norte de Santander</t>
  </si>
  <si>
    <t>PUERTO TEJADA - Cauca</t>
  </si>
  <si>
    <t>PUERTO TEJADA</t>
  </si>
  <si>
    <t>PUERTO TRIUNFO - Antioquia</t>
  </si>
  <si>
    <t>PUERTO TRIUNFO</t>
  </si>
  <si>
    <t>PUERTO WILCHES - Santander</t>
  </si>
  <si>
    <t>PUERTO WILCHES</t>
  </si>
  <si>
    <t>PULÍ - Cundinamarca</t>
  </si>
  <si>
    <t>PULÍ</t>
  </si>
  <si>
    <t>PUPIALES - Nariño</t>
  </si>
  <si>
    <t>PUPIALES</t>
  </si>
  <si>
    <t>PURACÉ - Cauca</t>
  </si>
  <si>
    <t>PURACÉ</t>
  </si>
  <si>
    <t>PURIFICACIÓN - Tolima</t>
  </si>
  <si>
    <t>PURIFICACIÓN</t>
  </si>
  <si>
    <t>PURÍSIMA - Córdoba</t>
  </si>
  <si>
    <t>PURÍSIMA</t>
  </si>
  <si>
    <t>QUEBRADANEGRA - Cundinamarca</t>
  </si>
  <si>
    <t>QUEBRADANEGRA</t>
  </si>
  <si>
    <t>QUETAME - Cundinamarca</t>
  </si>
  <si>
    <t>QUETAME</t>
  </si>
  <si>
    <t>QUIBDÓ - Chocó</t>
  </si>
  <si>
    <t>QUIBDÓ</t>
  </si>
  <si>
    <t>QUIMBAYA - Quindio</t>
  </si>
  <si>
    <t>QUIMBAYA</t>
  </si>
  <si>
    <t>QUINCHÍA - Risaralda</t>
  </si>
  <si>
    <t>QUINCHÍA</t>
  </si>
  <si>
    <t>QUÍPAMA - Boyacá</t>
  </si>
  <si>
    <t>QUÍPAMA</t>
  </si>
  <si>
    <t>QUIPILE - Cundinamarca</t>
  </si>
  <si>
    <t>QUIPILE</t>
  </si>
  <si>
    <t>RAGONVALIA - Norte de Santander</t>
  </si>
  <si>
    <t>RAGONVALIA</t>
  </si>
  <si>
    <t>RAMIRIQUÍ - Boyacá</t>
  </si>
  <si>
    <t>RAMIRIQUÍ</t>
  </si>
  <si>
    <t>RÁQUIRA - Boyacá</t>
  </si>
  <si>
    <t>RÁQUIRA</t>
  </si>
  <si>
    <t>RECETOR - Casanare</t>
  </si>
  <si>
    <t>RECETOR</t>
  </si>
  <si>
    <t>REGIDOR - Bolívar</t>
  </si>
  <si>
    <t>REGIDOR</t>
  </si>
  <si>
    <t>REMEDIOS - Antioquia</t>
  </si>
  <si>
    <t>REMEDIOS</t>
  </si>
  <si>
    <t>REMOLINO - Magdalena</t>
  </si>
  <si>
    <t>REMOLINO</t>
  </si>
  <si>
    <t>REPELÓN - Atlántico</t>
  </si>
  <si>
    <t>REPELÓN</t>
  </si>
  <si>
    <t>RESTREPO - Meta</t>
  </si>
  <si>
    <t>RESTREPO</t>
  </si>
  <si>
    <t>RESTREPO - Valle del Cauca</t>
  </si>
  <si>
    <t>RETIRO - Antioquia</t>
  </si>
  <si>
    <t>RETIRO</t>
  </si>
  <si>
    <t>RICAURTE - Cundinamarca</t>
  </si>
  <si>
    <t>RICAURTE</t>
  </si>
  <si>
    <t>RICAURTE - Nariño</t>
  </si>
  <si>
    <t>RÍO DE ORO - Cesar</t>
  </si>
  <si>
    <t>RÍO DE ORO</t>
  </si>
  <si>
    <t>RÍO IRO - Chocó</t>
  </si>
  <si>
    <t>RÍO IRO</t>
  </si>
  <si>
    <t>RÍO QUITO - Chocó</t>
  </si>
  <si>
    <t>RÍO QUITO</t>
  </si>
  <si>
    <t>RÍO VIEJO - Bolívar</t>
  </si>
  <si>
    <t>RÍO VIEJO</t>
  </si>
  <si>
    <t>RIOBLANCO - Tolima</t>
  </si>
  <si>
    <t>RIOBLANCO</t>
  </si>
  <si>
    <t>RIOFRÍO - Valle del Cauca</t>
  </si>
  <si>
    <t>RIOFRÍO</t>
  </si>
  <si>
    <t>RIOHACHA - La Guajira</t>
  </si>
  <si>
    <t>RIOHACHA</t>
  </si>
  <si>
    <t>RIONEGRO - Antioquia</t>
  </si>
  <si>
    <t>RIONEGRO</t>
  </si>
  <si>
    <t>RIONEGRO - Santander</t>
  </si>
  <si>
    <t>RIOSUCIO - Caldas</t>
  </si>
  <si>
    <t>RIOSUCIO</t>
  </si>
  <si>
    <t>RIOSUCIO - Chocó</t>
  </si>
  <si>
    <t>RISARALDA - Caldas</t>
  </si>
  <si>
    <t>RISARALDA</t>
  </si>
  <si>
    <t>RIVERA - Huila</t>
  </si>
  <si>
    <t>RIVERA</t>
  </si>
  <si>
    <t>ROBERTO PAYÁN - Nariño</t>
  </si>
  <si>
    <t>ROBERTO PAYÁN</t>
  </si>
  <si>
    <t>ROLDANILLO - Valle del Cauca</t>
  </si>
  <si>
    <t>ROLDANILLO</t>
  </si>
  <si>
    <t>RONCESVALLES - Tolima</t>
  </si>
  <si>
    <t>RONCESVALLES</t>
  </si>
  <si>
    <t>RONDÓN - Boyacá</t>
  </si>
  <si>
    <t>RONDÓN</t>
  </si>
  <si>
    <t>ROSAS - Cauca</t>
  </si>
  <si>
    <t>ROSAS</t>
  </si>
  <si>
    <t>ROVIRA - Tolima</t>
  </si>
  <si>
    <t>ROVIRA</t>
  </si>
  <si>
    <t>SABANA DE TORRES - Santander</t>
  </si>
  <si>
    <t>SABANA DE TORRES</t>
  </si>
  <si>
    <t>SABANAGRANDE - Atlántico</t>
  </si>
  <si>
    <t>SABANAGRANDE</t>
  </si>
  <si>
    <t>SABANALARGA - Antioquia</t>
  </si>
  <si>
    <t>SABANALARGA</t>
  </si>
  <si>
    <t>SABANALARGA - Atlántico</t>
  </si>
  <si>
    <t>SABANALARGA - Casanare</t>
  </si>
  <si>
    <t>SABANAS DE SAN ANGEL - Magdalena</t>
  </si>
  <si>
    <t>SABANAS DE SAN ANGEL</t>
  </si>
  <si>
    <t>SABANETA - Antioquia</t>
  </si>
  <si>
    <t>SABANETA</t>
  </si>
  <si>
    <t>SABOYÁ - Boyacá</t>
  </si>
  <si>
    <t>SABOYÁ</t>
  </si>
  <si>
    <t>SÁCAMA - Casanare</t>
  </si>
  <si>
    <t>SÁCAMA</t>
  </si>
  <si>
    <t>SÁCHICA - Boyacá</t>
  </si>
  <si>
    <t>SÁCHICA</t>
  </si>
  <si>
    <t>SAHAGÚN - Córdoba</t>
  </si>
  <si>
    <t>SAHAGÚN</t>
  </si>
  <si>
    <t>SALADOBLANCO - Huila</t>
  </si>
  <si>
    <t>SALADOBLANCO</t>
  </si>
  <si>
    <t>SALAMINA - Caldas</t>
  </si>
  <si>
    <t>SALAMINA</t>
  </si>
  <si>
    <t>SALAMINA - Magdalena</t>
  </si>
  <si>
    <t>SALAZAR - Norte de Santander</t>
  </si>
  <si>
    <t>SALAZAR</t>
  </si>
  <si>
    <t>SALDAÑA - Tolima</t>
  </si>
  <si>
    <t>SALDAÑA</t>
  </si>
  <si>
    <t>SALENTO - Quindio</t>
  </si>
  <si>
    <t>SALENTO</t>
  </si>
  <si>
    <t>SALGAR - Antioquia</t>
  </si>
  <si>
    <t>SALGAR</t>
  </si>
  <si>
    <t>SAMACÁ - Boyacá</t>
  </si>
  <si>
    <t>SAMACÁ</t>
  </si>
  <si>
    <t>SAMANÁ - Caldas</t>
  </si>
  <si>
    <t>SAMANÁ</t>
  </si>
  <si>
    <t>SAMANIEGO - Nariño</t>
  </si>
  <si>
    <t>SAMANIEGO</t>
  </si>
  <si>
    <t>SAMPUÉS - Sucre</t>
  </si>
  <si>
    <t>SAMPUÉS</t>
  </si>
  <si>
    <t>SAN AGUSTÍN - Huila</t>
  </si>
  <si>
    <t>SAN AGUSTÍN</t>
  </si>
  <si>
    <t>SAN ALBERTO - Cesar</t>
  </si>
  <si>
    <t>SAN ALBERTO</t>
  </si>
  <si>
    <t>SAN ANDRÉS - Antioquia</t>
  </si>
  <si>
    <t>SAN ANDRÉS</t>
  </si>
  <si>
    <t>SAN ANDRÉS - Archipiélago de San Andrés, Providencia y Santa Catalina</t>
  </si>
  <si>
    <t>SAN ANDRÉS - Santander</t>
  </si>
  <si>
    <t>SAN ANDRÉS SOTAVENTO - Córdoba</t>
  </si>
  <si>
    <t>SAN ANDRÉS SOTAVENTO</t>
  </si>
  <si>
    <t>SAN ANTERO - Córdoba</t>
  </si>
  <si>
    <t>SAN ANTERO</t>
  </si>
  <si>
    <t>SAN ANTONIO - Tolima</t>
  </si>
  <si>
    <t>SAN ANTONIO</t>
  </si>
  <si>
    <t>SAN ANTONIO DEL TEQUENDAMA - Cundinamarca</t>
  </si>
  <si>
    <t>SAN ANTONIO DEL TEQUENDAMA</t>
  </si>
  <si>
    <t>SAN BENITO - Santander</t>
  </si>
  <si>
    <t>SAN BENITO</t>
  </si>
  <si>
    <t>SAN BENITO ABAD - Sucre</t>
  </si>
  <si>
    <t>SAN BENITO ABAD</t>
  </si>
  <si>
    <t>SAN BERNARDO - Cundinamarca</t>
  </si>
  <si>
    <t>SAN BERNARDO</t>
  </si>
  <si>
    <t>SAN BERNARDO - Nariño</t>
  </si>
  <si>
    <t>SAN BERNARDO DEL VIENTO - Córdoba</t>
  </si>
  <si>
    <t>SAN BERNARDO DEL VIENTO</t>
  </si>
  <si>
    <t>SAN CALIXTO - Norte de Santander</t>
  </si>
  <si>
    <t>SAN CALIXTO</t>
  </si>
  <si>
    <t>SAN CARLOS - Antioquia</t>
  </si>
  <si>
    <t>SAN CARLOS</t>
  </si>
  <si>
    <t>SAN CARLOS - Córdoba</t>
  </si>
  <si>
    <t>SAN CARLOS DE GUAROA - Meta</t>
  </si>
  <si>
    <t>SAN CARLOS DE GUAROA</t>
  </si>
  <si>
    <t>SAN CAYETANO - Cundinamarca</t>
  </si>
  <si>
    <t>SAN CAYETANO</t>
  </si>
  <si>
    <t>SAN CAYETANO - Norte de Santander</t>
  </si>
  <si>
    <t>SAN CRISTÓBAL - Bolívar</t>
  </si>
  <si>
    <t>SAN CRISTÓBAL</t>
  </si>
  <si>
    <t>SAN DIEGO - Cesar</t>
  </si>
  <si>
    <t>SAN DIEGO</t>
  </si>
  <si>
    <t>SAN EDUARDO - Boyacá</t>
  </si>
  <si>
    <t>SAN EDUARDO</t>
  </si>
  <si>
    <t>SAN ESTANISLAO - Bolívar</t>
  </si>
  <si>
    <t>SAN ESTANISLAO</t>
  </si>
  <si>
    <t>SAN FELIPE - Guainía</t>
  </si>
  <si>
    <t>SAN FELIPE</t>
  </si>
  <si>
    <t>SAN FERNANDO - Bolívar</t>
  </si>
  <si>
    <t>SAN FERNANDO</t>
  </si>
  <si>
    <t>SAN FRANCISCO - Antioquia</t>
  </si>
  <si>
    <t>SAN FRANCISCO</t>
  </si>
  <si>
    <t>SAN FRANCISCO - Cundinamarca</t>
  </si>
  <si>
    <t>SAN FRANCISCO - Putumayo</t>
  </si>
  <si>
    <t>SAN GIL - Santander</t>
  </si>
  <si>
    <t>SAN GIL</t>
  </si>
  <si>
    <t>SAN JACINTO - Bolívar</t>
  </si>
  <si>
    <t>SAN JACINTO</t>
  </si>
  <si>
    <t>SAN JACINTO DEL CAUCA - Bolívar</t>
  </si>
  <si>
    <t>SAN JACINTO DEL CAUCA</t>
  </si>
  <si>
    <t>SAN JERÓNIMO - Antioquia</t>
  </si>
  <si>
    <t>SAN JERÓNIMO</t>
  </si>
  <si>
    <t>SAN JOAQUÍN - Santander</t>
  </si>
  <si>
    <t>SAN JOAQUÍN</t>
  </si>
  <si>
    <t>SAN JOSÉ - Caldas</t>
  </si>
  <si>
    <t>SAN JOSÉ</t>
  </si>
  <si>
    <t>SAN JOSÉ DE LA MONTAÑA - Antioquia</t>
  </si>
  <si>
    <t>SAN JOSÉ DE LA MONTAÑA</t>
  </si>
  <si>
    <t>SAN JOSÉ DE MIRANDA - Santander</t>
  </si>
  <si>
    <t>SAN JOSÉ DE MIRANDA</t>
  </si>
  <si>
    <t>SAN JOSÉ DE PARE - Boyacá</t>
  </si>
  <si>
    <t>SAN JOSÉ DE PARE</t>
  </si>
  <si>
    <t>SAN JOSÉ DEL FRAGUA - Caquetá</t>
  </si>
  <si>
    <t>SAN JOSÉ DEL FRAGUA</t>
  </si>
  <si>
    <t>SAN JOSÉ DEL GUAVIARE - Guaviare</t>
  </si>
  <si>
    <t>SAN JOSÉ DEL GUAVIARE</t>
  </si>
  <si>
    <t>SAN JOSÉ DEL PALMAR - Chocó</t>
  </si>
  <si>
    <t>SAN JOSÉ DEL PALMAR</t>
  </si>
  <si>
    <t>SAN JUAN DE ARAMA - Meta</t>
  </si>
  <si>
    <t>SAN JUAN DE ARAMA</t>
  </si>
  <si>
    <t>SAN JUAN DE BETULIA - Sucre</t>
  </si>
  <si>
    <t>SAN JUAN DE BETULIA</t>
  </si>
  <si>
    <t>SAN JUAN DE RÍO SECO - Cundinamarca</t>
  </si>
  <si>
    <t>SAN JUAN DE RÍO SECO</t>
  </si>
  <si>
    <t>SAN JUAN DE URABÁ - Antioquia</t>
  </si>
  <si>
    <t>SAN JUAN DE URABÁ</t>
  </si>
  <si>
    <t>SAN JUAN DEL CESAR - La Guajira</t>
  </si>
  <si>
    <t>SAN JUAN DEL CESAR</t>
  </si>
  <si>
    <t>SAN JUAN NEPOMUCENO - Bolívar</t>
  </si>
  <si>
    <t>SAN JUAN NEPOMUCENO</t>
  </si>
  <si>
    <t>SAN JUANITO - Meta</t>
  </si>
  <si>
    <t>SAN JUANITO</t>
  </si>
  <si>
    <t>SAN LORENZO - Nariño</t>
  </si>
  <si>
    <t>SAN LORENZO</t>
  </si>
  <si>
    <t>SAN LUIS - Antioquia</t>
  </si>
  <si>
    <t>SAN LUIS</t>
  </si>
  <si>
    <t>SAN LUIS - Tolima</t>
  </si>
  <si>
    <t>SAN LUIS DE GACENO - Boyacá</t>
  </si>
  <si>
    <t>SAN LUIS DE GACENO</t>
  </si>
  <si>
    <t>SAN LUIS DE PALENQUE - Casanare</t>
  </si>
  <si>
    <t>SAN LUIS DE PALENQUE</t>
  </si>
  <si>
    <t>SAN MARCOS - Sucre</t>
  </si>
  <si>
    <t>SAN MARCOS</t>
  </si>
  <si>
    <t>SAN MARTÍN - Cesar</t>
  </si>
  <si>
    <t>SAN MARTÍN</t>
  </si>
  <si>
    <t>SAN MARTÍN - Meta</t>
  </si>
  <si>
    <t>SAN MARTÍN DE LOBA - Bolívar</t>
  </si>
  <si>
    <t>SAN MARTÍN DE LOBA</t>
  </si>
  <si>
    <t>SAN MATEO - Boyacá</t>
  </si>
  <si>
    <t>SAN MATEO</t>
  </si>
  <si>
    <t>SAN MIGUEL - Putumayo</t>
  </si>
  <si>
    <t>SAN MIGUEL</t>
  </si>
  <si>
    <t>SAN MIGUEL - Santander</t>
  </si>
  <si>
    <t>SAN MIGUEL DE SEMA - Boyacá</t>
  </si>
  <si>
    <t>SAN MIGUEL DE SEMA</t>
  </si>
  <si>
    <t>SAN ONOFRE - Sucre</t>
  </si>
  <si>
    <t>SAN ONOFRE</t>
  </si>
  <si>
    <t>SAN PABLO - Bolívar</t>
  </si>
  <si>
    <t>SAN PABLO</t>
  </si>
  <si>
    <t>SAN PABLO - Nariño</t>
  </si>
  <si>
    <t>SAN PABLO DE BORBUR - Boyacá</t>
  </si>
  <si>
    <t>SAN PABLO DE BORBUR</t>
  </si>
  <si>
    <t>SAN PEDRO - Antioquia</t>
  </si>
  <si>
    <t>SAN PEDRO DE LOS MILAGROS</t>
  </si>
  <si>
    <t>SAN PEDRO - Sucre</t>
  </si>
  <si>
    <t>SAN PEDRO</t>
  </si>
  <si>
    <t>SAN PEDRO - Valle del Cauca</t>
  </si>
  <si>
    <t>SAN PEDRO DE CARTAGO - Nariño</t>
  </si>
  <si>
    <t>SAN PEDRO DE CARTAGO</t>
  </si>
  <si>
    <t>SAN PEDRO DE URABA - Antioquia</t>
  </si>
  <si>
    <t>SAN PEDRO DE URABA</t>
  </si>
  <si>
    <t>SAN PELAYO - Córdoba</t>
  </si>
  <si>
    <t>SAN PELAYO</t>
  </si>
  <si>
    <t>SAN RAFAEL - Antioquia</t>
  </si>
  <si>
    <t>SAN RAFAEL</t>
  </si>
  <si>
    <t>SAN ROQUE - Antioquia</t>
  </si>
  <si>
    <t>SAN ROQUE</t>
  </si>
  <si>
    <t>SAN SEBASTIÁN - Cauca</t>
  </si>
  <si>
    <t>SAN SEBASTIÁN</t>
  </si>
  <si>
    <t>SAN SEBASTIÁN DE BUENAVISTA - Magdalena</t>
  </si>
  <si>
    <t>SAN SEBASTIÁN DE BUENAVISTA</t>
  </si>
  <si>
    <t>SAN VICENTE - Antioquia</t>
  </si>
  <si>
    <t>SAN VICENTE</t>
  </si>
  <si>
    <t>SAN VICENTE DE CHUCURÍ - Santander</t>
  </si>
  <si>
    <t>SAN VICENTE DE CHUCURÍ</t>
  </si>
  <si>
    <t>SAN VICENTE DEL CAGUÁN - Caquetá</t>
  </si>
  <si>
    <t>SAN VICENTE DEL CAGUÁN</t>
  </si>
  <si>
    <t>SAN ZENÓN - Magdalena</t>
  </si>
  <si>
    <t>SAN ZENÓN</t>
  </si>
  <si>
    <t>SANDONÁ - Nariño</t>
  </si>
  <si>
    <t>SANDONÁ</t>
  </si>
  <si>
    <t>SANTA ANA - Magdalena</t>
  </si>
  <si>
    <t>SANTA ANA</t>
  </si>
  <si>
    <t>SANTA BÁRBARA - Antioquia</t>
  </si>
  <si>
    <t>SANTA BÁRBARA</t>
  </si>
  <si>
    <t>SANTA BÁRBARA - Nariño</t>
  </si>
  <si>
    <t>SANTA BÁRBARA - Santander</t>
  </si>
  <si>
    <t>SANTA BÁRBARA DE PINTO - Magdalena</t>
  </si>
  <si>
    <t>SANTA BÁRBARA DE PINTO</t>
  </si>
  <si>
    <t>SANTA CATALINA - Bolívar</t>
  </si>
  <si>
    <t>SANTA CATALINA</t>
  </si>
  <si>
    <t>SANTA HELENA DEL OPÓN - Santander</t>
  </si>
  <si>
    <t>SANTA HELENA DEL OPÓN</t>
  </si>
  <si>
    <t>SANTA ISABEL - Tolima</t>
  </si>
  <si>
    <t>SANTA ISABEL</t>
  </si>
  <si>
    <t>SANTA LUCÍA - Atlántico</t>
  </si>
  <si>
    <t>SANTA LUCÍA</t>
  </si>
  <si>
    <t>SANTA MARÍA - Boyacá</t>
  </si>
  <si>
    <t>SANTA MARÍA</t>
  </si>
  <si>
    <t>SANTA MARÍA - Huila</t>
  </si>
  <si>
    <t>SANTA MARTA - Magdalena</t>
  </si>
  <si>
    <t>SANTA MARTA</t>
  </si>
  <si>
    <t>SANTA ROSA - Bolívar</t>
  </si>
  <si>
    <t>SANTA ROSA</t>
  </si>
  <si>
    <t>SANTA ROSA - Cauca</t>
  </si>
  <si>
    <t>SANTA ROSA DE CABAL - Risaralda</t>
  </si>
  <si>
    <t>SANTA ROSA DE CABAL</t>
  </si>
  <si>
    <t>SANTA ROSA DE OSOS - Antioquia</t>
  </si>
  <si>
    <t>SANTA ROSA DE OSOS</t>
  </si>
  <si>
    <t>SANTA ROSA DE VITERBO - Boyacá</t>
  </si>
  <si>
    <t>SANTA ROSA DE VITERBO</t>
  </si>
  <si>
    <t>SANTA ROSA DEL SUR - Bolívar</t>
  </si>
  <si>
    <t>SANTA ROSA DEL SUR</t>
  </si>
  <si>
    <t>SANTA ROSALÍA - Vichada</t>
  </si>
  <si>
    <t>SANTA ROSALÍA</t>
  </si>
  <si>
    <t>SANTA SOFÍA - Boyacá</t>
  </si>
  <si>
    <t>SANTA SOFÍA</t>
  </si>
  <si>
    <t>SANTACRUZ - Nariño</t>
  </si>
  <si>
    <t>SANTACRUZ</t>
  </si>
  <si>
    <t>SANTAFÉ DE ANTIOQUIA - Antioquia</t>
  </si>
  <si>
    <t>SANTAFÉ DE ANTIOQUIA</t>
  </si>
  <si>
    <t>SANTANA - Boyacá</t>
  </si>
  <si>
    <t>SANTANA</t>
  </si>
  <si>
    <t>SANTANDER DE QUILICHAO - Cauca</t>
  </si>
  <si>
    <t>SANTANDER DE QUILICHAO</t>
  </si>
  <si>
    <t>SANTIAGO - Norte de Santander</t>
  </si>
  <si>
    <t>SANTIAGO</t>
  </si>
  <si>
    <t>SANTIAGO - Putumayo</t>
  </si>
  <si>
    <t>SANTIAGO DE TOLÚ - Sucre</t>
  </si>
  <si>
    <t>SANTIAGO DE TOLÚ</t>
  </si>
  <si>
    <t>SANTO DOMINGO - Antioquia</t>
  </si>
  <si>
    <t>SANTO DOMINGO</t>
  </si>
  <si>
    <t>SANTO TOMÁS - Atlántico</t>
  </si>
  <si>
    <t>SANTO TOMÁS</t>
  </si>
  <si>
    <t>SANTUARIO - Risaralda</t>
  </si>
  <si>
    <t>SANTUARIO</t>
  </si>
  <si>
    <t>SAPUYES - Nariño</t>
  </si>
  <si>
    <t>SAPUYES</t>
  </si>
  <si>
    <t>SARAVENA - Arauca</t>
  </si>
  <si>
    <t>SARAVENA</t>
  </si>
  <si>
    <t>SARDINATA - Norte de Santander</t>
  </si>
  <si>
    <t>SARDINATA</t>
  </si>
  <si>
    <t>SASAIMA - Cundinamarca</t>
  </si>
  <si>
    <t>SASAIMA</t>
  </si>
  <si>
    <t>SATIVANORTE - Boyacá</t>
  </si>
  <si>
    <t>SATIVANORTE</t>
  </si>
  <si>
    <t>SATIVASUR - Boyacá</t>
  </si>
  <si>
    <t>SATIVASUR</t>
  </si>
  <si>
    <t>SEGOVIA - Antioquia</t>
  </si>
  <si>
    <t>SEGOVIA</t>
  </si>
  <si>
    <t>SESQUILÉ - Cundinamarca</t>
  </si>
  <si>
    <t>SESQUILÉ</t>
  </si>
  <si>
    <t>SEVILLA - Valle del Cauca</t>
  </si>
  <si>
    <t>SEVILLA</t>
  </si>
  <si>
    <t>SIACHOQUE - Boyacá</t>
  </si>
  <si>
    <t>SIACHOQUE</t>
  </si>
  <si>
    <t>SIBATÉ - Cundinamarca</t>
  </si>
  <si>
    <t>SIBATÉ</t>
  </si>
  <si>
    <t>SIBUNDOY - Putumayo</t>
  </si>
  <si>
    <t>SIBUNDOY</t>
  </si>
  <si>
    <t>SILOS - Norte de Santander</t>
  </si>
  <si>
    <t>SILOS</t>
  </si>
  <si>
    <t>SILVANIA - Cundinamarca</t>
  </si>
  <si>
    <t>SILVANIA</t>
  </si>
  <si>
    <t>SILVIA - Cauca</t>
  </si>
  <si>
    <t>SILVIA</t>
  </si>
  <si>
    <t>SIMACOTA - Santander</t>
  </si>
  <si>
    <t>SIMACOTA</t>
  </si>
  <si>
    <t>SIMIJACA - Cundinamarca</t>
  </si>
  <si>
    <t>SIMIJACA</t>
  </si>
  <si>
    <t>SIMITÍ - Bolívar</t>
  </si>
  <si>
    <t>SIMITÍ</t>
  </si>
  <si>
    <t>SINCÉ - Sucre</t>
  </si>
  <si>
    <t>SINCÉ</t>
  </si>
  <si>
    <t>SINCELEJO - Sucre</t>
  </si>
  <si>
    <t>SINCELEJO</t>
  </si>
  <si>
    <t>SIPÍ - Chocó</t>
  </si>
  <si>
    <t>SIPÍ</t>
  </si>
  <si>
    <t>SITIONUEVO - Magdalena</t>
  </si>
  <si>
    <t>SITIONUEVO</t>
  </si>
  <si>
    <t>SOACHA - Cundinamarca</t>
  </si>
  <si>
    <t>SOACHA</t>
  </si>
  <si>
    <t>SOATÁ - Boyacá</t>
  </si>
  <si>
    <t>SOATÁ</t>
  </si>
  <si>
    <t>SOCHA - Boyacá</t>
  </si>
  <si>
    <t>SOCHA</t>
  </si>
  <si>
    <t>SOCORRO - Santander</t>
  </si>
  <si>
    <t>SOCORRO</t>
  </si>
  <si>
    <t>SOCOTÁ - Boyacá</t>
  </si>
  <si>
    <t>SOCOTÁ</t>
  </si>
  <si>
    <t>SOGAMOSO - Boyacá</t>
  </si>
  <si>
    <t>SOGAMOSO</t>
  </si>
  <si>
    <t>SOLANO - Caquetá</t>
  </si>
  <si>
    <t>SOLANO</t>
  </si>
  <si>
    <t>SOLEDAD - Atlántico</t>
  </si>
  <si>
    <t>SOLEDAD</t>
  </si>
  <si>
    <t>SOLITA - Caquetá</t>
  </si>
  <si>
    <t>SOLITA</t>
  </si>
  <si>
    <t>SOMONDOCO - Boyacá</t>
  </si>
  <si>
    <t>SOMONDOCO</t>
  </si>
  <si>
    <t>SONSON - Antioquia</t>
  </si>
  <si>
    <t>SONSON</t>
  </si>
  <si>
    <t>SOPETRÁN - Antioquia</t>
  </si>
  <si>
    <t>SOPETRÁN</t>
  </si>
  <si>
    <t>SOPLAVIENTO - Bolívar</t>
  </si>
  <si>
    <t>SOPLAVIENTO</t>
  </si>
  <si>
    <t>SOPÓ - Cundinamarca</t>
  </si>
  <si>
    <t>SOPÓ</t>
  </si>
  <si>
    <t>SORA - Boyacá</t>
  </si>
  <si>
    <t>SORA</t>
  </si>
  <si>
    <t>SORACÁ - Boyacá</t>
  </si>
  <si>
    <t>SORACÁ</t>
  </si>
  <si>
    <t>SOTAQUIRÁ - Boyacá</t>
  </si>
  <si>
    <t>SOTAQUIRÁ</t>
  </si>
  <si>
    <t>SOTARA - Cauca</t>
  </si>
  <si>
    <t>SOTARA</t>
  </si>
  <si>
    <t>SUAITA - Santander</t>
  </si>
  <si>
    <t>SUAITA</t>
  </si>
  <si>
    <t>SUAN - Atlántico</t>
  </si>
  <si>
    <t>SUAN</t>
  </si>
  <si>
    <t>SUÁREZ - Cauca</t>
  </si>
  <si>
    <t>SUÁREZ</t>
  </si>
  <si>
    <t>SUÁREZ - Tolima</t>
  </si>
  <si>
    <t>SUAZA - Huila</t>
  </si>
  <si>
    <t>SUAZA</t>
  </si>
  <si>
    <t>SUBACHOQUE - Cundinamarca</t>
  </si>
  <si>
    <t>SUBACHOQUE</t>
  </si>
  <si>
    <t>SUCRE - Cauca</t>
  </si>
  <si>
    <t>SUCRE</t>
  </si>
  <si>
    <t>SUCRE - Santander</t>
  </si>
  <si>
    <t>SUCRE - Sucre</t>
  </si>
  <si>
    <t>SUESCA - Cundinamarca</t>
  </si>
  <si>
    <t>SUESCA</t>
  </si>
  <si>
    <t>SUPATÁ - Cundinamarca</t>
  </si>
  <si>
    <t>SUPATÁ</t>
  </si>
  <si>
    <t>SUPÍA - Caldas</t>
  </si>
  <si>
    <t>SUPÍA</t>
  </si>
  <si>
    <t>SURATÁ - Santander</t>
  </si>
  <si>
    <t>SURATÁ</t>
  </si>
  <si>
    <t>SUSA - Cundinamarca</t>
  </si>
  <si>
    <t>SUSA</t>
  </si>
  <si>
    <t>SUSACÓN - Boyacá</t>
  </si>
  <si>
    <t>SUSACÓN</t>
  </si>
  <si>
    <t>SUTAMARCHÁN - Boyacá</t>
  </si>
  <si>
    <t>SUTAMARCHÁN</t>
  </si>
  <si>
    <t>SUTATAUSA - Cundinamarca</t>
  </si>
  <si>
    <t>SUTATAUSA</t>
  </si>
  <si>
    <t>SUTATENZA - Boyacá</t>
  </si>
  <si>
    <t>SUTATENZA</t>
  </si>
  <si>
    <t>TABIO - Cundinamarca</t>
  </si>
  <si>
    <t>TABIO</t>
  </si>
  <si>
    <t>TADÓ - Chocó</t>
  </si>
  <si>
    <t>TADÓ</t>
  </si>
  <si>
    <t>TALAIGUA NUEVO - Bolívar</t>
  </si>
  <si>
    <t>TALAIGUA NUEVO</t>
  </si>
  <si>
    <t>TAMALAMEQUE - Cesar</t>
  </si>
  <si>
    <t>TAMALAMEQUE</t>
  </si>
  <si>
    <t>TÁMARA - Casanare</t>
  </si>
  <si>
    <t>TÁMARA</t>
  </si>
  <si>
    <t>TAME - Arauca</t>
  </si>
  <si>
    <t>TAME</t>
  </si>
  <si>
    <t>TÁMESIS - Antioquia</t>
  </si>
  <si>
    <t>TÁMESIS</t>
  </si>
  <si>
    <t>TAMINANGO - Nariño</t>
  </si>
  <si>
    <t>TAMINANGO</t>
  </si>
  <si>
    <t>TANGUA - Nariño</t>
  </si>
  <si>
    <t>TANGUA</t>
  </si>
  <si>
    <t>TARAIRA - Vaupés</t>
  </si>
  <si>
    <t>TARAIRA</t>
  </si>
  <si>
    <t>TARAPACÁ - Amazonas</t>
  </si>
  <si>
    <t>TARAPACÁ</t>
  </si>
  <si>
    <t>TARAZÁ - Antioquia</t>
  </si>
  <si>
    <t>TARAZÁ</t>
  </si>
  <si>
    <t>TARQUI - Huila</t>
  </si>
  <si>
    <t>TARQUI</t>
  </si>
  <si>
    <t>TARSO - Antioquia</t>
  </si>
  <si>
    <t>TARSO</t>
  </si>
  <si>
    <t>TASCO - Boyacá</t>
  </si>
  <si>
    <t>TASCO</t>
  </si>
  <si>
    <t>TAURAMENA - Casanare</t>
  </si>
  <si>
    <t>TAURAMENA</t>
  </si>
  <si>
    <t>TAUSA - Cundinamarca</t>
  </si>
  <si>
    <t>TAUSA</t>
  </si>
  <si>
    <t>TELLO - Huila</t>
  </si>
  <si>
    <t>TELLO</t>
  </si>
  <si>
    <t>TENA - Cundinamarca</t>
  </si>
  <si>
    <t>TENA</t>
  </si>
  <si>
    <t>TENERIFE - Magdalena</t>
  </si>
  <si>
    <t>TENERIFE</t>
  </si>
  <si>
    <t>TENJO - Cundinamarca</t>
  </si>
  <si>
    <t>TENJO</t>
  </si>
  <si>
    <t>TENZA - Boyacá</t>
  </si>
  <si>
    <t>TENZA</t>
  </si>
  <si>
    <t>TEORAMA - Norte de Santander</t>
  </si>
  <si>
    <t>TEORAMA</t>
  </si>
  <si>
    <t>TERUEL - Huila</t>
  </si>
  <si>
    <t>TERUEL</t>
  </si>
  <si>
    <t>TESALIA - Huila</t>
  </si>
  <si>
    <t>TESALIA</t>
  </si>
  <si>
    <t>TIBACUY - Cundinamarca</t>
  </si>
  <si>
    <t>TIBACUY</t>
  </si>
  <si>
    <t>TIBANÁ - Boyacá</t>
  </si>
  <si>
    <t>TIBANÁ</t>
  </si>
  <si>
    <t>TIBASOSA - Boyacá</t>
  </si>
  <si>
    <t>TIBASOSA</t>
  </si>
  <si>
    <t>TIBIRITA - Cundinamarca</t>
  </si>
  <si>
    <t>TIBIRITA</t>
  </si>
  <si>
    <t>TIBÚ - Norte de Santander</t>
  </si>
  <si>
    <t>TIBÚ</t>
  </si>
  <si>
    <t>TIERRALTA - Córdoba</t>
  </si>
  <si>
    <t>TIERRALTA</t>
  </si>
  <si>
    <t>TIMANÁ - Huila</t>
  </si>
  <si>
    <t>TIMANÁ</t>
  </si>
  <si>
    <t>TIMBÍO - Cauca</t>
  </si>
  <si>
    <t>TIMBÍO</t>
  </si>
  <si>
    <t>TIMBIQUÍ - Cauca</t>
  </si>
  <si>
    <t>TIMBIQUÍ</t>
  </si>
  <si>
    <t>TINJACÁ - Boyacá</t>
  </si>
  <si>
    <t>TINJACÁ</t>
  </si>
  <si>
    <t>TIPACOQUE - Boyacá</t>
  </si>
  <si>
    <t>TIPACOQUE</t>
  </si>
  <si>
    <t>TIQUISIO - Bolívar</t>
  </si>
  <si>
    <t>TIQUISIO</t>
  </si>
  <si>
    <t>TITIRIBÍ - Antioquia</t>
  </si>
  <si>
    <t>TITIRIBÍ</t>
  </si>
  <si>
    <t>TOCA - Boyacá</t>
  </si>
  <si>
    <t>TOCA</t>
  </si>
  <si>
    <t>TOCAIMA - Cundinamarca</t>
  </si>
  <si>
    <t>TOCAIMA</t>
  </si>
  <si>
    <t>TOCANCIPÁ - Cundinamarca</t>
  </si>
  <si>
    <t>TOCANCIPÁ</t>
  </si>
  <si>
    <t>TOGÜÍ - Boyacá</t>
  </si>
  <si>
    <t>TOGÜÍ</t>
  </si>
  <si>
    <t>TOLEDO - Antioquia</t>
  </si>
  <si>
    <t>TOLEDO</t>
  </si>
  <si>
    <t>TOLEDO - Norte de Santander</t>
  </si>
  <si>
    <t>TOLÚ VIEJO - Sucre</t>
  </si>
  <si>
    <t>TOLÚ VIEJO</t>
  </si>
  <si>
    <t>TONA - Santander</t>
  </si>
  <si>
    <t>TONA</t>
  </si>
  <si>
    <t>TÓPAGA - Boyacá</t>
  </si>
  <si>
    <t>TÓPAGA</t>
  </si>
  <si>
    <t>TOPAIPÍ - Cundinamarca</t>
  </si>
  <si>
    <t>TOPAIPÍ</t>
  </si>
  <si>
    <t>TORIBIO - Cauca</t>
  </si>
  <si>
    <t>TORIBIO</t>
  </si>
  <si>
    <t>TORO - Valle del Cauca</t>
  </si>
  <si>
    <t>TORO</t>
  </si>
  <si>
    <t>TOTA - Boyacá</t>
  </si>
  <si>
    <t>TOTA</t>
  </si>
  <si>
    <t>TOTORÓ - Cauca</t>
  </si>
  <si>
    <t>TOTORÓ</t>
  </si>
  <si>
    <t>TRINIDAD - Casanare</t>
  </si>
  <si>
    <t>TRINIDAD</t>
  </si>
  <si>
    <t>TRUJILLO - Valle del Cauca</t>
  </si>
  <si>
    <t>TRUJILLO</t>
  </si>
  <si>
    <t>TUBARÁ - Atlántico</t>
  </si>
  <si>
    <t>TUBARÁ</t>
  </si>
  <si>
    <t>TULUÁ - Valle del Cauca</t>
  </si>
  <si>
    <t>TULUÁ</t>
  </si>
  <si>
    <t>TUMACO - Nariño</t>
  </si>
  <si>
    <t>TUMACO</t>
  </si>
  <si>
    <t>TUNJA - Boyacá</t>
  </si>
  <si>
    <t>TUNJA</t>
  </si>
  <si>
    <t>TUNUNGUÁ - Boyacá</t>
  </si>
  <si>
    <t>TUNUNGUÁ</t>
  </si>
  <si>
    <t>TÚQUERRES - Nariño</t>
  </si>
  <si>
    <t>TÚQUERRES</t>
  </si>
  <si>
    <t>TURBACO - Bolívar</t>
  </si>
  <si>
    <t>TURBACO</t>
  </si>
  <si>
    <t>TURBANÁ - Bolívar</t>
  </si>
  <si>
    <t>TURBANÁ</t>
  </si>
  <si>
    <t>TURBO - Antioquia</t>
  </si>
  <si>
    <t>TURBO</t>
  </si>
  <si>
    <t>TURMEQUÉ - Boyacá</t>
  </si>
  <si>
    <t>TURMEQUÉ</t>
  </si>
  <si>
    <t>TUTA - Boyacá</t>
  </si>
  <si>
    <t>TUTA</t>
  </si>
  <si>
    <t>TUTAZÁ - Boyacá</t>
  </si>
  <si>
    <t>TUTAZÁ</t>
  </si>
  <si>
    <t>UBALÁ - Cundinamarca</t>
  </si>
  <si>
    <t>UBALÁ</t>
  </si>
  <si>
    <t>UBAQUE - Cundinamarca</t>
  </si>
  <si>
    <t>UBAQUE</t>
  </si>
  <si>
    <t>ULLOA - Valle del Cauca</t>
  </si>
  <si>
    <t>ULLOA</t>
  </si>
  <si>
    <t>UMBITA - Boyacá</t>
  </si>
  <si>
    <t>UMBITA</t>
  </si>
  <si>
    <t>UNE - Cundinamarca</t>
  </si>
  <si>
    <t>UNE</t>
  </si>
  <si>
    <t>UNGUÍA - Chocó</t>
  </si>
  <si>
    <t>UNGUÍA</t>
  </si>
  <si>
    <t>UNIÓN PANAMERICANA - Chocó</t>
  </si>
  <si>
    <t>UNIÓN PANAMERICANA</t>
  </si>
  <si>
    <t>URAMITA - Antioquia</t>
  </si>
  <si>
    <t>URAMITA</t>
  </si>
  <si>
    <t>URIBE - Meta</t>
  </si>
  <si>
    <t>URIBE</t>
  </si>
  <si>
    <t>URIBIA - La Guajira</t>
  </si>
  <si>
    <t>URIBIA</t>
  </si>
  <si>
    <t>URRAO - Antioquia</t>
  </si>
  <si>
    <t>URRAO</t>
  </si>
  <si>
    <t>URUMITA - La Guajira</t>
  </si>
  <si>
    <t>URUMITA</t>
  </si>
  <si>
    <t>USIACURÍ - Atlántico</t>
  </si>
  <si>
    <t>USIACURÍ</t>
  </si>
  <si>
    <t>ÚTICA - Cundinamarca</t>
  </si>
  <si>
    <t>ÚTICA</t>
  </si>
  <si>
    <t>VALDIVIA - Antioquia</t>
  </si>
  <si>
    <t>VALDIVIA</t>
  </si>
  <si>
    <t>VALENCIA - Córdoba</t>
  </si>
  <si>
    <t>VALENCIA</t>
  </si>
  <si>
    <t>VALLE DE SAN JOSÉ - Santander</t>
  </si>
  <si>
    <t>VALLE DE SAN JOSÉ</t>
  </si>
  <si>
    <t>VALLE DE SAN JUAN - Tolima</t>
  </si>
  <si>
    <t>VALLE DE SAN JUAN</t>
  </si>
  <si>
    <t>VALLE DEL GUAMUEZ - Putumayo</t>
  </si>
  <si>
    <t>VALLE DEL GUAMUEZ</t>
  </si>
  <si>
    <t>VALLEDUPAR - Cesar</t>
  </si>
  <si>
    <t>VALLEDUPAR</t>
  </si>
  <si>
    <t>VALPARAÍSO - Antioquia</t>
  </si>
  <si>
    <t>VALPARAÍSO</t>
  </si>
  <si>
    <t>VALPARAÍSO - Caquetá</t>
  </si>
  <si>
    <t>VEGACHÍ - Antioquia</t>
  </si>
  <si>
    <t>VEGACHÍ</t>
  </si>
  <si>
    <t>VÉLEZ - Santander</t>
  </si>
  <si>
    <t>VÉLEZ</t>
  </si>
  <si>
    <t>VENADILLO - Tolima</t>
  </si>
  <si>
    <t>VENADILLO</t>
  </si>
  <si>
    <t>VENECIA - Antioquia</t>
  </si>
  <si>
    <t>VENECIA</t>
  </si>
  <si>
    <t>VENECIA - Cundinamarca</t>
  </si>
  <si>
    <t>VENTAQUEMADA - Boyacá</t>
  </si>
  <si>
    <t>VENTAQUEMADA</t>
  </si>
  <si>
    <t>VERGARA - Cundinamarca</t>
  </si>
  <si>
    <t>VERGARA</t>
  </si>
  <si>
    <t>VERSALLES - Valle del Cauca</t>
  </si>
  <si>
    <t>VERSALLES</t>
  </si>
  <si>
    <t>VETAS - Santander</t>
  </si>
  <si>
    <t>VETAS</t>
  </si>
  <si>
    <t>VIANÍ - Cundinamarca</t>
  </si>
  <si>
    <t>VIANÍ</t>
  </si>
  <si>
    <t>VICTORIA - Caldas</t>
  </si>
  <si>
    <t>VICTORIA</t>
  </si>
  <si>
    <t>VIGÍA DEL FUERTE - Antioquia</t>
  </si>
  <si>
    <t>VIGÍA DEL FUERTE</t>
  </si>
  <si>
    <t>VIJES - Valle del Cauca</t>
  </si>
  <si>
    <t>VIJES</t>
  </si>
  <si>
    <t>VILLA CARO - Norte de Santander</t>
  </si>
  <si>
    <t>VILLA CARO</t>
  </si>
  <si>
    <t>VILLA DE LEYVA - Boyacá</t>
  </si>
  <si>
    <t>VILLA DE LEYVA</t>
  </si>
  <si>
    <t>VILLA DE SAN DIEGO DE UBATE - Cundinamarca</t>
  </si>
  <si>
    <t>VILLA DE SAN DIEGO DE UBATE</t>
  </si>
  <si>
    <t>VILLA DEL ROSARIO - Norte de Santander</t>
  </si>
  <si>
    <t>VILLA DEL ROSARIO</t>
  </si>
  <si>
    <t>VILLA RICA - Cauca</t>
  </si>
  <si>
    <t>VILLA RICA</t>
  </si>
  <si>
    <t>VILLAGARZÓN - Putumayo</t>
  </si>
  <si>
    <t>VILLAGARZÓN</t>
  </si>
  <si>
    <t>VILLAGÓMEZ - Cundinamarca</t>
  </si>
  <si>
    <t>VILLAGÓMEZ</t>
  </si>
  <si>
    <t>VILLAHERMOSA - Tolima</t>
  </si>
  <si>
    <t>VILLAHERMOSA</t>
  </si>
  <si>
    <t>VILLAMARÍA - Caldas</t>
  </si>
  <si>
    <t>VILLAMARÍA</t>
  </si>
  <si>
    <t>VILLANUEVA - Bolívar</t>
  </si>
  <si>
    <t>VILLANUEVA</t>
  </si>
  <si>
    <t>VILLANUEVA - Casanare</t>
  </si>
  <si>
    <t>VILLANUEVA - La Guajira</t>
  </si>
  <si>
    <t>VILLANUEVA - Santander</t>
  </si>
  <si>
    <t>VILLAPINZÓN - Cundinamarca</t>
  </si>
  <si>
    <t>VILLAPINZÓN</t>
  </si>
  <si>
    <t>VILLARRICA - Tolima</t>
  </si>
  <si>
    <t>VILLARRICA</t>
  </si>
  <si>
    <t>VILLAVICENCIO - Meta</t>
  </si>
  <si>
    <t>VILLAVICENCIO</t>
  </si>
  <si>
    <t>VILLAVIEJA - Huila</t>
  </si>
  <si>
    <t>VILLAVIEJA</t>
  </si>
  <si>
    <t>VILLETA - Cundinamarca</t>
  </si>
  <si>
    <t>VILLETA</t>
  </si>
  <si>
    <t>VIOTÁ - Cundinamarca</t>
  </si>
  <si>
    <t>VIOTÁ</t>
  </si>
  <si>
    <t>VIRACACHÁ - Boyacá</t>
  </si>
  <si>
    <t>VIRACACHÁ</t>
  </si>
  <si>
    <t>VISTAHERMOSA - Meta</t>
  </si>
  <si>
    <t>VISTAHERMOSA</t>
  </si>
  <si>
    <t>VITERBO - Caldas</t>
  </si>
  <si>
    <t>VITERBO</t>
  </si>
  <si>
    <t>YACOPÍ - Cundinamarca</t>
  </si>
  <si>
    <t>YACOPÍ</t>
  </si>
  <si>
    <t>YACUANQUER - Nariño</t>
  </si>
  <si>
    <t>YACUANQUER</t>
  </si>
  <si>
    <t>YAGUARÁ - Huila</t>
  </si>
  <si>
    <t>YAGUARÁ</t>
  </si>
  <si>
    <t>YALÍ - Antioquia</t>
  </si>
  <si>
    <t>YALÍ</t>
  </si>
  <si>
    <t>YARUMAL - Antioquia</t>
  </si>
  <si>
    <t>YARUMAL</t>
  </si>
  <si>
    <t>YAVARATÉ - Vaupés</t>
  </si>
  <si>
    <t>YAVARATÉ</t>
  </si>
  <si>
    <t>YOLOMBÓ - Antioquia</t>
  </si>
  <si>
    <t>YOLOMBÓ</t>
  </si>
  <si>
    <t>YONDÓ - Antioquia</t>
  </si>
  <si>
    <t>YONDÓ</t>
  </si>
  <si>
    <t>YOPAL - Casanare</t>
  </si>
  <si>
    <t>YOPAL</t>
  </si>
  <si>
    <t>YOTOCO - Valle del Cauca</t>
  </si>
  <si>
    <t>YOTOCO</t>
  </si>
  <si>
    <t>YUMBO - Valle del Cauca</t>
  </si>
  <si>
    <t>YUMBO</t>
  </si>
  <si>
    <t>ZAMBRANO - Bolívar</t>
  </si>
  <si>
    <t>ZAMBRANO</t>
  </si>
  <si>
    <t>ZAPATOCA - Santander</t>
  </si>
  <si>
    <t>ZAPATOCA</t>
  </si>
  <si>
    <t>ZAPAYÁN - Magdalena</t>
  </si>
  <si>
    <t>ZAPAYÁN</t>
  </si>
  <si>
    <t>ZARAGOZA - Antioquia</t>
  </si>
  <si>
    <t>ZARAGOZA</t>
  </si>
  <si>
    <t>ZARZAL - Valle del Cauca</t>
  </si>
  <si>
    <t>ZARZAL</t>
  </si>
  <si>
    <t>ZETAQUIRA - Boyacá</t>
  </si>
  <si>
    <t>ZETAQUIRA</t>
  </si>
  <si>
    <t>ZIPACÓN - Cundinamarca</t>
  </si>
  <si>
    <t>ZIPACÓN</t>
  </si>
  <si>
    <t>ZIPAQUIRÁ - Cundinamarca</t>
  </si>
  <si>
    <t>ZIPAQUIRÁ</t>
  </si>
  <si>
    <t>Modelo riesgos 2025 LTI</t>
  </si>
  <si>
    <t>Inicio</t>
  </si>
  <si>
    <t>Avalúo y ET Vivienda y Crédito Constructor</t>
  </si>
  <si>
    <t>Informacion del cliente</t>
  </si>
  <si>
    <t>Diligencia unicamente las casillas en amarillo</t>
  </si>
  <si>
    <t>Portafolio de Vivienda</t>
  </si>
  <si>
    <t>Crédito Directo</t>
  </si>
  <si>
    <t>Nueva</t>
  </si>
  <si>
    <t>Financiado</t>
  </si>
  <si>
    <t>CD - LH - CR</t>
  </si>
  <si>
    <t>Leasing Habitacional</t>
  </si>
  <si>
    <t>Usada</t>
  </si>
  <si>
    <t>No Financiado</t>
  </si>
  <si>
    <t>CC</t>
  </si>
  <si>
    <t>Crédito de Remodelación</t>
  </si>
  <si>
    <t>Ccons</t>
  </si>
  <si>
    <t>Gestión con documentos</t>
  </si>
  <si>
    <t xml:space="preserve">Compra de Cartera </t>
  </si>
  <si>
    <t>Ubicación de inmueble</t>
  </si>
  <si>
    <t>Crédito Constructor</t>
  </si>
  <si>
    <t>Valor del inmueble</t>
  </si>
  <si>
    <t>Valor Avalúo</t>
  </si>
  <si>
    <t>No - Principal</t>
  </si>
  <si>
    <t>ET</t>
  </si>
  <si>
    <t>Valor Estudio de Titulos</t>
  </si>
  <si>
    <t>No - Intermedia</t>
  </si>
  <si>
    <t>No - Lejano</t>
  </si>
  <si>
    <t>No - Muy Lejano</t>
  </si>
  <si>
    <t xml:space="preserve">No - </t>
  </si>
  <si>
    <t>Si - Principal</t>
  </si>
  <si>
    <t>Si - Intermedia</t>
  </si>
  <si>
    <t>Si - Lejano</t>
  </si>
  <si>
    <t>Si - Muy Lejano</t>
  </si>
  <si>
    <t xml:space="preserve">Si - </t>
  </si>
  <si>
    <t>TARIFAS DE AVALÚOS 2026
VIVIENDA</t>
  </si>
  <si>
    <t>TARIFAS ESTUDIO DE TITULOS
VIVIENDA</t>
  </si>
  <si>
    <t>TARIFAS ESTUDIO DE TITULOS
CRÉDITO CONSTRUCTOR</t>
  </si>
  <si>
    <t>AVALUOS DE INMUEBLES CON DESTINANCIÓN RESIDENCIAL</t>
  </si>
  <si>
    <t>Vivienda</t>
  </si>
  <si>
    <t>Inmueble</t>
  </si>
  <si>
    <t>Rango mes</t>
  </si>
  <si>
    <t>Tarifa</t>
  </si>
  <si>
    <t>RANGOS POR VALOR DE INMUEBLE</t>
  </si>
  <si>
    <t>SIN GESTIÓN DOCUMENTAL</t>
  </si>
  <si>
    <t>CON GESTIÓN DOCUMENTAL</t>
  </si>
  <si>
    <t>1-5</t>
  </si>
  <si>
    <t>TARIFA CLIENTE</t>
  </si>
  <si>
    <t>TARIFA ÚNICA DE INMUEBLE MENOR O IGUAL A VIS</t>
  </si>
  <si>
    <t>MAYOR A VIS HASTA $150 MM</t>
  </si>
  <si>
    <t>NO VIS 1</t>
  </si>
  <si>
    <t>MAYOR A $150 MM A $300 MM</t>
  </si>
  <si>
    <t>NO VIS 2</t>
  </si>
  <si>
    <t>MAYOR A $300 MM A $400 MM</t>
  </si>
  <si>
    <t>NO VIS 3</t>
  </si>
  <si>
    <t>MAYOR A $400 MM A $500 MM</t>
  </si>
  <si>
    <t>NO VIS 4</t>
  </si>
  <si>
    <t>MAYOR A $500 MM A $1000 MM</t>
  </si>
  <si>
    <t>NO VIS 5</t>
  </si>
  <si>
    <t>MAYOR A $1000 MM A $2000 MM</t>
  </si>
  <si>
    <t>NO VIS 6</t>
  </si>
  <si>
    <t xml:space="preserve">SUPERIORES A $2000 MM </t>
  </si>
  <si>
    <t>* Esta tarifa no incluye IVA</t>
  </si>
  <si>
    <t>PROYECTOS FINANCIADOS</t>
  </si>
  <si>
    <t xml:space="preserve">Hasta 135 /150* SMMLV (VIP - VIS) </t>
  </si>
  <si>
    <t>Superior a 135 / 150* SMMLV hasta $700.000.000 / NO VIS</t>
  </si>
  <si>
    <t>De $700’000.001 en adelante*</t>
  </si>
  <si>
    <t>Avalúo tipo superior 135 /150* SMMLV (Proyectos financiados o no financiados con más de 5 negocios para la entidad)</t>
  </si>
  <si>
    <t>*Esta tarifa incluye IVA</t>
  </si>
  <si>
    <t>INMUEBLES DE PROYECTOS NO FINANCIADOS / USADOS / REMODELACIÓN</t>
  </si>
  <si>
    <t>Avalúo tipo superior 135 /150* SMMLV  (Proyectos financiados o no financiados con más de 5 negocios para la entidad)</t>
  </si>
  <si>
    <t>COMPRA DE CARTERA</t>
  </si>
  <si>
    <t>TARIFA  CLIENTE</t>
  </si>
  <si>
    <t>CC1</t>
  </si>
  <si>
    <t xml:space="preserve">Menor o igual $500.000.000* </t>
  </si>
  <si>
    <t>CC2</t>
  </si>
  <si>
    <t xml:space="preserve">Mayor a $500.000.001 </t>
  </si>
  <si>
    <t>Campaña Compra de Cartera*</t>
  </si>
  <si>
    <t>TARIFAS DE AVALÚOS 2026
CRÉDITO CONSTRUCTOR</t>
  </si>
  <si>
    <t>VALOR LOTE</t>
  </si>
  <si>
    <t>CONS1</t>
  </si>
  <si>
    <t>DE $0 A $ 1.900 MM</t>
  </si>
  <si>
    <t>CONS2</t>
  </si>
  <si>
    <t>DE $ 1.900.001 MM EN ADELANTE 2SMMLV + IVA</t>
  </si>
  <si>
    <t xml:space="preserve">TARIFAS DE AVALÚOS - 2026 BQ - CIDU - COLIERS - TINSA - ISA
Crédito Directo / Leasing Habitacional </t>
  </si>
  <si>
    <t xml:space="preserve">Proyectos Financiados </t>
  </si>
  <si>
    <t>Rangos por Valor del Inmueble</t>
  </si>
  <si>
    <t>Valor Total</t>
  </si>
  <si>
    <t>Hasta 135 /150* SMMLV (VIP - VIS)</t>
  </si>
  <si>
    <t xml:space="preserve">Superior a 135 / 150* SMMLV hasta $700.000.000 / NO VIS 
</t>
  </si>
  <si>
    <t>Tarifa del 0.75 X 1,000 + IVA Mínimo $156,851</t>
  </si>
  <si>
    <t>De $700’000.001 en adelante</t>
  </si>
  <si>
    <t xml:space="preserve">   Inmuebles de Proyectos NO Financiados / Usados / Remodelación</t>
  </si>
  <si>
    <t xml:space="preserve">Rangos por Valor del Inmueble* </t>
  </si>
  <si>
    <t xml:space="preserve">Hasta 135 / 150* SMMLV (VIP - VIS) </t>
  </si>
  <si>
    <t>Tarifa del 0.75 X 1,000 + IVA Mínimo $266,716</t>
  </si>
  <si>
    <t xml:space="preserve">De $700’000.001 en adelante / NO VIS* </t>
  </si>
  <si>
    <t>Compra de Cartera</t>
  </si>
  <si>
    <t>Menor o igual $500.000.000</t>
  </si>
  <si>
    <t>Mayor a $500.000.001</t>
  </si>
  <si>
    <t xml:space="preserve">Tarifa del 0.7 X 1,000 + IVA 
Máximo: $1,089,100 </t>
  </si>
  <si>
    <t>Campaña Compra de Cartera</t>
  </si>
  <si>
    <t>Estas tarifas incluyen IVA</t>
  </si>
  <si>
    <t>SMMLV – Salarios Mínimos Mensual Legal Vigente</t>
  </si>
  <si>
    <t>* La tarifa para empleados que toman crédto de vivienda o leasing habitacional con el Banco, por la línea tradicional de crédito comercial, tiene un 25% de descuento sobre el total de la factura + IVA. 
No aplica para tarifa mínima.  
Es requisito indispensable presentar el certificado laboral.</t>
  </si>
  <si>
    <t>Links de Pago PSE</t>
  </si>
  <si>
    <t>https://micrositios.goupagos.com.co/c-i-c-sas-ma</t>
  </si>
  <si>
    <t>Coliers</t>
  </si>
  <si>
    <t>https://www.avalpaycenter.com/nombre del convenio Isa Avaluos</t>
  </si>
  <si>
    <t>ISA</t>
  </si>
  <si>
    <t>https://checkout.wompi.co/l/QAziNo</t>
  </si>
  <si>
    <t>Tinsa</t>
  </si>
  <si>
    <t>https://micrositios.goupagos.com.co/bq-avaluos-sas-ma</t>
  </si>
  <si>
    <t>BQ Avalúos</t>
  </si>
  <si>
    <t>https://checkout.wompi.co/l/VPOS_gGe2tc</t>
  </si>
  <si>
    <t>CIDU</t>
  </si>
  <si>
    <t>TARIFAS DE ESTUDIO DE TÍTULOS - 2025
Crédito Directo / Leasing Habitacional</t>
  </si>
  <si>
    <t xml:space="preserve"> Proyectos Financiados </t>
  </si>
  <si>
    <t>Hasta 135 / 150* SMMLV (VIP - VIS)</t>
  </si>
  <si>
    <t xml:space="preserve">Superior a 135 / 150* SMMLV / NO VIS </t>
  </si>
  <si>
    <t>Inmuebles de Proyectos NO Financiados / Usados / Remodelación</t>
  </si>
  <si>
    <t xml:space="preserve">Rangos por Valor del Inmueble </t>
  </si>
  <si>
    <t xml:space="preserve">Hasta 135 / 150* SMMLV (VIP - VIS) (Nueva) </t>
  </si>
  <si>
    <t>Superior a 135 / 150* SMMLV NO VIS ( Nueva y Usada)</t>
  </si>
  <si>
    <t xml:space="preserve">Créditos Empleados  VIS </t>
  </si>
  <si>
    <t xml:space="preserve">Créditos Empleados NO VIS </t>
  </si>
  <si>
    <t xml:space="preserve"> Compra de Cartera</t>
  </si>
  <si>
    <t>Cesión de Contrato - Leasing Habitacional</t>
  </si>
  <si>
    <t>SMMLV – Salario Mínimo Mensual Legal Vigente</t>
  </si>
  <si>
    <t>*VIS hasta 150 SMMLV corresponde a las ciudades definidas en el decreto 1467 de agosto de 2019. Ver anexo Ciudades definidas VIS hasta 150 SMMLV</t>
  </si>
  <si>
    <t>(1) La tarifa para empleados es de $136.000 los cuales subsidia el Banco, el empleado no debe cancelar ningun valor por este concepto.</t>
  </si>
  <si>
    <t xml:space="preserve">(2) Aplica para credito directo/ leasing habitacional  nueva o usada, en la línea tradicional de credito comercial. No aplica para tarifa minima. Es requisito indispensable presentar el certificado laboral. </t>
  </si>
  <si>
    <t>(3) Aplica para remodelaciones de garantias recibidas en cesión</t>
  </si>
  <si>
    <t>ANEXO
Ciudades definidas VIS hasta 150 SMMLV</t>
  </si>
  <si>
    <t>MUNICIPIO -DISTRITO</t>
  </si>
  <si>
    <t>Barranquilla</t>
  </si>
  <si>
    <t>Sitionuevo</t>
  </si>
  <si>
    <t>Sabanalarga</t>
  </si>
  <si>
    <t>Ponedera</t>
  </si>
  <si>
    <t>Palmar de Varela</t>
  </si>
  <si>
    <t>Sabanagrande</t>
  </si>
  <si>
    <t>Santo Tomás</t>
  </si>
  <si>
    <t>Malambo</t>
  </si>
  <si>
    <t>Soledad</t>
  </si>
  <si>
    <t>Galapa</t>
  </si>
  <si>
    <t>Bogotá</t>
  </si>
  <si>
    <t>Tabio</t>
  </si>
  <si>
    <t>Cajicá</t>
  </si>
  <si>
    <t>Cota</t>
  </si>
  <si>
    <t>Sibaté</t>
  </si>
  <si>
    <t>La Calera</t>
  </si>
  <si>
    <t>Funza</t>
  </si>
  <si>
    <t>Chia</t>
  </si>
  <si>
    <t>Mosquera</t>
  </si>
  <si>
    <t>Facatativá</t>
  </si>
  <si>
    <t>Zipaquirá</t>
  </si>
  <si>
    <t>Madrid</t>
  </si>
  <si>
    <t>Soacha</t>
  </si>
  <si>
    <t>Tocancipá</t>
  </si>
  <si>
    <t>Bucaramanga</t>
  </si>
  <si>
    <t>Piedecuesta</t>
  </si>
  <si>
    <t>Girón</t>
  </si>
  <si>
    <t>Floridablanca</t>
  </si>
  <si>
    <t>Cali</t>
  </si>
  <si>
    <t>Puerto Tejada</t>
  </si>
  <si>
    <t>Candelaria</t>
  </si>
  <si>
    <t>Yumbo</t>
  </si>
  <si>
    <t>Jamundi</t>
  </si>
  <si>
    <t>Cartagena</t>
  </si>
  <si>
    <t>Clemencia</t>
  </si>
  <si>
    <t>Turbaco</t>
  </si>
  <si>
    <t>Medellín</t>
  </si>
  <si>
    <t>Girardota</t>
  </si>
  <si>
    <t>Caldas</t>
  </si>
  <si>
    <t>Itagüí</t>
  </si>
  <si>
    <t>Sabaneta</t>
  </si>
  <si>
    <t>La Estrella</t>
  </si>
  <si>
    <t>Envigado</t>
  </si>
  <si>
    <t>Copacabana</t>
  </si>
  <si>
    <t>Bello</t>
  </si>
  <si>
    <t>Cúcuta</t>
  </si>
  <si>
    <t>Los Patios</t>
  </si>
  <si>
    <t>San Cayetano</t>
  </si>
  <si>
    <t>Villa del Rosario</t>
  </si>
  <si>
    <t>Tipo credito</t>
  </si>
  <si>
    <t>Asalariado</t>
  </si>
  <si>
    <t>Pensionado</t>
  </si>
  <si>
    <t xml:space="preserve">Ingresa los datos del inmueble </t>
  </si>
  <si>
    <t>PARAMETRIZACION TASA ESPECIAL</t>
  </si>
  <si>
    <t>Proyecto financiado</t>
  </si>
  <si>
    <t>El caso lleva tasa Especial?</t>
  </si>
  <si>
    <t>Tipo de inmueble</t>
  </si>
  <si>
    <t>Plazo</t>
  </si>
  <si>
    <t xml:space="preserve">Ingresa los datos de la operación </t>
  </si>
  <si>
    <t>Cuanto necesita tu cliente?</t>
  </si>
  <si>
    <t>Tasa Inteligente</t>
  </si>
  <si>
    <t>Plazo (meses)</t>
  </si>
  <si>
    <t>MV</t>
  </si>
  <si>
    <t>Ingresa los datos de tu cliente</t>
  </si>
  <si>
    <t>Segmento de tu cliente</t>
  </si>
  <si>
    <t>Puntaje Acierta</t>
  </si>
  <si>
    <t xml:space="preserve"> </t>
  </si>
  <si>
    <t>Regresar</t>
  </si>
  <si>
    <t>Crédito de vivienda</t>
  </si>
  <si>
    <t>Resumen de los datos de tu cliente y operación</t>
  </si>
  <si>
    <t>El perfil de tu cliente es</t>
  </si>
  <si>
    <t>Costos aproximados Legalización</t>
  </si>
  <si>
    <t>Monto solicitado por tu cliente</t>
  </si>
  <si>
    <t>Costo Avalúo</t>
  </si>
  <si>
    <t xml:space="preserve">Cuota Inicial </t>
  </si>
  <si>
    <t>Costo Estudio Titulos</t>
  </si>
  <si>
    <t>UVR +</t>
  </si>
  <si>
    <t>Valor UVR HOY</t>
  </si>
  <si>
    <t>Unidades Totales de UVR a amortizar</t>
  </si>
  <si>
    <t xml:space="preserve">Datos complementarios </t>
  </si>
  <si>
    <t>Los subsidios otorgados por el Gobierno Nacional aplican unicamente al momento del desembolso, conforme el cliente cumpla con los requisitos para acceder al programa seleccionado y haya existencia de cupos. El valor descontado por este beneficio en este simulador, es un valor aproximado y no compromete a Banco de Bogotá en aplicar estas condiciones de crédito si el cliente no llegase a ser habilitado para recibir el subsidio.</t>
  </si>
  <si>
    <t>Edad titular 1</t>
  </si>
  <si>
    <t>Titulares asegurados</t>
  </si>
  <si>
    <t>Edad titular 2</t>
  </si>
  <si>
    <t>Sin Seguro</t>
  </si>
  <si>
    <t>Edad titular 3</t>
  </si>
  <si>
    <t>Cuota protegida Asalariados + Hogar Seguro</t>
  </si>
  <si>
    <t>Cuota protegida Independientes + Hogar Seguro</t>
  </si>
  <si>
    <t>Edad titular 4</t>
  </si>
  <si>
    <t>Cuota protegida Asalariados + Hogar Seguro + mascotas</t>
  </si>
  <si>
    <t>Cuota protegida Independientes + Hogar Seguro + mascotas</t>
  </si>
  <si>
    <t>Cuota protegida Asalariados + Hogar Seguro + movilidad</t>
  </si>
  <si>
    <t>Cuota protegida Independientes + Hogar Seguro + movilidad</t>
  </si>
  <si>
    <t>Resumen Cuota Mensual</t>
  </si>
  <si>
    <t>Cuota protegida Asalariados + Protección Mascotas</t>
  </si>
  <si>
    <t>Cuota protegida Independientes + Protección Mascotas</t>
  </si>
  <si>
    <r>
      <t xml:space="preserve">Vr. Cuota (capital e intereses) expresada en unidades </t>
    </r>
    <r>
      <rPr>
        <b/>
        <sz val="14"/>
        <color rgb="FF002060"/>
        <rFont val="Arial Narrow"/>
        <family val="2"/>
      </rPr>
      <t>UVR</t>
    </r>
    <r>
      <rPr>
        <b/>
        <sz val="12"/>
        <color rgb="FF002060"/>
        <rFont val="Arial Narrow"/>
        <family val="2"/>
      </rPr>
      <t xml:space="preserve"> </t>
    </r>
  </si>
  <si>
    <t>Valores en Pesos</t>
  </si>
  <si>
    <t>Cuota protegida Asalariados + Movilidad Segura</t>
  </si>
  <si>
    <t>Cuota protegida Independientes + Movilidad Segura</t>
  </si>
  <si>
    <t>Vr. Seguro Vida titular(es)</t>
  </si>
  <si>
    <t>Ingresos mínimos requeridos al cliente</t>
  </si>
  <si>
    <t>Cuota protegida vivienda asalariados</t>
  </si>
  <si>
    <t>Cuota protegida vivienda independientes</t>
  </si>
  <si>
    <t>Vr. Seguro Incendio y Terremoto</t>
  </si>
  <si>
    <t>Hogar Seguro + Protección Mascotas</t>
  </si>
  <si>
    <t>Vr. Cuota (capital e intereses)</t>
  </si>
  <si>
    <t>Hogar Seguro + Movilidad Segura</t>
  </si>
  <si>
    <t>Hogar Seguro</t>
  </si>
  <si>
    <t>Simulación - Plan de Pagos 
Crédito de Vivienda en UVR</t>
  </si>
  <si>
    <t>Simulador</t>
  </si>
  <si>
    <r>
      <t xml:space="preserve">1. La información presentada es un cálculo aproximado (cumple con las condiciones de la Ley 546 de 1999) y no constituye una promesa de apertura de productos. La entrega de productos está sujeta a las políticas de crédito del Banco, al análisis del riesgo y a la recepción de documentos para el estudio de crédito.  Las cifras aquí contenidas son aproximadas y de carácter informativo, dado que las tasas y otras condiciones pueden cambiar de acuerdo con el comportamiento del mercado. Algunas condiciones de crédito podrán variar sin previo aviso.
2. Los diferentes programas de cobertura de tasa del Gobierno Nacional están sujetos al cumplimiento de todos los requisitos establecidos en los decretos reglamentarios.
3. “Para los créditos desembolsados a partir del 01 de diciembre del 2020, el valor de la prima correspondiente al Seguro de Vida se calcula de acuerdo a: 1. La edad alcanzada anualmente por el(os) deudor(s), 2. Rango de edad. o 3. Producto de vivienda adquirido.”
</t>
    </r>
    <r>
      <rPr>
        <b/>
        <sz val="10"/>
        <color rgb="FF002060"/>
        <rFont val="Trebuchet MS"/>
        <family val="2"/>
      </rPr>
      <t>4. Las cuotas periódicas definitivas del préstamo que el cliente debe pagar son las señaladas en el respectivo extracto mensual. Es importante que el cliente no efectúe sus pagos con base en la información suministrada en esta simulación de plan de pagos, pues la misma es una proyección teórica del comportamiento del préstamo.                                     5. Este plan de pagos convierte el valor de la cuota a pesos con base en la UVR vigente del día, quedando fijado en ese valor para efectos de la simulación, pero sin reflejar la evolución futura de la UVR, dado que este indicador depende de la variación del IPC.</t>
    </r>
  </si>
  <si>
    <t xml:space="preserve">6. El Valor Total Unificado de un producto del Activo “VTUA” Es una proyección de los cobros inherentes o asociados al producto. Se calcula mediante una proyección que incluye las cuotas del crédito, primas de seguros, comisiones y cualquier otro concepto inherente y  asociado al producto. El VTUA es una simple proyección No es una tasa de interés. Los conceptos que la conforman son los que normalmente se han venido pagando y/o cobrando en las operaciones de crédito. Lo anterior en cumplimiento del decreto 1854 del 2015. </t>
  </si>
  <si>
    <t>Valor VTU ($)</t>
  </si>
  <si>
    <t>VTU (% E.A.)</t>
  </si>
  <si>
    <t>Valores en UVR</t>
  </si>
  <si>
    <t>Valores en PESOS</t>
  </si>
  <si>
    <t>Número de Cuota</t>
  </si>
  <si>
    <t>Saldo de capital UVR</t>
  </si>
  <si>
    <t>Abono a capital en UVR</t>
  </si>
  <si>
    <t>Valor Cuota UVR sin seguros</t>
  </si>
  <si>
    <t>TITULAR   1</t>
  </si>
  <si>
    <t>TITULAR2</t>
  </si>
  <si>
    <t>TITULAR3</t>
  </si>
  <si>
    <t>TITULAR4</t>
  </si>
  <si>
    <t>Seguro de Vida</t>
  </si>
  <si>
    <t>Seguro Incendio y Terremoto</t>
  </si>
  <si>
    <t>Valor cuota en PESOS</t>
  </si>
  <si>
    <t>Crédito de Vivienda en UVRHasta 60</t>
  </si>
  <si>
    <t>Crédito de Vivienda en UVREntre 61 y 84</t>
  </si>
  <si>
    <t>Crédito de Vivienda en UVREntre 85 y 120</t>
  </si>
  <si>
    <t>Crédito de Vivienda en UVREntre 121 y 180</t>
  </si>
  <si>
    <t>Crédito de Vivienda en UVREntre 181 y 240</t>
  </si>
  <si>
    <t>Crédito de Vivienda en UVRMás de 240</t>
  </si>
  <si>
    <t>Unidad de valor real (UVR)</t>
  </si>
  <si>
    <t>1.1.2. Serie histórica_periodicidad diaria</t>
  </si>
  <si>
    <t>Promedio general</t>
  </si>
  <si>
    <t>Año</t>
  </si>
  <si>
    <t>Mes</t>
  </si>
  <si>
    <t xml:space="preserve">Información disponible a partir del 1 de enero de 2000. </t>
  </si>
  <si>
    <t>Factor de Ajuste</t>
  </si>
  <si>
    <r>
      <t xml:space="preserve"> </t>
    </r>
    <r>
      <rPr>
        <i/>
        <sz val="9"/>
        <color theme="1"/>
        <rFont val="Helvetica"/>
      </rPr>
      <t>Banco de la República - Gerencia Técnica - información extraída de la bodega de datos -Serankua- el 19/12/2023 17:34:42</t>
    </r>
  </si>
  <si>
    <t>Fecha (dd/mm/aaaa)</t>
  </si>
  <si>
    <t>Pesos colombianos por UVR</t>
  </si>
  <si>
    <t>Variación anual porcentual %</t>
  </si>
  <si>
    <t>Fuente: los datos entre el 1 de enero y el 10 de agosto de 2000 son fiel copia de los divulgados por el Consejo Superior de Vivienda. A partir del 11 de agosto de 2000 los datos en la tabla se refieren a los valores de la UVR calculados por el Banco de la República,de conformidad con lo establecido en la Resolución Externa 13 de 2000, de la Junta Directiva del Banco de la República.</t>
  </si>
  <si>
    <t xml:space="preserve"> Nota: las variaciones porcentuales corresponden al cambio porcentual entre el valor de la UVR de la fecha en mención y el valor de dicha unidad en la misma fecha del periodo anterior.</t>
  </si>
  <si>
    <t xml:space="preserve"> Banco de la República - Gerencia Técnica - información extraída de la bodega de datos -Serankua- el 12/09/2024 10:05:43 </t>
  </si>
  <si>
    <t>Leasing Habitacional NO Familiar</t>
  </si>
  <si>
    <t>TARIFA 2</t>
  </si>
  <si>
    <t>% Opción de compra (1% - 30%)</t>
  </si>
  <si>
    <t>Vr. Cuota(capital e intereses)</t>
  </si>
  <si>
    <t>Seguros Voluntarios</t>
  </si>
  <si>
    <t>Proteccion Mascotas</t>
  </si>
  <si>
    <t>¿Tu cliente desea adquirir seguros voluntarios?</t>
  </si>
  <si>
    <t>Movilidad Segura</t>
  </si>
  <si>
    <t>¿Qué tipo de cobertura(s) desea adquirir?</t>
  </si>
  <si>
    <t>¿Qué plan desea adquirir (Id Plan Seguro)?</t>
  </si>
  <si>
    <t xml:space="preserve">Valor de la cobertura </t>
  </si>
  <si>
    <t>Vr. Cuota+ Seguros Voluntarios</t>
  </si>
  <si>
    <t>Leasing Habitacional NO FamiliarHasta 60</t>
  </si>
  <si>
    <t>Leasing Habitacional NO FamiliarEntre 61 y 84</t>
  </si>
  <si>
    <t>Leasing Habitacional NO FamiliarEntre 85 y 120</t>
  </si>
  <si>
    <t>Leasing Habitacional NO FamiliarEntre 121 y 180</t>
  </si>
  <si>
    <t>Leasing Habitacional NO FamiliarEntre 181 y 240</t>
  </si>
  <si>
    <t>Leasing Habitacional NO FamiliarMás de 240</t>
  </si>
  <si>
    <t>Simulación - Plan de Pagos 
Leasing Habitacional NO Familiar</t>
  </si>
  <si>
    <t xml:space="preserve">1. La información presentada es un cálculo aproximado (cumple con las condiciones de la Ley 546 de 1999) y no constituye una promesa de apertura de productos. La entrega de productos está sujeta a las políticas de crédito del Banco, al análisis del riesgo y a la recepción de documentos para el estudio de crédito.  Las cifras aquí contenidas son aproximadas y de carácter informativo, dado que las tasas y otras condiciones pueden cambiar de acuerdo con el comportamiento del mercado. Algunas condiciones de crédito podrán variar sin previo aviso.
2. Los diferentes programas de cobertura de tasa del Gobierno Nacional están sujetos al cumplimiento de todos los requisitos establecidos en los decretos reglamentarios.
3. “Para los créditos desembolsados a partir del 01 de diciembre del 2020, el valor de la prima correspondiente al Seguro de Vida se calcula de acuerdo a: 1. La edad alcanzada anualmente por el(os) deudor(s), 2. Rango de edad. o 3. Producto de vivienda adquirido.”
4. Las cuotas periódicas definitivas del préstamo que el cliente debe pagar son los señalados en el respectivo extracto mensual. Es importante que el cliente no efectúe sus pagos con base en la información suministrada en esta simulación de plan de pagos, pues la misma es una proyección teórica del comportamiento que va a tener el préstamo.  </t>
  </si>
  <si>
    <t>5. El Valor Total Unificado de un producto del Activo “VTUA” Es una proyección de los cobros inherentes o asociados al producto. Se calcula mediante una proyección que incluye las cuotas del crédito, primas de seguros, comisiones y cualquier otro concepto inherente y  asociado al producto. El VTUA es una simple proyección No es una tasa de interés. Los conceptos que la conforman son los que normalmente se han venido pagando y/o cobrando en las operaciones de crédito. Lo anterior en cumplimiento del decreto 1854 del 2015.</t>
  </si>
  <si>
    <t>1854 del 2015.</t>
  </si>
  <si>
    <t>Opción de compra</t>
  </si>
  <si>
    <t>Saldo de capital</t>
  </si>
  <si>
    <t>Abono a capital</t>
  </si>
  <si>
    <t>Valor Canon sin seguros</t>
  </si>
  <si>
    <t>Valor Canon + Seguros obligatorios</t>
  </si>
  <si>
    <t>Canon + Seguros Voluntarios</t>
  </si>
  <si>
    <t>*Oferta para nuevas operaciones de crédito de vivienda en pesos de hasta 240 meses.</t>
  </si>
  <si>
    <t>Programa de Gobierno</t>
  </si>
  <si>
    <t>Vr. Cuota Mensual + Seguros Voluntarios</t>
  </si>
  <si>
    <t>Simulación - Plan de Pagos 
Crédito de Vivienda</t>
  </si>
  <si>
    <t>decreto 1854 del 2015.</t>
  </si>
  <si>
    <t>Valor VTU</t>
  </si>
  <si>
    <t>Valor Cuota sin seguros</t>
  </si>
  <si>
    <t>Valor Cuota + Seguros obligatorios</t>
  </si>
  <si>
    <t>Cuota + Seguros Voluntarios</t>
  </si>
  <si>
    <t>Edad</t>
  </si>
  <si>
    <t>Mensual</t>
  </si>
  <si>
    <t>CXC</t>
  </si>
  <si>
    <t>Combo vida +Hogar</t>
  </si>
  <si>
    <t>Seguro Inc. y Terr.</t>
  </si>
  <si>
    <t>Tasa %</t>
  </si>
  <si>
    <t>Tasa x mil</t>
  </si>
  <si>
    <t>Par</t>
  </si>
  <si>
    <t>Póliza</t>
  </si>
  <si>
    <t>Observación</t>
  </si>
  <si>
    <t>Vida Vivienda</t>
  </si>
  <si>
    <t>El flujo identifica el factor de seguro que aplica cuando la marcación es: N, O o otros</t>
  </si>
  <si>
    <t>Todo Riesgo</t>
  </si>
  <si>
    <t>El corredor WTW maneja un cotizador, donde tiene parametrizado el factor y confirma el valor de la prima para que sea digitada en el flujo por el gestor de Leasing, en los campos a continuación relacionado:</t>
  </si>
  <si>
    <t>&lt;770</t>
  </si>
  <si>
    <t>Resumen de los datos de tu cliente</t>
  </si>
  <si>
    <t>&gt;=770</t>
  </si>
  <si>
    <t>Menor esfuerzo en cuota incial por valor de</t>
  </si>
  <si>
    <t>Solo pagarias cuota inicial de</t>
  </si>
  <si>
    <t>Score</t>
  </si>
  <si>
    <t xml:space="preserve">En leasing </t>
  </si>
  <si>
    <t>Pagarias cuota inicial de</t>
  </si>
  <si>
    <t>Le prestamos hasta el</t>
  </si>
  <si>
    <t>Tu canon mensual seria de</t>
  </si>
  <si>
    <t>Valor maximo a financiar</t>
  </si>
  <si>
    <t>Ahorrarías mensualmente</t>
  </si>
  <si>
    <t>Tasa E.A.</t>
  </si>
  <si>
    <t>Ahorro en intereses totales</t>
  </si>
  <si>
    <t>Cuota sin seguros*</t>
  </si>
  <si>
    <t xml:space="preserve">La diferencia en tasa es de </t>
  </si>
  <si>
    <t>En Crédito Vivienda</t>
  </si>
  <si>
    <t>Simulación - Plan de Pagos 
Leasing Habitacional Familiar</t>
  </si>
  <si>
    <t>cumplimiento del decreto 1854 del 2015.</t>
  </si>
  <si>
    <t>El inmueble tiene hipoteca vigente con BDB</t>
  </si>
  <si>
    <t>Remodelación</t>
  </si>
  <si>
    <t>Inmueble con hipoteca en BDB</t>
  </si>
  <si>
    <t>Vr. Cuota + Seguros Obligatorios</t>
  </si>
  <si>
    <t>Simulación - Plan de Pagos 
Remodelación</t>
  </si>
  <si>
    <t>ID</t>
  </si>
  <si>
    <t>Código Seguro</t>
  </si>
  <si>
    <t xml:space="preserve">Descripción y Orden en que debe aparecer la oferta de  Seguros </t>
  </si>
  <si>
    <t>Id Plan Seguro</t>
  </si>
  <si>
    <t>Valor Plan</t>
  </si>
  <si>
    <t>Asalariados</t>
  </si>
  <si>
    <t>Edad minima 18 años y máximas 69 + 364 dias</t>
  </si>
  <si>
    <t>Independiente-Pensionado</t>
  </si>
  <si>
    <t>Edad minima 18 años no tiene edad máxima de Ingreso</t>
  </si>
  <si>
    <t>Ingresa los datos de la operación a comprar</t>
  </si>
  <si>
    <t>Saldo de Cartera a Comprar</t>
  </si>
  <si>
    <t>Plazo inicial deuda (meses)</t>
  </si>
  <si>
    <t>Plazo restante deuda (meses)</t>
  </si>
  <si>
    <t>Tasa E.A. deuda banco cedente</t>
  </si>
  <si>
    <t>Valor seguros atados deuda banco cedente (IyT + Vida)</t>
  </si>
  <si>
    <t>Couta canceladas por el cliente</t>
  </si>
  <si>
    <t>min</t>
  </si>
  <si>
    <t>max</t>
  </si>
  <si>
    <t>TARIFA</t>
  </si>
  <si>
    <t>Mantener mismo plazo deuda banco cedente</t>
  </si>
  <si>
    <t>Oferta con disminución del plazo</t>
  </si>
  <si>
    <t>Oferta con aumento del plazo</t>
  </si>
  <si>
    <t>Saldo de cartera a comprar</t>
  </si>
  <si>
    <t>Tasa E.A. Banco cedente</t>
  </si>
  <si>
    <t>Cuota actual sin seguros banco cedente</t>
  </si>
  <si>
    <t>El nuevo plazo solicitado debe cumplir la política definida: [NO VIS : Mínimo 60 y máximo 240 meses] [VIS : mínimo 60 y máximo 360 meses]. Los rangos míninos y máximos están establecidos bajo la siguiente formula (Nuevo plazo solicitado + Cuotas canceladas en el Banco cedente)</t>
  </si>
  <si>
    <t>Cuota actual con seguros del banco cedente</t>
  </si>
  <si>
    <t>Escenarios que puedes ofrecer a tus clientes</t>
  </si>
  <si>
    <t>Escoje el escenario que desea tu cliente</t>
  </si>
  <si>
    <t>Resumen Nueva Cuota Mensual</t>
  </si>
  <si>
    <t>Lo que tu cliente se ahorra mensualmente</t>
  </si>
  <si>
    <t>Lo que tu cliente se ahorra en lo que resta del credito</t>
  </si>
  <si>
    <t>Incremento en el valor de la cuota mensual</t>
  </si>
  <si>
    <t>Numero de cuotas ahorradas</t>
  </si>
  <si>
    <t>Lo que tu cliente se ahorra en lo que resta del crédito.</t>
  </si>
  <si>
    <t>Disminución en el valor de la cuota mensual</t>
  </si>
  <si>
    <t>Simulación - Plan de Pagos 
Compra de Cartera</t>
  </si>
  <si>
    <t>¿Cuáles son los ingresos de tu cliente?</t>
  </si>
  <si>
    <t>Tasa MV</t>
  </si>
  <si>
    <r>
      <t xml:space="preserve">CRÉDITO DE VIVIENDA EN </t>
    </r>
    <r>
      <rPr>
        <b/>
        <sz val="14"/>
        <color theme="0"/>
        <rFont val="Candara"/>
        <family val="2"/>
      </rPr>
      <t>PESOS</t>
    </r>
  </si>
  <si>
    <r>
      <t xml:space="preserve">CRÉDITO DE VIVIENDA EN </t>
    </r>
    <r>
      <rPr>
        <b/>
        <sz val="14"/>
        <color theme="0"/>
        <rFont val="Candara"/>
        <family val="2"/>
      </rPr>
      <t>UVR</t>
    </r>
  </si>
  <si>
    <t>Plazos</t>
  </si>
  <si>
    <t>Monto maximo</t>
  </si>
  <si>
    <t>VIS / NO VIS</t>
  </si>
  <si>
    <t>Estos valores son  infomativos, y estiman el monto posible de préstamo, sujeto al cumplimiento de las políticas de riesgo y a la evaluación de la capacidad de pago del cliente.</t>
  </si>
  <si>
    <t>Código: PCV_FOR_006
Versión: V02
Fecha de actualización: 04/05/2026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</si>
</sst>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8" formatCode="&quot;$&quot;\ #,##0.00;[Red]\-&quot;$&quot;\ #,##0.00"/>
    <numFmt numFmtId="43" formatCode="_-* #,##0.00_-;\-* #,##0.00_-;_-* &quot;-&quot;??_-;_-@_-"/>
    <numFmt numFmtId="164" formatCode="&quot;$&quot;#,##0;[Red]\-&quot;$&quot;#,##0"/>
    <numFmt numFmtId="165" formatCode="&quot;$&quot;#,##0.00;[Red]\-&quot;$&quot;#,##0.00"/>
    <numFmt numFmtId="166" formatCode="_-&quot;$&quot;* #,##0.00_-;\-&quot;$&quot;* #,##0.00_-;_-&quot;$&quot;* &quot;-&quot;??_-;_-@_-"/>
    <numFmt numFmtId="167" formatCode="_(&quot;$&quot;* #,##0_);_(&quot;$&quot;* \(#,##0\);_(&quot;$&quot;* &quot;-&quot;??_);_(@_)"/>
    <numFmt numFmtId="168" formatCode="0.0000%"/>
    <numFmt numFmtId="169" formatCode="_-&quot;$&quot;* #,##0_-;\-&quot;$&quot;* #,##0_-;_-&quot;$&quot;* &quot;-&quot;??_-;_-@_-"/>
    <numFmt numFmtId="170" formatCode="0.0000"/>
    <numFmt numFmtId="171" formatCode="0.0000000"/>
    <numFmt numFmtId="172" formatCode="_-* #,##0_-;\-* #,##0_-;_-* &quot;-&quot;??_-;_-@_-"/>
    <numFmt numFmtId="173" formatCode="00"/>
    <numFmt numFmtId="174" formatCode="[$$]\ #,##0.0000;\-[$$]\ #,##0.0000"/>
    <numFmt numFmtId="175" formatCode="#,##0.0000"/>
  </numFmts>
  <fonts count="148" x14ac:knownFonts="1">
    <font>
      <sz val="11"/>
      <color theme="1"/>
      <name val="Calibri"/>
      <family val="2"/>
      <scheme val="minor"/>
    </font>
    <font>
      <sz val="11"/>
      <color theme="1"/>
      <name val="Calibri"/>
      <family val="2"/>
      <scheme val="minor"/>
    </font>
    <font>
      <b/>
      <sz val="12"/>
      <color theme="0"/>
      <name val="Trebuchet MS"/>
      <family val="2"/>
    </font>
    <font>
      <sz val="12"/>
      <color rgb="FF666666"/>
      <name val="Trebuchet MS"/>
      <family val="2"/>
    </font>
    <font>
      <b/>
      <sz val="12"/>
      <color rgb="FF666666"/>
      <name val="Trebuchet MS"/>
      <family val="2"/>
    </font>
    <font>
      <b/>
      <sz val="12"/>
      <color theme="1" tint="4.9989318521683403E-2"/>
      <name val="Trebuchet MS"/>
      <family val="2"/>
    </font>
    <font>
      <sz val="12"/>
      <color theme="1" tint="4.9989318521683403E-2"/>
      <name val="Trebuchet MS"/>
      <family val="2"/>
    </font>
    <font>
      <sz val="12"/>
      <color rgb="FF002060"/>
      <name val="Trebuchet MS"/>
      <family val="2"/>
    </font>
    <font>
      <sz val="12"/>
      <name val="Trebuchet MS"/>
      <family val="2"/>
    </font>
    <font>
      <sz val="12"/>
      <color theme="1"/>
      <name val="Trebuchet MS"/>
      <family val="2"/>
    </font>
    <font>
      <sz val="8"/>
      <name val="Calibri"/>
      <family val="2"/>
      <scheme val="minor"/>
    </font>
    <font>
      <sz val="10"/>
      <color indexed="9"/>
      <name val="Arial Nova"/>
      <family val="2"/>
    </font>
    <font>
      <sz val="11"/>
      <color theme="1"/>
      <name val="Arial Nova"/>
      <family val="2"/>
    </font>
    <font>
      <b/>
      <sz val="10"/>
      <color rgb="FFFF0000"/>
      <name val="Arial Nova"/>
      <family val="2"/>
    </font>
    <font>
      <sz val="10"/>
      <color rgb="FFFF0000"/>
      <name val="Arial Nova"/>
      <family val="2"/>
    </font>
    <font>
      <b/>
      <sz val="22"/>
      <color rgb="FFFF0000"/>
      <name val="Arial Nova"/>
      <family val="2"/>
    </font>
    <font>
      <b/>
      <sz val="16"/>
      <color rgb="FFFF0000"/>
      <name val="Arial Nova"/>
      <family val="2"/>
    </font>
    <font>
      <b/>
      <sz val="13"/>
      <color indexed="9"/>
      <name val="Arial Nova"/>
      <family val="2"/>
    </font>
    <font>
      <b/>
      <sz val="13"/>
      <color theme="1" tint="0.34998626667073579"/>
      <name val="Arial Nova"/>
      <family val="2"/>
    </font>
    <font>
      <sz val="10"/>
      <name val="Arial"/>
      <family val="2"/>
    </font>
    <font>
      <sz val="10"/>
      <name val="Calibri"/>
      <family val="2"/>
      <scheme val="minor"/>
    </font>
    <font>
      <sz val="12"/>
      <name val="Calibri"/>
      <family val="2"/>
      <scheme val="minor"/>
    </font>
    <font>
      <sz val="11"/>
      <name val="Arial Nova"/>
      <family val="2"/>
    </font>
    <font>
      <sz val="8"/>
      <name val="Arial Nova"/>
      <family val="2"/>
    </font>
    <font>
      <sz val="10"/>
      <color rgb="FF002060"/>
      <name val="Trebuchet MS"/>
      <family val="2"/>
    </font>
    <font>
      <u/>
      <sz val="11"/>
      <color theme="1"/>
      <name val="Calibri"/>
      <family val="2"/>
      <scheme val="minor"/>
    </font>
    <font>
      <sz val="11"/>
      <color theme="0"/>
      <name val="Calibri"/>
      <family val="2"/>
      <scheme val="minor"/>
    </font>
    <font>
      <sz val="12"/>
      <color theme="1"/>
      <name val="Calibri"/>
      <family val="2"/>
      <scheme val="minor"/>
    </font>
    <font>
      <sz val="11"/>
      <color theme="0"/>
      <name val="Arial Nova"/>
      <family val="2"/>
    </font>
    <font>
      <b/>
      <sz val="16"/>
      <color theme="0"/>
      <name val="Arial Nova"/>
      <family val="2"/>
    </font>
    <font>
      <b/>
      <sz val="12"/>
      <color theme="0"/>
      <name val="Candara"/>
      <family val="2"/>
    </font>
    <font>
      <b/>
      <sz val="12"/>
      <color theme="0"/>
      <name val="Arial Narrow"/>
      <family val="2"/>
    </font>
    <font>
      <b/>
      <sz val="12"/>
      <color rgb="FF002060"/>
      <name val="Arial Narrow"/>
      <family val="2"/>
    </font>
    <font>
      <b/>
      <sz val="12"/>
      <color theme="3" tint="-0.499984740745262"/>
      <name val="Arial Narrow"/>
      <family val="2"/>
    </font>
    <font>
      <sz val="12"/>
      <color indexed="9"/>
      <name val="Arial Narrow"/>
      <family val="2"/>
    </font>
    <font>
      <sz val="11"/>
      <color theme="1"/>
      <name val="Arial Narrow"/>
      <family val="2"/>
    </font>
    <font>
      <b/>
      <sz val="11"/>
      <color theme="0"/>
      <name val="Arial Narrow"/>
      <family val="2"/>
    </font>
    <font>
      <b/>
      <sz val="11"/>
      <color rgb="FF002060"/>
      <name val="Arial Narrow"/>
      <family val="2"/>
    </font>
    <font>
      <sz val="11"/>
      <color theme="1" tint="0.249977111117893"/>
      <name val="Arial Narrow"/>
      <family val="2"/>
    </font>
    <font>
      <b/>
      <sz val="10"/>
      <color theme="0"/>
      <name val="Arial Narrow"/>
      <family val="2"/>
    </font>
    <font>
      <b/>
      <sz val="16"/>
      <color theme="0"/>
      <name val="Candara"/>
      <family val="2"/>
    </font>
    <font>
      <sz val="8"/>
      <color theme="1"/>
      <name val="Arial Nova"/>
      <family val="2"/>
    </font>
    <font>
      <b/>
      <sz val="8"/>
      <color theme="1"/>
      <name val="Arial Nova"/>
      <family val="2"/>
    </font>
    <font>
      <b/>
      <sz val="16"/>
      <color theme="1"/>
      <name val="Arial Nova"/>
      <family val="2"/>
    </font>
    <font>
      <b/>
      <sz val="13"/>
      <color theme="1"/>
      <name val="Arial Nova"/>
      <family val="2"/>
    </font>
    <font>
      <b/>
      <sz val="22"/>
      <color theme="1"/>
      <name val="Arial Nova"/>
      <family val="2"/>
    </font>
    <font>
      <sz val="8"/>
      <color rgb="FF002060"/>
      <name val="Arial Nova"/>
      <family val="2"/>
    </font>
    <font>
      <b/>
      <sz val="18"/>
      <color rgb="FF002060"/>
      <name val="Candara"/>
      <family val="2"/>
    </font>
    <font>
      <b/>
      <sz val="18"/>
      <color theme="0"/>
      <name val="Candara"/>
      <family val="2"/>
    </font>
    <font>
      <sz val="16"/>
      <color theme="1"/>
      <name val="Candara"/>
      <family val="2"/>
    </font>
    <font>
      <sz val="11"/>
      <color theme="1"/>
      <name val="Candara"/>
      <family val="2"/>
    </font>
    <font>
      <sz val="12"/>
      <color theme="1"/>
      <name val="Candara"/>
      <family val="2"/>
    </font>
    <font>
      <b/>
      <sz val="14"/>
      <color theme="3" tint="-0.499984740745262"/>
      <name val="Arial Narrow"/>
      <family val="2"/>
    </font>
    <font>
      <b/>
      <sz val="13"/>
      <color rgb="FF002060"/>
      <name val="Arial Narrow"/>
      <family val="2"/>
    </font>
    <font>
      <b/>
      <sz val="12"/>
      <name val="Arial Narrow"/>
      <family val="2"/>
    </font>
    <font>
      <b/>
      <u/>
      <sz val="12"/>
      <color rgb="FFFF0000"/>
      <name val="Arial Narrow"/>
      <family val="2"/>
    </font>
    <font>
      <b/>
      <sz val="11"/>
      <color theme="1"/>
      <name val="Arial Nova"/>
      <family val="2"/>
    </font>
    <font>
      <sz val="11"/>
      <name val="Arial"/>
      <family val="2"/>
    </font>
    <font>
      <sz val="9"/>
      <name val="Arial"/>
      <family val="2"/>
    </font>
    <font>
      <sz val="12"/>
      <name val="Arial Narrow"/>
      <family val="2"/>
    </font>
    <font>
      <b/>
      <sz val="7.7"/>
      <color theme="4" tint="-0.499984740745262"/>
      <name val="Arial Nova"/>
      <family val="2"/>
    </font>
    <font>
      <sz val="11"/>
      <color theme="4" tint="-0.499984740745262"/>
      <name val="Calibri"/>
      <family val="2"/>
      <scheme val="minor"/>
    </font>
    <font>
      <b/>
      <sz val="11"/>
      <color theme="1"/>
      <name val="Calibri"/>
      <family val="2"/>
      <scheme val="minor"/>
    </font>
    <font>
      <sz val="11"/>
      <name val="Calibri"/>
      <family val="2"/>
      <scheme val="minor"/>
    </font>
    <font>
      <b/>
      <sz val="11"/>
      <name val="Calibri"/>
      <family val="2"/>
    </font>
    <font>
      <b/>
      <sz val="14"/>
      <color theme="1"/>
      <name val="Calibri"/>
      <family val="2"/>
      <scheme val="minor"/>
    </font>
    <font>
      <b/>
      <sz val="14"/>
      <color rgb="FF002060"/>
      <name val="Arial Narrow"/>
      <family val="2"/>
    </font>
    <font>
      <b/>
      <sz val="10.5"/>
      <color rgb="FF002060"/>
      <name val="Arial Narrow"/>
      <family val="2"/>
    </font>
    <font>
      <b/>
      <sz val="12"/>
      <color theme="4" tint="-0.249977111117893"/>
      <name val="Arial Narrow"/>
      <family val="2"/>
    </font>
    <font>
      <b/>
      <sz val="11"/>
      <color theme="0"/>
      <name val="Arial Nova"/>
      <family val="2"/>
    </font>
    <font>
      <b/>
      <sz val="11"/>
      <color theme="4" tint="-0.499984740745262"/>
      <name val="Arial Narrow"/>
      <family val="2"/>
    </font>
    <font>
      <b/>
      <sz val="10"/>
      <color rgb="FF002060"/>
      <name val="Arial Narrow"/>
      <family val="2"/>
    </font>
    <font>
      <sz val="12"/>
      <color theme="0"/>
      <name val="Candara"/>
      <family val="2"/>
    </font>
    <font>
      <sz val="12"/>
      <color theme="0"/>
      <name val="Arial Narrow"/>
      <family val="2"/>
    </font>
    <font>
      <b/>
      <sz val="12"/>
      <color theme="4" tint="-0.499984740745262"/>
      <name val="Candara"/>
      <family val="2"/>
    </font>
    <font>
      <b/>
      <sz val="14"/>
      <color theme="4" tint="-0.499984740745262"/>
      <name val="Candara"/>
      <family val="2"/>
    </font>
    <font>
      <u/>
      <sz val="11"/>
      <color theme="10"/>
      <name val="Calibri"/>
      <family val="2"/>
      <scheme val="minor"/>
    </font>
    <font>
      <b/>
      <sz val="16"/>
      <color theme="4" tint="-0.499984740745262"/>
      <name val="Amasis MT Pro Black"/>
      <family val="1"/>
    </font>
    <font>
      <b/>
      <sz val="17"/>
      <color theme="4" tint="-0.499984740745262"/>
      <name val="Candara"/>
      <family val="2"/>
    </font>
    <font>
      <b/>
      <sz val="16"/>
      <color theme="4" tint="-0.499984740745262"/>
      <name val="Candara"/>
      <family val="2"/>
    </font>
    <font>
      <b/>
      <sz val="10"/>
      <color theme="0"/>
      <name val="Arial Nova"/>
      <family val="2"/>
    </font>
    <font>
      <b/>
      <sz val="14"/>
      <color theme="9" tint="-0.499984740745262"/>
      <name val="Arial Narrow"/>
      <family val="2"/>
    </font>
    <font>
      <b/>
      <sz val="16"/>
      <color theme="9" tint="-0.499984740745262"/>
      <name val="Arial Narrow"/>
      <family val="2"/>
    </font>
    <font>
      <sz val="11"/>
      <color rgb="FFFF0000"/>
      <name val="Calibri"/>
      <family val="2"/>
      <scheme val="minor"/>
    </font>
    <font>
      <b/>
      <sz val="8"/>
      <color rgb="FF002060"/>
      <name val="Arial Narrow"/>
      <family val="2"/>
    </font>
    <font>
      <b/>
      <sz val="11"/>
      <color theme="0"/>
      <name val="Calibri"/>
      <family val="2"/>
      <scheme val="minor"/>
    </font>
    <font>
      <b/>
      <sz val="18"/>
      <color theme="4" tint="-0.499984740745262"/>
      <name val="Candara"/>
      <family val="2"/>
    </font>
    <font>
      <b/>
      <sz val="8"/>
      <color theme="0"/>
      <name val="Arial Nova"/>
      <family val="2"/>
    </font>
    <font>
      <sz val="10"/>
      <color theme="1"/>
      <name val="Calibri"/>
      <family val="2"/>
      <scheme val="minor"/>
    </font>
    <font>
      <sz val="10"/>
      <color rgb="FFFF0000"/>
      <name val="Calibri"/>
      <family val="2"/>
      <scheme val="minor"/>
    </font>
    <font>
      <b/>
      <sz val="7.7"/>
      <color theme="0"/>
      <name val="Arial Nova"/>
      <family val="2"/>
    </font>
    <font>
      <sz val="11"/>
      <color rgb="FFFF0000"/>
      <name val="Arial Nova"/>
      <family val="2"/>
    </font>
    <font>
      <b/>
      <sz val="11"/>
      <color rgb="FFFF0000"/>
      <name val="Arial Nova"/>
      <family val="2"/>
    </font>
    <font>
      <b/>
      <sz val="12"/>
      <color rgb="FFFF0000"/>
      <name val="Arial Narrow"/>
      <family val="2"/>
    </font>
    <font>
      <sz val="12"/>
      <color rgb="FFFF0000"/>
      <name val="Arial Narrow"/>
      <family val="2"/>
    </font>
    <font>
      <b/>
      <sz val="7.7"/>
      <color rgb="FFFF0000"/>
      <name val="Arial Nova"/>
      <family val="2"/>
    </font>
    <font>
      <b/>
      <sz val="8"/>
      <color rgb="FFFF0000"/>
      <name val="Arial Nova"/>
      <family val="2"/>
    </font>
    <font>
      <b/>
      <sz val="17"/>
      <color rgb="FF002060"/>
      <name val="Candara"/>
      <family val="2"/>
    </font>
    <font>
      <b/>
      <sz val="14"/>
      <color theme="0"/>
      <name val="Candara"/>
      <family val="2"/>
    </font>
    <font>
      <b/>
      <sz val="9"/>
      <color rgb="FF002060"/>
      <name val="Arial Narrow"/>
      <family val="2"/>
    </font>
    <font>
      <b/>
      <sz val="10"/>
      <name val="Calibri"/>
      <family val="2"/>
      <scheme val="minor"/>
    </font>
    <font>
      <b/>
      <sz val="10"/>
      <color theme="0"/>
      <name val="Candara"/>
      <family val="2"/>
    </font>
    <font>
      <sz val="10"/>
      <color theme="0"/>
      <name val="Arial Nova"/>
      <family val="2"/>
    </font>
    <font>
      <b/>
      <sz val="11"/>
      <color theme="9"/>
      <name val="Arial Nova"/>
      <family val="2"/>
    </font>
    <font>
      <b/>
      <sz val="11"/>
      <color theme="5"/>
      <name val="Arial Nova"/>
      <family val="2"/>
    </font>
    <font>
      <b/>
      <sz val="12"/>
      <color theme="3"/>
      <name val="Arial Narrow"/>
      <family val="2"/>
    </font>
    <font>
      <b/>
      <sz val="16"/>
      <color rgb="FF002060"/>
      <name val="Arial Narrow"/>
      <family val="2"/>
    </font>
    <font>
      <b/>
      <sz val="15"/>
      <color theme="0"/>
      <name val="Candara"/>
      <family val="2"/>
    </font>
    <font>
      <b/>
      <sz val="12"/>
      <color theme="0"/>
      <name val="Arial"/>
      <family val="2"/>
    </font>
    <font>
      <b/>
      <sz val="12"/>
      <color theme="1"/>
      <name val="Arial"/>
      <family val="2"/>
    </font>
    <font>
      <sz val="12"/>
      <color theme="1"/>
      <name val="Arial"/>
      <family val="2"/>
    </font>
    <font>
      <sz val="11"/>
      <color theme="1"/>
      <name val="Arial"/>
      <family val="2"/>
    </font>
    <font>
      <u/>
      <sz val="11"/>
      <color theme="4" tint="-0.249977111117893"/>
      <name val="Calibri"/>
      <family val="2"/>
      <scheme val="minor"/>
    </font>
    <font>
      <b/>
      <sz val="12"/>
      <color theme="0"/>
      <name val="Calibri"/>
      <family val="2"/>
      <scheme val="minor"/>
    </font>
    <font>
      <b/>
      <sz val="12"/>
      <color theme="1"/>
      <name val="Calibri"/>
      <family val="2"/>
      <scheme val="minor"/>
    </font>
    <font>
      <b/>
      <sz val="11"/>
      <color theme="3" tint="-0.499984740745262"/>
      <name val="Arial Narrow"/>
      <family val="2"/>
    </font>
    <font>
      <b/>
      <sz val="14"/>
      <color rgb="FF002060"/>
      <name val="Candara"/>
      <family val="2"/>
    </font>
    <font>
      <b/>
      <sz val="16"/>
      <color theme="1"/>
      <name val="Calibri"/>
      <family val="2"/>
      <scheme val="minor"/>
    </font>
    <font>
      <b/>
      <sz val="20"/>
      <color theme="0"/>
      <name val="Candara"/>
      <family val="2"/>
    </font>
    <font>
      <b/>
      <sz val="13"/>
      <color theme="0"/>
      <name val="Arial Narrow"/>
      <family val="2"/>
    </font>
    <font>
      <b/>
      <sz val="11"/>
      <color theme="5" tint="-0.249977111117893"/>
      <name val="Arial Nova"/>
      <family val="2"/>
    </font>
    <font>
      <sz val="11"/>
      <color theme="1"/>
      <name val="Calibri"/>
      <family val="2"/>
    </font>
    <font>
      <b/>
      <sz val="12"/>
      <color rgb="FF004677"/>
      <name val="Calibri"/>
      <family val="2"/>
    </font>
    <font>
      <sz val="11"/>
      <color rgb="FF333399"/>
      <name val="Calibri"/>
      <family val="2"/>
    </font>
    <font>
      <sz val="9"/>
      <color theme="1"/>
      <name val="Helvetica"/>
    </font>
    <font>
      <i/>
      <sz val="9"/>
      <color theme="1"/>
      <name val="Helvetica"/>
    </font>
    <font>
      <b/>
      <sz val="11"/>
      <color theme="1"/>
      <name val="Arial"/>
      <family val="2"/>
    </font>
    <font>
      <sz val="10"/>
      <color theme="1"/>
      <name val="Arial"/>
      <family val="2"/>
    </font>
    <font>
      <b/>
      <sz val="18"/>
      <color theme="0"/>
      <name val="Trebuchet MS"/>
      <family val="2"/>
    </font>
    <font>
      <b/>
      <sz val="11"/>
      <color theme="2" tint="-0.499984740745262"/>
      <name val="Arial Nova"/>
      <family val="2"/>
    </font>
    <font>
      <b/>
      <sz val="13"/>
      <color theme="3" tint="-0.499984740745262"/>
      <name val="Arial Narrow"/>
      <family val="2"/>
    </font>
    <font>
      <sz val="12"/>
      <color theme="0" tint="-0.14999847407452621"/>
      <name val="Trebuchet MS"/>
      <family val="2"/>
    </font>
    <font>
      <b/>
      <sz val="10"/>
      <color rgb="FF002060"/>
      <name val="Trebuchet MS"/>
      <family val="2"/>
    </font>
    <font>
      <b/>
      <sz val="11"/>
      <color theme="1"/>
      <name val="Candara"/>
      <family val="2"/>
    </font>
    <font>
      <b/>
      <sz val="11"/>
      <color theme="9" tint="-0.499984740745262"/>
      <name val="Calibri"/>
      <family val="2"/>
    </font>
    <font>
      <sz val="12"/>
      <color rgb="FFFF0000"/>
      <name val="Trebuchet MS"/>
      <family val="2"/>
    </font>
    <font>
      <b/>
      <sz val="12"/>
      <color theme="0" tint="-0.14999847407452621"/>
      <name val="Trebuchet MS"/>
      <family val="2"/>
    </font>
    <font>
      <b/>
      <sz val="11"/>
      <color rgb="FF0070C0"/>
      <name val="Calibri"/>
      <family val="2"/>
      <scheme val="minor"/>
    </font>
    <font>
      <b/>
      <sz val="9"/>
      <color rgb="FFFFFFFF"/>
      <name val="Calibri Light"/>
      <family val="2"/>
      <scheme val="major"/>
    </font>
    <font>
      <sz val="9"/>
      <color rgb="FF000000"/>
      <name val="Calibri Light"/>
      <family val="2"/>
      <scheme val="major"/>
    </font>
    <font>
      <sz val="9"/>
      <color theme="1"/>
      <name val="Calibri Light"/>
      <family val="2"/>
      <scheme val="major"/>
    </font>
    <font>
      <b/>
      <sz val="11"/>
      <name val="Calibri"/>
      <family val="2"/>
      <scheme val="minor"/>
    </font>
    <font>
      <sz val="12"/>
      <color theme="1"/>
      <name val="Arial Narrow"/>
      <family val="2"/>
    </font>
    <font>
      <b/>
      <sz val="12"/>
      <color theme="4" tint="-0.499984740745262"/>
      <name val="Arial Narrow"/>
      <family val="2"/>
    </font>
    <font>
      <sz val="9"/>
      <color theme="0"/>
      <name val="Arial"/>
      <family val="2"/>
    </font>
    <font>
      <b/>
      <sz val="9"/>
      <color theme="0"/>
      <name val="Calibri Light"/>
      <family val="2"/>
      <scheme val="major"/>
    </font>
    <font>
      <sz val="10"/>
      <color rgb="FF002060"/>
      <name val="Arial Nova"/>
      <family val="2"/>
    </font>
    <font>
      <b/>
      <sz val="12"/>
      <color rgb="FFFF0000"/>
      <name val="Arial Nova"/>
      <family val="2"/>
    </font>
  </fonts>
  <fills count="42">
    <fill>
      <patternFill patternType="none"/>
    </fill>
    <fill>
      <patternFill patternType="gray125"/>
    </fill>
    <fill>
      <patternFill patternType="solid">
        <fgColor rgb="FF1B5483"/>
        <bgColor theme="0"/>
      </patternFill>
    </fill>
    <fill>
      <patternFill patternType="solid">
        <fgColor indexed="65"/>
        <bgColor theme="0"/>
      </patternFill>
    </fill>
    <fill>
      <patternFill patternType="solid">
        <fgColor theme="0" tint="-0.14999847407452621"/>
        <bgColor theme="0"/>
      </patternFill>
    </fill>
    <fill>
      <patternFill patternType="solid">
        <fgColor indexed="9"/>
        <bgColor theme="0"/>
      </patternFill>
    </fill>
    <fill>
      <patternFill patternType="solid">
        <fgColor theme="0"/>
        <bgColor indexed="64"/>
      </patternFill>
    </fill>
    <fill>
      <patternFill patternType="solid">
        <fgColor theme="0"/>
        <bgColor theme="0"/>
      </patternFill>
    </fill>
    <fill>
      <patternFill patternType="solid">
        <fgColor theme="0" tint="-0.14999847407452621"/>
        <bgColor indexed="64"/>
      </patternFill>
    </fill>
    <fill>
      <patternFill patternType="solid">
        <fgColor theme="4" tint="0.39997558519241921"/>
        <bgColor indexed="64"/>
      </patternFill>
    </fill>
    <fill>
      <patternFill patternType="solid">
        <fgColor theme="4" tint="0.39997558519241921"/>
        <bgColor theme="0"/>
      </patternFill>
    </fill>
    <fill>
      <patternFill patternType="solid">
        <fgColor theme="0" tint="-4.9989318521683403E-2"/>
        <bgColor theme="0"/>
      </patternFill>
    </fill>
    <fill>
      <patternFill patternType="solid">
        <fgColor rgb="FFFFC000"/>
        <bgColor indexed="64"/>
      </patternFill>
    </fill>
    <fill>
      <patternFill patternType="solid">
        <fgColor theme="4" tint="0.59999389629810485"/>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rgb="FF002060"/>
        <bgColor theme="0"/>
      </patternFill>
    </fill>
    <fill>
      <patternFill patternType="solid">
        <fgColor rgb="FF002060"/>
        <bgColor indexed="64"/>
      </patternFill>
    </fill>
    <fill>
      <patternFill patternType="solid">
        <fgColor theme="2"/>
        <bgColor indexed="64"/>
      </patternFill>
    </fill>
    <fill>
      <patternFill patternType="solid">
        <fgColor rgb="FFFFDB43"/>
        <bgColor indexed="64"/>
      </patternFill>
    </fill>
    <fill>
      <patternFill patternType="solid">
        <fgColor theme="5"/>
        <bgColor indexed="64"/>
      </patternFill>
    </fill>
    <fill>
      <patternFill patternType="solid">
        <fgColor theme="4" tint="-0.249977111117893"/>
        <bgColor theme="0"/>
      </patternFill>
    </fill>
    <fill>
      <patternFill patternType="solid">
        <fgColor theme="8" tint="-0.249977111117893"/>
        <bgColor indexed="64"/>
      </patternFill>
    </fill>
    <fill>
      <patternFill patternType="solid">
        <fgColor theme="8" tint="-0.249977111117893"/>
        <bgColor theme="0"/>
      </patternFill>
    </fill>
    <fill>
      <patternFill patternType="solid">
        <fgColor theme="4" tint="0.79998168889431442"/>
        <bgColor theme="0"/>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4" tint="-0.249977111117893"/>
        <bgColor indexed="64"/>
      </patternFill>
    </fill>
    <fill>
      <patternFill patternType="solid">
        <fgColor theme="4" tint="0.79998168889431442"/>
        <bgColor theme="4" tint="0.79998168889431442"/>
      </patternFill>
    </fill>
    <fill>
      <patternFill patternType="solid">
        <fgColor theme="9" tint="0.39997558519241921"/>
        <bgColor indexed="64"/>
      </patternFill>
    </fill>
    <fill>
      <patternFill patternType="solid">
        <fgColor rgb="FFFFFF00"/>
        <bgColor indexed="64"/>
      </patternFill>
    </fill>
    <fill>
      <patternFill patternType="solid">
        <fgColor theme="5" tint="-0.249977111117893"/>
        <bgColor theme="0"/>
      </patternFill>
    </fill>
    <fill>
      <patternFill patternType="solid">
        <fgColor rgb="FF00B0F0"/>
        <bgColor indexed="64"/>
      </patternFill>
    </fill>
    <fill>
      <patternFill patternType="solid">
        <fgColor rgb="FFF0F4FA"/>
      </patternFill>
    </fill>
    <fill>
      <patternFill patternType="solid">
        <fgColor rgb="FFD6EAF8"/>
      </patternFill>
    </fill>
    <fill>
      <patternFill patternType="solid">
        <fgColor rgb="FFFFFFFF"/>
      </patternFill>
    </fill>
    <fill>
      <patternFill patternType="solid">
        <fgColor rgb="FFFFFFFF"/>
        <bgColor indexed="64"/>
      </patternFill>
    </fill>
    <fill>
      <patternFill patternType="solid">
        <fgColor rgb="FF153D64"/>
        <bgColor indexed="64"/>
      </patternFill>
    </fill>
    <fill>
      <patternFill patternType="solid">
        <fgColor theme="4" tint="-0.499984740745262"/>
        <bgColor indexed="64"/>
      </patternFill>
    </fill>
    <fill>
      <patternFill patternType="solid">
        <fgColor theme="3" tint="0.79998168889431442"/>
        <bgColor indexed="64"/>
      </patternFill>
    </fill>
  </fills>
  <borders count="1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right style="thin">
        <color rgb="FF999999"/>
      </right>
      <top style="thin">
        <color rgb="FF999999"/>
      </top>
      <bottom style="thin">
        <color rgb="FF999999"/>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left>
      <right/>
      <top style="thin">
        <color theme="0"/>
      </top>
      <bottom style="thin">
        <color theme="0"/>
      </bottom>
      <diagonal/>
    </border>
    <border>
      <left/>
      <right style="thin">
        <color rgb="FF999999"/>
      </right>
      <top style="thin">
        <color rgb="FF999999"/>
      </top>
      <bottom/>
      <diagonal/>
    </border>
    <border>
      <left style="thin">
        <color theme="0"/>
      </left>
      <right/>
      <top style="thin">
        <color theme="0"/>
      </top>
      <bottom/>
      <diagonal/>
    </border>
    <border>
      <left style="thin">
        <color theme="0"/>
      </left>
      <right/>
      <top/>
      <bottom style="thin">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2060"/>
      </left>
      <right style="medium">
        <color rgb="FF002060"/>
      </right>
      <top style="medium">
        <color rgb="FF002060"/>
      </top>
      <bottom style="thin">
        <color indexed="64"/>
      </bottom>
      <diagonal/>
    </border>
    <border>
      <left style="medium">
        <color rgb="FF002060"/>
      </left>
      <right style="medium">
        <color rgb="FF002060"/>
      </right>
      <top style="thin">
        <color indexed="64"/>
      </top>
      <bottom style="medium">
        <color rgb="FF002060"/>
      </bottom>
      <diagonal/>
    </border>
    <border>
      <left style="thin">
        <color theme="1" tint="0.499984740745262"/>
      </left>
      <right/>
      <top style="thin">
        <color theme="1" tint="0.499984740745262"/>
      </top>
      <bottom style="thin">
        <color theme="1" tint="0.499984740745262"/>
      </bottom>
      <diagonal/>
    </border>
    <border>
      <left/>
      <right/>
      <top style="thin">
        <color theme="0"/>
      </top>
      <bottom style="thin">
        <color theme="0"/>
      </bottom>
      <diagonal/>
    </border>
    <border>
      <left/>
      <right style="thin">
        <color theme="1" tint="0.499984740745262"/>
      </right>
      <top/>
      <bottom style="thin">
        <color theme="0"/>
      </bottom>
      <diagonal/>
    </border>
    <border>
      <left style="thin">
        <color theme="0"/>
      </left>
      <right style="thin">
        <color theme="1" tint="0.499984740745262"/>
      </right>
      <top style="thin">
        <color theme="0"/>
      </top>
      <bottom/>
      <diagonal/>
    </border>
    <border>
      <left style="thin">
        <color theme="1" tint="0.499984740745262"/>
      </left>
      <right style="thin">
        <color theme="1" tint="0.499984740745262"/>
      </right>
      <top style="thin">
        <color theme="0"/>
      </top>
      <bottom style="thin">
        <color theme="1" tint="0.49998474074526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theme="0"/>
      </left>
      <right/>
      <top/>
      <bottom/>
      <diagonal/>
    </border>
    <border>
      <left style="medium">
        <color theme="0"/>
      </left>
      <right/>
      <top/>
      <bottom/>
      <diagonal/>
    </border>
    <border>
      <left/>
      <right style="medium">
        <color theme="0"/>
      </right>
      <top/>
      <bottom/>
      <diagonal/>
    </border>
    <border>
      <left style="medium">
        <color theme="8" tint="-0.499984740745262"/>
      </left>
      <right style="medium">
        <color theme="8" tint="-0.499984740745262"/>
      </right>
      <top style="medium">
        <color theme="8" tint="-0.499984740745262"/>
      </top>
      <bottom style="medium">
        <color theme="8" tint="-0.499984740745262"/>
      </bottom>
      <diagonal/>
    </border>
    <border>
      <left style="medium">
        <color theme="8" tint="-0.499984740745262"/>
      </left>
      <right style="medium">
        <color theme="8" tint="-0.499984740745262"/>
      </right>
      <top style="medium">
        <color theme="8" tint="-0.499984740745262"/>
      </top>
      <bottom/>
      <diagonal/>
    </border>
    <border>
      <left/>
      <right/>
      <top style="thin">
        <color theme="0"/>
      </top>
      <bottom/>
      <diagonal/>
    </border>
    <border>
      <left/>
      <right style="thin">
        <color indexed="64"/>
      </right>
      <top style="thin">
        <color indexed="64"/>
      </top>
      <bottom style="thin">
        <color indexed="64"/>
      </bottom>
      <diagonal/>
    </border>
    <border>
      <left/>
      <right style="thin">
        <color theme="0"/>
      </right>
      <top style="thin">
        <color theme="0"/>
      </top>
      <bottom style="thin">
        <color theme="0"/>
      </bottom>
      <diagonal/>
    </border>
    <border>
      <left/>
      <right/>
      <top/>
      <bottom style="thin">
        <color theme="0"/>
      </bottom>
      <diagonal/>
    </border>
    <border>
      <left/>
      <right style="medium">
        <color theme="8" tint="-0.499984740745262"/>
      </right>
      <top style="medium">
        <color theme="8" tint="-0.499984740745262"/>
      </top>
      <bottom style="medium">
        <color theme="8" tint="-0.499984740745262"/>
      </bottom>
      <diagonal/>
    </border>
    <border>
      <left style="thin">
        <color indexed="64"/>
      </left>
      <right/>
      <top/>
      <bottom style="thin">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medium">
        <color theme="4" tint="-0.499984740745262"/>
      </left>
      <right/>
      <top style="medium">
        <color theme="4" tint="-0.499984740745262"/>
      </top>
      <bottom/>
      <diagonal/>
    </border>
    <border>
      <left style="thin">
        <color theme="0"/>
      </left>
      <right style="medium">
        <color theme="4" tint="-0.499984740745262"/>
      </right>
      <top style="medium">
        <color theme="4" tint="-0.499984740745262"/>
      </top>
      <bottom/>
      <diagonal/>
    </border>
    <border>
      <left style="medium">
        <color theme="4" tint="-0.499984740745262"/>
      </left>
      <right/>
      <top style="thin">
        <color theme="0"/>
      </top>
      <bottom style="thin">
        <color theme="0"/>
      </bottom>
      <diagonal/>
    </border>
    <border>
      <left style="medium">
        <color theme="8" tint="-0.499984740745262"/>
      </left>
      <right style="medium">
        <color theme="4" tint="-0.499984740745262"/>
      </right>
      <top style="medium">
        <color theme="8" tint="-0.499984740745262"/>
      </top>
      <bottom/>
      <diagonal/>
    </border>
    <border>
      <left style="medium">
        <color theme="4" tint="-0.499984740745262"/>
      </left>
      <right/>
      <top style="thin">
        <color theme="0"/>
      </top>
      <bottom style="medium">
        <color theme="4" tint="-0.499984740745262"/>
      </bottom>
      <diagonal/>
    </border>
    <border>
      <left style="medium">
        <color theme="8" tint="-0.499984740745262"/>
      </left>
      <right style="medium">
        <color theme="4" tint="-0.499984740745262"/>
      </right>
      <top style="medium">
        <color theme="8" tint="-0.499984740745262"/>
      </top>
      <bottom style="medium">
        <color theme="4" tint="-0.499984740745262"/>
      </bottom>
      <diagonal/>
    </border>
    <border>
      <left style="thin">
        <color theme="0"/>
      </left>
      <right style="medium">
        <color theme="8" tint="-0.499984740745262"/>
      </right>
      <top style="thin">
        <color theme="0"/>
      </top>
      <bottom style="thin">
        <color theme="0"/>
      </bottom>
      <diagonal/>
    </border>
    <border>
      <left style="thin">
        <color theme="4"/>
      </left>
      <right style="thin">
        <color indexed="64"/>
      </right>
      <top style="thin">
        <color indexed="64"/>
      </top>
      <bottom style="thin">
        <color indexed="64"/>
      </bottom>
      <diagonal/>
    </border>
    <border>
      <left style="thin">
        <color indexed="64"/>
      </left>
      <right style="thin">
        <color indexed="64"/>
      </right>
      <top style="thin">
        <color theme="4"/>
      </top>
      <bottom style="thin">
        <color indexed="64"/>
      </bottom>
      <diagonal/>
    </border>
    <border>
      <left style="thin">
        <color indexed="64"/>
      </left>
      <right style="thin">
        <color theme="4"/>
      </right>
      <top style="thin">
        <color indexed="64"/>
      </top>
      <bottom style="thin">
        <color indexed="64"/>
      </bottom>
      <diagonal/>
    </border>
    <border>
      <left style="thin">
        <color theme="4"/>
      </left>
      <right style="thin">
        <color theme="4"/>
      </right>
      <top style="thin">
        <color theme="4"/>
      </top>
      <bottom style="thin">
        <color theme="4"/>
      </bottom>
      <diagonal/>
    </border>
    <border>
      <left/>
      <right style="thin">
        <color theme="4"/>
      </right>
      <top/>
      <bottom/>
      <diagonal/>
    </border>
    <border>
      <left/>
      <right/>
      <top/>
      <bottom style="medium">
        <color rgb="FF002060"/>
      </bottom>
      <diagonal/>
    </border>
    <border>
      <left/>
      <right style="thin">
        <color theme="1" tint="0.499984740745262"/>
      </right>
      <top style="thin">
        <color theme="1" tint="0.499984740745262"/>
      </top>
      <bottom style="thin">
        <color theme="1" tint="0.499984740745262"/>
      </bottom>
      <diagonal/>
    </border>
    <border>
      <left/>
      <right style="medium">
        <color theme="8" tint="-0.499984740745262"/>
      </right>
      <top style="thin">
        <color theme="0"/>
      </top>
      <bottom style="thin">
        <color theme="0"/>
      </bottom>
      <diagonal/>
    </border>
    <border>
      <left/>
      <right style="medium">
        <color theme="8" tint="-0.499984740745262"/>
      </right>
      <top/>
      <bottom style="thin">
        <color theme="0"/>
      </bottom>
      <diagonal/>
    </border>
    <border>
      <left/>
      <right style="medium">
        <color theme="4" tint="-0.499984740745262"/>
      </right>
      <top/>
      <bottom style="thin">
        <color theme="0"/>
      </bottom>
      <diagonal/>
    </border>
    <border>
      <left/>
      <right style="thin">
        <color theme="1" tint="0.499984740745262"/>
      </right>
      <top style="thin">
        <color theme="0"/>
      </top>
      <bottom style="thin">
        <color theme="0"/>
      </bottom>
      <diagonal/>
    </border>
    <border>
      <left style="thin">
        <color rgb="FF002060"/>
      </left>
      <right style="thin">
        <color rgb="FF002060"/>
      </right>
      <top style="thin">
        <color rgb="FF002060"/>
      </top>
      <bottom style="thin">
        <color rgb="FF002060"/>
      </bottom>
      <diagonal/>
    </border>
    <border>
      <left/>
      <right/>
      <top style="thin">
        <color theme="1" tint="0.499984740745262"/>
      </top>
      <bottom style="thin">
        <color theme="1" tint="0.499984740745262"/>
      </bottom>
      <diagonal/>
    </border>
    <border>
      <left/>
      <right style="thin">
        <color rgb="FF002060"/>
      </right>
      <top style="thin">
        <color theme="1" tint="0.499984740745262"/>
      </top>
      <bottom style="thin">
        <color theme="1" tint="0.499984740745262"/>
      </bottom>
      <diagonal/>
    </border>
    <border>
      <left/>
      <right style="medium">
        <color theme="8" tint="-0.499984740745262"/>
      </right>
      <top style="thin">
        <color theme="0"/>
      </top>
      <bottom/>
      <diagonal/>
    </border>
    <border>
      <left style="medium">
        <color theme="8" tint="-0.499984740745262"/>
      </left>
      <right style="medium">
        <color theme="8" tint="-0.499984740745262"/>
      </right>
      <top style="medium">
        <color theme="8" tint="-0.499984740745262"/>
      </top>
      <bottom style="medium">
        <color indexed="64"/>
      </bottom>
      <diagonal/>
    </border>
    <border>
      <left style="medium">
        <color theme="8" tint="-0.499984740745262"/>
      </left>
      <right style="medium">
        <color theme="8" tint="-0.499984740745262"/>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rgb="FF002060"/>
      </left>
      <right style="medium">
        <color indexed="64"/>
      </right>
      <top style="medium">
        <color indexed="64"/>
      </top>
      <bottom/>
      <diagonal/>
    </border>
    <border>
      <left style="medium">
        <color rgb="FF002060"/>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right/>
      <top/>
      <bottom style="thick">
        <color rgb="FF910028"/>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right/>
      <top style="medium">
        <color indexed="64"/>
      </top>
      <bottom style="medium">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style="thin">
        <color theme="0"/>
      </left>
      <right style="thick">
        <color theme="0"/>
      </right>
      <top style="thin">
        <color theme="0"/>
      </top>
      <bottom style="thin">
        <color indexed="64"/>
      </bottom>
      <diagonal/>
    </border>
    <border>
      <left/>
      <right style="thick">
        <color theme="0"/>
      </right>
      <top style="thin">
        <color theme="0"/>
      </top>
      <bottom style="thin">
        <color theme="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8">
    <xf numFmtId="0" fontId="0" fillId="0" borderId="0"/>
    <xf numFmtId="166"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76" fillId="0" borderId="0" applyNumberFormat="0" applyFill="0" applyBorder="0" applyAlignment="0" applyProtection="0"/>
    <xf numFmtId="0" fontId="121" fillId="0" borderId="0"/>
    <xf numFmtId="9" fontId="121" fillId="0" borderId="0" applyFont="0" applyFill="0" applyBorder="0" applyAlignment="0" applyProtection="0"/>
  </cellStyleXfs>
  <cellXfs count="660">
    <xf numFmtId="0" fontId="0" fillId="0" borderId="0" xfId="0"/>
    <xf numFmtId="167" fontId="16" fillId="7" borderId="0" xfId="1" applyNumberFormat="1" applyFont="1" applyFill="1" applyBorder="1" applyAlignment="1" applyProtection="1">
      <alignment vertical="center" wrapText="1"/>
      <protection hidden="1"/>
    </xf>
    <xf numFmtId="0" fontId="0" fillId="0" borderId="0" xfId="0" applyProtection="1">
      <protection hidden="1"/>
    </xf>
    <xf numFmtId="10" fontId="0" fillId="13" borderId="1" xfId="2" applyNumberFormat="1" applyFont="1" applyFill="1" applyBorder="1" applyAlignment="1" applyProtection="1">
      <alignment horizontal="center" vertical="center"/>
      <protection hidden="1"/>
    </xf>
    <xf numFmtId="0" fontId="27" fillId="15" borderId="2" xfId="0" applyFont="1" applyFill="1" applyBorder="1" applyAlignment="1" applyProtection="1">
      <alignment horizontal="center"/>
      <protection hidden="1"/>
    </xf>
    <xf numFmtId="0" fontId="25" fillId="0" borderId="0" xfId="0" applyFont="1" applyProtection="1">
      <protection hidden="1"/>
    </xf>
    <xf numFmtId="0" fontId="5" fillId="3" borderId="1" xfId="0" applyFont="1" applyFill="1" applyBorder="1" applyAlignment="1" applyProtection="1">
      <alignment horizontal="center" shrinkToFit="1"/>
      <protection hidden="1"/>
    </xf>
    <xf numFmtId="169" fontId="6" fillId="3" borderId="1" xfId="1" applyNumberFormat="1" applyFont="1" applyFill="1" applyBorder="1" applyAlignment="1" applyProtection="1">
      <alignment shrinkToFit="1"/>
      <protection hidden="1"/>
    </xf>
    <xf numFmtId="169" fontId="0" fillId="0" borderId="1" xfId="1" applyNumberFormat="1" applyFont="1" applyBorder="1" applyProtection="1">
      <protection hidden="1"/>
    </xf>
    <xf numFmtId="169" fontId="4" fillId="4" borderId="1" xfId="1" applyNumberFormat="1" applyFont="1" applyFill="1" applyBorder="1" applyAlignment="1" applyProtection="1">
      <alignment shrinkToFit="1"/>
      <protection hidden="1"/>
    </xf>
    <xf numFmtId="169" fontId="9" fillId="0" borderId="1" xfId="1" applyNumberFormat="1" applyFont="1" applyBorder="1" applyProtection="1">
      <protection hidden="1"/>
    </xf>
    <xf numFmtId="0" fontId="12" fillId="0" borderId="0" xfId="0" applyFont="1" applyProtection="1">
      <protection hidden="1"/>
    </xf>
    <xf numFmtId="0" fontId="22" fillId="0" borderId="0" xfId="0" applyFont="1" applyProtection="1">
      <protection hidden="1"/>
    </xf>
    <xf numFmtId="0" fontId="11" fillId="5" borderId="0" xfId="0" applyFont="1" applyFill="1" applyProtection="1">
      <protection hidden="1"/>
    </xf>
    <xf numFmtId="0" fontId="23" fillId="0" borderId="0" xfId="0" applyFont="1" applyProtection="1">
      <protection hidden="1"/>
    </xf>
    <xf numFmtId="0" fontId="11" fillId="0" borderId="0" xfId="0" applyFont="1" applyProtection="1">
      <protection hidden="1"/>
    </xf>
    <xf numFmtId="0" fontId="28" fillId="0" borderId="0" xfId="0" applyFont="1" applyProtection="1">
      <protection hidden="1"/>
    </xf>
    <xf numFmtId="0" fontId="15" fillId="7" borderId="0" xfId="0" applyFont="1" applyFill="1" applyAlignment="1" applyProtection="1">
      <alignment vertical="center" wrapText="1"/>
      <protection hidden="1"/>
    </xf>
    <xf numFmtId="0" fontId="13" fillId="7" borderId="0" xfId="0" applyFont="1" applyFill="1" applyProtection="1">
      <protection hidden="1"/>
    </xf>
    <xf numFmtId="167" fontId="29" fillId="7" borderId="0" xfId="1" applyNumberFormat="1" applyFont="1" applyFill="1" applyBorder="1" applyAlignment="1" applyProtection="1">
      <alignment vertical="center" wrapText="1"/>
      <protection hidden="1"/>
    </xf>
    <xf numFmtId="167" fontId="18" fillId="0" borderId="0" xfId="0" applyNumberFormat="1" applyFont="1" applyAlignment="1" applyProtection="1">
      <alignment vertical="center" wrapText="1"/>
      <protection hidden="1"/>
    </xf>
    <xf numFmtId="0" fontId="13" fillId="0" borderId="0" xfId="0" applyFont="1" applyProtection="1">
      <protection hidden="1"/>
    </xf>
    <xf numFmtId="0" fontId="15" fillId="0" borderId="0" xfId="0" applyFont="1" applyAlignment="1" applyProtection="1">
      <alignment horizontal="center" vertical="center" wrapText="1"/>
      <protection hidden="1"/>
    </xf>
    <xf numFmtId="0" fontId="35" fillId="0" borderId="0" xfId="0" applyFont="1" applyProtection="1">
      <protection hidden="1"/>
    </xf>
    <xf numFmtId="169" fontId="38" fillId="0" borderId="14" xfId="1" applyNumberFormat="1" applyFont="1" applyFill="1" applyBorder="1" applyAlignment="1" applyProtection="1">
      <alignment horizontal="left" vertical="center" shrinkToFit="1"/>
      <protection hidden="1"/>
    </xf>
    <xf numFmtId="169" fontId="38" fillId="0" borderId="17" xfId="1" applyNumberFormat="1" applyFont="1" applyFill="1" applyBorder="1" applyAlignment="1" applyProtection="1">
      <alignment horizontal="left" vertical="center" shrinkToFit="1"/>
      <protection hidden="1"/>
    </xf>
    <xf numFmtId="3" fontId="32" fillId="19" borderId="15" xfId="0" applyNumberFormat="1" applyFont="1" applyFill="1" applyBorder="1" applyAlignment="1" applyProtection="1">
      <alignment horizontal="center" vertical="center" shrinkToFit="1"/>
      <protection locked="0"/>
    </xf>
    <xf numFmtId="0" fontId="41" fillId="0" borderId="0" xfId="0" applyFont="1" applyProtection="1">
      <protection hidden="1"/>
    </xf>
    <xf numFmtId="164" fontId="42" fillId="5" borderId="0" xfId="0" applyNumberFormat="1" applyFont="1" applyFill="1" applyAlignment="1" applyProtection="1">
      <alignment horizontal="center" vertical="center" wrapText="1"/>
      <protection hidden="1"/>
    </xf>
    <xf numFmtId="167" fontId="41" fillId="7" borderId="0" xfId="1" applyNumberFormat="1" applyFont="1" applyFill="1" applyBorder="1" applyAlignment="1" applyProtection="1">
      <alignment vertical="center" wrapText="1"/>
      <protection hidden="1"/>
    </xf>
    <xf numFmtId="167" fontId="43" fillId="7" borderId="0" xfId="1" applyNumberFormat="1" applyFont="1" applyFill="1" applyBorder="1" applyAlignment="1" applyProtection="1">
      <alignment vertical="center" wrapText="1"/>
      <protection hidden="1"/>
    </xf>
    <xf numFmtId="167" fontId="44" fillId="0" borderId="0" xfId="0" applyNumberFormat="1" applyFont="1" applyAlignment="1" applyProtection="1">
      <alignment vertical="center" wrapText="1"/>
      <protection hidden="1"/>
    </xf>
    <xf numFmtId="0" fontId="45" fillId="0" borderId="0" xfId="0" applyFont="1" applyAlignment="1" applyProtection="1">
      <alignment horizontal="center" vertical="center" wrapText="1"/>
      <protection hidden="1"/>
    </xf>
    <xf numFmtId="0" fontId="1" fillId="0" borderId="0" xfId="0" applyFont="1" applyProtection="1">
      <protection hidden="1"/>
    </xf>
    <xf numFmtId="0" fontId="5" fillId="3" borderId="12" xfId="0" applyFont="1" applyFill="1" applyBorder="1" applyAlignment="1" applyProtection="1">
      <alignment horizontal="center" shrinkToFit="1"/>
      <protection hidden="1"/>
    </xf>
    <xf numFmtId="169" fontId="6" fillId="3" borderId="12" xfId="1" applyNumberFormat="1" applyFont="1" applyFill="1" applyBorder="1" applyAlignment="1" applyProtection="1">
      <alignment shrinkToFit="1"/>
      <protection hidden="1"/>
    </xf>
    <xf numFmtId="169" fontId="0" fillId="0" borderId="12" xfId="1" applyNumberFormat="1" applyFont="1" applyBorder="1" applyProtection="1">
      <protection hidden="1"/>
    </xf>
    <xf numFmtId="169" fontId="3" fillId="3" borderId="12" xfId="1" applyNumberFormat="1" applyFont="1" applyFill="1" applyBorder="1" applyAlignment="1" applyProtection="1">
      <alignment shrinkToFit="1"/>
      <protection hidden="1"/>
    </xf>
    <xf numFmtId="169" fontId="4" fillId="4" borderId="12" xfId="1" applyNumberFormat="1" applyFont="1" applyFill="1" applyBorder="1" applyAlignment="1" applyProtection="1">
      <alignment shrinkToFit="1"/>
      <protection hidden="1"/>
    </xf>
    <xf numFmtId="169" fontId="7" fillId="6" borderId="12" xfId="1" applyNumberFormat="1" applyFont="1" applyFill="1" applyBorder="1" applyAlignment="1" applyProtection="1">
      <alignment shrinkToFit="1"/>
      <protection hidden="1"/>
    </xf>
    <xf numFmtId="169" fontId="8" fillId="8" borderId="12" xfId="1" applyNumberFormat="1" applyFont="1" applyFill="1" applyBorder="1" applyAlignment="1" applyProtection="1">
      <alignment shrinkToFit="1"/>
      <protection hidden="1"/>
    </xf>
    <xf numFmtId="3" fontId="2" fillId="16" borderId="13" xfId="0" applyNumberFormat="1" applyFont="1" applyFill="1" applyBorder="1" applyAlignment="1" applyProtection="1">
      <alignment horizontal="center" vertical="center" wrapText="1"/>
      <protection hidden="1"/>
    </xf>
    <xf numFmtId="0" fontId="2" fillId="16" borderId="13" xfId="0" applyFont="1" applyFill="1" applyBorder="1" applyAlignment="1" applyProtection="1">
      <alignment horizontal="center" vertical="center" wrapText="1"/>
      <protection hidden="1"/>
    </xf>
    <xf numFmtId="167" fontId="46" fillId="7" borderId="0" xfId="1" applyNumberFormat="1" applyFont="1" applyFill="1" applyBorder="1" applyAlignment="1" applyProtection="1">
      <alignment vertical="center" wrapText="1"/>
      <protection hidden="1"/>
    </xf>
    <xf numFmtId="1" fontId="37" fillId="19" borderId="15" xfId="0" applyNumberFormat="1" applyFont="1" applyFill="1" applyBorder="1" applyAlignment="1" applyProtection="1">
      <alignment horizontal="center" vertical="center"/>
      <protection locked="0"/>
    </xf>
    <xf numFmtId="0" fontId="50" fillId="0" borderId="0" xfId="0" applyFont="1" applyProtection="1">
      <protection hidden="1"/>
    </xf>
    <xf numFmtId="0" fontId="51" fillId="0" borderId="0" xfId="0" applyFont="1" applyProtection="1">
      <protection hidden="1"/>
    </xf>
    <xf numFmtId="164" fontId="51" fillId="0" borderId="0" xfId="0" applyNumberFormat="1" applyFont="1" applyAlignment="1" applyProtection="1">
      <alignment horizontal="right"/>
      <protection hidden="1"/>
    </xf>
    <xf numFmtId="0" fontId="50" fillId="0" borderId="1" xfId="0" applyFont="1" applyBorder="1" applyProtection="1">
      <protection hidden="1"/>
    </xf>
    <xf numFmtId="0" fontId="14" fillId="7" borderId="0" xfId="0" applyFont="1" applyFill="1" applyProtection="1">
      <protection hidden="1"/>
    </xf>
    <xf numFmtId="0" fontId="14" fillId="0" borderId="0" xfId="0" applyFont="1" applyProtection="1">
      <protection hidden="1"/>
    </xf>
    <xf numFmtId="0" fontId="14" fillId="0" borderId="0" xfId="0" applyFont="1" applyAlignment="1" applyProtection="1">
      <alignment horizontal="left"/>
      <protection hidden="1"/>
    </xf>
    <xf numFmtId="9" fontId="0" fillId="0" borderId="0" xfId="2" applyFont="1" applyProtection="1">
      <protection hidden="1"/>
    </xf>
    <xf numFmtId="169" fontId="52" fillId="20" borderId="9" xfId="1" applyNumberFormat="1" applyFont="1" applyFill="1" applyBorder="1" applyAlignment="1" applyProtection="1">
      <alignment horizontal="left" vertical="center" shrinkToFit="1"/>
      <protection hidden="1"/>
    </xf>
    <xf numFmtId="0" fontId="30" fillId="0" borderId="0" xfId="0" applyFont="1" applyAlignment="1" applyProtection="1">
      <alignment horizontal="center" vertical="center"/>
      <protection hidden="1"/>
    </xf>
    <xf numFmtId="0" fontId="31" fillId="10" borderId="13" xfId="0" applyFont="1" applyFill="1" applyBorder="1" applyAlignment="1" applyProtection="1">
      <alignment vertical="center"/>
      <protection hidden="1"/>
    </xf>
    <xf numFmtId="0" fontId="55" fillId="10" borderId="16" xfId="0" applyFont="1" applyFill="1" applyBorder="1" applyAlignment="1" applyProtection="1">
      <alignment vertical="center"/>
      <protection hidden="1"/>
    </xf>
    <xf numFmtId="0" fontId="12" fillId="0" borderId="0" xfId="0" applyFont="1" applyAlignment="1" applyProtection="1">
      <alignment wrapText="1"/>
      <protection hidden="1"/>
    </xf>
    <xf numFmtId="0" fontId="56" fillId="0" borderId="0" xfId="0" applyFont="1" applyAlignment="1" applyProtection="1">
      <alignment vertical="top" wrapText="1"/>
      <protection hidden="1"/>
    </xf>
    <xf numFmtId="0" fontId="56" fillId="0" borderId="0" xfId="0" applyFont="1" applyAlignment="1" applyProtection="1">
      <alignment vertical="top"/>
      <protection hidden="1"/>
    </xf>
    <xf numFmtId="0" fontId="0" fillId="0" borderId="30" xfId="0" applyBorder="1" applyProtection="1">
      <protection hidden="1"/>
    </xf>
    <xf numFmtId="0" fontId="0" fillId="0" borderId="37" xfId="0" applyBorder="1" applyProtection="1">
      <protection hidden="1"/>
    </xf>
    <xf numFmtId="0" fontId="0" fillId="0" borderId="31" xfId="0" applyBorder="1" applyProtection="1">
      <protection hidden="1"/>
    </xf>
    <xf numFmtId="0" fontId="0" fillId="0" borderId="32" xfId="0" applyBorder="1" applyProtection="1">
      <protection hidden="1"/>
    </xf>
    <xf numFmtId="0" fontId="0" fillId="0" borderId="34" xfId="0" applyBorder="1" applyProtection="1">
      <protection hidden="1"/>
    </xf>
    <xf numFmtId="0" fontId="0" fillId="0" borderId="36" xfId="0" applyBorder="1" applyProtection="1">
      <protection hidden="1"/>
    </xf>
    <xf numFmtId="0" fontId="47" fillId="6" borderId="36" xfId="0" applyFont="1" applyFill="1" applyBorder="1" applyAlignment="1" applyProtection="1">
      <alignment horizontal="center" vertical="center"/>
      <protection hidden="1"/>
    </xf>
    <xf numFmtId="0" fontId="0" fillId="0" borderId="35" xfId="0" applyBorder="1" applyProtection="1">
      <protection hidden="1"/>
    </xf>
    <xf numFmtId="0" fontId="12" fillId="0" borderId="34" xfId="0" applyFont="1" applyBorder="1" applyProtection="1">
      <protection hidden="1"/>
    </xf>
    <xf numFmtId="0" fontId="12" fillId="0" borderId="36" xfId="0" applyFont="1" applyBorder="1" applyProtection="1">
      <protection hidden="1"/>
    </xf>
    <xf numFmtId="166" fontId="26" fillId="0" borderId="0" xfId="0" applyNumberFormat="1" applyFont="1" applyProtection="1">
      <protection hidden="1"/>
    </xf>
    <xf numFmtId="0" fontId="31" fillId="21" borderId="16" xfId="0" applyFont="1" applyFill="1" applyBorder="1" applyAlignment="1" applyProtection="1">
      <alignment vertical="center"/>
      <protection hidden="1"/>
    </xf>
    <xf numFmtId="164" fontId="60" fillId="5" borderId="0" xfId="0" applyNumberFormat="1" applyFont="1" applyFill="1" applyAlignment="1" applyProtection="1">
      <alignment vertical="center" wrapText="1"/>
      <protection hidden="1"/>
    </xf>
    <xf numFmtId="0" fontId="61" fillId="0" borderId="0" xfId="0" applyFont="1" applyProtection="1">
      <protection hidden="1"/>
    </xf>
    <xf numFmtId="0" fontId="31" fillId="21" borderId="38" xfId="0" applyFont="1" applyFill="1" applyBorder="1" applyAlignment="1" applyProtection="1">
      <alignment vertical="center"/>
      <protection hidden="1"/>
    </xf>
    <xf numFmtId="0" fontId="31" fillId="21" borderId="0" xfId="0" applyFont="1" applyFill="1" applyAlignment="1" applyProtection="1">
      <alignment vertical="center"/>
      <protection hidden="1"/>
    </xf>
    <xf numFmtId="169" fontId="32" fillId="0" borderId="41" xfId="1" applyNumberFormat="1" applyFont="1" applyBorder="1" applyAlignment="1" applyProtection="1">
      <alignment vertical="center"/>
      <protection hidden="1"/>
    </xf>
    <xf numFmtId="164" fontId="13" fillId="5" borderId="0" xfId="0" applyNumberFormat="1" applyFont="1" applyFill="1" applyAlignment="1" applyProtection="1">
      <alignment horizontal="center" vertical="center" wrapText="1"/>
      <protection hidden="1"/>
    </xf>
    <xf numFmtId="0" fontId="68" fillId="21" borderId="0" xfId="0" applyFont="1" applyFill="1" applyAlignment="1" applyProtection="1">
      <alignment vertical="center"/>
      <protection hidden="1"/>
    </xf>
    <xf numFmtId="0" fontId="69" fillId="0" borderId="0" xfId="0" applyFont="1" applyAlignment="1" applyProtection="1">
      <alignment vertical="top"/>
      <protection hidden="1"/>
    </xf>
    <xf numFmtId="9" fontId="37" fillId="18" borderId="29" xfId="2" applyFont="1" applyFill="1" applyBorder="1" applyAlignment="1" applyProtection="1">
      <alignment horizontal="center"/>
      <protection hidden="1"/>
    </xf>
    <xf numFmtId="169" fontId="32" fillId="0" borderId="42" xfId="1" applyNumberFormat="1" applyFont="1" applyBorder="1" applyAlignment="1" applyProtection="1">
      <alignment horizontal="center" vertical="center"/>
      <protection hidden="1"/>
    </xf>
    <xf numFmtId="169" fontId="66" fillId="0" borderId="42" xfId="1" applyNumberFormat="1" applyFont="1" applyBorder="1" applyAlignment="1" applyProtection="1">
      <alignment horizontal="center" vertical="center"/>
      <protection hidden="1"/>
    </xf>
    <xf numFmtId="0" fontId="34" fillId="0" borderId="0" xfId="0" applyFont="1" applyAlignment="1" applyProtection="1">
      <alignment horizontal="left" vertical="center"/>
      <protection hidden="1"/>
    </xf>
    <xf numFmtId="164" fontId="13" fillId="5" borderId="0" xfId="0" applyNumberFormat="1" applyFont="1" applyFill="1" applyAlignment="1" applyProtection="1">
      <alignment vertical="center" wrapText="1"/>
      <protection hidden="1"/>
    </xf>
    <xf numFmtId="10" fontId="32" fillId="0" borderId="42" xfId="2" applyNumberFormat="1" applyFont="1" applyBorder="1" applyAlignment="1" applyProtection="1">
      <alignment horizontal="center" vertical="center"/>
      <protection hidden="1"/>
    </xf>
    <xf numFmtId="169" fontId="71" fillId="0" borderId="42" xfId="1" applyNumberFormat="1" applyFont="1" applyBorder="1" applyAlignment="1" applyProtection="1">
      <alignment horizontal="center" vertical="center"/>
      <protection hidden="1"/>
    </xf>
    <xf numFmtId="10" fontId="72" fillId="23" borderId="49" xfId="2" applyNumberFormat="1" applyFont="1" applyFill="1" applyBorder="1" applyAlignment="1" applyProtection="1">
      <alignment vertical="center"/>
      <protection hidden="1"/>
    </xf>
    <xf numFmtId="0" fontId="73" fillId="0" borderId="0" xfId="0" applyFont="1" applyAlignment="1" applyProtection="1">
      <alignment horizontal="left" vertical="center"/>
      <protection hidden="1"/>
    </xf>
    <xf numFmtId="1" fontId="32" fillId="0" borderId="52" xfId="4" applyNumberFormat="1" applyFont="1" applyBorder="1" applyAlignment="1" applyProtection="1">
      <alignment horizontal="center" vertical="center"/>
      <protection hidden="1"/>
    </xf>
    <xf numFmtId="0" fontId="31" fillId="21" borderId="53" xfId="0" applyFont="1" applyFill="1" applyBorder="1" applyAlignment="1" applyProtection="1">
      <alignment vertical="center"/>
      <protection hidden="1"/>
    </xf>
    <xf numFmtId="0" fontId="31" fillId="21" borderId="54" xfId="0" applyFont="1" applyFill="1" applyBorder="1" applyAlignment="1" applyProtection="1">
      <alignment vertical="center"/>
      <protection hidden="1"/>
    </xf>
    <xf numFmtId="0" fontId="39" fillId="21" borderId="55" xfId="0" applyFont="1" applyFill="1" applyBorder="1" applyAlignment="1" applyProtection="1">
      <alignment horizontal="left" vertical="center"/>
      <protection hidden="1"/>
    </xf>
    <xf numFmtId="169" fontId="32" fillId="0" borderId="56" xfId="1" applyNumberFormat="1" applyFont="1" applyBorder="1" applyAlignment="1" applyProtection="1">
      <alignment vertical="center"/>
      <protection hidden="1"/>
    </xf>
    <xf numFmtId="0" fontId="39" fillId="21" borderId="57" xfId="0" applyFont="1" applyFill="1" applyBorder="1" applyAlignment="1" applyProtection="1">
      <alignment horizontal="left" vertical="center"/>
      <protection hidden="1"/>
    </xf>
    <xf numFmtId="169" fontId="32" fillId="0" borderId="58" xfId="1" applyNumberFormat="1" applyFont="1" applyBorder="1" applyAlignment="1" applyProtection="1">
      <alignment vertical="center"/>
      <protection hidden="1"/>
    </xf>
    <xf numFmtId="0" fontId="74" fillId="0" borderId="0" xfId="0" applyFont="1" applyAlignment="1" applyProtection="1">
      <alignment horizontal="center"/>
      <protection hidden="1"/>
    </xf>
    <xf numFmtId="0" fontId="75" fillId="0" borderId="36" xfId="0" applyFont="1" applyBorder="1" applyAlignment="1" applyProtection="1">
      <alignment horizontal="center"/>
      <protection hidden="1"/>
    </xf>
    <xf numFmtId="169" fontId="53" fillId="27" borderId="10" xfId="1" applyNumberFormat="1" applyFont="1" applyFill="1" applyBorder="1" applyAlignment="1" applyProtection="1">
      <alignment horizontal="center" vertical="center"/>
      <protection locked="0"/>
    </xf>
    <xf numFmtId="169" fontId="32" fillId="27" borderId="1" xfId="1" applyNumberFormat="1" applyFont="1" applyFill="1" applyBorder="1" applyAlignment="1" applyProtection="1">
      <alignment horizontal="left"/>
      <protection locked="0"/>
    </xf>
    <xf numFmtId="3" fontId="67" fillId="27" borderId="1" xfId="0" applyNumberFormat="1" applyFont="1" applyFill="1" applyBorder="1" applyAlignment="1" applyProtection="1">
      <alignment horizontal="center" vertical="center" wrapText="1" shrinkToFit="1"/>
      <protection locked="0"/>
    </xf>
    <xf numFmtId="169" fontId="53" fillId="27" borderId="1" xfId="1" applyNumberFormat="1" applyFont="1" applyFill="1" applyBorder="1" applyAlignment="1" applyProtection="1">
      <alignment horizontal="center" vertical="center"/>
      <protection locked="0"/>
    </xf>
    <xf numFmtId="1" fontId="53" fillId="27" borderId="1" xfId="1" applyNumberFormat="1" applyFont="1" applyFill="1" applyBorder="1" applyAlignment="1" applyProtection="1">
      <alignment horizontal="center" vertical="center"/>
      <protection locked="0"/>
    </xf>
    <xf numFmtId="1" fontId="37" fillId="27" borderId="1" xfId="0" applyNumberFormat="1" applyFont="1" applyFill="1" applyBorder="1" applyAlignment="1" applyProtection="1">
      <alignment horizontal="center"/>
      <protection locked="0"/>
    </xf>
    <xf numFmtId="169" fontId="80" fillId="0" borderId="0" xfId="1" applyNumberFormat="1" applyFont="1" applyFill="1" applyAlignment="1" applyProtection="1">
      <alignment vertical="top" wrapText="1"/>
      <protection hidden="1"/>
    </xf>
    <xf numFmtId="0" fontId="31" fillId="21" borderId="16" xfId="0" applyFont="1" applyFill="1" applyBorder="1" applyAlignment="1" applyProtection="1">
      <alignment horizontal="left" vertical="center"/>
      <protection hidden="1"/>
    </xf>
    <xf numFmtId="0" fontId="78" fillId="0" borderId="0" xfId="5" applyFont="1" applyFill="1" applyBorder="1" applyAlignment="1" applyProtection="1">
      <alignment vertical="top" wrapText="1"/>
      <protection hidden="1"/>
    </xf>
    <xf numFmtId="0" fontId="79" fillId="0" borderId="0" xfId="5" applyFont="1" applyFill="1" applyBorder="1" applyAlignment="1" applyProtection="1">
      <alignment vertical="top" wrapText="1"/>
      <protection hidden="1"/>
    </xf>
    <xf numFmtId="0" fontId="77" fillId="0" borderId="0" xfId="5" applyFont="1" applyFill="1" applyBorder="1" applyAlignment="1" applyProtection="1">
      <alignment vertical="top" wrapText="1"/>
      <protection hidden="1"/>
    </xf>
    <xf numFmtId="0" fontId="26" fillId="0" borderId="0" xfId="0" applyFont="1" applyProtection="1">
      <protection hidden="1"/>
    </xf>
    <xf numFmtId="0" fontId="69" fillId="0" borderId="48" xfId="0" applyFont="1" applyBorder="1" applyAlignment="1" applyProtection="1">
      <alignment vertical="top"/>
      <protection hidden="1"/>
    </xf>
    <xf numFmtId="0" fontId="62" fillId="0" borderId="0" xfId="0" applyFont="1" applyProtection="1">
      <protection hidden="1"/>
    </xf>
    <xf numFmtId="0" fontId="57" fillId="3" borderId="0" xfId="0" applyFont="1" applyFill="1" applyAlignment="1" applyProtection="1">
      <alignment vertical="center" wrapText="1"/>
      <protection hidden="1"/>
    </xf>
    <xf numFmtId="169" fontId="32" fillId="6" borderId="1" xfId="1" applyNumberFormat="1" applyFont="1" applyFill="1" applyBorder="1" applyAlignment="1" applyProtection="1">
      <alignment horizontal="center"/>
      <protection hidden="1"/>
    </xf>
    <xf numFmtId="10" fontId="82" fillId="28" borderId="1" xfId="2" applyNumberFormat="1" applyFont="1" applyFill="1" applyBorder="1" applyAlignment="1" applyProtection="1">
      <alignment horizontal="center"/>
      <protection hidden="1"/>
    </xf>
    <xf numFmtId="10" fontId="81" fillId="28" borderId="1" xfId="2" applyNumberFormat="1" applyFont="1" applyFill="1" applyBorder="1" applyAlignment="1" applyProtection="1">
      <alignment horizontal="center"/>
      <protection hidden="1"/>
    </xf>
    <xf numFmtId="1" fontId="37" fillId="6" borderId="0" xfId="0" applyNumberFormat="1" applyFont="1" applyFill="1" applyAlignment="1" applyProtection="1">
      <alignment horizontal="center"/>
      <protection hidden="1"/>
    </xf>
    <xf numFmtId="0" fontId="58" fillId="3" borderId="0" xfId="0" applyFont="1" applyFill="1" applyAlignment="1" applyProtection="1">
      <alignment horizontal="center" vertical="center" wrapText="1"/>
      <protection hidden="1"/>
    </xf>
    <xf numFmtId="0" fontId="59" fillId="0" borderId="0" xfId="0" applyFont="1" applyAlignment="1" applyProtection="1">
      <alignment vertical="center" wrapText="1"/>
      <protection hidden="1"/>
    </xf>
    <xf numFmtId="10" fontId="56" fillId="0" borderId="0" xfId="2" applyNumberFormat="1" applyFont="1" applyAlignment="1" applyProtection="1">
      <alignment vertical="top"/>
      <protection hidden="1"/>
    </xf>
    <xf numFmtId="169" fontId="69" fillId="0" borderId="0" xfId="0" applyNumberFormat="1" applyFont="1" applyAlignment="1" applyProtection="1">
      <alignment vertical="top"/>
      <protection hidden="1"/>
    </xf>
    <xf numFmtId="166" fontId="69" fillId="0" borderId="0" xfId="1" applyFont="1" applyAlignment="1" applyProtection="1">
      <alignment vertical="top"/>
      <protection hidden="1"/>
    </xf>
    <xf numFmtId="172" fontId="69" fillId="0" borderId="0" xfId="4" applyNumberFormat="1" applyFont="1" applyAlignment="1" applyProtection="1">
      <alignment vertical="top"/>
      <protection hidden="1"/>
    </xf>
    <xf numFmtId="3" fontId="69" fillId="0" borderId="0" xfId="0" applyNumberFormat="1" applyFont="1" applyAlignment="1" applyProtection="1">
      <alignment vertical="top"/>
      <protection hidden="1"/>
    </xf>
    <xf numFmtId="1" fontId="69" fillId="0" borderId="0" xfId="0" applyNumberFormat="1" applyFont="1" applyAlignment="1" applyProtection="1">
      <alignment vertical="top"/>
      <protection hidden="1"/>
    </xf>
    <xf numFmtId="0" fontId="63" fillId="0" borderId="0" xfId="0" applyFont="1" applyProtection="1">
      <protection hidden="1"/>
    </xf>
    <xf numFmtId="0" fontId="65" fillId="0" borderId="0" xfId="0" applyFont="1" applyProtection="1">
      <protection hidden="1"/>
    </xf>
    <xf numFmtId="0" fontId="64" fillId="26" borderId="1" xfId="0" applyFont="1" applyFill="1" applyBorder="1" applyAlignment="1" applyProtection="1">
      <alignment horizontal="center" vertical="center" wrapText="1"/>
      <protection hidden="1"/>
    </xf>
    <xf numFmtId="0" fontId="64" fillId="0" borderId="0" xfId="0" applyFont="1" applyAlignment="1" applyProtection="1">
      <alignment vertical="center" wrapText="1"/>
      <protection hidden="1"/>
    </xf>
    <xf numFmtId="0" fontId="64" fillId="0" borderId="0" xfId="0" applyFont="1" applyAlignment="1" applyProtection="1">
      <alignment horizontal="center" vertical="center" wrapText="1"/>
      <protection hidden="1"/>
    </xf>
    <xf numFmtId="0" fontId="0" fillId="0" borderId="1" xfId="0" applyBorder="1" applyProtection="1">
      <protection hidden="1"/>
    </xf>
    <xf numFmtId="10" fontId="0" fillId="0" borderId="0" xfId="2" applyNumberFormat="1" applyFont="1" applyProtection="1">
      <protection hidden="1"/>
    </xf>
    <xf numFmtId="10" fontId="0" fillId="25" borderId="1" xfId="2" applyNumberFormat="1" applyFont="1" applyFill="1" applyBorder="1" applyAlignment="1" applyProtection="1">
      <alignment horizontal="center"/>
      <protection locked="0"/>
    </xf>
    <xf numFmtId="10" fontId="0" fillId="0" borderId="0" xfId="2" applyNumberFormat="1" applyFont="1" applyFill="1" applyAlignment="1" applyProtection="1">
      <alignment horizontal="center"/>
      <protection locked="0"/>
    </xf>
    <xf numFmtId="10" fontId="69" fillId="0" borderId="0" xfId="0" applyNumberFormat="1" applyFont="1" applyAlignment="1" applyProtection="1">
      <alignment vertical="top"/>
      <protection hidden="1"/>
    </xf>
    <xf numFmtId="10" fontId="69" fillId="0" borderId="0" xfId="2" applyNumberFormat="1" applyFont="1" applyAlignment="1" applyProtection="1">
      <alignment vertical="top"/>
      <protection hidden="1"/>
    </xf>
    <xf numFmtId="169" fontId="0" fillId="0" borderId="0" xfId="1" applyNumberFormat="1" applyFont="1" applyProtection="1">
      <protection hidden="1"/>
    </xf>
    <xf numFmtId="169" fontId="0" fillId="0" borderId="0" xfId="0" applyNumberFormat="1" applyProtection="1">
      <protection hidden="1"/>
    </xf>
    <xf numFmtId="10" fontId="0" fillId="0" borderId="1" xfId="2" applyNumberFormat="1" applyFont="1" applyBorder="1" applyAlignment="1" applyProtection="1">
      <alignment horizontal="center"/>
      <protection locked="0"/>
    </xf>
    <xf numFmtId="0" fontId="24" fillId="11" borderId="0" xfId="0" applyFont="1" applyFill="1" applyAlignment="1" applyProtection="1">
      <alignment vertical="justify" wrapText="1"/>
      <protection hidden="1"/>
    </xf>
    <xf numFmtId="0" fontId="47" fillId="6" borderId="33" xfId="0" applyFont="1" applyFill="1" applyBorder="1" applyAlignment="1" applyProtection="1">
      <alignment vertical="center" wrapText="1"/>
      <protection hidden="1"/>
    </xf>
    <xf numFmtId="0" fontId="0" fillId="0" borderId="0" xfId="0" applyProtection="1">
      <protection locked="0"/>
    </xf>
    <xf numFmtId="0" fontId="17" fillId="0" borderId="0" xfId="0" applyFont="1" applyAlignment="1" applyProtection="1">
      <alignment horizontal="center" vertical="center" wrapText="1"/>
      <protection hidden="1"/>
    </xf>
    <xf numFmtId="0" fontId="47" fillId="0" borderId="0" xfId="0" applyFont="1" applyProtection="1">
      <protection hidden="1"/>
    </xf>
    <xf numFmtId="0" fontId="57" fillId="3" borderId="0" xfId="0" applyFont="1" applyFill="1" applyAlignment="1" applyProtection="1">
      <alignment horizontal="center" vertical="center" wrapText="1"/>
      <protection hidden="1"/>
    </xf>
    <xf numFmtId="0" fontId="83" fillId="0" borderId="0" xfId="0" applyFont="1" applyProtection="1">
      <protection hidden="1"/>
    </xf>
    <xf numFmtId="169" fontId="84" fillId="0" borderId="47" xfId="1" applyNumberFormat="1" applyFont="1" applyBorder="1" applyAlignment="1" applyProtection="1">
      <alignment vertical="center"/>
      <protection hidden="1"/>
    </xf>
    <xf numFmtId="0" fontId="57" fillId="3" borderId="37" xfId="0" applyFont="1" applyFill="1" applyBorder="1" applyAlignment="1" applyProtection="1">
      <alignment vertical="center" wrapText="1"/>
      <protection hidden="1"/>
    </xf>
    <xf numFmtId="0" fontId="57" fillId="3" borderId="36" xfId="0" applyFont="1" applyFill="1" applyBorder="1" applyAlignment="1" applyProtection="1">
      <alignment vertical="center" wrapText="1"/>
      <protection hidden="1"/>
    </xf>
    <xf numFmtId="10" fontId="56" fillId="0" borderId="0" xfId="2" applyNumberFormat="1" applyFont="1" applyFill="1" applyBorder="1" applyAlignment="1" applyProtection="1">
      <alignment vertical="top"/>
      <protection hidden="1"/>
    </xf>
    <xf numFmtId="10" fontId="72" fillId="0" borderId="0" xfId="2" applyNumberFormat="1" applyFont="1" applyFill="1" applyBorder="1" applyAlignment="1" applyProtection="1">
      <alignment vertical="center"/>
      <protection hidden="1"/>
    </xf>
    <xf numFmtId="10" fontId="81" fillId="0" borderId="0" xfId="2" applyNumberFormat="1" applyFont="1" applyFill="1" applyBorder="1" applyAlignment="1" applyProtection="1">
      <alignment horizontal="center"/>
      <protection hidden="1"/>
    </xf>
    <xf numFmtId="10" fontId="69" fillId="0" borderId="0" xfId="2" applyNumberFormat="1" applyFont="1" applyFill="1" applyBorder="1" applyAlignment="1" applyProtection="1">
      <alignment vertical="top"/>
      <protection hidden="1"/>
    </xf>
    <xf numFmtId="0" fontId="79" fillId="0" borderId="0" xfId="5" applyFont="1" applyFill="1" applyBorder="1" applyAlignment="1" applyProtection="1">
      <alignment wrapText="1"/>
      <protection hidden="1"/>
    </xf>
    <xf numFmtId="0" fontId="26" fillId="0" borderId="38" xfId="0" applyFont="1" applyBorder="1" applyProtection="1">
      <protection hidden="1"/>
    </xf>
    <xf numFmtId="169" fontId="87" fillId="0" borderId="0" xfId="0" applyNumberFormat="1" applyFont="1" applyAlignment="1" applyProtection="1">
      <alignment vertical="top" wrapText="1"/>
      <protection hidden="1"/>
    </xf>
    <xf numFmtId="164" fontId="90" fillId="5" borderId="0" xfId="0" applyNumberFormat="1" applyFont="1" applyFill="1" applyAlignment="1" applyProtection="1">
      <alignment vertical="center" wrapText="1"/>
      <protection hidden="1"/>
    </xf>
    <xf numFmtId="1" fontId="84" fillId="19" borderId="15" xfId="0" applyNumberFormat="1" applyFont="1" applyFill="1" applyBorder="1" applyAlignment="1" applyProtection="1">
      <alignment horizontal="center" vertical="center" wrapText="1"/>
      <protection locked="0"/>
    </xf>
    <xf numFmtId="0" fontId="14" fillId="5" borderId="0" xfId="0" applyFont="1" applyFill="1" applyProtection="1">
      <protection hidden="1"/>
    </xf>
    <xf numFmtId="0" fontId="91" fillId="0" borderId="0" xfId="0" applyFont="1" applyProtection="1">
      <protection hidden="1"/>
    </xf>
    <xf numFmtId="0" fontId="92" fillId="5" borderId="0" xfId="0" applyFont="1" applyFill="1" applyProtection="1">
      <protection hidden="1"/>
    </xf>
    <xf numFmtId="164" fontId="14" fillId="5" borderId="0" xfId="0" applyNumberFormat="1" applyFont="1" applyFill="1" applyAlignment="1" applyProtection="1">
      <alignment vertical="center" wrapText="1"/>
      <protection hidden="1"/>
    </xf>
    <xf numFmtId="0" fontId="94" fillId="0" borderId="0" xfId="0" applyFont="1" applyAlignment="1" applyProtection="1">
      <alignment horizontal="left" vertical="center"/>
      <protection hidden="1"/>
    </xf>
    <xf numFmtId="0" fontId="93" fillId="0" borderId="0" xfId="0" applyFont="1" applyAlignment="1" applyProtection="1">
      <alignment horizontal="left" vertical="center"/>
      <protection hidden="1"/>
    </xf>
    <xf numFmtId="164" fontId="95" fillId="5" borderId="0" xfId="0" applyNumberFormat="1" applyFont="1" applyFill="1" applyAlignment="1" applyProtection="1">
      <alignment vertical="center" wrapText="1"/>
      <protection hidden="1"/>
    </xf>
    <xf numFmtId="10" fontId="14" fillId="7" borderId="0" xfId="2" applyNumberFormat="1" applyFont="1" applyFill="1" applyProtection="1">
      <protection hidden="1"/>
    </xf>
    <xf numFmtId="0" fontId="17" fillId="0" borderId="0" xfId="0" applyFont="1" applyAlignment="1" applyProtection="1">
      <alignment vertical="center" wrapText="1"/>
      <protection hidden="1"/>
    </xf>
    <xf numFmtId="0" fontId="13" fillId="0" borderId="0" xfId="0" applyFont="1" applyAlignment="1" applyProtection="1">
      <alignment horizontal="left" vertical="center"/>
      <protection hidden="1"/>
    </xf>
    <xf numFmtId="169" fontId="52" fillId="12" borderId="9" xfId="1" applyNumberFormat="1" applyFont="1" applyFill="1" applyBorder="1" applyAlignment="1" applyProtection="1">
      <alignment horizontal="left" vertical="center" shrinkToFit="1"/>
      <protection hidden="1"/>
    </xf>
    <xf numFmtId="169" fontId="96" fillId="0" borderId="0" xfId="0" applyNumberFormat="1" applyFont="1" applyAlignment="1" applyProtection="1">
      <alignment vertical="top" wrapText="1"/>
      <protection hidden="1"/>
    </xf>
    <xf numFmtId="0" fontId="92" fillId="0" borderId="48" xfId="0" applyFont="1" applyBorder="1" applyAlignment="1" applyProtection="1">
      <alignment vertical="top"/>
      <protection hidden="1"/>
    </xf>
    <xf numFmtId="0" fontId="92" fillId="0" borderId="0" xfId="0" applyFont="1" applyAlignment="1" applyProtection="1">
      <alignment vertical="top"/>
      <protection hidden="1"/>
    </xf>
    <xf numFmtId="0" fontId="21" fillId="0" borderId="0" xfId="0" applyFont="1" applyAlignment="1" applyProtection="1">
      <alignment vertical="center" wrapText="1"/>
      <protection hidden="1"/>
    </xf>
    <xf numFmtId="0" fontId="32" fillId="27" borderId="1" xfId="1" applyNumberFormat="1" applyFont="1" applyFill="1" applyBorder="1" applyAlignment="1" applyProtection="1">
      <alignment horizontal="center" vertical="center"/>
      <protection locked="0"/>
    </xf>
    <xf numFmtId="0" fontId="32" fillId="24" borderId="15" xfId="0" applyFont="1" applyFill="1" applyBorder="1" applyAlignment="1" applyProtection="1">
      <alignment vertical="center"/>
      <protection hidden="1"/>
    </xf>
    <xf numFmtId="10" fontId="37" fillId="27" borderId="1" xfId="0" applyNumberFormat="1" applyFont="1" applyFill="1" applyBorder="1" applyAlignment="1" applyProtection="1">
      <alignment horizontal="center"/>
      <protection locked="0"/>
    </xf>
    <xf numFmtId="169" fontId="32" fillId="26" borderId="41" xfId="1" applyNumberFormat="1" applyFont="1" applyFill="1" applyBorder="1" applyAlignment="1" applyProtection="1">
      <alignment vertical="center"/>
      <protection hidden="1"/>
    </xf>
    <xf numFmtId="0" fontId="92" fillId="0" borderId="46" xfId="0" applyFont="1" applyBorder="1" applyAlignment="1" applyProtection="1">
      <alignment vertical="top"/>
      <protection hidden="1"/>
    </xf>
    <xf numFmtId="0" fontId="0" fillId="0" borderId="0" xfId="0" applyAlignment="1" applyProtection="1">
      <alignment horizontal="center"/>
      <protection hidden="1"/>
    </xf>
    <xf numFmtId="1" fontId="0" fillId="0" borderId="0" xfId="0" applyNumberFormat="1" applyProtection="1">
      <protection hidden="1"/>
    </xf>
    <xf numFmtId="1" fontId="83" fillId="26" borderId="0" xfId="0" applyNumberFormat="1" applyFont="1" applyFill="1" applyProtection="1">
      <protection hidden="1"/>
    </xf>
    <xf numFmtId="169" fontId="32" fillId="26" borderId="71" xfId="1" applyNumberFormat="1" applyFont="1" applyFill="1" applyBorder="1" applyAlignment="1" applyProtection="1">
      <alignment vertical="center"/>
      <protection hidden="1"/>
    </xf>
    <xf numFmtId="1" fontId="32" fillId="26" borderId="71" xfId="4" applyNumberFormat="1" applyFont="1" applyFill="1" applyBorder="1" applyAlignment="1" applyProtection="1">
      <alignment horizontal="center" vertical="center"/>
      <protection hidden="1"/>
    </xf>
    <xf numFmtId="0" fontId="102" fillId="5" borderId="0" xfId="0" applyFont="1" applyFill="1" applyProtection="1">
      <protection hidden="1"/>
    </xf>
    <xf numFmtId="10" fontId="80" fillId="5" borderId="0" xfId="2" applyNumberFormat="1" applyFont="1" applyFill="1" applyBorder="1" applyAlignment="1" applyProtection="1">
      <alignment vertical="center" wrapText="1"/>
      <protection hidden="1"/>
    </xf>
    <xf numFmtId="169" fontId="102" fillId="5" borderId="0" xfId="0" applyNumberFormat="1" applyFont="1" applyFill="1" applyProtection="1">
      <protection hidden="1"/>
    </xf>
    <xf numFmtId="1" fontId="80" fillId="0" borderId="0" xfId="0" applyNumberFormat="1" applyFont="1" applyAlignment="1" applyProtection="1">
      <alignment horizontal="left" vertical="center"/>
      <protection hidden="1"/>
    </xf>
    <xf numFmtId="0" fontId="32" fillId="27" borderId="1" xfId="1" applyNumberFormat="1" applyFont="1" applyFill="1" applyBorder="1" applyAlignment="1" applyProtection="1">
      <alignment horizontal="center" vertical="center"/>
      <protection hidden="1"/>
    </xf>
    <xf numFmtId="0" fontId="85" fillId="29" borderId="1" xfId="0" applyFont="1" applyFill="1" applyBorder="1" applyAlignment="1" applyProtection="1">
      <alignment horizontal="center"/>
      <protection hidden="1"/>
    </xf>
    <xf numFmtId="0" fontId="85" fillId="29" borderId="60" xfId="0" applyFont="1" applyFill="1" applyBorder="1" applyAlignment="1" applyProtection="1">
      <alignment horizontal="center" wrapText="1"/>
      <protection hidden="1"/>
    </xf>
    <xf numFmtId="0" fontId="85" fillId="29" borderId="44" xfId="0" applyFont="1" applyFill="1" applyBorder="1" applyAlignment="1" applyProtection="1">
      <alignment horizontal="center" wrapText="1"/>
      <protection hidden="1"/>
    </xf>
    <xf numFmtId="0" fontId="85" fillId="29" borderId="1" xfId="0" applyFont="1" applyFill="1" applyBorder="1" applyAlignment="1" applyProtection="1">
      <alignment horizontal="center" wrapText="1"/>
      <protection hidden="1"/>
    </xf>
    <xf numFmtId="0" fontId="85" fillId="29" borderId="11" xfId="0" applyFont="1" applyFill="1" applyBorder="1" applyAlignment="1" applyProtection="1">
      <alignment horizontal="center"/>
      <protection hidden="1"/>
    </xf>
    <xf numFmtId="0" fontId="88" fillId="30" borderId="1" xfId="0" applyFont="1" applyFill="1" applyBorder="1" applyProtection="1">
      <protection hidden="1"/>
    </xf>
    <xf numFmtId="0" fontId="88" fillId="30" borderId="60" xfId="0" applyFont="1" applyFill="1" applyBorder="1" applyProtection="1">
      <protection hidden="1"/>
    </xf>
    <xf numFmtId="0" fontId="0" fillId="0" borderId="61" xfId="0" applyBorder="1" applyProtection="1">
      <protection hidden="1"/>
    </xf>
    <xf numFmtId="0" fontId="88" fillId="30" borderId="63" xfId="0" applyFont="1" applyFill="1" applyBorder="1" applyAlignment="1" applyProtection="1">
      <alignment wrapText="1"/>
      <protection hidden="1"/>
    </xf>
    <xf numFmtId="0" fontId="88" fillId="30" borderId="64" xfId="0" applyFont="1" applyFill="1" applyBorder="1" applyAlignment="1" applyProtection="1">
      <alignment wrapText="1"/>
      <protection hidden="1"/>
    </xf>
    <xf numFmtId="0" fontId="88" fillId="30" borderId="62" xfId="0" applyFont="1" applyFill="1" applyBorder="1" applyAlignment="1" applyProtection="1">
      <alignment wrapText="1"/>
      <protection hidden="1"/>
    </xf>
    <xf numFmtId="0" fontId="88" fillId="0" borderId="1" xfId="0" applyFont="1" applyBorder="1" applyProtection="1">
      <protection hidden="1"/>
    </xf>
    <xf numFmtId="173" fontId="0" fillId="0" borderId="61" xfId="0" applyNumberFormat="1" applyBorder="1" applyProtection="1">
      <protection hidden="1"/>
    </xf>
    <xf numFmtId="169" fontId="0" fillId="0" borderId="61" xfId="1" applyNumberFormat="1" applyFont="1" applyBorder="1" applyProtection="1">
      <protection hidden="1"/>
    </xf>
    <xf numFmtId="173" fontId="0" fillId="30" borderId="1" xfId="0" applyNumberFormat="1" applyFill="1" applyBorder="1" applyProtection="1">
      <protection hidden="1"/>
    </xf>
    <xf numFmtId="0" fontId="0" fillId="30" borderId="1" xfId="0" applyFill="1" applyBorder="1" applyProtection="1">
      <protection hidden="1"/>
    </xf>
    <xf numFmtId="169" fontId="0" fillId="30" borderId="1" xfId="1" applyNumberFormat="1" applyFont="1" applyFill="1" applyBorder="1" applyProtection="1">
      <protection hidden="1"/>
    </xf>
    <xf numFmtId="0" fontId="88" fillId="0" borderId="61" xfId="0" applyFont="1" applyBorder="1" applyProtection="1">
      <protection hidden="1"/>
    </xf>
    <xf numFmtId="173" fontId="0" fillId="0" borderId="1" xfId="0" applyNumberFormat="1" applyBorder="1" applyProtection="1">
      <protection hidden="1"/>
    </xf>
    <xf numFmtId="0" fontId="0" fillId="0" borderId="1" xfId="0" applyBorder="1" applyAlignment="1" applyProtection="1">
      <alignment vertical="center"/>
      <protection hidden="1"/>
    </xf>
    <xf numFmtId="0" fontId="0" fillId="30" borderId="1" xfId="0" applyFill="1" applyBorder="1" applyAlignment="1" applyProtection="1">
      <alignment vertical="center"/>
      <protection hidden="1"/>
    </xf>
    <xf numFmtId="0" fontId="89" fillId="30" borderId="63" xfId="0" applyFont="1" applyFill="1" applyBorder="1" applyAlignment="1" applyProtection="1">
      <alignment wrapText="1"/>
      <protection hidden="1"/>
    </xf>
    <xf numFmtId="0" fontId="89" fillId="0" borderId="61" xfId="0" applyFont="1" applyBorder="1" applyProtection="1">
      <protection hidden="1"/>
    </xf>
    <xf numFmtId="0" fontId="0" fillId="9" borderId="1" xfId="0" applyFill="1" applyBorder="1" applyAlignment="1" applyProtection="1">
      <alignment vertical="center"/>
      <protection hidden="1"/>
    </xf>
    <xf numFmtId="0" fontId="0" fillId="9" borderId="1" xfId="0" applyFill="1" applyBorder="1" applyProtection="1">
      <protection hidden="1"/>
    </xf>
    <xf numFmtId="0" fontId="21" fillId="0" borderId="0" xfId="0" applyFont="1" applyAlignment="1" applyProtection="1">
      <alignment horizontal="center" vertical="center"/>
      <protection hidden="1"/>
    </xf>
    <xf numFmtId="0" fontId="21" fillId="0" borderId="1" xfId="0" applyFont="1" applyBorder="1" applyAlignment="1" applyProtection="1">
      <alignment horizontal="left" vertical="center"/>
      <protection hidden="1"/>
    </xf>
    <xf numFmtId="171" fontId="21" fillId="0" borderId="1" xfId="2" applyNumberFormat="1" applyFont="1" applyFill="1" applyBorder="1" applyAlignment="1" applyProtection="1">
      <alignment horizontal="center" vertical="center"/>
      <protection hidden="1"/>
    </xf>
    <xf numFmtId="168" fontId="0" fillId="0" borderId="1" xfId="2" applyNumberFormat="1" applyFont="1" applyBorder="1" applyProtection="1">
      <protection hidden="1"/>
    </xf>
    <xf numFmtId="170" fontId="0" fillId="0" borderId="1" xfId="0" applyNumberFormat="1" applyBorder="1" applyProtection="1">
      <protection hidden="1"/>
    </xf>
    <xf numFmtId="168" fontId="0" fillId="0" borderId="0" xfId="2" applyNumberFormat="1" applyFont="1" applyBorder="1" applyProtection="1">
      <protection hidden="1"/>
    </xf>
    <xf numFmtId="168" fontId="0" fillId="0" borderId="0" xfId="2" applyNumberFormat="1" applyFont="1" applyProtection="1">
      <protection hidden="1"/>
    </xf>
    <xf numFmtId="10" fontId="0" fillId="0" borderId="1" xfId="2" applyNumberFormat="1" applyFont="1" applyBorder="1" applyAlignment="1" applyProtection="1">
      <alignment horizontal="center"/>
      <protection hidden="1"/>
    </xf>
    <xf numFmtId="10" fontId="0" fillId="0" borderId="0" xfId="2" applyNumberFormat="1" applyFont="1" applyFill="1" applyAlignment="1" applyProtection="1">
      <alignment horizontal="center"/>
      <protection hidden="1"/>
    </xf>
    <xf numFmtId="0" fontId="31" fillId="10" borderId="16" xfId="0" applyFont="1" applyFill="1" applyBorder="1" applyAlignment="1" applyProtection="1">
      <alignment horizontal="left" vertical="center"/>
      <protection hidden="1"/>
    </xf>
    <xf numFmtId="0" fontId="30" fillId="23" borderId="50" xfId="0" applyFont="1" applyFill="1" applyBorder="1" applyAlignment="1" applyProtection="1">
      <alignment horizontal="left" vertical="center"/>
      <protection hidden="1"/>
    </xf>
    <xf numFmtId="0" fontId="30" fillId="23" borderId="51" xfId="0" applyFont="1" applyFill="1" applyBorder="1" applyAlignment="1" applyProtection="1">
      <alignment horizontal="left" vertical="center"/>
      <protection hidden="1"/>
    </xf>
    <xf numFmtId="9" fontId="37" fillId="19" borderId="15" xfId="2" applyFont="1" applyFill="1" applyBorder="1" applyAlignment="1" applyProtection="1">
      <alignment horizontal="center"/>
      <protection locked="0"/>
    </xf>
    <xf numFmtId="169" fontId="32" fillId="6" borderId="66" xfId="1" applyNumberFormat="1" applyFont="1" applyFill="1" applyBorder="1" applyAlignment="1" applyProtection="1">
      <alignment horizontal="left" vertical="center" shrinkToFit="1"/>
      <protection hidden="1"/>
    </xf>
    <xf numFmtId="9" fontId="0" fillId="0" borderId="0" xfId="0" applyNumberFormat="1" applyProtection="1">
      <protection hidden="1"/>
    </xf>
    <xf numFmtId="168" fontId="0" fillId="0" borderId="1" xfId="2" applyNumberFormat="1" applyFont="1" applyFill="1" applyBorder="1" applyProtection="1">
      <protection hidden="1"/>
    </xf>
    <xf numFmtId="10" fontId="80" fillId="5" borderId="0" xfId="2" applyNumberFormat="1" applyFont="1" applyFill="1" applyAlignment="1" applyProtection="1">
      <alignment vertical="center" wrapText="1"/>
      <protection hidden="1"/>
    </xf>
    <xf numFmtId="9" fontId="95" fillId="5" borderId="0" xfId="2" applyFont="1" applyFill="1" applyAlignment="1" applyProtection="1">
      <alignment vertical="center" wrapText="1"/>
      <protection hidden="1"/>
    </xf>
    <xf numFmtId="8" fontId="0" fillId="0" borderId="0" xfId="0" applyNumberFormat="1" applyProtection="1">
      <protection hidden="1"/>
    </xf>
    <xf numFmtId="169" fontId="80" fillId="0" borderId="0" xfId="1" applyNumberFormat="1" applyFont="1" applyAlignment="1" applyProtection="1">
      <alignment vertical="top"/>
      <protection hidden="1"/>
    </xf>
    <xf numFmtId="0" fontId="103" fillId="0" borderId="0" xfId="0" applyFont="1" applyAlignment="1" applyProtection="1">
      <alignment vertical="top"/>
      <protection hidden="1"/>
    </xf>
    <xf numFmtId="9" fontId="32" fillId="0" borderId="42" xfId="2" applyFont="1" applyBorder="1" applyAlignment="1" applyProtection="1">
      <alignment horizontal="center" vertical="center"/>
      <protection hidden="1"/>
    </xf>
    <xf numFmtId="169" fontId="32" fillId="0" borderId="75" xfId="1" applyNumberFormat="1" applyFont="1" applyBorder="1" applyAlignment="1" applyProtection="1">
      <alignment horizontal="center" vertical="center"/>
      <protection hidden="1"/>
    </xf>
    <xf numFmtId="0" fontId="104" fillId="0" borderId="0" xfId="0" applyFont="1" applyAlignment="1" applyProtection="1">
      <alignment vertical="top"/>
      <protection hidden="1"/>
    </xf>
    <xf numFmtId="169" fontId="88" fillId="0" borderId="0" xfId="0" applyNumberFormat="1" applyFont="1" applyProtection="1">
      <protection hidden="1"/>
    </xf>
    <xf numFmtId="8" fontId="88" fillId="0" borderId="0" xfId="0" applyNumberFormat="1" applyFont="1" applyProtection="1">
      <protection hidden="1"/>
    </xf>
    <xf numFmtId="8" fontId="0" fillId="32" borderId="0" xfId="0" applyNumberFormat="1" applyFill="1" applyProtection="1">
      <protection hidden="1"/>
    </xf>
    <xf numFmtId="1" fontId="37" fillId="6" borderId="0" xfId="0" applyNumberFormat="1" applyFont="1" applyFill="1" applyAlignment="1" applyProtection="1">
      <alignment horizontal="right"/>
      <protection hidden="1"/>
    </xf>
    <xf numFmtId="9" fontId="32" fillId="0" borderId="76" xfId="2" applyFont="1" applyBorder="1" applyAlignment="1" applyProtection="1">
      <alignment horizontal="center" vertical="center"/>
      <protection hidden="1"/>
    </xf>
    <xf numFmtId="9" fontId="11" fillId="5" borderId="0" xfId="0" applyNumberFormat="1" applyFont="1" applyFill="1" applyProtection="1">
      <protection hidden="1"/>
    </xf>
    <xf numFmtId="1" fontId="37" fillId="19" borderId="0" xfId="0" applyNumberFormat="1" applyFont="1" applyFill="1" applyAlignment="1" applyProtection="1">
      <alignment horizontal="center" vertical="center"/>
      <protection locked="0"/>
    </xf>
    <xf numFmtId="0" fontId="32" fillId="0" borderId="0" xfId="0" applyFont="1" applyAlignment="1" applyProtection="1">
      <alignment horizontal="center" vertical="center" wrapText="1"/>
      <protection hidden="1"/>
    </xf>
    <xf numFmtId="0" fontId="109" fillId="0" borderId="80" xfId="0" applyFont="1" applyBorder="1" applyAlignment="1">
      <alignment horizontal="center" vertical="center" wrapText="1"/>
    </xf>
    <xf numFmtId="0" fontId="109" fillId="0" borderId="81" xfId="0" applyFont="1" applyBorder="1" applyAlignment="1">
      <alignment horizontal="center" vertical="center" wrapText="1"/>
    </xf>
    <xf numFmtId="0" fontId="109" fillId="0" borderId="82" xfId="0" applyFont="1" applyBorder="1" applyAlignment="1">
      <alignment horizontal="left" vertical="center" wrapText="1"/>
    </xf>
    <xf numFmtId="164" fontId="110" fillId="0" borderId="81" xfId="0" applyNumberFormat="1" applyFont="1" applyBorder="1" applyAlignment="1">
      <alignment horizontal="center" vertical="center" wrapText="1"/>
    </xf>
    <xf numFmtId="165" fontId="110" fillId="0" borderId="81" xfId="0" applyNumberFormat="1" applyFont="1" applyBorder="1" applyAlignment="1">
      <alignment horizontal="center" vertical="center" wrapText="1"/>
    </xf>
    <xf numFmtId="0" fontId="109" fillId="0" borderId="83" xfId="0" applyFont="1" applyBorder="1" applyAlignment="1">
      <alignment horizontal="left" vertical="center" wrapText="1"/>
    </xf>
    <xf numFmtId="164" fontId="110" fillId="0" borderId="84" xfId="0" applyNumberFormat="1" applyFont="1" applyBorder="1" applyAlignment="1">
      <alignment horizontal="center" vertical="center" wrapText="1"/>
    </xf>
    <xf numFmtId="0" fontId="109" fillId="0" borderId="0" xfId="0" applyFont="1" applyAlignment="1">
      <alignment wrapText="1"/>
    </xf>
    <xf numFmtId="0" fontId="109" fillId="0" borderId="85" xfId="0" applyFont="1" applyBorder="1" applyAlignment="1">
      <alignment horizontal="center" vertical="center" wrapText="1"/>
    </xf>
    <xf numFmtId="0" fontId="109" fillId="0" borderId="82" xfId="0" applyFont="1" applyBorder="1" applyAlignment="1">
      <alignment vertical="center" wrapText="1"/>
    </xf>
    <xf numFmtId="164" fontId="110" fillId="0" borderId="81" xfId="0" applyNumberFormat="1" applyFont="1" applyBorder="1" applyAlignment="1">
      <alignment horizontal="center" vertical="center"/>
    </xf>
    <xf numFmtId="0" fontId="109" fillId="0" borderId="83" xfId="0" applyFont="1" applyBorder="1" applyAlignment="1">
      <alignment vertical="center" wrapText="1"/>
    </xf>
    <xf numFmtId="164" fontId="110" fillId="0" borderId="84" xfId="0" applyNumberFormat="1" applyFont="1" applyBorder="1" applyAlignment="1">
      <alignment horizontal="center" vertical="center"/>
    </xf>
    <xf numFmtId="0" fontId="110" fillId="0" borderId="0" xfId="0" applyFont="1" applyAlignment="1">
      <alignment wrapText="1"/>
    </xf>
    <xf numFmtId="0" fontId="109" fillId="0" borderId="82" xfId="0" applyFont="1" applyBorder="1" applyAlignment="1">
      <alignment vertical="center"/>
    </xf>
    <xf numFmtId="0" fontId="110" fillId="0" borderId="81" xfId="0" applyFont="1" applyBorder="1" applyAlignment="1">
      <alignment horizontal="center" wrapText="1"/>
    </xf>
    <xf numFmtId="0" fontId="109" fillId="0" borderId="83" xfId="0" applyFont="1" applyBorder="1" applyAlignment="1">
      <alignment vertical="center"/>
    </xf>
    <xf numFmtId="0" fontId="110" fillId="0" borderId="0" xfId="0" applyFont="1"/>
    <xf numFmtId="0" fontId="111" fillId="0" borderId="0" xfId="0" applyFont="1" applyAlignment="1">
      <alignment horizontal="left" wrapText="1"/>
    </xf>
    <xf numFmtId="0" fontId="112" fillId="0" borderId="1" xfId="5" applyFont="1" applyBorder="1" applyAlignment="1">
      <alignment vertical="center" wrapText="1"/>
    </xf>
    <xf numFmtId="0" fontId="111" fillId="0" borderId="1" xfId="0" applyFont="1" applyBorder="1" applyAlignment="1">
      <alignment horizontal="left" vertical="center" wrapText="1"/>
    </xf>
    <xf numFmtId="0" fontId="76" fillId="0" borderId="0" xfId="5" applyAlignment="1">
      <alignment vertical="center" wrapText="1"/>
    </xf>
    <xf numFmtId="0" fontId="110" fillId="0" borderId="0" xfId="0" applyFont="1" applyAlignment="1">
      <alignment horizontal="left" wrapText="1"/>
    </xf>
    <xf numFmtId="0" fontId="109" fillId="0" borderId="82" xfId="0" applyFont="1" applyBorder="1" applyAlignment="1">
      <alignment wrapText="1"/>
    </xf>
    <xf numFmtId="164" fontId="110" fillId="0" borderId="81" xfId="0" applyNumberFormat="1" applyFont="1" applyBorder="1" applyAlignment="1">
      <alignment horizontal="center"/>
    </xf>
    <xf numFmtId="0" fontId="109" fillId="0" borderId="0" xfId="0" applyFont="1" applyAlignment="1">
      <alignment horizontal="left" vertical="top" wrapText="1"/>
    </xf>
    <xf numFmtId="0" fontId="109" fillId="0" borderId="86" xfId="0" applyFont="1" applyBorder="1" applyAlignment="1">
      <alignment horizontal="center" vertical="center" wrapText="1"/>
    </xf>
    <xf numFmtId="0" fontId="109" fillId="0" borderId="87" xfId="0" applyFont="1" applyBorder="1" applyAlignment="1">
      <alignment horizontal="center" vertical="center" wrapText="1"/>
    </xf>
    <xf numFmtId="0" fontId="109" fillId="0" borderId="0" xfId="0" applyFont="1"/>
    <xf numFmtId="164" fontId="110" fillId="0" borderId="0" xfId="0" applyNumberFormat="1" applyFont="1" applyAlignment="1">
      <alignment horizontal="center"/>
    </xf>
    <xf numFmtId="0" fontId="111" fillId="6" borderId="0" xfId="0" applyFont="1" applyFill="1" applyAlignment="1">
      <alignment horizontal="left" wrapText="1"/>
    </xf>
    <xf numFmtId="0" fontId="27" fillId="0" borderId="85" xfId="0" applyFont="1" applyBorder="1"/>
    <xf numFmtId="0" fontId="27" fillId="0" borderId="81" xfId="0" applyFont="1" applyBorder="1"/>
    <xf numFmtId="0" fontId="27" fillId="0" borderId="84" xfId="0" applyFont="1" applyBorder="1"/>
    <xf numFmtId="0" fontId="27" fillId="0" borderId="87" xfId="0" applyFont="1" applyBorder="1"/>
    <xf numFmtId="0" fontId="24" fillId="11" borderId="0" xfId="0" applyFont="1" applyFill="1" applyAlignment="1" applyProtection="1">
      <alignment horizontal="left" vertical="justify" wrapText="1"/>
      <protection hidden="1"/>
    </xf>
    <xf numFmtId="168" fontId="0" fillId="0" borderId="1" xfId="0" applyNumberFormat="1" applyBorder="1" applyProtection="1">
      <protection hidden="1"/>
    </xf>
    <xf numFmtId="169" fontId="0" fillId="32" borderId="1" xfId="1" applyNumberFormat="1" applyFont="1" applyFill="1" applyBorder="1" applyProtection="1">
      <protection hidden="1"/>
    </xf>
    <xf numFmtId="169" fontId="6" fillId="3" borderId="34" xfId="1" applyNumberFormat="1" applyFont="1" applyFill="1" applyBorder="1" applyAlignment="1" applyProtection="1">
      <alignment vertical="center" shrinkToFit="1"/>
      <protection hidden="1"/>
    </xf>
    <xf numFmtId="0" fontId="27" fillId="0" borderId="30" xfId="0" applyFont="1" applyBorder="1" applyProtection="1">
      <protection hidden="1"/>
    </xf>
    <xf numFmtId="169" fontId="5" fillId="3" borderId="1" xfId="1" applyNumberFormat="1" applyFont="1" applyFill="1" applyBorder="1" applyAlignment="1" applyProtection="1">
      <alignment vertical="center" shrinkToFit="1"/>
      <protection hidden="1"/>
    </xf>
    <xf numFmtId="0" fontId="49" fillId="0" borderId="0" xfId="0" applyFont="1" applyAlignment="1" applyProtection="1">
      <alignment horizontal="center"/>
      <protection hidden="1"/>
    </xf>
    <xf numFmtId="168" fontId="0" fillId="32" borderId="1" xfId="2" applyNumberFormat="1" applyFont="1" applyFill="1" applyBorder="1" applyProtection="1">
      <protection hidden="1"/>
    </xf>
    <xf numFmtId="10" fontId="114" fillId="12" borderId="9" xfId="2" applyNumberFormat="1" applyFont="1" applyFill="1" applyBorder="1" applyProtection="1">
      <protection locked="0"/>
    </xf>
    <xf numFmtId="0" fontId="83" fillId="0" borderId="36" xfId="0" applyFont="1" applyBorder="1" applyProtection="1">
      <protection hidden="1"/>
    </xf>
    <xf numFmtId="0" fontId="49" fillId="9" borderId="2"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50" fillId="0" borderId="1" xfId="0" applyFont="1" applyBorder="1" applyAlignment="1" applyProtection="1">
      <alignment horizontal="right"/>
      <protection hidden="1"/>
    </xf>
    <xf numFmtId="0" fontId="69" fillId="6" borderId="0" xfId="0" applyFont="1" applyFill="1" applyAlignment="1" applyProtection="1">
      <alignment vertical="top"/>
      <protection hidden="1"/>
    </xf>
    <xf numFmtId="0" fontId="30" fillId="7" borderId="0" xfId="0" applyFont="1" applyFill="1" applyAlignment="1" applyProtection="1">
      <alignment horizontal="left" vertical="center"/>
      <protection hidden="1"/>
    </xf>
    <xf numFmtId="0" fontId="120" fillId="0" borderId="0" xfId="0" applyFont="1" applyAlignment="1" applyProtection="1">
      <alignment vertical="top"/>
      <protection hidden="1"/>
    </xf>
    <xf numFmtId="0" fontId="121" fillId="0" borderId="0" xfId="6"/>
    <xf numFmtId="0" fontId="121" fillId="0" borderId="0" xfId="6" applyAlignment="1">
      <alignment horizontal="left" vertical="top" wrapText="1"/>
    </xf>
    <xf numFmtId="0" fontId="121" fillId="0" borderId="0" xfId="6" applyAlignment="1">
      <alignment horizontal="center" vertical="center"/>
    </xf>
    <xf numFmtId="0" fontId="124" fillId="0" borderId="0" xfId="6" applyFont="1" applyAlignment="1">
      <alignment horizontal="left" vertical="top" wrapText="1"/>
    </xf>
    <xf numFmtId="0" fontId="126" fillId="35" borderId="107" xfId="6" applyFont="1" applyFill="1" applyBorder="1" applyAlignment="1">
      <alignment horizontal="center" vertical="center" wrapText="1"/>
    </xf>
    <xf numFmtId="0" fontId="126" fillId="35" borderId="108" xfId="6" applyFont="1" applyFill="1" applyBorder="1" applyAlignment="1">
      <alignment horizontal="center" vertical="center" wrapText="1"/>
    </xf>
    <xf numFmtId="14" fontId="127" fillId="36" borderId="109" xfId="6" applyNumberFormat="1" applyFont="1" applyFill="1" applyBorder="1" applyAlignment="1">
      <alignment horizontal="center" vertical="center" wrapText="1"/>
    </xf>
    <xf numFmtId="174" fontId="127" fillId="36" borderId="109" xfId="6" applyNumberFormat="1" applyFont="1" applyFill="1" applyBorder="1" applyAlignment="1">
      <alignment horizontal="center" vertical="center" wrapText="1"/>
    </xf>
    <xf numFmtId="2" fontId="127" fillId="36" borderId="110" xfId="6" applyNumberFormat="1" applyFont="1" applyFill="1" applyBorder="1" applyAlignment="1">
      <alignment horizontal="center" vertical="center" wrapText="1"/>
    </xf>
    <xf numFmtId="14" fontId="127" fillId="37" borderId="109" xfId="6" applyNumberFormat="1" applyFont="1" applyFill="1" applyBorder="1" applyAlignment="1">
      <alignment horizontal="center" vertical="center" wrapText="1"/>
    </xf>
    <xf numFmtId="174" fontId="127" fillId="37" borderId="109" xfId="6" applyNumberFormat="1" applyFont="1" applyFill="1" applyBorder="1" applyAlignment="1">
      <alignment horizontal="center" vertical="center" wrapText="1"/>
    </xf>
    <xf numFmtId="2" fontId="127" fillId="37" borderId="110" xfId="6" applyNumberFormat="1" applyFont="1" applyFill="1" applyBorder="1" applyAlignment="1">
      <alignment horizontal="center" vertical="center" wrapText="1"/>
    </xf>
    <xf numFmtId="2" fontId="127" fillId="36" borderId="110" xfId="7" applyNumberFormat="1" applyFont="1" applyFill="1" applyBorder="1" applyAlignment="1">
      <alignment horizontal="center" vertical="center" wrapText="1"/>
    </xf>
    <xf numFmtId="2" fontId="127" fillId="37" borderId="110" xfId="7" applyNumberFormat="1" applyFont="1" applyFill="1" applyBorder="1" applyAlignment="1">
      <alignment horizontal="center" vertical="center" wrapText="1"/>
    </xf>
    <xf numFmtId="0" fontId="121" fillId="0" borderId="0" xfId="6" applyAlignment="1">
      <alignment horizontal="center"/>
    </xf>
    <xf numFmtId="3" fontId="6" fillId="3" borderId="12" xfId="1" applyNumberFormat="1" applyFont="1" applyFill="1" applyBorder="1" applyAlignment="1" applyProtection="1">
      <alignment shrinkToFit="1"/>
      <protection hidden="1"/>
    </xf>
    <xf numFmtId="0" fontId="2" fillId="16" borderId="45" xfId="0" applyFont="1" applyFill="1" applyBorder="1" applyAlignment="1" applyProtection="1">
      <alignment horizontal="center" vertical="center" wrapText="1"/>
      <protection hidden="1"/>
    </xf>
    <xf numFmtId="170" fontId="6" fillId="3" borderId="12" xfId="1" applyNumberFormat="1" applyFont="1" applyFill="1" applyBorder="1" applyAlignment="1" applyProtection="1">
      <alignment shrinkToFit="1"/>
      <protection hidden="1"/>
    </xf>
    <xf numFmtId="0" fontId="121" fillId="0" borderId="1" xfId="6" applyBorder="1" applyAlignment="1">
      <alignment horizontal="center" vertical="center"/>
    </xf>
    <xf numFmtId="0" fontId="121" fillId="32" borderId="1" xfId="6" applyFill="1" applyBorder="1" applyAlignment="1">
      <alignment horizontal="center" vertical="center"/>
    </xf>
    <xf numFmtId="170" fontId="0" fillId="0" borderId="0" xfId="0" applyNumberFormat="1" applyProtection="1">
      <protection hidden="1"/>
    </xf>
    <xf numFmtId="169" fontId="119" fillId="6" borderId="0" xfId="1" applyNumberFormat="1" applyFont="1" applyFill="1" applyBorder="1" applyAlignment="1" applyProtection="1">
      <alignment horizontal="center" vertical="center"/>
      <protection hidden="1"/>
    </xf>
    <xf numFmtId="10" fontId="36" fillId="6" borderId="0" xfId="0" applyNumberFormat="1" applyFont="1" applyFill="1" applyAlignment="1" applyProtection="1">
      <alignment horizontal="center"/>
      <protection hidden="1"/>
    </xf>
    <xf numFmtId="169" fontId="0" fillId="0" borderId="35" xfId="1" applyNumberFormat="1" applyFont="1" applyBorder="1" applyProtection="1">
      <protection hidden="1"/>
    </xf>
    <xf numFmtId="170" fontId="6" fillId="3" borderId="35" xfId="1" applyNumberFormat="1" applyFont="1" applyFill="1" applyBorder="1" applyAlignment="1" applyProtection="1">
      <alignment shrinkToFit="1"/>
      <protection hidden="1"/>
    </xf>
    <xf numFmtId="169" fontId="6" fillId="3" borderId="112" xfId="1" applyNumberFormat="1" applyFont="1" applyFill="1" applyBorder="1" applyAlignment="1" applyProtection="1">
      <alignment shrinkToFit="1"/>
      <protection hidden="1"/>
    </xf>
    <xf numFmtId="3" fontId="6" fillId="3" borderId="113" xfId="1" applyNumberFormat="1" applyFont="1" applyFill="1" applyBorder="1" applyAlignment="1" applyProtection="1">
      <alignment shrinkToFit="1"/>
      <protection hidden="1"/>
    </xf>
    <xf numFmtId="0" fontId="2" fillId="16" borderId="114" xfId="0" applyFont="1" applyFill="1" applyBorder="1" applyAlignment="1" applyProtection="1">
      <alignment horizontal="center" vertical="center" wrapText="1"/>
      <protection hidden="1"/>
    </xf>
    <xf numFmtId="10" fontId="82" fillId="28" borderId="44" xfId="2" applyNumberFormat="1" applyFont="1" applyFill="1" applyBorder="1" applyAlignment="1" applyProtection="1">
      <alignment horizontal="left"/>
      <protection hidden="1"/>
    </xf>
    <xf numFmtId="10" fontId="82" fillId="28" borderId="2" xfId="2" applyNumberFormat="1" applyFont="1" applyFill="1" applyBorder="1" applyAlignment="1" applyProtection="1">
      <alignment horizontal="right"/>
      <protection hidden="1"/>
    </xf>
    <xf numFmtId="1" fontId="32" fillId="27" borderId="1" xfId="0" applyNumberFormat="1" applyFont="1" applyFill="1" applyBorder="1" applyAlignment="1" applyProtection="1">
      <alignment horizontal="center"/>
      <protection locked="0"/>
    </xf>
    <xf numFmtId="10" fontId="0" fillId="0" borderId="1" xfId="2" applyNumberFormat="1" applyFont="1" applyFill="1" applyBorder="1" applyAlignment="1" applyProtection="1">
      <alignment horizontal="center"/>
      <protection locked="0"/>
    </xf>
    <xf numFmtId="10" fontId="0" fillId="0" borderId="1" xfId="2" applyNumberFormat="1" applyFont="1" applyFill="1" applyBorder="1" applyAlignment="1" applyProtection="1">
      <alignment horizontal="center"/>
      <protection hidden="1"/>
    </xf>
    <xf numFmtId="169" fontId="131" fillId="8" borderId="12" xfId="1" applyNumberFormat="1" applyFont="1" applyFill="1" applyBorder="1" applyAlignment="1" applyProtection="1">
      <alignment shrinkToFit="1"/>
      <protection hidden="1"/>
    </xf>
    <xf numFmtId="0" fontId="132" fillId="11" borderId="0" xfId="0" applyFont="1" applyFill="1" applyAlignment="1" applyProtection="1">
      <alignment horizontal="right" vertical="justify" wrapText="1"/>
      <protection hidden="1"/>
    </xf>
    <xf numFmtId="169" fontId="132" fillId="11" borderId="0" xfId="0" applyNumberFormat="1" applyFont="1" applyFill="1" applyAlignment="1" applyProtection="1">
      <alignment horizontal="left" vertical="justify" wrapText="1"/>
      <protection hidden="1"/>
    </xf>
    <xf numFmtId="0" fontId="132" fillId="11" borderId="0" xfId="0" applyFont="1" applyFill="1" applyAlignment="1" applyProtection="1">
      <alignment vertical="justify" wrapText="1"/>
      <protection hidden="1"/>
    </xf>
    <xf numFmtId="10" fontId="132" fillId="11" borderId="0" xfId="0" applyNumberFormat="1" applyFont="1" applyFill="1" applyAlignment="1" applyProtection="1">
      <alignment horizontal="left" vertical="justify" wrapText="1"/>
      <protection hidden="1"/>
    </xf>
    <xf numFmtId="0" fontId="133" fillId="0" borderId="0" xfId="0" applyFont="1" applyAlignment="1" applyProtection="1">
      <alignment horizontal="right"/>
      <protection hidden="1"/>
    </xf>
    <xf numFmtId="0" fontId="24" fillId="11" borderId="37" xfId="0" applyFont="1" applyFill="1" applyBorder="1" applyAlignment="1" applyProtection="1">
      <alignment vertical="justify" wrapText="1"/>
      <protection hidden="1"/>
    </xf>
    <xf numFmtId="169" fontId="135" fillId="3" borderId="12" xfId="1" applyNumberFormat="1" applyFont="1" applyFill="1" applyBorder="1" applyAlignment="1" applyProtection="1">
      <alignment shrinkToFit="1"/>
      <protection hidden="1"/>
    </xf>
    <xf numFmtId="169" fontId="132" fillId="11" borderId="0" xfId="1" applyNumberFormat="1" applyFont="1" applyFill="1" applyBorder="1" applyAlignment="1" applyProtection="1">
      <alignment horizontal="left" vertical="justify" wrapText="1"/>
      <protection hidden="1"/>
    </xf>
    <xf numFmtId="168" fontId="132" fillId="11" borderId="0" xfId="2" applyNumberFormat="1" applyFont="1" applyFill="1" applyBorder="1" applyAlignment="1" applyProtection="1">
      <alignment vertical="justify" wrapText="1"/>
      <protection hidden="1"/>
    </xf>
    <xf numFmtId="0" fontId="132" fillId="11" borderId="0" xfId="0" applyFont="1" applyFill="1" applyAlignment="1" applyProtection="1">
      <alignment horizontal="right" vertical="center" wrapText="1"/>
      <protection hidden="1"/>
    </xf>
    <xf numFmtId="169" fontId="132" fillId="11" borderId="0" xfId="0" applyNumberFormat="1" applyFont="1" applyFill="1" applyAlignment="1" applyProtection="1">
      <alignment horizontal="left" vertical="center" wrapText="1"/>
      <protection hidden="1"/>
    </xf>
    <xf numFmtId="0" fontId="132" fillId="11" borderId="0" xfId="0" applyFont="1" applyFill="1" applyAlignment="1" applyProtection="1">
      <alignment vertical="center" wrapText="1"/>
      <protection hidden="1"/>
    </xf>
    <xf numFmtId="169" fontId="132" fillId="11" borderId="0" xfId="0" applyNumberFormat="1" applyFont="1" applyFill="1" applyAlignment="1" applyProtection="1">
      <alignment vertical="center" wrapText="1"/>
      <protection hidden="1"/>
    </xf>
    <xf numFmtId="10" fontId="132" fillId="11" borderId="0" xfId="0" applyNumberFormat="1" applyFont="1" applyFill="1" applyAlignment="1" applyProtection="1">
      <alignment horizontal="left" vertical="center" wrapText="1"/>
      <protection hidden="1"/>
    </xf>
    <xf numFmtId="169" fontId="136" fillId="4" borderId="12" xfId="1" applyNumberFormat="1" applyFont="1" applyFill="1" applyBorder="1" applyAlignment="1" applyProtection="1">
      <alignment shrinkToFit="1"/>
      <protection hidden="1"/>
    </xf>
    <xf numFmtId="0" fontId="132" fillId="11" borderId="0" xfId="0" applyFont="1" applyFill="1" applyAlignment="1" applyProtection="1">
      <alignment horizontal="right" vertical="top" wrapText="1"/>
      <protection hidden="1"/>
    </xf>
    <xf numFmtId="169" fontId="132" fillId="11" borderId="0" xfId="0" applyNumberFormat="1" applyFont="1" applyFill="1" applyAlignment="1" applyProtection="1">
      <alignment horizontal="left" vertical="top" wrapText="1"/>
      <protection hidden="1"/>
    </xf>
    <xf numFmtId="0" fontId="132" fillId="11" borderId="0" xfId="0" applyFont="1" applyFill="1" applyAlignment="1" applyProtection="1">
      <alignment vertical="top" wrapText="1"/>
      <protection hidden="1"/>
    </xf>
    <xf numFmtId="169" fontId="132" fillId="11" borderId="0" xfId="0" applyNumberFormat="1" applyFont="1" applyFill="1" applyAlignment="1" applyProtection="1">
      <alignment vertical="top" wrapText="1"/>
      <protection hidden="1"/>
    </xf>
    <xf numFmtId="10" fontId="132" fillId="11" borderId="0" xfId="0" applyNumberFormat="1" applyFont="1" applyFill="1" applyAlignment="1" applyProtection="1">
      <alignment horizontal="left" vertical="top" wrapText="1"/>
      <protection hidden="1"/>
    </xf>
    <xf numFmtId="9" fontId="24" fillId="11" borderId="0" xfId="0" applyNumberFormat="1" applyFont="1" applyFill="1" applyAlignment="1" applyProtection="1">
      <alignment vertical="justify" wrapText="1"/>
      <protection hidden="1"/>
    </xf>
    <xf numFmtId="3" fontId="130" fillId="20" borderId="9" xfId="1" applyNumberFormat="1" applyFont="1" applyFill="1" applyBorder="1" applyAlignment="1" applyProtection="1">
      <alignment horizontal="center" vertical="center" shrinkToFit="1"/>
      <protection hidden="1"/>
    </xf>
    <xf numFmtId="0" fontId="31" fillId="21" borderId="13" xfId="0" applyFont="1" applyFill="1" applyBorder="1" applyAlignment="1" applyProtection="1">
      <alignment vertical="center"/>
      <protection hidden="1"/>
    </xf>
    <xf numFmtId="9" fontId="37" fillId="18" borderId="29" xfId="2" applyFont="1" applyFill="1" applyBorder="1" applyAlignment="1" applyProtection="1">
      <alignment horizontal="right"/>
      <protection hidden="1"/>
    </xf>
    <xf numFmtId="175" fontId="32" fillId="15" borderId="52" xfId="4" applyNumberFormat="1" applyFont="1" applyFill="1" applyBorder="1" applyAlignment="1" applyProtection="1">
      <alignment horizontal="center" vertical="center"/>
      <protection hidden="1"/>
    </xf>
    <xf numFmtId="3" fontId="32" fillId="15" borderId="52" xfId="4" applyNumberFormat="1" applyFont="1" applyFill="1" applyBorder="1" applyAlignment="1" applyProtection="1">
      <alignment horizontal="center" vertical="center"/>
      <protection hidden="1"/>
    </xf>
    <xf numFmtId="164" fontId="0" fillId="0" borderId="0" xfId="0" applyNumberFormat="1" applyProtection="1">
      <protection hidden="1"/>
    </xf>
    <xf numFmtId="9" fontId="137" fillId="0" borderId="0" xfId="2" applyFont="1" applyAlignment="1" applyProtection="1">
      <alignment horizontal="center" vertical="center"/>
      <protection hidden="1"/>
    </xf>
    <xf numFmtId="0" fontId="140" fillId="0" borderId="0" xfId="0" applyFont="1" applyProtection="1">
      <protection hidden="1"/>
    </xf>
    <xf numFmtId="0" fontId="140" fillId="0" borderId="1" xfId="0" applyFont="1" applyBorder="1" applyProtection="1">
      <protection hidden="1"/>
    </xf>
    <xf numFmtId="10" fontId="140" fillId="0" borderId="1" xfId="0" applyNumberFormat="1" applyFont="1" applyBorder="1" applyAlignment="1" applyProtection="1">
      <alignment horizontal="center"/>
      <protection hidden="1"/>
    </xf>
    <xf numFmtId="10" fontId="140" fillId="0" borderId="0" xfId="0" applyNumberFormat="1" applyFont="1" applyProtection="1">
      <protection hidden="1"/>
    </xf>
    <xf numFmtId="0" fontId="0" fillId="0" borderId="0" xfId="0" applyAlignment="1">
      <alignment vertical="center"/>
    </xf>
    <xf numFmtId="169" fontId="141" fillId="41" borderId="1" xfId="1" applyNumberFormat="1" applyFont="1" applyFill="1" applyBorder="1" applyAlignment="1">
      <alignment horizontal="center" vertical="center" wrapText="1"/>
    </xf>
    <xf numFmtId="169" fontId="141" fillId="9" borderId="1" xfId="1" applyNumberFormat="1" applyFont="1" applyFill="1" applyBorder="1" applyAlignment="1">
      <alignment horizontal="center" vertical="center" wrapText="1"/>
    </xf>
    <xf numFmtId="169" fontId="0" fillId="6" borderId="1" xfId="1" applyNumberFormat="1" applyFont="1" applyFill="1" applyBorder="1" applyAlignment="1">
      <alignment vertical="center"/>
    </xf>
    <xf numFmtId="169" fontId="0" fillId="0" borderId="1" xfId="1" applyNumberFormat="1" applyFont="1" applyFill="1" applyBorder="1" applyAlignment="1">
      <alignment vertical="center"/>
    </xf>
    <xf numFmtId="0" fontId="0" fillId="0" borderId="105" xfId="0" applyBorder="1"/>
    <xf numFmtId="169" fontId="141" fillId="9" borderId="81" xfId="1" applyNumberFormat="1" applyFont="1" applyFill="1" applyBorder="1" applyAlignment="1">
      <alignment horizontal="center" vertical="center" wrapText="1"/>
    </xf>
    <xf numFmtId="169" fontId="0" fillId="6" borderId="81" xfId="1" applyNumberFormat="1" applyFont="1" applyFill="1" applyBorder="1" applyAlignment="1">
      <alignment vertical="center"/>
    </xf>
    <xf numFmtId="0" fontId="0" fillId="0" borderId="105" xfId="0" applyBorder="1" applyAlignment="1">
      <alignment vertical="center"/>
    </xf>
    <xf numFmtId="166" fontId="0" fillId="0" borderId="0" xfId="1" applyFont="1" applyBorder="1" applyAlignment="1">
      <alignment vertical="center"/>
    </xf>
    <xf numFmtId="0" fontId="0" fillId="6" borderId="82" xfId="0" applyFill="1" applyBorder="1" applyAlignment="1">
      <alignment vertical="center" wrapText="1"/>
    </xf>
    <xf numFmtId="0" fontId="141" fillId="18" borderId="82" xfId="0" applyFont="1" applyFill="1" applyBorder="1" applyAlignment="1">
      <alignment vertical="center" wrapText="1"/>
    </xf>
    <xf numFmtId="169" fontId="0" fillId="0" borderId="81" xfId="1" applyNumberFormat="1" applyFont="1" applyFill="1" applyBorder="1" applyAlignment="1">
      <alignment vertical="center"/>
    </xf>
    <xf numFmtId="0" fontId="0" fillId="6" borderId="82" xfId="0" applyFill="1" applyBorder="1" applyAlignment="1">
      <alignment horizontal="left" vertical="center" wrapText="1"/>
    </xf>
    <xf numFmtId="0" fontId="0" fillId="0" borderId="7" xfId="0" applyBorder="1" applyAlignment="1">
      <alignment vertical="center"/>
    </xf>
    <xf numFmtId="0" fontId="0" fillId="0" borderId="8" xfId="0" applyBorder="1" applyAlignment="1">
      <alignment vertical="center"/>
    </xf>
    <xf numFmtId="0" fontId="63" fillId="6" borderId="83" xfId="0" applyFont="1" applyFill="1" applyBorder="1" applyAlignment="1">
      <alignment horizontal="left" wrapText="1"/>
    </xf>
    <xf numFmtId="169" fontId="0" fillId="6" borderId="102" xfId="1" applyNumberFormat="1" applyFont="1" applyFill="1" applyBorder="1" applyAlignment="1">
      <alignment vertical="center"/>
    </xf>
    <xf numFmtId="169" fontId="0" fillId="6" borderId="84" xfId="1" applyNumberFormat="1" applyFont="1" applyFill="1" applyBorder="1" applyAlignment="1">
      <alignment vertical="center"/>
    </xf>
    <xf numFmtId="0" fontId="0" fillId="0" borderId="0" xfId="0" applyAlignment="1">
      <alignment wrapText="1"/>
    </xf>
    <xf numFmtId="0" fontId="0" fillId="0" borderId="101" xfId="0" applyBorder="1" applyAlignment="1">
      <alignment wrapText="1"/>
    </xf>
    <xf numFmtId="0" fontId="0" fillId="0" borderId="101" xfId="0" applyBorder="1" applyAlignment="1">
      <alignment vertical="center" wrapText="1"/>
    </xf>
    <xf numFmtId="0" fontId="0" fillId="6" borderId="82" xfId="0" applyFill="1" applyBorder="1" applyAlignment="1">
      <alignment wrapText="1"/>
    </xf>
    <xf numFmtId="0" fontId="0" fillId="0" borderId="6" xfId="0" applyBorder="1" applyAlignment="1">
      <alignment wrapText="1"/>
    </xf>
    <xf numFmtId="0" fontId="63" fillId="6" borderId="82" xfId="0" applyFont="1" applyFill="1" applyBorder="1" applyAlignment="1">
      <alignment wrapText="1"/>
    </xf>
    <xf numFmtId="0" fontId="54" fillId="0" borderId="0" xfId="0" applyFont="1" applyAlignment="1" applyProtection="1">
      <alignment horizontal="center"/>
      <protection hidden="1"/>
    </xf>
    <xf numFmtId="0" fontId="142" fillId="0" borderId="0" xfId="0" applyFont="1" applyProtection="1">
      <protection hidden="1"/>
    </xf>
    <xf numFmtId="169" fontId="142" fillId="0" borderId="0" xfId="1" applyNumberFormat="1" applyFont="1" applyProtection="1">
      <protection hidden="1"/>
    </xf>
    <xf numFmtId="169" fontId="142" fillId="0" borderId="0" xfId="0" applyNumberFormat="1" applyFont="1" applyProtection="1">
      <protection hidden="1"/>
    </xf>
    <xf numFmtId="0" fontId="142" fillId="0" borderId="0" xfId="0" applyFont="1" applyAlignment="1" applyProtection="1">
      <alignment horizontal="left"/>
      <protection hidden="1"/>
    </xf>
    <xf numFmtId="0" fontId="142" fillId="25" borderId="0" xfId="0" applyFont="1" applyFill="1" applyProtection="1">
      <protection hidden="1"/>
    </xf>
    <xf numFmtId="0" fontId="54" fillId="0" borderId="1" xfId="0" applyFont="1" applyBorder="1" applyAlignment="1" applyProtection="1">
      <alignment horizontal="center" vertical="center"/>
      <protection hidden="1"/>
    </xf>
    <xf numFmtId="0" fontId="54" fillId="0" borderId="1" xfId="0" applyFont="1" applyBorder="1" applyAlignment="1" applyProtection="1">
      <alignment horizontal="center"/>
      <protection hidden="1"/>
    </xf>
    <xf numFmtId="0" fontId="59" fillId="0" borderId="1" xfId="0" applyFont="1" applyBorder="1" applyProtection="1">
      <protection hidden="1"/>
    </xf>
    <xf numFmtId="0" fontId="59" fillId="0" borderId="1" xfId="0" applyFont="1" applyBorder="1" applyAlignment="1" applyProtection="1">
      <alignment horizontal="center" vertical="center"/>
      <protection hidden="1"/>
    </xf>
    <xf numFmtId="169" fontId="59" fillId="0" borderId="1" xfId="1" applyNumberFormat="1" applyFont="1" applyBorder="1" applyProtection="1">
      <protection hidden="1"/>
    </xf>
    <xf numFmtId="0" fontId="142" fillId="0" borderId="1" xfId="0" applyFont="1" applyBorder="1" applyProtection="1">
      <protection hidden="1"/>
    </xf>
    <xf numFmtId="0" fontId="70" fillId="27" borderId="1" xfId="0" applyFont="1" applyFill="1" applyBorder="1" applyAlignment="1" applyProtection="1">
      <alignment vertical="center"/>
      <protection locked="0"/>
    </xf>
    <xf numFmtId="0" fontId="0" fillId="0" borderId="1" xfId="0" applyBorder="1"/>
    <xf numFmtId="0" fontId="31" fillId="21" borderId="1" xfId="0" applyFont="1" applyFill="1" applyBorder="1" applyAlignment="1" applyProtection="1">
      <alignment vertical="center"/>
      <protection hidden="1"/>
    </xf>
    <xf numFmtId="169" fontId="143" fillId="6" borderId="1" xfId="1" applyNumberFormat="1" applyFont="1" applyFill="1" applyBorder="1" applyAlignment="1" applyProtection="1">
      <alignment horizontal="center"/>
      <protection hidden="1"/>
    </xf>
    <xf numFmtId="0" fontId="26" fillId="0" borderId="0" xfId="0" applyFont="1"/>
    <xf numFmtId="0" fontId="26" fillId="0" borderId="0" xfId="0" applyFont="1" applyAlignment="1">
      <alignment vertical="center"/>
    </xf>
    <xf numFmtId="0" fontId="26" fillId="0" borderId="0" xfId="0" applyFont="1" applyAlignment="1">
      <alignment wrapText="1"/>
    </xf>
    <xf numFmtId="0" fontId="0" fillId="0" borderId="0" xfId="0" applyAlignment="1">
      <alignment horizontal="left"/>
    </xf>
    <xf numFmtId="0" fontId="144" fillId="0" borderId="0" xfId="0" applyFont="1" applyAlignment="1">
      <alignment vertical="center" wrapText="1"/>
    </xf>
    <xf numFmtId="169" fontId="26" fillId="0" borderId="0" xfId="1" applyNumberFormat="1" applyFont="1" applyBorder="1"/>
    <xf numFmtId="0" fontId="86" fillId="0" borderId="0" xfId="5" applyFont="1" applyFill="1" applyBorder="1" applyAlignment="1" applyProtection="1">
      <alignment wrapText="1"/>
      <protection hidden="1"/>
    </xf>
    <xf numFmtId="0" fontId="40" fillId="0" borderId="0" xfId="0" applyFont="1" applyAlignment="1" applyProtection="1">
      <alignment vertical="center"/>
      <protection hidden="1"/>
    </xf>
    <xf numFmtId="169" fontId="53" fillId="0" borderId="0" xfId="1" applyNumberFormat="1" applyFont="1" applyFill="1" applyBorder="1" applyAlignment="1" applyProtection="1">
      <alignment vertical="center"/>
      <protection hidden="1"/>
    </xf>
    <xf numFmtId="0" fontId="85" fillId="40" borderId="0" xfId="0" applyFont="1" applyFill="1" applyAlignment="1">
      <alignment horizontal="center"/>
    </xf>
    <xf numFmtId="0" fontId="0" fillId="0" borderId="1" xfId="0" applyBorder="1" applyAlignment="1">
      <alignment horizontal="left"/>
    </xf>
    <xf numFmtId="166" fontId="0" fillId="0" borderId="1" xfId="1" applyFont="1" applyBorder="1"/>
    <xf numFmtId="49" fontId="0" fillId="0" borderId="1" xfId="0" applyNumberFormat="1" applyBorder="1" applyAlignment="1">
      <alignment horizontal="center"/>
    </xf>
    <xf numFmtId="0" fontId="146" fillId="5" borderId="0" xfId="0" applyFont="1" applyFill="1" applyProtection="1">
      <protection hidden="1"/>
    </xf>
    <xf numFmtId="0" fontId="27" fillId="0" borderId="0" xfId="0" applyFont="1" applyAlignment="1" applyProtection="1">
      <alignment horizontal="center"/>
      <protection hidden="1"/>
    </xf>
    <xf numFmtId="0" fontId="27" fillId="15" borderId="1" xfId="0" applyFont="1" applyFill="1" applyBorder="1" applyAlignment="1" applyProtection="1">
      <alignment horizontal="center"/>
      <protection hidden="1"/>
    </xf>
    <xf numFmtId="167" fontId="147" fillId="7" borderId="0" xfId="1" applyNumberFormat="1" applyFont="1" applyFill="1" applyBorder="1" applyAlignment="1" applyProtection="1">
      <alignment horizontal="right" vertical="center"/>
      <protection hidden="1"/>
    </xf>
    <xf numFmtId="0" fontId="138" fillId="39" borderId="116" xfId="0" applyFont="1" applyFill="1" applyBorder="1" applyAlignment="1" applyProtection="1">
      <alignment horizontal="center" vertical="center" readingOrder="1"/>
      <protection hidden="1"/>
    </xf>
    <xf numFmtId="0" fontId="138" fillId="39" borderId="1" xfId="0" applyFont="1" applyFill="1" applyBorder="1" applyAlignment="1" applyProtection="1">
      <alignment horizontal="center" vertical="center" readingOrder="1"/>
      <protection hidden="1"/>
    </xf>
    <xf numFmtId="0" fontId="138" fillId="40" borderId="1" xfId="0" applyFont="1" applyFill="1" applyBorder="1" applyAlignment="1" applyProtection="1">
      <alignment horizontal="center" vertical="center" readingOrder="1"/>
      <protection hidden="1"/>
    </xf>
    <xf numFmtId="0" fontId="139" fillId="38" borderId="117" xfId="0" applyFont="1" applyFill="1" applyBorder="1" applyAlignment="1" applyProtection="1">
      <alignment horizontal="left" vertical="center" readingOrder="1"/>
      <protection hidden="1"/>
    </xf>
    <xf numFmtId="10" fontId="139" fillId="38" borderId="1" xfId="0" applyNumberFormat="1" applyFont="1" applyFill="1" applyBorder="1" applyAlignment="1" applyProtection="1">
      <alignment horizontal="center" vertical="center" readingOrder="1"/>
      <protection hidden="1"/>
    </xf>
    <xf numFmtId="0" fontId="85" fillId="40" borderId="1" xfId="0" applyFont="1" applyFill="1" applyBorder="1" applyAlignment="1" applyProtection="1">
      <alignment horizontal="center" vertical="center" wrapText="1"/>
      <protection hidden="1"/>
    </xf>
    <xf numFmtId="0" fontId="62" fillId="0" borderId="1" xfId="0" applyFont="1" applyBorder="1" applyAlignment="1" applyProtection="1">
      <alignment horizontal="center" vertical="center" wrapText="1"/>
      <protection hidden="1"/>
    </xf>
    <xf numFmtId="10" fontId="0" fillId="0" borderId="1" xfId="0" applyNumberFormat="1" applyBorder="1" applyAlignment="1" applyProtection="1">
      <alignment horizontal="center" vertical="center" wrapText="1"/>
      <protection hidden="1"/>
    </xf>
    <xf numFmtId="0" fontId="0" fillId="0" borderId="0" xfId="0" applyAlignment="1" applyProtection="1">
      <alignment vertical="center" wrapText="1"/>
      <protection hidden="1"/>
    </xf>
    <xf numFmtId="0" fontId="145" fillId="40" borderId="116" xfId="0" applyFont="1" applyFill="1" applyBorder="1" applyAlignment="1" applyProtection="1">
      <alignment horizontal="center" vertical="center" readingOrder="1"/>
      <protection hidden="1"/>
    </xf>
    <xf numFmtId="0" fontId="57" fillId="3" borderId="30" xfId="0" applyFont="1" applyFill="1" applyBorder="1" applyAlignment="1" applyProtection="1">
      <alignment horizontal="center" vertical="center" wrapText="1"/>
      <protection hidden="1"/>
    </xf>
    <xf numFmtId="0" fontId="57" fillId="3" borderId="31" xfId="0" applyFont="1" applyFill="1" applyBorder="1" applyAlignment="1" applyProtection="1">
      <alignment horizontal="center" vertical="center" wrapText="1"/>
      <protection hidden="1"/>
    </xf>
    <xf numFmtId="0" fontId="57" fillId="3" borderId="32" xfId="0" applyFont="1" applyFill="1" applyBorder="1" applyAlignment="1" applyProtection="1">
      <alignment horizontal="center" vertical="center" wrapText="1"/>
      <protection hidden="1"/>
    </xf>
    <xf numFmtId="0" fontId="57" fillId="3" borderId="33" xfId="0" applyFont="1" applyFill="1" applyBorder="1" applyAlignment="1" applyProtection="1">
      <alignment horizontal="center" vertical="center" wrapText="1"/>
      <protection hidden="1"/>
    </xf>
    <xf numFmtId="0" fontId="57" fillId="3" borderId="34" xfId="0" applyFont="1" applyFill="1" applyBorder="1" applyAlignment="1" applyProtection="1">
      <alignment horizontal="center" vertical="center" wrapText="1"/>
      <protection hidden="1"/>
    </xf>
    <xf numFmtId="0" fontId="57" fillId="3" borderId="35" xfId="0" applyFont="1" applyFill="1" applyBorder="1" applyAlignment="1" applyProtection="1">
      <alignment horizontal="center" vertical="center" wrapText="1"/>
      <protection hidden="1"/>
    </xf>
    <xf numFmtId="0" fontId="56" fillId="0" borderId="35" xfId="0" applyFont="1" applyBorder="1" applyAlignment="1" applyProtection="1">
      <alignment horizontal="center" vertical="top"/>
      <protection hidden="1"/>
    </xf>
    <xf numFmtId="0" fontId="56" fillId="0" borderId="12" xfId="0" applyFont="1" applyBorder="1" applyAlignment="1" applyProtection="1">
      <alignment horizontal="center" vertical="top"/>
      <protection hidden="1"/>
    </xf>
    <xf numFmtId="0" fontId="56" fillId="0" borderId="85" xfId="0" applyFont="1" applyBorder="1" applyAlignment="1" applyProtection="1">
      <alignment horizontal="center" vertical="top"/>
      <protection hidden="1"/>
    </xf>
    <xf numFmtId="0" fontId="56" fillId="0" borderId="44" xfId="0" applyFont="1" applyBorder="1" applyAlignment="1" applyProtection="1">
      <alignment horizontal="center" vertical="top"/>
      <protection hidden="1"/>
    </xf>
    <xf numFmtId="0" fontId="56" fillId="0" borderId="1" xfId="0" applyFont="1" applyBorder="1" applyAlignment="1" applyProtection="1">
      <alignment horizontal="center" vertical="top"/>
      <protection hidden="1"/>
    </xf>
    <xf numFmtId="0" fontId="56" fillId="0" borderId="81" xfId="0" applyFont="1" applyBorder="1" applyAlignment="1" applyProtection="1">
      <alignment horizontal="center" vertical="top"/>
      <protection hidden="1"/>
    </xf>
    <xf numFmtId="0" fontId="56" fillId="0" borderId="104" xfId="0" applyFont="1" applyBorder="1" applyAlignment="1" applyProtection="1">
      <alignment horizontal="center" vertical="top"/>
      <protection hidden="1"/>
    </xf>
    <xf numFmtId="0" fontId="56" fillId="0" borderId="102" xfId="0" applyFont="1" applyBorder="1" applyAlignment="1" applyProtection="1">
      <alignment horizontal="center" vertical="top"/>
      <protection hidden="1"/>
    </xf>
    <xf numFmtId="0" fontId="56" fillId="0" borderId="84" xfId="0" applyFont="1" applyBorder="1" applyAlignment="1" applyProtection="1">
      <alignment horizontal="center" vertical="top"/>
      <protection hidden="1"/>
    </xf>
    <xf numFmtId="0" fontId="56" fillId="0" borderId="103" xfId="0" applyFont="1" applyBorder="1" applyAlignment="1" applyProtection="1">
      <alignment horizontal="center" vertical="top"/>
      <protection hidden="1"/>
    </xf>
    <xf numFmtId="0" fontId="56" fillId="0" borderId="100" xfId="0" applyFont="1" applyBorder="1" applyAlignment="1" applyProtection="1">
      <alignment horizontal="center" vertical="top"/>
      <protection hidden="1"/>
    </xf>
    <xf numFmtId="0" fontId="56" fillId="0" borderId="87" xfId="0" applyFont="1" applyBorder="1" applyAlignment="1" applyProtection="1">
      <alignment horizontal="center" vertical="top"/>
      <protection hidden="1"/>
    </xf>
    <xf numFmtId="0" fontId="56" fillId="0" borderId="0" xfId="0" applyFont="1" applyAlignment="1" applyProtection="1">
      <alignment horizontal="center" vertical="top" wrapText="1"/>
      <protection hidden="1"/>
    </xf>
    <xf numFmtId="0" fontId="79" fillId="31" borderId="0" xfId="5" applyFont="1" applyFill="1" applyBorder="1" applyAlignment="1" applyProtection="1">
      <alignment horizontal="center" wrapText="1"/>
      <protection hidden="1"/>
    </xf>
    <xf numFmtId="0" fontId="118" fillId="31" borderId="3" xfId="0" applyFont="1" applyFill="1" applyBorder="1" applyAlignment="1" applyProtection="1">
      <alignment horizontal="center" vertical="center" wrapText="1"/>
      <protection hidden="1"/>
    </xf>
    <xf numFmtId="0" fontId="118" fillId="31" borderId="4" xfId="0" applyFont="1" applyFill="1" applyBorder="1" applyAlignment="1" applyProtection="1">
      <alignment horizontal="center" vertical="center" wrapText="1"/>
      <protection hidden="1"/>
    </xf>
    <xf numFmtId="0" fontId="118" fillId="31" borderId="5" xfId="0" applyFont="1" applyFill="1" applyBorder="1" applyAlignment="1" applyProtection="1">
      <alignment horizontal="center" vertical="center" wrapText="1"/>
      <protection hidden="1"/>
    </xf>
    <xf numFmtId="0" fontId="118" fillId="31" borderId="101" xfId="0" applyFont="1" applyFill="1" applyBorder="1" applyAlignment="1" applyProtection="1">
      <alignment horizontal="center" vertical="center" wrapText="1"/>
      <protection hidden="1"/>
    </xf>
    <xf numFmtId="0" fontId="118" fillId="31" borderId="0" xfId="0" applyFont="1" applyFill="1" applyAlignment="1" applyProtection="1">
      <alignment horizontal="center" vertical="center" wrapText="1"/>
      <protection hidden="1"/>
    </xf>
    <xf numFmtId="0" fontId="118" fillId="31" borderId="105" xfId="0" applyFont="1" applyFill="1" applyBorder="1" applyAlignment="1" applyProtection="1">
      <alignment horizontal="center" vertical="center" wrapText="1"/>
      <protection hidden="1"/>
    </xf>
    <xf numFmtId="0" fontId="118" fillId="31" borderId="6" xfId="0" applyFont="1" applyFill="1" applyBorder="1" applyAlignment="1" applyProtection="1">
      <alignment horizontal="center" vertical="center" wrapText="1"/>
      <protection hidden="1"/>
    </xf>
    <xf numFmtId="0" fontId="118" fillId="31" borderId="7" xfId="0" applyFont="1" applyFill="1" applyBorder="1" applyAlignment="1" applyProtection="1">
      <alignment horizontal="center" vertical="center" wrapText="1"/>
      <protection hidden="1"/>
    </xf>
    <xf numFmtId="0" fontId="118" fillId="31" borderId="8" xfId="0" applyFont="1" applyFill="1" applyBorder="1" applyAlignment="1" applyProtection="1">
      <alignment horizontal="center" vertical="center" wrapText="1"/>
      <protection hidden="1"/>
    </xf>
    <xf numFmtId="0" fontId="129" fillId="0" borderId="78" xfId="0" applyFont="1" applyBorder="1" applyAlignment="1" applyProtection="1">
      <alignment horizontal="center" vertical="top"/>
      <protection hidden="1"/>
    </xf>
    <xf numFmtId="0" fontId="129" fillId="0" borderId="111" xfId="0" applyFont="1" applyBorder="1" applyAlignment="1" applyProtection="1">
      <alignment horizontal="center" vertical="top"/>
      <protection hidden="1"/>
    </xf>
    <xf numFmtId="0" fontId="129" fillId="0" borderId="79" xfId="0" applyFont="1" applyBorder="1" applyAlignment="1" applyProtection="1">
      <alignment horizontal="center" vertical="top"/>
      <protection hidden="1"/>
    </xf>
    <xf numFmtId="0" fontId="140" fillId="0" borderId="1" xfId="0" applyFont="1" applyBorder="1" applyAlignment="1" applyProtection="1">
      <alignment horizontal="center" vertical="center"/>
      <protection hidden="1"/>
    </xf>
    <xf numFmtId="0" fontId="64" fillId="26" borderId="1" xfId="0" applyFont="1" applyFill="1" applyBorder="1" applyAlignment="1" applyProtection="1">
      <alignment horizontal="center"/>
      <protection hidden="1"/>
    </xf>
    <xf numFmtId="0" fontId="85" fillId="40" borderId="1" xfId="0" applyFont="1" applyFill="1" applyBorder="1" applyAlignment="1" applyProtection="1">
      <alignment horizontal="center" vertical="center" wrapText="1"/>
      <protection hidden="1"/>
    </xf>
    <xf numFmtId="0" fontId="86" fillId="0" borderId="1" xfId="5" applyFont="1" applyFill="1" applyBorder="1" applyAlignment="1" applyProtection="1">
      <alignment horizontal="center" wrapText="1"/>
      <protection hidden="1"/>
    </xf>
    <xf numFmtId="0" fontId="40" fillId="22" borderId="1" xfId="0" applyFont="1" applyFill="1" applyBorder="1" applyAlignment="1" applyProtection="1">
      <alignment horizontal="center" vertical="center"/>
      <protection hidden="1"/>
    </xf>
    <xf numFmtId="169" fontId="53" fillId="27" borderId="1" xfId="1" applyNumberFormat="1" applyFont="1" applyFill="1" applyBorder="1" applyAlignment="1" applyProtection="1">
      <alignment horizontal="center" vertical="center"/>
      <protection hidden="1"/>
    </xf>
    <xf numFmtId="0" fontId="85" fillId="40" borderId="82" xfId="0" applyFont="1" applyFill="1" applyBorder="1" applyAlignment="1">
      <alignment horizontal="center" vertical="center"/>
    </xf>
    <xf numFmtId="0" fontId="85" fillId="40" borderId="1" xfId="0" applyFont="1" applyFill="1" applyBorder="1" applyAlignment="1">
      <alignment horizontal="center" vertical="center"/>
    </xf>
    <xf numFmtId="0" fontId="85" fillId="40" borderId="81" xfId="0" applyFont="1" applyFill="1" applyBorder="1" applyAlignment="1">
      <alignment horizontal="center" vertical="center"/>
    </xf>
    <xf numFmtId="169" fontId="141" fillId="41" borderId="1" xfId="1" applyNumberFormat="1" applyFont="1" applyFill="1" applyBorder="1" applyAlignment="1">
      <alignment horizontal="center" vertical="center" wrapText="1"/>
    </xf>
    <xf numFmtId="169" fontId="141" fillId="9" borderId="1" xfId="1" applyNumberFormat="1" applyFont="1" applyFill="1" applyBorder="1" applyAlignment="1">
      <alignment horizontal="center" vertical="center" wrapText="1"/>
    </xf>
    <xf numFmtId="169" fontId="141" fillId="9" borderId="81" xfId="1" applyNumberFormat="1" applyFont="1" applyFill="1" applyBorder="1" applyAlignment="1">
      <alignment horizontal="center" vertical="center" wrapText="1"/>
    </xf>
    <xf numFmtId="0" fontId="85" fillId="40" borderId="82" xfId="0" applyFont="1" applyFill="1" applyBorder="1" applyAlignment="1">
      <alignment horizontal="center" vertical="center" wrapText="1"/>
    </xf>
    <xf numFmtId="0" fontId="85" fillId="40" borderId="86" xfId="0" applyFont="1" applyFill="1" applyBorder="1" applyAlignment="1">
      <alignment horizontal="center" wrapText="1"/>
    </xf>
    <xf numFmtId="0" fontId="85" fillId="40" borderId="100" xfId="0" applyFont="1" applyFill="1" applyBorder="1" applyAlignment="1">
      <alignment horizontal="center"/>
    </xf>
    <xf numFmtId="0" fontId="85" fillId="40" borderId="87" xfId="0" applyFont="1" applyFill="1" applyBorder="1" applyAlignment="1">
      <alignment horizontal="center"/>
    </xf>
    <xf numFmtId="0" fontId="85" fillId="40" borderId="0" xfId="0" applyFont="1" applyFill="1" applyAlignment="1">
      <alignment horizontal="center" wrapText="1"/>
    </xf>
    <xf numFmtId="0" fontId="85" fillId="40" borderId="86" xfId="0" applyFont="1" applyFill="1" applyBorder="1" applyAlignment="1">
      <alignment horizontal="center" vertical="center" wrapText="1"/>
    </xf>
    <xf numFmtId="0" fontId="85" fillId="40" borderId="100" xfId="0" applyFont="1" applyFill="1" applyBorder="1" applyAlignment="1">
      <alignment horizontal="center" vertical="center"/>
    </xf>
    <xf numFmtId="0" fontId="85" fillId="40" borderId="87" xfId="0" applyFont="1" applyFill="1" applyBorder="1" applyAlignment="1">
      <alignment horizontal="center" vertical="center"/>
    </xf>
    <xf numFmtId="0" fontId="114" fillId="8" borderId="86" xfId="0" applyFont="1" applyFill="1" applyBorder="1" applyAlignment="1">
      <alignment horizontal="center" vertical="center"/>
    </xf>
    <xf numFmtId="0" fontId="114" fillId="8" borderId="82" xfId="0" applyFont="1" applyFill="1" applyBorder="1" applyAlignment="1">
      <alignment horizontal="center" vertical="center"/>
    </xf>
    <xf numFmtId="0" fontId="114" fillId="8" borderId="83" xfId="0" applyFont="1" applyFill="1" applyBorder="1" applyAlignment="1">
      <alignment horizontal="center" vertical="center"/>
    </xf>
    <xf numFmtId="0" fontId="114" fillId="8" borderId="80" xfId="0" applyFont="1" applyFill="1" applyBorder="1" applyAlignment="1">
      <alignment horizontal="center" vertical="center"/>
    </xf>
    <xf numFmtId="0" fontId="111" fillId="6" borderId="92" xfId="0" applyFont="1" applyFill="1" applyBorder="1" applyAlignment="1">
      <alignment horizontal="left" wrapText="1"/>
    </xf>
    <xf numFmtId="0" fontId="111" fillId="6" borderId="93" xfId="0" applyFont="1" applyFill="1" applyBorder="1" applyAlignment="1">
      <alignment horizontal="left" wrapText="1"/>
    </xf>
    <xf numFmtId="0" fontId="113" fillId="34" borderId="0" xfId="0" applyFont="1" applyFill="1" applyAlignment="1">
      <alignment horizontal="center" wrapText="1"/>
    </xf>
    <xf numFmtId="0" fontId="113" fillId="34" borderId="0" xfId="0" applyFont="1" applyFill="1" applyAlignment="1">
      <alignment horizontal="center"/>
    </xf>
    <xf numFmtId="0" fontId="27" fillId="8" borderId="94" xfId="0" applyFont="1" applyFill="1" applyBorder="1" applyAlignment="1">
      <alignment horizontal="center"/>
    </xf>
    <xf numFmtId="0" fontId="27" fillId="8" borderId="95" xfId="0" applyFont="1" applyFill="1" applyBorder="1" applyAlignment="1">
      <alignment horizontal="center"/>
    </xf>
    <xf numFmtId="0" fontId="111" fillId="0" borderId="82" xfId="0" applyFont="1" applyBorder="1" applyAlignment="1">
      <alignment horizontal="left" wrapText="1"/>
    </xf>
    <xf numFmtId="0" fontId="111" fillId="0" borderId="81" xfId="0" applyFont="1" applyBorder="1" applyAlignment="1">
      <alignment horizontal="left" wrapText="1"/>
    </xf>
    <xf numFmtId="0" fontId="108" fillId="34" borderId="86" xfId="0" applyFont="1" applyFill="1" applyBorder="1" applyAlignment="1">
      <alignment horizontal="center" wrapText="1"/>
    </xf>
    <xf numFmtId="0" fontId="108" fillId="34" borderId="87" xfId="0" applyFont="1" applyFill="1" applyBorder="1" applyAlignment="1">
      <alignment horizontal="center"/>
    </xf>
    <xf numFmtId="0" fontId="108" fillId="34" borderId="88" xfId="0" applyFont="1" applyFill="1" applyBorder="1" applyAlignment="1">
      <alignment horizontal="center" vertical="center" wrapText="1"/>
    </xf>
    <xf numFmtId="0" fontId="108" fillId="34" borderId="89" xfId="0" applyFont="1" applyFill="1" applyBorder="1" applyAlignment="1">
      <alignment horizontal="center" vertical="center" wrapText="1"/>
    </xf>
    <xf numFmtId="0" fontId="108" fillId="34" borderId="78" xfId="0" applyFont="1" applyFill="1" applyBorder="1" applyAlignment="1">
      <alignment horizontal="center" vertical="center" wrapText="1"/>
    </xf>
    <xf numFmtId="0" fontId="108" fillId="34" borderId="79" xfId="0" applyFont="1" applyFill="1" applyBorder="1" applyAlignment="1">
      <alignment horizontal="center" vertical="center" wrapText="1"/>
    </xf>
    <xf numFmtId="0" fontId="108" fillId="34" borderId="78" xfId="0" applyFont="1" applyFill="1" applyBorder="1" applyAlignment="1">
      <alignment horizontal="center" vertical="center"/>
    </xf>
    <xf numFmtId="0" fontId="108" fillId="34" borderId="79" xfId="0" applyFont="1" applyFill="1" applyBorder="1" applyAlignment="1">
      <alignment horizontal="center" vertical="center"/>
    </xf>
    <xf numFmtId="0" fontId="111" fillId="0" borderId="90" xfId="0" applyFont="1" applyBorder="1" applyAlignment="1">
      <alignment horizontal="left"/>
    </xf>
    <xf numFmtId="0" fontId="111" fillId="0" borderId="91" xfId="0" applyFont="1" applyBorder="1" applyAlignment="1">
      <alignment horizontal="left"/>
    </xf>
    <xf numFmtId="0" fontId="111" fillId="0" borderId="92" xfId="0" applyFont="1" applyBorder="1" applyAlignment="1">
      <alignment horizontal="left"/>
    </xf>
    <xf numFmtId="0" fontId="111" fillId="0" borderId="93" xfId="0" applyFont="1" applyBorder="1" applyAlignment="1">
      <alignment horizontal="left"/>
    </xf>
    <xf numFmtId="0" fontId="111" fillId="0" borderId="92" xfId="0" applyFont="1" applyBorder="1" applyAlignment="1">
      <alignment horizontal="left" wrapText="1"/>
    </xf>
    <xf numFmtId="0" fontId="111" fillId="0" borderId="93" xfId="0" applyFont="1" applyBorder="1" applyAlignment="1">
      <alignment horizontal="left" wrapText="1"/>
    </xf>
    <xf numFmtId="0" fontId="111" fillId="0" borderId="82" xfId="0" applyFont="1" applyBorder="1" applyAlignment="1">
      <alignment horizontal="left"/>
    </xf>
    <xf numFmtId="0" fontId="111" fillId="0" borderId="81" xfId="0" applyFont="1" applyBorder="1" applyAlignment="1">
      <alignment horizontal="left"/>
    </xf>
    <xf numFmtId="0" fontId="111" fillId="0" borderId="86" xfId="0" applyFont="1" applyBorder="1" applyAlignment="1">
      <alignment horizontal="left"/>
    </xf>
    <xf numFmtId="0" fontId="111" fillId="0" borderId="87" xfId="0" applyFont="1" applyBorder="1" applyAlignment="1">
      <alignment horizontal="left"/>
    </xf>
    <xf numFmtId="0" fontId="40" fillId="23" borderId="20" xfId="0" applyFont="1" applyFill="1" applyBorder="1" applyAlignment="1" applyProtection="1">
      <alignment horizontal="center" vertical="center"/>
      <protection hidden="1"/>
    </xf>
    <xf numFmtId="0" fontId="40" fillId="23" borderId="21" xfId="0" applyFont="1" applyFill="1" applyBorder="1" applyAlignment="1" applyProtection="1">
      <alignment horizontal="center" vertical="center"/>
      <protection hidden="1"/>
    </xf>
    <xf numFmtId="0" fontId="40" fillId="23" borderId="22" xfId="0" applyFont="1" applyFill="1" applyBorder="1" applyAlignment="1" applyProtection="1">
      <alignment horizontal="center" vertical="center"/>
      <protection hidden="1"/>
    </xf>
    <xf numFmtId="0" fontId="86" fillId="0" borderId="0" xfId="5" applyFont="1" applyFill="1" applyBorder="1" applyAlignment="1" applyProtection="1">
      <alignment horizontal="center" wrapText="1"/>
      <protection hidden="1"/>
    </xf>
    <xf numFmtId="0" fontId="40" fillId="22" borderId="0" xfId="0" applyFont="1" applyFill="1" applyAlignment="1" applyProtection="1">
      <alignment horizontal="center" vertical="center"/>
      <protection hidden="1"/>
    </xf>
    <xf numFmtId="169" fontId="53" fillId="27" borderId="30" xfId="1" applyNumberFormat="1" applyFont="1" applyFill="1" applyBorder="1" applyAlignment="1" applyProtection="1">
      <alignment horizontal="center" vertical="center"/>
      <protection hidden="1"/>
    </xf>
    <xf numFmtId="169" fontId="53" fillId="27" borderId="37" xfId="1" applyNumberFormat="1" applyFont="1" applyFill="1" applyBorder="1" applyAlignment="1" applyProtection="1">
      <alignment horizontal="center" vertical="center"/>
      <protection hidden="1"/>
    </xf>
    <xf numFmtId="169" fontId="53" fillId="27" borderId="31" xfId="1" applyNumberFormat="1" applyFont="1" applyFill="1" applyBorder="1" applyAlignment="1" applyProtection="1">
      <alignment horizontal="center" vertical="center"/>
      <protection hidden="1"/>
    </xf>
    <xf numFmtId="0" fontId="40" fillId="23" borderId="39" xfId="0" applyFont="1" applyFill="1" applyBorder="1" applyAlignment="1" applyProtection="1">
      <alignment horizontal="center" vertical="center"/>
      <protection hidden="1"/>
    </xf>
    <xf numFmtId="0" fontId="40" fillId="23" borderId="0" xfId="0" applyFont="1" applyFill="1" applyAlignment="1" applyProtection="1">
      <alignment horizontal="center" vertical="center"/>
      <protection hidden="1"/>
    </xf>
    <xf numFmtId="0" fontId="40" fillId="23" borderId="40" xfId="0" applyFont="1" applyFill="1" applyBorder="1" applyAlignment="1" applyProtection="1">
      <alignment horizontal="center" vertical="center"/>
      <protection hidden="1"/>
    </xf>
    <xf numFmtId="0" fontId="40" fillId="6" borderId="0" xfId="0" applyFont="1" applyFill="1" applyAlignment="1" applyProtection="1">
      <alignment horizontal="center" vertical="center"/>
      <protection hidden="1"/>
    </xf>
    <xf numFmtId="0" fontId="31" fillId="21" borderId="38" xfId="0" applyFont="1" applyFill="1" applyBorder="1" applyAlignment="1" applyProtection="1">
      <alignment horizontal="left" vertical="center"/>
      <protection hidden="1"/>
    </xf>
    <xf numFmtId="0" fontId="31" fillId="21" borderId="0" xfId="0" applyFont="1" applyFill="1" applyAlignment="1" applyProtection="1">
      <alignment horizontal="left" vertical="center"/>
      <protection hidden="1"/>
    </xf>
    <xf numFmtId="0" fontId="70" fillId="27" borderId="1" xfId="0" applyFont="1" applyFill="1" applyBorder="1" applyAlignment="1" applyProtection="1">
      <alignment horizontal="center" vertical="center"/>
      <protection locked="0"/>
    </xf>
    <xf numFmtId="0" fontId="70" fillId="27" borderId="44" xfId="0" applyFont="1" applyFill="1" applyBorder="1" applyAlignment="1" applyProtection="1">
      <alignment horizontal="center" vertical="center"/>
      <protection locked="0"/>
    </xf>
    <xf numFmtId="0" fontId="30" fillId="7" borderId="0" xfId="0" applyFont="1" applyFill="1" applyAlignment="1" applyProtection="1">
      <alignment horizontal="left" vertical="center"/>
      <protection hidden="1"/>
    </xf>
    <xf numFmtId="0" fontId="31" fillId="21" borderId="19" xfId="0" applyFont="1" applyFill="1" applyBorder="1" applyAlignment="1" applyProtection="1">
      <alignment horizontal="left" vertical="center"/>
      <protection hidden="1"/>
    </xf>
    <xf numFmtId="0" fontId="31" fillId="21" borderId="46" xfId="0" applyFont="1" applyFill="1" applyBorder="1" applyAlignment="1" applyProtection="1">
      <alignment horizontal="left" vertical="center"/>
      <protection hidden="1"/>
    </xf>
    <xf numFmtId="0" fontId="31" fillId="21" borderId="43" xfId="0" applyFont="1" applyFill="1" applyBorder="1" applyAlignment="1" applyProtection="1">
      <alignment horizontal="left" vertical="center"/>
      <protection hidden="1"/>
    </xf>
    <xf numFmtId="0" fontId="31" fillId="21" borderId="16" xfId="0" applyFont="1" applyFill="1" applyBorder="1" applyAlignment="1" applyProtection="1">
      <alignment horizontal="left" vertical="center"/>
      <protection hidden="1"/>
    </xf>
    <xf numFmtId="0" fontId="31" fillId="21" borderId="26" xfId="0" applyFont="1" applyFill="1" applyBorder="1" applyAlignment="1" applyProtection="1">
      <alignment horizontal="left" vertical="center"/>
      <protection hidden="1"/>
    </xf>
    <xf numFmtId="0" fontId="31" fillId="21" borderId="13" xfId="0" applyFont="1" applyFill="1" applyBorder="1" applyAlignment="1" applyProtection="1">
      <alignment horizontal="left" vertical="center"/>
      <protection hidden="1"/>
    </xf>
    <xf numFmtId="0" fontId="31" fillId="21" borderId="18" xfId="0" applyFont="1" applyFill="1" applyBorder="1" applyAlignment="1" applyProtection="1">
      <alignment horizontal="left" vertical="center"/>
      <protection hidden="1"/>
    </xf>
    <xf numFmtId="0" fontId="30" fillId="23" borderId="50" xfId="0" applyFont="1" applyFill="1" applyBorder="1" applyAlignment="1" applyProtection="1">
      <alignment horizontal="left" vertical="center"/>
      <protection hidden="1"/>
    </xf>
    <xf numFmtId="0" fontId="30" fillId="23" borderId="51" xfId="0" applyFont="1" applyFill="1" applyBorder="1" applyAlignment="1" applyProtection="1">
      <alignment horizontal="left" vertical="center"/>
      <protection hidden="1"/>
    </xf>
    <xf numFmtId="0" fontId="56" fillId="0" borderId="0" xfId="0" applyFont="1" applyAlignment="1" applyProtection="1">
      <alignment horizontal="center" vertical="center" wrapText="1"/>
      <protection hidden="1"/>
    </xf>
    <xf numFmtId="0" fontId="30" fillId="23" borderId="20" xfId="0" applyFont="1" applyFill="1" applyBorder="1" applyAlignment="1" applyProtection="1">
      <alignment horizontal="center" vertical="center"/>
      <protection hidden="1"/>
    </xf>
    <xf numFmtId="0" fontId="30" fillId="23" borderId="21" xfId="0" applyFont="1" applyFill="1" applyBorder="1" applyAlignment="1" applyProtection="1">
      <alignment horizontal="center" vertical="center"/>
      <protection hidden="1"/>
    </xf>
    <xf numFmtId="0" fontId="30" fillId="23" borderId="22" xfId="0" applyFont="1" applyFill="1" applyBorder="1" applyAlignment="1" applyProtection="1">
      <alignment horizontal="center" vertical="center"/>
      <protection hidden="1"/>
    </xf>
    <xf numFmtId="0" fontId="31" fillId="21" borderId="45" xfId="0" applyFont="1" applyFill="1" applyBorder="1" applyAlignment="1" applyProtection="1">
      <alignment horizontal="left" vertical="center"/>
      <protection hidden="1"/>
    </xf>
    <xf numFmtId="0" fontId="31" fillId="21" borderId="59" xfId="0" applyFont="1" applyFill="1" applyBorder="1" applyAlignment="1" applyProtection="1">
      <alignment horizontal="left" vertical="center"/>
      <protection hidden="1"/>
    </xf>
    <xf numFmtId="0" fontId="31" fillId="21" borderId="27" xfId="0" applyFont="1" applyFill="1" applyBorder="1" applyAlignment="1" applyProtection="1">
      <alignment horizontal="left" vertical="center"/>
      <protection hidden="1"/>
    </xf>
    <xf numFmtId="0" fontId="47" fillId="0" borderId="0" xfId="0" applyFont="1" applyAlignment="1" applyProtection="1">
      <alignment horizontal="center"/>
      <protection hidden="1"/>
    </xf>
    <xf numFmtId="0" fontId="30" fillId="23" borderId="39" xfId="0" applyFont="1" applyFill="1" applyBorder="1" applyAlignment="1" applyProtection="1">
      <alignment horizontal="center" vertical="center"/>
      <protection hidden="1"/>
    </xf>
    <xf numFmtId="0" fontId="30" fillId="23" borderId="0" xfId="0" applyFont="1" applyFill="1" applyAlignment="1" applyProtection="1">
      <alignment horizontal="center" vertical="center"/>
      <protection hidden="1"/>
    </xf>
    <xf numFmtId="0" fontId="30" fillId="23" borderId="40" xfId="0" applyFont="1" applyFill="1" applyBorder="1" applyAlignment="1" applyProtection="1">
      <alignment horizontal="center" vertical="center"/>
      <protection hidden="1"/>
    </xf>
    <xf numFmtId="0" fontId="33" fillId="24" borderId="15" xfId="0" applyFont="1" applyFill="1" applyBorder="1" applyAlignment="1" applyProtection="1">
      <alignment horizontal="left" vertical="center"/>
      <protection hidden="1"/>
    </xf>
    <xf numFmtId="0" fontId="33" fillId="24" borderId="25" xfId="0" applyFont="1" applyFill="1" applyBorder="1" applyAlignment="1" applyProtection="1">
      <alignment horizontal="left" vertical="center"/>
      <protection hidden="1"/>
    </xf>
    <xf numFmtId="0" fontId="21" fillId="0" borderId="0" xfId="0" applyFont="1" applyAlignment="1" applyProtection="1">
      <alignment horizontal="center" vertical="center" wrapText="1"/>
      <protection hidden="1"/>
    </xf>
    <xf numFmtId="0" fontId="33" fillId="13" borderId="13" xfId="0" applyFont="1" applyFill="1" applyBorder="1" applyAlignment="1" applyProtection="1">
      <alignment horizontal="left" vertical="center"/>
      <protection hidden="1"/>
    </xf>
    <xf numFmtId="0" fontId="33" fillId="13" borderId="16" xfId="0" applyFont="1" applyFill="1" applyBorder="1" applyAlignment="1" applyProtection="1">
      <alignment horizontal="left" vertical="center"/>
      <protection hidden="1"/>
    </xf>
    <xf numFmtId="0" fontId="36" fillId="17" borderId="1" xfId="0" applyFont="1" applyFill="1" applyBorder="1" applyAlignment="1" applyProtection="1">
      <alignment horizontal="center" vertical="center" wrapText="1"/>
      <protection hidden="1"/>
    </xf>
    <xf numFmtId="0" fontId="36" fillId="17" borderId="10" xfId="0" applyFont="1" applyFill="1" applyBorder="1" applyAlignment="1" applyProtection="1">
      <alignment horizontal="center" vertical="center" wrapText="1"/>
      <protection hidden="1"/>
    </xf>
    <xf numFmtId="0" fontId="33" fillId="13" borderId="13" xfId="0" applyFont="1" applyFill="1" applyBorder="1" applyAlignment="1" applyProtection="1">
      <alignment horizontal="left"/>
      <protection hidden="1"/>
    </xf>
    <xf numFmtId="0" fontId="33" fillId="13" borderId="16" xfId="0" applyFont="1" applyFill="1" applyBorder="1" applyAlignment="1" applyProtection="1">
      <alignment horizontal="left"/>
      <protection hidden="1"/>
    </xf>
    <xf numFmtId="0" fontId="32" fillId="0" borderId="23" xfId="0" applyFont="1" applyBorder="1" applyAlignment="1" applyProtection="1">
      <alignment horizontal="center" vertical="center" wrapText="1"/>
      <protection hidden="1"/>
    </xf>
    <xf numFmtId="0" fontId="32" fillId="0" borderId="24" xfId="0" applyFont="1" applyBorder="1" applyAlignment="1" applyProtection="1">
      <alignment horizontal="center" vertical="center" wrapText="1"/>
      <protection hidden="1"/>
    </xf>
    <xf numFmtId="0" fontId="32" fillId="24" borderId="15" xfId="0" applyFont="1" applyFill="1" applyBorder="1" applyAlignment="1" applyProtection="1">
      <alignment horizontal="left" vertical="center"/>
      <protection hidden="1"/>
    </xf>
    <xf numFmtId="0" fontId="36" fillId="22" borderId="90" xfId="0" applyFont="1" applyFill="1" applyBorder="1" applyAlignment="1" applyProtection="1">
      <alignment horizontal="right" vertical="center" wrapText="1"/>
      <protection hidden="1"/>
    </xf>
    <xf numFmtId="0" fontId="36" fillId="22" borderId="88" xfId="0" applyFont="1" applyFill="1" applyBorder="1" applyAlignment="1" applyProtection="1">
      <alignment horizontal="right" vertical="center" wrapText="1"/>
      <protection hidden="1"/>
    </xf>
    <xf numFmtId="169" fontId="81" fillId="0" borderId="98" xfId="1" applyNumberFormat="1" applyFont="1" applyBorder="1" applyAlignment="1" applyProtection="1">
      <alignment horizontal="center" vertical="center"/>
      <protection hidden="1"/>
    </xf>
    <xf numFmtId="169" fontId="81" fillId="0" borderId="99" xfId="1" applyNumberFormat="1" applyFont="1" applyBorder="1" applyAlignment="1" applyProtection="1">
      <alignment horizontal="center" vertical="center"/>
      <protection hidden="1"/>
    </xf>
    <xf numFmtId="0" fontId="47" fillId="6" borderId="0" xfId="0" applyFont="1" applyFill="1" applyAlignment="1" applyProtection="1">
      <alignment horizontal="center" vertical="center" wrapText="1"/>
      <protection hidden="1"/>
    </xf>
    <xf numFmtId="0" fontId="128" fillId="16" borderId="16" xfId="0" applyFont="1" applyFill="1" applyBorder="1" applyAlignment="1" applyProtection="1">
      <alignment horizontal="center" vertical="center" wrapText="1"/>
      <protection hidden="1"/>
    </xf>
    <xf numFmtId="0" fontId="128" fillId="16" borderId="26" xfId="0" applyFont="1" applyFill="1" applyBorder="1" applyAlignment="1" applyProtection="1">
      <alignment horizontal="center" vertical="center" wrapText="1"/>
      <protection hidden="1"/>
    </xf>
    <xf numFmtId="0" fontId="128" fillId="16" borderId="115" xfId="0" applyFont="1" applyFill="1" applyBorder="1" applyAlignment="1" applyProtection="1">
      <alignment horizontal="center" vertical="center" wrapText="1"/>
      <protection hidden="1"/>
    </xf>
    <xf numFmtId="0" fontId="128" fillId="16" borderId="0" xfId="0" applyFont="1" applyFill="1" applyAlignment="1" applyProtection="1">
      <alignment horizontal="center" vertical="center" wrapText="1"/>
      <protection hidden="1"/>
    </xf>
    <xf numFmtId="0" fontId="24" fillId="11" borderId="37" xfId="0" applyFont="1" applyFill="1" applyBorder="1" applyAlignment="1" applyProtection="1">
      <alignment horizontal="left" vertical="justify" wrapText="1"/>
      <protection hidden="1"/>
    </xf>
    <xf numFmtId="0" fontId="24" fillId="11" borderId="0" xfId="0" applyFont="1" applyFill="1" applyAlignment="1" applyProtection="1">
      <alignment horizontal="left" vertical="justify" wrapText="1"/>
      <protection hidden="1"/>
    </xf>
    <xf numFmtId="0" fontId="122" fillId="0" borderId="0" xfId="6" applyFont="1" applyAlignment="1">
      <alignment horizontal="left" vertical="top" wrapText="1"/>
    </xf>
    <xf numFmtId="0" fontId="123" fillId="0" borderId="106" xfId="6" applyFont="1" applyBorder="1" applyAlignment="1">
      <alignment horizontal="left" vertical="top" wrapText="1"/>
    </xf>
    <xf numFmtId="0" fontId="121" fillId="0" borderId="2" xfId="6" applyBorder="1" applyAlignment="1">
      <alignment horizontal="center" vertical="center"/>
    </xf>
    <xf numFmtId="0" fontId="121" fillId="0" borderId="44" xfId="6" applyBorder="1" applyAlignment="1">
      <alignment horizontal="center" vertical="center"/>
    </xf>
    <xf numFmtId="0" fontId="31" fillId="21" borderId="28" xfId="0" applyFont="1" applyFill="1" applyBorder="1" applyAlignment="1" applyProtection="1">
      <alignment horizontal="left" vertical="center"/>
      <protection hidden="1"/>
    </xf>
    <xf numFmtId="3" fontId="2" fillId="16" borderId="19" xfId="0" applyNumberFormat="1" applyFont="1" applyFill="1" applyBorder="1" applyAlignment="1" applyProtection="1">
      <alignment horizontal="center" vertical="center" wrapText="1"/>
      <protection hidden="1"/>
    </xf>
    <xf numFmtId="3" fontId="2" fillId="16" borderId="46" xfId="0" applyNumberFormat="1" applyFont="1" applyFill="1" applyBorder="1" applyAlignment="1" applyProtection="1">
      <alignment horizontal="center" vertical="center" wrapText="1"/>
      <protection hidden="1"/>
    </xf>
    <xf numFmtId="0" fontId="116" fillId="6" borderId="0" xfId="0" applyFont="1" applyFill="1" applyAlignment="1" applyProtection="1">
      <alignment horizontal="center" vertical="top" wrapText="1"/>
      <protection hidden="1"/>
    </xf>
    <xf numFmtId="0" fontId="116" fillId="6" borderId="33" xfId="0" applyFont="1" applyFill="1" applyBorder="1" applyAlignment="1" applyProtection="1">
      <alignment horizontal="center" vertical="top" wrapText="1"/>
      <protection hidden="1"/>
    </xf>
    <xf numFmtId="0" fontId="31" fillId="10" borderId="13" xfId="0" applyFont="1" applyFill="1" applyBorder="1" applyAlignment="1" applyProtection="1">
      <alignment horizontal="left" vertical="center"/>
      <protection hidden="1"/>
    </xf>
    <xf numFmtId="0" fontId="31" fillId="10" borderId="16" xfId="0" applyFont="1" applyFill="1" applyBorder="1" applyAlignment="1" applyProtection="1">
      <alignment horizontal="left" vertical="center"/>
      <protection hidden="1"/>
    </xf>
    <xf numFmtId="0" fontId="33" fillId="13" borderId="43" xfId="0" applyFont="1" applyFill="1" applyBorder="1" applyAlignment="1" applyProtection="1">
      <alignment horizontal="left"/>
      <protection hidden="1"/>
    </xf>
    <xf numFmtId="0" fontId="21" fillId="9" borderId="1" xfId="0" applyFont="1" applyFill="1" applyBorder="1" applyAlignment="1" applyProtection="1">
      <alignment horizontal="center"/>
      <protection hidden="1"/>
    </xf>
    <xf numFmtId="0" fontId="19" fillId="0" borderId="0" xfId="0" applyFont="1" applyAlignment="1" applyProtection="1">
      <alignment horizontal="left"/>
      <protection hidden="1"/>
    </xf>
    <xf numFmtId="0" fontId="0" fillId="9" borderId="1" xfId="0" applyFill="1" applyBorder="1" applyAlignment="1" applyProtection="1">
      <alignment horizontal="center" vertical="center"/>
      <protection hidden="1"/>
    </xf>
    <xf numFmtId="0" fontId="20" fillId="0" borderId="0" xfId="0" applyFont="1" applyAlignment="1" applyProtection="1">
      <alignment horizontal="left"/>
      <protection hidden="1"/>
    </xf>
    <xf numFmtId="0" fontId="52" fillId="24" borderId="1" xfId="0" applyFont="1" applyFill="1" applyBorder="1" applyAlignment="1" applyProtection="1">
      <alignment horizontal="left" vertical="center"/>
      <protection hidden="1"/>
    </xf>
    <xf numFmtId="10" fontId="106" fillId="26" borderId="1" xfId="2" applyNumberFormat="1" applyFont="1" applyFill="1" applyBorder="1" applyAlignment="1" applyProtection="1">
      <alignment horizontal="center" vertical="center"/>
      <protection hidden="1"/>
    </xf>
    <xf numFmtId="0" fontId="31" fillId="21" borderId="74" xfId="0" applyFont="1" applyFill="1" applyBorder="1" applyAlignment="1" applyProtection="1">
      <alignment horizontal="left" vertical="center"/>
      <protection hidden="1"/>
    </xf>
    <xf numFmtId="0" fontId="31" fillId="21" borderId="67" xfId="0" applyFont="1" applyFill="1" applyBorder="1" applyAlignment="1" applyProtection="1">
      <alignment horizontal="left" vertical="center"/>
      <protection hidden="1"/>
    </xf>
    <xf numFmtId="0" fontId="98" fillId="23" borderId="20" xfId="0" applyFont="1" applyFill="1" applyBorder="1" applyAlignment="1" applyProtection="1">
      <alignment horizontal="center" vertical="center"/>
      <protection hidden="1"/>
    </xf>
    <xf numFmtId="0" fontId="98" fillId="23" borderId="21" xfId="0" applyFont="1" applyFill="1" applyBorder="1" applyAlignment="1" applyProtection="1">
      <alignment horizontal="center" vertical="center"/>
      <protection hidden="1"/>
    </xf>
    <xf numFmtId="0" fontId="98" fillId="23" borderId="22" xfId="0" applyFont="1" applyFill="1" applyBorder="1" applyAlignment="1" applyProtection="1">
      <alignment horizontal="center" vertical="center"/>
      <protection hidden="1"/>
    </xf>
    <xf numFmtId="0" fontId="33" fillId="24" borderId="1" xfId="0" applyFont="1" applyFill="1" applyBorder="1" applyAlignment="1" applyProtection="1">
      <alignment horizontal="left" vertical="center"/>
      <protection hidden="1"/>
    </xf>
    <xf numFmtId="169" fontId="32" fillId="26" borderId="1" xfId="1" applyNumberFormat="1" applyFont="1" applyFill="1" applyBorder="1" applyAlignment="1" applyProtection="1">
      <alignment horizontal="center" vertical="center"/>
      <protection hidden="1"/>
    </xf>
    <xf numFmtId="169" fontId="105" fillId="0" borderId="1" xfId="1" applyNumberFormat="1" applyFont="1" applyFill="1" applyBorder="1" applyAlignment="1" applyProtection="1">
      <alignment horizontal="center" vertical="center"/>
      <protection hidden="1"/>
    </xf>
    <xf numFmtId="0" fontId="107" fillId="23" borderId="20" xfId="0" applyFont="1" applyFill="1" applyBorder="1" applyAlignment="1" applyProtection="1">
      <alignment horizontal="center" vertical="center"/>
      <protection hidden="1"/>
    </xf>
    <xf numFmtId="0" fontId="107" fillId="23" borderId="21" xfId="0" applyFont="1" applyFill="1" applyBorder="1" applyAlignment="1" applyProtection="1">
      <alignment horizontal="center" vertical="center"/>
      <protection hidden="1"/>
    </xf>
    <xf numFmtId="0" fontId="107" fillId="23" borderId="22" xfId="0" applyFont="1" applyFill="1" applyBorder="1" applyAlignment="1" applyProtection="1">
      <alignment horizontal="center" vertical="center"/>
      <protection hidden="1"/>
    </xf>
    <xf numFmtId="0" fontId="98" fillId="33" borderId="39" xfId="0" applyFont="1" applyFill="1" applyBorder="1" applyAlignment="1" applyProtection="1">
      <alignment horizontal="center" vertical="center"/>
      <protection hidden="1"/>
    </xf>
    <xf numFmtId="0" fontId="98" fillId="33" borderId="0" xfId="0" applyFont="1" applyFill="1" applyAlignment="1" applyProtection="1">
      <alignment horizontal="center" vertical="center"/>
      <protection hidden="1"/>
    </xf>
    <xf numFmtId="0" fontId="33" fillId="24" borderId="2" xfId="0" applyFont="1" applyFill="1" applyBorder="1" applyAlignment="1" applyProtection="1">
      <alignment horizontal="left" vertical="center"/>
      <protection hidden="1"/>
    </xf>
    <xf numFmtId="0" fontId="33" fillId="24" borderId="77" xfId="0" applyFont="1" applyFill="1" applyBorder="1" applyAlignment="1" applyProtection="1">
      <alignment horizontal="left" vertical="center"/>
      <protection hidden="1"/>
    </xf>
    <xf numFmtId="0" fontId="33" fillId="24" borderId="44" xfId="0" applyFont="1" applyFill="1" applyBorder="1" applyAlignment="1" applyProtection="1">
      <alignment horizontal="left" vertical="center"/>
      <protection hidden="1"/>
    </xf>
    <xf numFmtId="169" fontId="32" fillId="0" borderId="1" xfId="1" applyNumberFormat="1" applyFont="1" applyFill="1" applyBorder="1" applyAlignment="1" applyProtection="1">
      <alignment horizontal="center" vertical="center"/>
      <protection hidden="1"/>
    </xf>
    <xf numFmtId="0" fontId="97" fillId="6" borderId="0" xfId="0" applyFont="1" applyFill="1" applyAlignment="1" applyProtection="1">
      <alignment horizontal="center" wrapText="1"/>
      <protection hidden="1"/>
    </xf>
    <xf numFmtId="0" fontId="2" fillId="16" borderId="16" xfId="0" applyFont="1" applyFill="1" applyBorder="1" applyAlignment="1" applyProtection="1">
      <alignment horizontal="center" vertical="center" wrapText="1"/>
      <protection hidden="1"/>
    </xf>
    <xf numFmtId="0" fontId="2" fillId="16" borderId="26" xfId="0" applyFont="1" applyFill="1" applyBorder="1" applyAlignment="1" applyProtection="1">
      <alignment horizontal="center" vertical="center" wrapText="1"/>
      <protection hidden="1"/>
    </xf>
    <xf numFmtId="0" fontId="24" fillId="11" borderId="0" xfId="0" applyFont="1" applyFill="1" applyAlignment="1" applyProtection="1">
      <alignment horizontal="left" vertical="center" wrapText="1"/>
      <protection hidden="1"/>
    </xf>
    <xf numFmtId="0" fontId="36" fillId="17" borderId="0" xfId="0" applyFont="1" applyFill="1" applyAlignment="1" applyProtection="1">
      <alignment horizontal="center" vertical="center" wrapText="1"/>
      <protection hidden="1"/>
    </xf>
    <xf numFmtId="0" fontId="36" fillId="17" borderId="65" xfId="0" applyFont="1" applyFill="1" applyBorder="1" applyAlignment="1" applyProtection="1">
      <alignment horizontal="center" vertical="center" wrapText="1"/>
      <protection hidden="1"/>
    </xf>
    <xf numFmtId="0" fontId="65" fillId="0" borderId="0" xfId="0" applyFont="1" applyAlignment="1" applyProtection="1">
      <alignment horizontal="center"/>
      <protection hidden="1"/>
    </xf>
    <xf numFmtId="0" fontId="31" fillId="21" borderId="69" xfId="0" applyFont="1" applyFill="1" applyBorder="1" applyAlignment="1" applyProtection="1">
      <alignment horizontal="left" vertical="center"/>
      <protection hidden="1"/>
    </xf>
    <xf numFmtId="0" fontId="32" fillId="24" borderId="25" xfId="0" applyFont="1" applyFill="1" applyBorder="1" applyAlignment="1" applyProtection="1">
      <alignment horizontal="left" vertical="center"/>
      <protection hidden="1"/>
    </xf>
    <xf numFmtId="0" fontId="32" fillId="24" borderId="66" xfId="0" applyFont="1" applyFill="1" applyBorder="1" applyAlignment="1" applyProtection="1">
      <alignment horizontal="left" vertical="center"/>
      <protection hidden="1"/>
    </xf>
    <xf numFmtId="0" fontId="31" fillId="21" borderId="70" xfId="0" applyFont="1" applyFill="1" applyBorder="1" applyAlignment="1" applyProtection="1">
      <alignment horizontal="left" vertical="center"/>
      <protection hidden="1"/>
    </xf>
    <xf numFmtId="0" fontId="31" fillId="21" borderId="68" xfId="0" applyFont="1" applyFill="1" applyBorder="1" applyAlignment="1" applyProtection="1">
      <alignment horizontal="left" vertical="center"/>
      <protection hidden="1"/>
    </xf>
    <xf numFmtId="0" fontId="115" fillId="13" borderId="43" xfId="0" applyFont="1" applyFill="1" applyBorder="1" applyAlignment="1" applyProtection="1">
      <alignment horizontal="left"/>
      <protection hidden="1"/>
    </xf>
    <xf numFmtId="0" fontId="33" fillId="24" borderId="73" xfId="0" applyFont="1" applyFill="1" applyBorder="1" applyAlignment="1" applyProtection="1">
      <alignment horizontal="left" vertical="center"/>
      <protection hidden="1"/>
    </xf>
    <xf numFmtId="0" fontId="100" fillId="0" borderId="0" xfId="0" applyFont="1" applyAlignment="1" applyProtection="1">
      <alignment horizontal="center" vertical="top" wrapText="1"/>
      <protection hidden="1"/>
    </xf>
    <xf numFmtId="0" fontId="33" fillId="24" borderId="72" xfId="0" applyFont="1" applyFill="1" applyBorder="1" applyAlignment="1" applyProtection="1">
      <alignment horizontal="left" vertical="center"/>
      <protection hidden="1"/>
    </xf>
    <xf numFmtId="0" fontId="101" fillId="23" borderId="39" xfId="0" applyFont="1" applyFill="1" applyBorder="1" applyAlignment="1" applyProtection="1">
      <alignment horizontal="center" vertical="center"/>
      <protection hidden="1"/>
    </xf>
    <xf numFmtId="0" fontId="101" fillId="23" borderId="0" xfId="0" applyFont="1" applyFill="1" applyAlignment="1" applyProtection="1">
      <alignment horizontal="center" vertical="center"/>
      <protection hidden="1"/>
    </xf>
    <xf numFmtId="169" fontId="99" fillId="19" borderId="25" xfId="1" applyNumberFormat="1" applyFont="1" applyFill="1" applyBorder="1" applyAlignment="1" applyProtection="1">
      <alignment horizontal="center" vertical="center" wrapText="1"/>
      <protection locked="0"/>
    </xf>
    <xf numFmtId="169" fontId="99" fillId="19" borderId="66" xfId="1" applyNumberFormat="1" applyFont="1" applyFill="1" applyBorder="1" applyAlignment="1" applyProtection="1">
      <alignment horizontal="center" vertical="center" wrapText="1"/>
      <protection locked="0"/>
    </xf>
    <xf numFmtId="0" fontId="47" fillId="6" borderId="0" xfId="0" applyFont="1" applyFill="1" applyAlignment="1" applyProtection="1">
      <alignment horizontal="center" wrapText="1"/>
      <protection hidden="1"/>
    </xf>
    <xf numFmtId="0" fontId="134" fillId="28" borderId="0" xfId="0" applyFont="1" applyFill="1" applyAlignment="1" applyProtection="1">
      <alignment horizontal="center" vertical="center" wrapText="1"/>
      <protection hidden="1"/>
    </xf>
    <xf numFmtId="0" fontId="48" fillId="14" borderId="1" xfId="0" applyFont="1" applyFill="1" applyBorder="1" applyAlignment="1" applyProtection="1">
      <alignment horizontal="center" vertical="center"/>
      <protection hidden="1"/>
    </xf>
    <xf numFmtId="0" fontId="30" fillId="0" borderId="0" xfId="0" applyFont="1" applyAlignment="1" applyProtection="1">
      <alignment horizontal="center" vertical="center"/>
      <protection hidden="1"/>
    </xf>
    <xf numFmtId="164" fontId="27" fillId="15" borderId="1" xfId="0" applyNumberFormat="1" applyFont="1" applyFill="1" applyBorder="1" applyAlignment="1" applyProtection="1">
      <alignment horizontal="center"/>
      <protection hidden="1"/>
    </xf>
    <xf numFmtId="164" fontId="27" fillId="0" borderId="0" xfId="0" applyNumberFormat="1" applyFont="1" applyAlignment="1" applyProtection="1">
      <alignment horizontal="center"/>
      <protection hidden="1"/>
    </xf>
    <xf numFmtId="164" fontId="27" fillId="15" borderId="2" xfId="0" applyNumberFormat="1" applyFont="1" applyFill="1" applyBorder="1" applyAlignment="1" applyProtection="1">
      <alignment horizontal="center"/>
      <protection hidden="1"/>
    </xf>
    <xf numFmtId="164" fontId="27" fillId="15" borderId="44" xfId="0" applyNumberFormat="1" applyFont="1" applyFill="1" applyBorder="1" applyAlignment="1" applyProtection="1">
      <alignment horizontal="center"/>
      <protection hidden="1"/>
    </xf>
    <xf numFmtId="0" fontId="48" fillId="14" borderId="30" xfId="0" applyFont="1" applyFill="1" applyBorder="1" applyAlignment="1" applyProtection="1">
      <alignment horizontal="center" vertical="center"/>
      <protection hidden="1"/>
    </xf>
    <xf numFmtId="0" fontId="48" fillId="14" borderId="31" xfId="0" applyFont="1" applyFill="1" applyBorder="1" applyAlignment="1" applyProtection="1">
      <alignment horizontal="center" vertical="center"/>
      <protection hidden="1"/>
    </xf>
    <xf numFmtId="0" fontId="48" fillId="14" borderId="32" xfId="0" applyFont="1" applyFill="1" applyBorder="1" applyAlignment="1" applyProtection="1">
      <alignment horizontal="center" vertical="center"/>
      <protection hidden="1"/>
    </xf>
    <xf numFmtId="0" fontId="48" fillId="14" borderId="33" xfId="0" applyFont="1" applyFill="1" applyBorder="1" applyAlignment="1" applyProtection="1">
      <alignment horizontal="center" vertical="center"/>
      <protection hidden="1"/>
    </xf>
    <xf numFmtId="0" fontId="48" fillId="14" borderId="34" xfId="0" applyFont="1" applyFill="1" applyBorder="1" applyAlignment="1" applyProtection="1">
      <alignment horizontal="center" vertical="center"/>
      <protection hidden="1"/>
    </xf>
    <xf numFmtId="0" fontId="48" fillId="14" borderId="35" xfId="0" applyFont="1" applyFill="1" applyBorder="1" applyAlignment="1" applyProtection="1">
      <alignment horizontal="center" vertical="center"/>
      <protection hidden="1"/>
    </xf>
    <xf numFmtId="0" fontId="58" fillId="3" borderId="30" xfId="0" applyFont="1" applyFill="1" applyBorder="1" applyAlignment="1" applyProtection="1">
      <alignment horizontal="center" vertical="center" wrapText="1"/>
      <protection hidden="1"/>
    </xf>
    <xf numFmtId="0" fontId="58" fillId="3" borderId="31" xfId="0" applyFont="1" applyFill="1" applyBorder="1" applyAlignment="1" applyProtection="1">
      <alignment horizontal="center" vertical="center" wrapText="1"/>
      <protection hidden="1"/>
    </xf>
    <xf numFmtId="0" fontId="58" fillId="3" borderId="34" xfId="0" applyFont="1" applyFill="1" applyBorder="1" applyAlignment="1" applyProtection="1">
      <alignment horizontal="center" vertical="center" wrapText="1"/>
      <protection hidden="1"/>
    </xf>
    <xf numFmtId="0" fontId="58" fillId="3" borderId="35" xfId="0" applyFont="1" applyFill="1" applyBorder="1" applyAlignment="1" applyProtection="1">
      <alignment horizontal="center" vertical="center" wrapText="1"/>
      <protection hidden="1"/>
    </xf>
    <xf numFmtId="0" fontId="30" fillId="2" borderId="3" xfId="0" applyFont="1" applyFill="1" applyBorder="1" applyAlignment="1" applyProtection="1">
      <alignment horizontal="center" vertical="center"/>
      <protection hidden="1"/>
    </xf>
    <xf numFmtId="0" fontId="30" fillId="2" borderId="4" xfId="0" applyFont="1" applyFill="1" applyBorder="1" applyAlignment="1" applyProtection="1">
      <alignment horizontal="center" vertical="center"/>
      <protection hidden="1"/>
    </xf>
    <xf numFmtId="0" fontId="30" fillId="2" borderId="5" xfId="0" applyFont="1" applyFill="1" applyBorder="1" applyAlignment="1" applyProtection="1">
      <alignment horizontal="center" vertical="center"/>
      <protection hidden="1"/>
    </xf>
    <xf numFmtId="0" fontId="30" fillId="2" borderId="6" xfId="0" applyFont="1" applyFill="1" applyBorder="1" applyAlignment="1" applyProtection="1">
      <alignment horizontal="center" vertical="center"/>
      <protection hidden="1"/>
    </xf>
    <xf numFmtId="0" fontId="30" fillId="2" borderId="7" xfId="0" applyFont="1" applyFill="1" applyBorder="1" applyAlignment="1" applyProtection="1">
      <alignment horizontal="center" vertical="center"/>
      <protection hidden="1"/>
    </xf>
    <xf numFmtId="0" fontId="30" fillId="2" borderId="8" xfId="0" applyFont="1" applyFill="1" applyBorder="1" applyAlignment="1" applyProtection="1">
      <alignment horizontal="center" vertical="center"/>
      <protection hidden="1"/>
    </xf>
    <xf numFmtId="0" fontId="0" fillId="0" borderId="0" xfId="0" applyAlignment="1" applyProtection="1">
      <alignment horizontal="center"/>
      <protection hidden="1"/>
    </xf>
    <xf numFmtId="0" fontId="0" fillId="0" borderId="33" xfId="0" applyBorder="1" applyAlignment="1" applyProtection="1">
      <alignment horizontal="center"/>
      <protection hidden="1"/>
    </xf>
    <xf numFmtId="0" fontId="49" fillId="9" borderId="2" xfId="0" applyFont="1" applyFill="1" applyBorder="1" applyAlignment="1" applyProtection="1">
      <alignment horizontal="center" vertical="center"/>
      <protection hidden="1"/>
    </xf>
    <xf numFmtId="0" fontId="49" fillId="9" borderId="44" xfId="0" applyFont="1" applyFill="1" applyBorder="1" applyAlignment="1" applyProtection="1">
      <alignment horizontal="center" vertical="center"/>
      <protection hidden="1"/>
    </xf>
    <xf numFmtId="169" fontId="117" fillId="12" borderId="96" xfId="1" applyNumberFormat="1" applyFont="1" applyFill="1" applyBorder="1" applyAlignment="1" applyProtection="1">
      <alignment horizontal="center" vertical="center"/>
      <protection locked="0"/>
    </xf>
    <xf numFmtId="169" fontId="117" fillId="12" borderId="97" xfId="1" applyNumberFormat="1" applyFont="1" applyFill="1" applyBorder="1" applyAlignment="1" applyProtection="1">
      <alignment horizontal="center" vertical="center"/>
      <protection locked="0"/>
    </xf>
    <xf numFmtId="0" fontId="72" fillId="9" borderId="1"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33" xfId="0" applyBorder="1" applyAlignment="1" applyProtection="1">
      <alignment horizontal="center" vertical="center"/>
      <protection hidden="1"/>
    </xf>
  </cellXfs>
  <cellStyles count="8">
    <cellStyle name="Hipervínculo" xfId="5" builtinId="8"/>
    <cellStyle name="Millares" xfId="4" builtinId="3"/>
    <cellStyle name="Moneda" xfId="1" builtinId="4"/>
    <cellStyle name="Normal" xfId="0" builtinId="0"/>
    <cellStyle name="Normal 2" xfId="3" xr:uid="{405053DE-FEE3-42A4-92C6-1D996463E7F0}"/>
    <cellStyle name="Normal 2 2" xfId="6" xr:uid="{EBF04453-3F37-4F82-8761-C9E7AF4AF224}"/>
    <cellStyle name="Porcentaje" xfId="2" builtinId="5"/>
    <cellStyle name="Porcentaje 2" xfId="7" xr:uid="{A7E364BE-39B8-4667-945E-4F8DEA452616}"/>
  </cellStyles>
  <dxfs count="109">
    <dxf>
      <font>
        <color rgb="FF006100"/>
      </font>
      <fill>
        <patternFill>
          <bgColor rgb="FFC6EFCE"/>
        </patternFill>
      </fill>
    </dxf>
    <dxf>
      <font>
        <color rgb="FF006100"/>
      </font>
      <fill>
        <patternFill>
          <bgColor rgb="FFC6EFCE"/>
        </patternFill>
      </fill>
    </dxf>
    <dxf>
      <font>
        <color theme="0"/>
      </font>
      <fill>
        <patternFill>
          <bgColor theme="0"/>
        </patternFill>
      </fill>
    </dxf>
    <dxf>
      <fill>
        <patternFill>
          <bgColor theme="0"/>
        </patternFill>
      </fill>
    </dxf>
    <dxf>
      <font>
        <color theme="0"/>
      </font>
      <fill>
        <patternFill patternType="solid">
          <bgColor theme="0"/>
        </patternFill>
      </fill>
    </dxf>
    <dxf>
      <font>
        <color theme="0"/>
      </font>
      <fill>
        <patternFill>
          <bgColor theme="0"/>
        </patternFill>
      </fill>
    </dxf>
    <dxf>
      <font>
        <condense val="0"/>
        <extend val="0"/>
        <color indexed="9"/>
      </font>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strike val="0"/>
        <u val="none"/>
        <color theme="7" tint="0.39994506668294322"/>
      </font>
      <numFmt numFmtId="1" formatCode="0"/>
      <fill>
        <patternFill patternType="solid">
          <fgColor auto="1"/>
          <bgColor theme="7" tint="0.39994506668294322"/>
        </patternFill>
      </fill>
      <border>
        <left style="thin">
          <color auto="1"/>
        </left>
        <right style="thin">
          <color auto="1"/>
        </right>
        <top style="thin">
          <color auto="1"/>
        </top>
        <bottom style="thin">
          <color auto="1"/>
        </bottom>
      </border>
    </dxf>
    <dxf>
      <fill>
        <patternFill>
          <bgColor theme="5" tint="0.39994506668294322"/>
        </patternFill>
      </fill>
    </dxf>
    <dxf>
      <font>
        <color rgb="FFFFDB43"/>
      </font>
      <fill>
        <patternFill>
          <bgColor theme="7" tint="0.39994506668294322"/>
        </patternFill>
      </fill>
    </dxf>
    <dxf>
      <font>
        <b/>
        <i val="0"/>
        <color theme="9" tint="-0.499984740745262"/>
      </font>
      <fill>
        <patternFill>
          <bgColor theme="9"/>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theme="7" tint="0.39994506668294322"/>
      </font>
      <numFmt numFmtId="6" formatCode="#,##0;[Red]\-#,##0"/>
      <fill>
        <patternFill>
          <bgColor theme="7" tint="0.39994506668294322"/>
        </patternFill>
      </fill>
    </dxf>
    <dxf>
      <font>
        <color theme="7" tint="0.39994506668294322"/>
      </font>
      <fill>
        <patternFill>
          <bgColor theme="7" tint="0.39994506668294322"/>
        </patternFill>
      </fill>
    </dxf>
    <dxf>
      <font>
        <color theme="7" tint="0.39994506668294322"/>
      </font>
      <numFmt numFmtId="6" formatCode="#,##0;[Red]\-#,##0"/>
      <fill>
        <patternFill>
          <bgColor theme="7" tint="0.39994506668294322"/>
        </patternFill>
      </fill>
    </dxf>
    <dxf>
      <font>
        <color theme="0"/>
      </font>
      <fill>
        <patternFill>
          <bgColor theme="0"/>
        </patternFill>
      </fill>
    </dxf>
    <dxf>
      <fill>
        <patternFill>
          <bgColor theme="0"/>
        </patternFill>
      </fill>
    </dxf>
    <dxf>
      <font>
        <color theme="0"/>
      </font>
      <fill>
        <patternFill patternType="solid">
          <bgColor theme="0"/>
        </patternFill>
      </fill>
    </dxf>
    <dxf>
      <font>
        <color theme="0"/>
      </font>
      <fill>
        <patternFill>
          <bgColor theme="0"/>
        </patternFill>
      </fill>
    </dxf>
    <dxf>
      <font>
        <condense val="0"/>
        <extend val="0"/>
        <color indexed="9"/>
      </font>
    </dxf>
    <dxf>
      <font>
        <color rgb="FF006100"/>
      </font>
      <fill>
        <patternFill>
          <bgColor rgb="FFC6EFCE"/>
        </patternFill>
      </fill>
    </dxf>
    <dxf>
      <fill>
        <patternFill>
          <bgColor theme="5" tint="0.39994506668294322"/>
        </patternFill>
      </fill>
    </dxf>
    <dxf>
      <font>
        <color rgb="FFFFDB43"/>
      </font>
      <fill>
        <patternFill>
          <bgColor theme="7" tint="0.399945066682943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theme="7" tint="0.39994506668294322"/>
      </font>
      <fill>
        <patternFill>
          <bgColor theme="7" tint="0.39994506668294322"/>
        </patternFill>
      </fill>
    </dxf>
    <dxf>
      <font>
        <color theme="7" tint="0.39994506668294322"/>
      </font>
      <numFmt numFmtId="6" formatCode="#,##0;[Red]\-#,##0"/>
      <fill>
        <patternFill>
          <bgColor theme="7" tint="0.39994506668294322"/>
        </patternFill>
      </fill>
    </dxf>
    <dxf>
      <fill>
        <patternFill>
          <bgColor rgb="FFFFC7CE"/>
        </patternFill>
      </fill>
    </dxf>
    <dxf>
      <font>
        <color theme="0"/>
      </font>
      <fill>
        <patternFill>
          <bgColor theme="0"/>
        </patternFill>
      </fill>
    </dxf>
    <dxf>
      <font>
        <color theme="0"/>
      </font>
      <fill>
        <patternFill>
          <bgColor theme="0"/>
        </patternFill>
      </fill>
    </dxf>
    <dxf>
      <fill>
        <patternFill>
          <bgColor theme="0"/>
        </patternFill>
      </fill>
    </dxf>
    <dxf>
      <font>
        <color theme="0"/>
      </font>
      <fill>
        <patternFill patternType="solid">
          <bgColor theme="0"/>
        </patternFill>
      </fill>
    </dxf>
    <dxf>
      <font>
        <color theme="0"/>
      </font>
      <fill>
        <patternFill>
          <bgColor theme="0"/>
        </patternFill>
      </fill>
    </dxf>
    <dxf>
      <font>
        <color theme="0"/>
      </font>
      <fill>
        <patternFill>
          <bgColor theme="0"/>
        </patternFill>
      </fill>
    </dxf>
    <dxf>
      <font>
        <condense val="0"/>
        <extend val="0"/>
        <color indexed="9"/>
      </font>
    </dxf>
    <dxf>
      <font>
        <color rgb="FF006100"/>
      </font>
      <fill>
        <patternFill>
          <bgColor rgb="FFC6EFCE"/>
        </patternFill>
      </fill>
    </dxf>
    <dxf>
      <fill>
        <patternFill>
          <bgColor theme="5" tint="0.39994506668294322"/>
        </patternFill>
      </fill>
    </dxf>
    <dxf>
      <font>
        <color rgb="FFFFDB43"/>
      </font>
      <fill>
        <patternFill>
          <bgColor theme="7" tint="0.399945066682943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theme="7" tint="0.39994506668294322"/>
      </font>
      <fill>
        <patternFill>
          <bgColor theme="7" tint="0.39994506668294322"/>
        </patternFill>
      </fill>
    </dxf>
    <dxf>
      <font>
        <color theme="7" tint="0.39994506668294322"/>
      </font>
      <numFmt numFmtId="6" formatCode="#,##0;[Red]\-#,##0"/>
      <fill>
        <patternFill>
          <bgColor theme="7" tint="0.399945066682943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C7CE"/>
        </patternFill>
      </fill>
    </dxf>
    <dxf>
      <font>
        <color theme="0"/>
      </font>
      <fill>
        <patternFill>
          <bgColor theme="0"/>
        </patternFill>
      </fill>
    </dxf>
    <dxf>
      <fill>
        <patternFill>
          <bgColor theme="0"/>
        </patternFill>
      </fill>
    </dxf>
    <dxf>
      <font>
        <color theme="0"/>
      </font>
      <fill>
        <patternFill patternType="solid">
          <bgColor theme="0"/>
        </patternFill>
      </fill>
    </dxf>
    <dxf>
      <font>
        <color theme="0"/>
      </font>
      <fill>
        <patternFill>
          <bgColor theme="0"/>
        </patternFill>
      </fill>
    </dxf>
    <dxf>
      <font>
        <condense val="0"/>
        <extend val="0"/>
        <color indexed="9"/>
      </font>
    </dxf>
    <dxf>
      <font>
        <color rgb="FF006100"/>
      </font>
      <fill>
        <patternFill>
          <bgColor rgb="FFC6EFCE"/>
        </patternFill>
      </fill>
    </dxf>
    <dxf>
      <fill>
        <patternFill>
          <bgColor theme="5" tint="0.39994506668294322"/>
        </patternFill>
      </fill>
    </dxf>
    <dxf>
      <font>
        <color rgb="FFFFDB43"/>
      </font>
      <fill>
        <patternFill>
          <bgColor theme="7" tint="0.399945066682943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theme="7" tint="0.39994506668294322"/>
      </font>
      <fill>
        <patternFill>
          <bgColor theme="7" tint="0.39994506668294322"/>
        </patternFill>
      </fill>
    </dxf>
    <dxf>
      <font>
        <color theme="7" tint="0.39994506668294322"/>
      </font>
      <numFmt numFmtId="6" formatCode="#,##0;[Red]\-#,##0"/>
      <fill>
        <patternFill>
          <bgColor theme="7" tint="0.39994506668294322"/>
        </patternFill>
      </fill>
    </dxf>
    <dxf>
      <font>
        <color theme="0"/>
      </font>
      <fill>
        <patternFill>
          <bgColor theme="0"/>
        </patternFill>
      </fill>
    </dxf>
    <dxf>
      <font>
        <color theme="0"/>
      </font>
      <fill>
        <patternFill>
          <bgColor theme="0"/>
        </patternFill>
      </fill>
    </dxf>
    <dxf>
      <fill>
        <patternFill>
          <bgColor theme="0"/>
        </patternFill>
      </fill>
    </dxf>
    <dxf>
      <font>
        <color theme="0"/>
      </font>
      <fill>
        <patternFill patternType="solid">
          <bgColor theme="0"/>
        </patternFill>
      </fill>
    </dxf>
    <dxf>
      <font>
        <color theme="0"/>
      </font>
      <fill>
        <patternFill>
          <bgColor theme="0"/>
        </patternFill>
      </fill>
    </dxf>
    <dxf>
      <font>
        <color theme="0"/>
      </font>
      <fill>
        <patternFill>
          <bgColor theme="0"/>
        </patternFill>
      </fill>
    </dxf>
    <dxf>
      <font>
        <condense val="0"/>
        <extend val="0"/>
        <color indexed="9"/>
      </font>
    </dxf>
    <dxf>
      <fill>
        <patternFill>
          <bgColor rgb="FFFFC7CE"/>
        </patternFill>
      </fill>
    </dxf>
    <dxf>
      <font>
        <color rgb="FF006100"/>
      </font>
      <fill>
        <patternFill>
          <bgColor rgb="FFC6EFCE"/>
        </patternFill>
      </fill>
    </dxf>
    <dxf>
      <fill>
        <patternFill>
          <bgColor theme="5" tint="0.39994506668294322"/>
        </patternFill>
      </fill>
    </dxf>
    <dxf>
      <font>
        <color rgb="FFFFDB43"/>
      </font>
      <fill>
        <patternFill>
          <bgColor theme="7" tint="0.399945066682943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theme="7" tint="0.39994506668294322"/>
      </font>
      <fill>
        <patternFill>
          <bgColor theme="7" tint="0.39994506668294322"/>
        </patternFill>
      </fill>
    </dxf>
    <dxf>
      <font>
        <color theme="7" tint="0.39994506668294322"/>
      </font>
      <numFmt numFmtId="6" formatCode="#,##0;[Red]\-#,##0"/>
      <fill>
        <patternFill>
          <bgColor theme="7" tint="0.39994506668294322"/>
        </patternFill>
      </fill>
    </dxf>
    <dxf>
      <font>
        <color theme="0"/>
      </font>
      <fill>
        <patternFill>
          <bgColor theme="0"/>
        </patternFill>
      </fill>
    </dxf>
    <dxf>
      <font>
        <color theme="0"/>
      </font>
      <fill>
        <patternFill>
          <bgColor theme="0"/>
        </patternFill>
      </fill>
    </dxf>
    <dxf>
      <font>
        <color theme="0"/>
      </font>
      <fill>
        <patternFill>
          <bgColor theme="0"/>
        </patternFill>
      </fill>
    </dxf>
    <dxf>
      <font>
        <condense val="0"/>
        <extend val="0"/>
        <color indexed="9"/>
      </font>
    </dxf>
    <dxf>
      <font>
        <color rgb="FF006100"/>
      </font>
      <fill>
        <patternFill>
          <bgColor rgb="FFC6EFCE"/>
        </patternFill>
      </fill>
    </dxf>
    <dxf>
      <fill>
        <patternFill>
          <bgColor theme="5" tint="0.399945066682943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theme="7" tint="0.39994506668294322"/>
      </font>
      <fill>
        <patternFill>
          <bgColor theme="7" tint="0.39994506668294322"/>
        </patternFill>
      </fill>
    </dxf>
    <dxf>
      <font>
        <color theme="7" tint="0.39994506668294322"/>
      </font>
      <numFmt numFmtId="6" formatCode="#,##0;[Red]\-#,##0"/>
      <fill>
        <patternFill>
          <bgColor theme="7" tint="0.39994506668294322"/>
        </patternFill>
      </fill>
    </dxf>
    <dxf>
      <font>
        <color theme="0"/>
      </font>
      <fill>
        <patternFill patternType="none">
          <bgColor auto="1"/>
        </patternFill>
      </fill>
      <border>
        <left/>
        <right/>
        <top style="thin">
          <color auto="1"/>
        </top>
        <bottom/>
        <vertical/>
        <horizontal/>
      </border>
    </dxf>
    <dxf>
      <font>
        <color theme="0"/>
      </font>
      <fill>
        <patternFill patternType="none">
          <bgColor auto="1"/>
        </patternFill>
      </fill>
      <border>
        <left/>
        <right/>
        <top/>
        <bottom style="thin">
          <color auto="1"/>
        </bottom>
        <vertical/>
        <horizontal/>
      </border>
    </dxf>
    <dxf>
      <font>
        <color theme="0"/>
      </font>
      <fill>
        <patternFill patternType="none">
          <bgColor auto="1"/>
        </patternFill>
      </fill>
      <border>
        <left/>
        <right/>
        <top style="thin">
          <color auto="1"/>
        </top>
        <bottom/>
      </border>
    </dxf>
    <dxf>
      <font>
        <color rgb="FF9C0006"/>
      </font>
      <fill>
        <patternFill>
          <bgColor rgb="FFFFC7CE"/>
        </patternFill>
      </fill>
    </dxf>
    <dxf>
      <fill>
        <patternFill>
          <bgColor rgb="FFFFC7CE"/>
        </patternFill>
      </fill>
    </dxf>
  </dxfs>
  <tableStyles count="0" defaultTableStyle="TableStyleMedium2" defaultPivotStyle="PivotStyleLight16"/>
  <colors>
    <mruColors>
      <color rgb="FFFFDB43"/>
      <color rgb="FFCC33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eetMetadata" Target="metadata.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CV UVR'!A1"/><Relationship Id="rId3" Type="http://schemas.openxmlformats.org/officeDocument/2006/relationships/hyperlink" Target="#RM!A1"/><Relationship Id="rId7" Type="http://schemas.openxmlformats.org/officeDocument/2006/relationships/hyperlink" Target="#CV!A1"/><Relationship Id="rId2" Type="http://schemas.openxmlformats.org/officeDocument/2006/relationships/hyperlink" Target="#LHF!A1"/><Relationship Id="rId1" Type="http://schemas.openxmlformats.org/officeDocument/2006/relationships/hyperlink" Target="#'Seg&#250;n sus ingresos'!A1"/><Relationship Id="rId6" Type="http://schemas.openxmlformats.org/officeDocument/2006/relationships/image" Target="../media/image1.png"/><Relationship Id="rId5" Type="http://schemas.openxmlformats.org/officeDocument/2006/relationships/hyperlink" Target="#LHNF!A1"/><Relationship Id="rId4" Type="http://schemas.openxmlformats.org/officeDocument/2006/relationships/hyperlink" Target="#CC!A1"/></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hyperlink" Target="#LeasingNOFam!A1"/><Relationship Id="rId5" Type="http://schemas.openxmlformats.org/officeDocument/2006/relationships/image" Target="../media/image6.png"/><Relationship Id="rId4" Type="http://schemas.microsoft.com/office/2007/relationships/hdphoto" Target="../media/hdphoto2.wdp"/></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Pantalla_Inicio!A1"/><Relationship Id="rId1" Type="http://schemas.openxmlformats.org/officeDocument/2006/relationships/hyperlink" Target="#'Cr&#233;dito de Vivienda'!A1"/><Relationship Id="rId6"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CV!A1"/><Relationship Id="rId1" Type="http://schemas.openxmlformats.org/officeDocument/2006/relationships/hyperlink" Target="#'Plan de pagos CV'!A1"/><Relationship Id="rId4"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hyperlink" Target="#'Cr&#233;dito de Vivienda'!A1"/><Relationship Id="rId5" Type="http://schemas.openxmlformats.org/officeDocument/2006/relationships/image" Target="../media/image1.png"/><Relationship Id="rId4" Type="http://schemas.microsoft.com/office/2007/relationships/hdphoto" Target="../media/hdphoto2.wdp"/></Relationships>
</file>

<file path=xl/drawings/_rels/drawing1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3.png"/><Relationship Id="rId1" Type="http://schemas.openxmlformats.org/officeDocument/2006/relationships/hyperlink" Target="#Pantalla_Inicio!A1"/><Relationship Id="rId6" Type="http://schemas.openxmlformats.org/officeDocument/2006/relationships/image" Target="../media/image1.png"/><Relationship Id="rId5" Type="http://schemas.openxmlformats.org/officeDocument/2006/relationships/hyperlink" Target="#LHF!A1"/><Relationship Id="rId4" Type="http://schemas.microsoft.com/office/2007/relationships/hdphoto" Target="../media/hdphoto3.wdp"/></Relationships>
</file>

<file path=xl/drawings/_rels/drawing1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Pantalla_Inicio!A1"/><Relationship Id="rId1" Type="http://schemas.openxmlformats.org/officeDocument/2006/relationships/hyperlink" Target="#LeasingHab!A1"/><Relationship Id="rId6"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1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LHF!A1"/><Relationship Id="rId1" Type="http://schemas.openxmlformats.org/officeDocument/2006/relationships/hyperlink" Target="#'Plan de pagos LHF'!A1"/><Relationship Id="rId4"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hyperlink" Target="#LeasingHab!A1"/><Relationship Id="rId5" Type="http://schemas.openxmlformats.org/officeDocument/2006/relationships/image" Target="../media/image1.png"/><Relationship Id="rId4" Type="http://schemas.microsoft.com/office/2007/relationships/hdphoto" Target="../media/hdphoto2.wdp"/></Relationships>
</file>

<file path=xl/drawings/_rels/drawing1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Pantalla_Inicio!A1"/><Relationship Id="rId1" Type="http://schemas.openxmlformats.org/officeDocument/2006/relationships/hyperlink" Target="#Remodelacion!A1"/><Relationship Id="rId6"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1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RM!A1"/><Relationship Id="rId1" Type="http://schemas.openxmlformats.org/officeDocument/2006/relationships/hyperlink" Target="#'Plan de pagos RM'!A1"/><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hyperlink" Target="#Remodelacion!A1"/><Relationship Id="rId5" Type="http://schemas.openxmlformats.org/officeDocument/2006/relationships/image" Target="../media/image1.png"/><Relationship Id="rId4" Type="http://schemas.microsoft.com/office/2007/relationships/hdphoto" Target="../media/hdphoto2.wdp"/></Relationships>
</file>

<file path=xl/drawings/_rels/drawing2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Pantalla_Inicio!A1"/><Relationship Id="rId1" Type="http://schemas.openxmlformats.org/officeDocument/2006/relationships/hyperlink" Target="#'Compra cartera'!A1"/><Relationship Id="rId6"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2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CC!A1"/><Relationship Id="rId1" Type="http://schemas.openxmlformats.org/officeDocument/2006/relationships/hyperlink" Target="#'Plan de pagos CC'!A1"/><Relationship Id="rId4" Type="http://schemas.openxmlformats.org/officeDocument/2006/relationships/image" Target="../media/image1.png"/></Relationships>
</file>

<file path=xl/drawings/_rels/drawing2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hyperlink" Target="#'Compra cartera'!A1"/><Relationship Id="rId5" Type="http://schemas.openxmlformats.org/officeDocument/2006/relationships/image" Target="../media/image1.png"/><Relationship Id="rId4" Type="http://schemas.microsoft.com/office/2007/relationships/hdphoto" Target="../media/hdphoto2.wdp"/></Relationships>
</file>

<file path=xl/drawings/_rels/drawing2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hyperlink" Target="#Pantalla_Inicio!A1"/><Relationship Id="rId5" Type="http://schemas.openxmlformats.org/officeDocument/2006/relationships/image" Target="../media/image1.png"/><Relationship Id="rId4" Type="http://schemas.microsoft.com/office/2007/relationships/hdphoto" Target="../media/hdphoto4.wdp"/></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Pantalla_Inicio!A1"/><Relationship Id="rId5" Type="http://schemas.openxmlformats.org/officeDocument/2006/relationships/image" Target="../media/image1.png"/><Relationship Id="rId4" Type="http://schemas.microsoft.com/office/2007/relationships/hdphoto" Target="../media/hdphoto1.wdp"/></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Pantalla_Inicio!A1"/><Relationship Id="rId1" Type="http://schemas.openxmlformats.org/officeDocument/2006/relationships/hyperlink" Target="#'Cr&#233;dito de Vivienda UVR'!A1"/><Relationship Id="rId6"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CV UVR'!A1"/><Relationship Id="rId1" Type="http://schemas.openxmlformats.org/officeDocument/2006/relationships/hyperlink" Target="#'Plan de pagos CV UVR'!A1"/><Relationship Id="rId4"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hyperlink" Target="#'Cr&#233;dito de Vivienda UVR'!A1"/><Relationship Id="rId5" Type="http://schemas.openxmlformats.org/officeDocument/2006/relationships/image" Target="../media/image1.png"/><Relationship Id="rId4" Type="http://schemas.microsoft.com/office/2007/relationships/hdphoto" Target="../media/hdphoto2.wdp"/></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Pantalla_Inicio!A1"/><Relationship Id="rId1" Type="http://schemas.openxmlformats.org/officeDocument/2006/relationships/hyperlink" Target="#LeasingNOFam!A1"/><Relationship Id="rId6"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LHNF!A1"/><Relationship Id="rId1" Type="http://schemas.openxmlformats.org/officeDocument/2006/relationships/hyperlink" Target="#'Plan de pagos LHNF'!A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147673</xdr:colOff>
      <xdr:row>8</xdr:row>
      <xdr:rowOff>199359</xdr:rowOff>
    </xdr:from>
    <xdr:to>
      <xdr:col>11</xdr:col>
      <xdr:colOff>871279</xdr:colOff>
      <xdr:row>14</xdr:row>
      <xdr:rowOff>163516</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8997063" y="2004679"/>
          <a:ext cx="1731483" cy="1260000"/>
        </a:xfrm>
        <a:prstGeom prst="roundRect">
          <a:avLst/>
        </a:prstGeom>
        <a:solidFill>
          <a:schemeClr val="accent5"/>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600" b="1" baseline="0">
              <a:effectLst>
                <a:outerShdw blurRad="63500" sx="102000" sy="102000" algn="ctr" rotWithShape="0">
                  <a:prstClr val="black">
                    <a:alpha val="40000"/>
                  </a:prstClr>
                </a:outerShdw>
              </a:effectLst>
            </a:rPr>
            <a:t>Estimación Según los ingresos de tu cliente</a:t>
          </a:r>
          <a:endParaRPr lang="es-MX" sz="1600" b="1">
            <a:effectLst>
              <a:outerShdw blurRad="63500" sx="102000" sy="102000" algn="ctr" rotWithShape="0">
                <a:prstClr val="black">
                  <a:alpha val="40000"/>
                </a:prstClr>
              </a:outerShdw>
            </a:effectLst>
          </a:endParaRPr>
        </a:p>
      </xdr:txBody>
    </xdr:sp>
    <xdr:clientData/>
  </xdr:twoCellAnchor>
  <xdr:twoCellAnchor>
    <xdr:from>
      <xdr:col>3</xdr:col>
      <xdr:colOff>273196</xdr:colOff>
      <xdr:row>1</xdr:row>
      <xdr:rowOff>18457</xdr:rowOff>
    </xdr:from>
    <xdr:to>
      <xdr:col>8</xdr:col>
      <xdr:colOff>516861</xdr:colOff>
      <xdr:row>2</xdr:row>
      <xdr:rowOff>59069</xdr:rowOff>
    </xdr:to>
    <xdr:sp macro="" textlink="">
      <xdr:nvSpPr>
        <xdr:cNvPr id="3" name="CuadroTexto 2">
          <a:extLst>
            <a:ext uri="{FF2B5EF4-FFF2-40B4-BE49-F238E27FC236}">
              <a16:creationId xmlns:a16="http://schemas.microsoft.com/office/drawing/2014/main" id="{00000000-0008-0000-0100-000003000000}"/>
            </a:ext>
          </a:extLst>
        </xdr:cNvPr>
        <xdr:cNvSpPr txBox="1"/>
      </xdr:nvSpPr>
      <xdr:spPr>
        <a:xfrm>
          <a:off x="2827963" y="210434"/>
          <a:ext cx="5161224" cy="4245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2100" b="1">
              <a:solidFill>
                <a:schemeClr val="accent1">
                  <a:lumMod val="50000"/>
                </a:schemeClr>
              </a:solidFill>
              <a:latin typeface="Candara" panose="020E0502030303020204" pitchFamily="34" charset="0"/>
            </a:rPr>
            <a:t>SIMULADOR PORTAFOLIO DE VIVIENDA</a:t>
          </a:r>
        </a:p>
      </xdr:txBody>
    </xdr:sp>
    <xdr:clientData/>
  </xdr:twoCellAnchor>
  <xdr:twoCellAnchor>
    <xdr:from>
      <xdr:col>5</xdr:col>
      <xdr:colOff>164805</xdr:colOff>
      <xdr:row>10</xdr:row>
      <xdr:rowOff>81219</xdr:rowOff>
    </xdr:from>
    <xdr:to>
      <xdr:col>7</xdr:col>
      <xdr:colOff>231520</xdr:colOff>
      <xdr:row>13</xdr:row>
      <xdr:rowOff>214214</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00000000-0008-0000-0100-000005000000}"/>
            </a:ext>
          </a:extLst>
        </xdr:cNvPr>
        <xdr:cNvSpPr/>
      </xdr:nvSpPr>
      <xdr:spPr>
        <a:xfrm>
          <a:off x="4152014" y="2340638"/>
          <a:ext cx="2160000" cy="72000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600" b="1" baseline="0">
              <a:effectLst>
                <a:outerShdw blurRad="63500" sx="102000" sy="102000" algn="ctr" rotWithShape="0">
                  <a:prstClr val="black">
                    <a:alpha val="40000"/>
                  </a:prstClr>
                </a:outerShdw>
              </a:effectLst>
            </a:rPr>
            <a:t>Leasing Habitacional Familiar</a:t>
          </a:r>
          <a:endParaRPr lang="es-MX" sz="1600" b="1">
            <a:effectLst>
              <a:outerShdw blurRad="63500" sx="102000" sy="102000" algn="ctr" rotWithShape="0">
                <a:prstClr val="black">
                  <a:alpha val="40000"/>
                </a:prstClr>
              </a:outerShdw>
            </a:effectLst>
          </a:endParaRPr>
        </a:p>
      </xdr:txBody>
    </xdr:sp>
    <xdr:clientData/>
  </xdr:twoCellAnchor>
  <xdr:twoCellAnchor>
    <xdr:from>
      <xdr:col>7</xdr:col>
      <xdr:colOff>468864</xdr:colOff>
      <xdr:row>14</xdr:row>
      <xdr:rowOff>88604</xdr:rowOff>
    </xdr:from>
    <xdr:to>
      <xdr:col>9</xdr:col>
      <xdr:colOff>646335</xdr:colOff>
      <xdr:row>17</xdr:row>
      <xdr:rowOff>166220</xdr:rowOff>
    </xdr:to>
    <xdr:sp macro="" textlink="">
      <xdr:nvSpPr>
        <xdr:cNvPr id="6" name="Rectángulo: esquinas redondeadas 5">
          <a:hlinkClick xmlns:r="http://schemas.openxmlformats.org/officeDocument/2006/relationships" r:id="rId3"/>
          <a:extLst>
            <a:ext uri="{FF2B5EF4-FFF2-40B4-BE49-F238E27FC236}">
              <a16:creationId xmlns:a16="http://schemas.microsoft.com/office/drawing/2014/main" id="{00000000-0008-0000-0100-000006000000}"/>
            </a:ext>
          </a:extLst>
        </xdr:cNvPr>
        <xdr:cNvSpPr/>
      </xdr:nvSpPr>
      <xdr:spPr>
        <a:xfrm>
          <a:off x="6549358" y="3189767"/>
          <a:ext cx="2160000" cy="72000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600" b="1" baseline="0">
              <a:effectLst>
                <a:outerShdw blurRad="63500" sx="102000" sy="102000" algn="ctr" rotWithShape="0">
                  <a:prstClr val="black">
                    <a:alpha val="40000"/>
                  </a:prstClr>
                </a:outerShdw>
              </a:effectLst>
            </a:rPr>
            <a:t>Crédito de Remodelación</a:t>
          </a:r>
          <a:endParaRPr lang="es-MX" sz="1600" b="1">
            <a:effectLst>
              <a:outerShdw blurRad="63500" sx="102000" sy="102000" algn="ctr" rotWithShape="0">
                <a:prstClr val="black">
                  <a:alpha val="40000"/>
                </a:prstClr>
              </a:outerShdw>
            </a:effectLst>
          </a:endParaRPr>
        </a:p>
      </xdr:txBody>
    </xdr:sp>
    <xdr:clientData/>
  </xdr:twoCellAnchor>
  <xdr:twoCellAnchor>
    <xdr:from>
      <xdr:col>5</xdr:col>
      <xdr:colOff>143981</xdr:colOff>
      <xdr:row>14</xdr:row>
      <xdr:rowOff>77528</xdr:rowOff>
    </xdr:from>
    <xdr:to>
      <xdr:col>7</xdr:col>
      <xdr:colOff>210696</xdr:colOff>
      <xdr:row>17</xdr:row>
      <xdr:rowOff>155144</xdr:rowOff>
    </xdr:to>
    <xdr:sp macro="" textlink="">
      <xdr:nvSpPr>
        <xdr:cNvPr id="9" name="Rectángulo: esquinas redondeadas 8">
          <a:hlinkClick xmlns:r="http://schemas.openxmlformats.org/officeDocument/2006/relationships" r:id="rId4"/>
          <a:extLst>
            <a:ext uri="{FF2B5EF4-FFF2-40B4-BE49-F238E27FC236}">
              <a16:creationId xmlns:a16="http://schemas.microsoft.com/office/drawing/2014/main" id="{00000000-0008-0000-0100-000009000000}"/>
            </a:ext>
          </a:extLst>
        </xdr:cNvPr>
        <xdr:cNvSpPr/>
      </xdr:nvSpPr>
      <xdr:spPr>
        <a:xfrm>
          <a:off x="4131190" y="3178691"/>
          <a:ext cx="2160000" cy="72000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600" b="1" baseline="0">
              <a:effectLst>
                <a:outerShdw blurRad="63500" sx="102000" sy="102000" algn="ctr" rotWithShape="0">
                  <a:prstClr val="black">
                    <a:alpha val="40000"/>
                  </a:prstClr>
                </a:outerShdw>
              </a:effectLst>
            </a:rPr>
            <a:t>Compra de Cartera</a:t>
          </a:r>
          <a:endParaRPr lang="es-MX" sz="1600" b="1">
            <a:effectLst>
              <a:outerShdw blurRad="63500" sx="102000" sy="102000" algn="ctr" rotWithShape="0">
                <a:prstClr val="black">
                  <a:alpha val="40000"/>
                </a:prstClr>
              </a:outerShdw>
            </a:effectLst>
          </a:endParaRPr>
        </a:p>
      </xdr:txBody>
    </xdr:sp>
    <xdr:clientData/>
  </xdr:twoCellAnchor>
  <xdr:twoCellAnchor>
    <xdr:from>
      <xdr:col>7</xdr:col>
      <xdr:colOff>494410</xdr:colOff>
      <xdr:row>10</xdr:row>
      <xdr:rowOff>108099</xdr:rowOff>
    </xdr:from>
    <xdr:to>
      <xdr:col>9</xdr:col>
      <xdr:colOff>671881</xdr:colOff>
      <xdr:row>13</xdr:row>
      <xdr:rowOff>241094</xdr:rowOff>
    </xdr:to>
    <xdr:sp macro="" textlink="">
      <xdr:nvSpPr>
        <xdr:cNvPr id="4" name="Rectángulo: esquinas redondeadas 3">
          <a:hlinkClick xmlns:r="http://schemas.openxmlformats.org/officeDocument/2006/relationships" r:id="rId5"/>
          <a:extLst>
            <a:ext uri="{FF2B5EF4-FFF2-40B4-BE49-F238E27FC236}">
              <a16:creationId xmlns:a16="http://schemas.microsoft.com/office/drawing/2014/main" id="{1E778DF8-8B0D-4516-95CB-C8C8909D07C6}"/>
            </a:ext>
          </a:extLst>
        </xdr:cNvPr>
        <xdr:cNvSpPr/>
      </xdr:nvSpPr>
      <xdr:spPr>
        <a:xfrm>
          <a:off x="6574904" y="2367518"/>
          <a:ext cx="2160000" cy="72000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600" b="1" baseline="0">
              <a:effectLst>
                <a:outerShdw blurRad="63500" sx="102000" sy="102000" algn="ctr" rotWithShape="0">
                  <a:prstClr val="black">
                    <a:alpha val="40000"/>
                  </a:prstClr>
                </a:outerShdw>
              </a:effectLst>
            </a:rPr>
            <a:t>Leasing Habitacional NO Familiar</a:t>
          </a:r>
          <a:endParaRPr lang="es-MX" sz="1600" b="1">
            <a:effectLst>
              <a:outerShdw blurRad="63500" sx="102000" sy="102000" algn="ctr" rotWithShape="0">
                <a:prstClr val="black">
                  <a:alpha val="40000"/>
                </a:prstClr>
              </a:outerShdw>
            </a:effectLst>
          </a:endParaRPr>
        </a:p>
      </xdr:txBody>
    </xdr:sp>
    <xdr:clientData/>
  </xdr:twoCellAnchor>
  <xdr:twoCellAnchor editAs="oneCell">
    <xdr:from>
      <xdr:col>0</xdr:col>
      <xdr:colOff>55378</xdr:colOff>
      <xdr:row>0</xdr:row>
      <xdr:rowOff>147676</xdr:rowOff>
    </xdr:from>
    <xdr:to>
      <xdr:col>3</xdr:col>
      <xdr:colOff>87158</xdr:colOff>
      <xdr:row>2</xdr:row>
      <xdr:rowOff>70147</xdr:rowOff>
    </xdr:to>
    <xdr:pic>
      <xdr:nvPicPr>
        <xdr:cNvPr id="11" name="Imagen 10">
          <a:extLst>
            <a:ext uri="{FF2B5EF4-FFF2-40B4-BE49-F238E27FC236}">
              <a16:creationId xmlns:a16="http://schemas.microsoft.com/office/drawing/2014/main" id="{44DEFC17-17A2-F4DA-7FF5-B3877BE817E2}"/>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55378" y="147676"/>
          <a:ext cx="2586547" cy="498401"/>
        </a:xfrm>
        <a:prstGeom prst="rect">
          <a:avLst/>
        </a:prstGeom>
      </xdr:spPr>
    </xdr:pic>
    <xdr:clientData/>
  </xdr:twoCellAnchor>
  <xdr:twoCellAnchor>
    <xdr:from>
      <xdr:col>5</xdr:col>
      <xdr:colOff>167391</xdr:colOff>
      <xdr:row>6</xdr:row>
      <xdr:rowOff>93330</xdr:rowOff>
    </xdr:from>
    <xdr:to>
      <xdr:col>7</xdr:col>
      <xdr:colOff>234106</xdr:colOff>
      <xdr:row>9</xdr:row>
      <xdr:rowOff>159871</xdr:rowOff>
    </xdr:to>
    <xdr:sp macro="" textlink="">
      <xdr:nvSpPr>
        <xdr:cNvPr id="14" name="Rectángulo: esquinas redondeadas 13">
          <a:hlinkClick xmlns:r="http://schemas.openxmlformats.org/officeDocument/2006/relationships" r:id="rId7"/>
          <a:extLst>
            <a:ext uri="{FF2B5EF4-FFF2-40B4-BE49-F238E27FC236}">
              <a16:creationId xmlns:a16="http://schemas.microsoft.com/office/drawing/2014/main" id="{FAB63C10-D670-4B64-A110-02A34EE165D7}"/>
            </a:ext>
          </a:extLst>
        </xdr:cNvPr>
        <xdr:cNvSpPr/>
      </xdr:nvSpPr>
      <xdr:spPr>
        <a:xfrm>
          <a:off x="4154600" y="1455627"/>
          <a:ext cx="2160000" cy="72000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600" b="1" baseline="0">
              <a:effectLst>
                <a:outerShdw blurRad="63500" sx="102000" sy="102000" algn="ctr" rotWithShape="0">
                  <a:prstClr val="black">
                    <a:alpha val="40000"/>
                  </a:prstClr>
                </a:outerShdw>
              </a:effectLst>
            </a:rPr>
            <a:t>Crédito de Vivienda  en </a:t>
          </a:r>
          <a:r>
            <a:rPr lang="es-MX" sz="1800" b="1" baseline="0">
              <a:effectLst>
                <a:outerShdw blurRad="63500" sx="102000" sy="102000" algn="ctr" rotWithShape="0">
                  <a:prstClr val="black">
                    <a:alpha val="40000"/>
                  </a:prstClr>
                </a:outerShdw>
              </a:effectLst>
            </a:rPr>
            <a:t>PESOS</a:t>
          </a:r>
          <a:endParaRPr lang="es-MX" sz="1600" b="1">
            <a:effectLst>
              <a:outerShdw blurRad="63500" sx="102000" sy="102000" algn="ctr" rotWithShape="0">
                <a:prstClr val="black">
                  <a:alpha val="40000"/>
                </a:prstClr>
              </a:outerShdw>
            </a:effectLst>
          </a:endParaRPr>
        </a:p>
      </xdr:txBody>
    </xdr:sp>
    <xdr:clientData/>
  </xdr:twoCellAnchor>
  <xdr:twoCellAnchor>
    <xdr:from>
      <xdr:col>7</xdr:col>
      <xdr:colOff>511767</xdr:colOff>
      <xdr:row>6</xdr:row>
      <xdr:rowOff>112821</xdr:rowOff>
    </xdr:from>
    <xdr:to>
      <xdr:col>9</xdr:col>
      <xdr:colOff>689238</xdr:colOff>
      <xdr:row>9</xdr:row>
      <xdr:rowOff>179362</xdr:rowOff>
    </xdr:to>
    <xdr:sp macro="" textlink="">
      <xdr:nvSpPr>
        <xdr:cNvPr id="15" name="Rectángulo: esquinas redondeadas 14">
          <a:hlinkClick xmlns:r="http://schemas.openxmlformats.org/officeDocument/2006/relationships" r:id="rId8"/>
          <a:extLst>
            <a:ext uri="{FF2B5EF4-FFF2-40B4-BE49-F238E27FC236}">
              <a16:creationId xmlns:a16="http://schemas.microsoft.com/office/drawing/2014/main" id="{FFBD75A0-5E84-4BCD-A77B-DB02AB5CABF2}"/>
            </a:ext>
          </a:extLst>
        </xdr:cNvPr>
        <xdr:cNvSpPr/>
      </xdr:nvSpPr>
      <xdr:spPr>
        <a:xfrm>
          <a:off x="6592261" y="1475118"/>
          <a:ext cx="2160000" cy="720000"/>
        </a:xfrm>
        <a:prstGeom prst="roundRect">
          <a:avLst/>
        </a:prstGeom>
        <a:solidFill>
          <a:schemeClr val="accent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600" b="1" baseline="0">
              <a:effectLst>
                <a:outerShdw blurRad="63500" sx="102000" sy="102000" algn="ctr" rotWithShape="0">
                  <a:prstClr val="black">
                    <a:alpha val="40000"/>
                  </a:prstClr>
                </a:outerShdw>
              </a:effectLst>
            </a:rPr>
            <a:t>Crédito de Vivienda  en </a:t>
          </a:r>
          <a:r>
            <a:rPr lang="es-MX" sz="1800" b="1" baseline="0">
              <a:effectLst>
                <a:outerShdw blurRad="63500" sx="102000" sy="102000" algn="ctr" rotWithShape="0">
                  <a:prstClr val="black">
                    <a:alpha val="40000"/>
                  </a:prstClr>
                </a:outerShdw>
              </a:effectLst>
            </a:rPr>
            <a:t>UVR</a:t>
          </a:r>
          <a:endParaRPr lang="es-MX" sz="1600" b="1">
            <a:effectLst>
              <a:outerShdw blurRad="63500" sx="102000" sy="102000" algn="ctr" rotWithShape="0">
                <a:prstClr val="black">
                  <a:alpha val="40000"/>
                </a:prstClr>
              </a:outerShdw>
            </a:effectLs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199571</xdr:colOff>
      <xdr:row>0</xdr:row>
      <xdr:rowOff>0</xdr:rowOff>
    </xdr:from>
    <xdr:to>
      <xdr:col>1</xdr:col>
      <xdr:colOff>771071</xdr:colOff>
      <xdr:row>3</xdr:row>
      <xdr:rowOff>136071</xdr:rowOff>
    </xdr:to>
    <xdr:grpSp>
      <xdr:nvGrpSpPr>
        <xdr:cNvPr id="3" name="Grupo 2">
          <a:hlinkClick xmlns:r="http://schemas.openxmlformats.org/officeDocument/2006/relationships" r:id="rId1"/>
          <a:extLst>
            <a:ext uri="{FF2B5EF4-FFF2-40B4-BE49-F238E27FC236}">
              <a16:creationId xmlns:a16="http://schemas.microsoft.com/office/drawing/2014/main" id="{F2F8311B-F84A-4D8C-90F0-C3D164695E18}"/>
            </a:ext>
          </a:extLst>
        </xdr:cNvPr>
        <xdr:cNvGrpSpPr/>
      </xdr:nvGrpSpPr>
      <xdr:grpSpPr>
        <a:xfrm>
          <a:off x="199571" y="0"/>
          <a:ext cx="780143" cy="843642"/>
          <a:chOff x="3627419" y="3206813"/>
          <a:chExt cx="3292186" cy="3283588"/>
        </a:xfrm>
      </xdr:grpSpPr>
      <xdr:pic>
        <xdr:nvPicPr>
          <xdr:cNvPr id="4" name="Imagen 3" descr="flecha flechas atrás punto atrás azul línea punteada icono de línea  14992450 Vector en Vecteezy">
            <a:extLst>
              <a:ext uri="{FF2B5EF4-FFF2-40B4-BE49-F238E27FC236}">
                <a16:creationId xmlns:a16="http://schemas.microsoft.com/office/drawing/2014/main" id="{BFA519FA-FEEC-44F5-7C5D-0C0AC6F38D4D}"/>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27419" y="3206813"/>
            <a:ext cx="3292186" cy="3283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Elipse 4">
            <a:extLst>
              <a:ext uri="{FF2B5EF4-FFF2-40B4-BE49-F238E27FC236}">
                <a16:creationId xmlns:a16="http://schemas.microsoft.com/office/drawing/2014/main" id="{1F577889-87CD-F07C-6C6F-305DBA32C52F}"/>
              </a:ext>
            </a:extLst>
          </xdr:cNvPr>
          <xdr:cNvSpPr/>
        </xdr:nvSpPr>
        <xdr:spPr>
          <a:xfrm>
            <a:off x="4250746" y="3803303"/>
            <a:ext cx="2058614" cy="2107045"/>
          </a:xfrm>
          <a:prstGeom prst="ellipse">
            <a:avLst/>
          </a:prstGeom>
          <a:solidFill>
            <a:schemeClr val="accent1">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pic>
        <xdr:nvPicPr>
          <xdr:cNvPr id="6" name="Picture 2" descr="COMFACESAR - Estamos Cumpliedo sueños">
            <a:extLst>
              <a:ext uri="{FF2B5EF4-FFF2-40B4-BE49-F238E27FC236}">
                <a16:creationId xmlns:a16="http://schemas.microsoft.com/office/drawing/2014/main" id="{0766EC8C-FC0F-7467-436F-20284E913323}"/>
              </a:ext>
            </a:extLst>
          </xdr:cNvPr>
          <xdr:cNvPicPr>
            <a:picLocks noChangeAspect="1" noChangeArrowheads="1"/>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r="59316"/>
          <a:stretch/>
        </xdr:blipFill>
        <xdr:spPr bwMode="auto">
          <a:xfrm>
            <a:off x="4250746" y="3822526"/>
            <a:ext cx="1782925" cy="2008621"/>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xdr:col>
      <xdr:colOff>149679</xdr:colOff>
      <xdr:row>1</xdr:row>
      <xdr:rowOff>95251</xdr:rowOff>
    </xdr:from>
    <xdr:to>
      <xdr:col>4</xdr:col>
      <xdr:colOff>27214</xdr:colOff>
      <xdr:row>2</xdr:row>
      <xdr:rowOff>207622</xdr:rowOff>
    </xdr:to>
    <xdr:pic>
      <xdr:nvPicPr>
        <xdr:cNvPr id="8" name="Imagen 7">
          <a:extLst>
            <a:ext uri="{FF2B5EF4-FFF2-40B4-BE49-F238E27FC236}">
              <a16:creationId xmlns:a16="http://schemas.microsoft.com/office/drawing/2014/main" id="{E587392A-3077-4CCB-CC1D-01E01507DB8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15786" y="285751"/>
          <a:ext cx="1918607" cy="38451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95988</xdr:colOff>
      <xdr:row>1</xdr:row>
      <xdr:rowOff>33224</xdr:rowOff>
    </xdr:from>
    <xdr:to>
      <xdr:col>6</xdr:col>
      <xdr:colOff>871278</xdr:colOff>
      <xdr:row>2</xdr:row>
      <xdr:rowOff>73836</xdr:rowOff>
    </xdr:to>
    <xdr:sp macro="" textlink="">
      <xdr:nvSpPr>
        <xdr:cNvPr id="3" name="CuadroTexto 2">
          <a:extLst>
            <a:ext uri="{FF2B5EF4-FFF2-40B4-BE49-F238E27FC236}">
              <a16:creationId xmlns:a16="http://schemas.microsoft.com/office/drawing/2014/main" id="{00000000-0008-0000-0200-000003000000}"/>
            </a:ext>
          </a:extLst>
        </xdr:cNvPr>
        <xdr:cNvSpPr txBox="1"/>
      </xdr:nvSpPr>
      <xdr:spPr>
        <a:xfrm>
          <a:off x="3418662" y="225201"/>
          <a:ext cx="4607442" cy="4245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2200" b="1">
              <a:solidFill>
                <a:schemeClr val="accent1">
                  <a:lumMod val="50000"/>
                </a:schemeClr>
              </a:solidFill>
              <a:latin typeface="Candara" panose="020E0502030303020204" pitchFamily="34" charset="0"/>
            </a:rPr>
            <a:t>SIMULADOR CREDITO</a:t>
          </a:r>
          <a:r>
            <a:rPr lang="es-MX" sz="2200" b="1" baseline="0">
              <a:solidFill>
                <a:schemeClr val="accent1">
                  <a:lumMod val="50000"/>
                </a:schemeClr>
              </a:solidFill>
              <a:latin typeface="Candara" panose="020E0502030303020204" pitchFamily="34" charset="0"/>
            </a:rPr>
            <a:t> DE VIVIENDA</a:t>
          </a:r>
          <a:endParaRPr lang="es-MX" sz="2200" b="1">
            <a:solidFill>
              <a:schemeClr val="accent1">
                <a:lumMod val="50000"/>
              </a:schemeClr>
            </a:solidFill>
            <a:latin typeface="Candara" panose="020E0502030303020204" pitchFamily="34" charset="0"/>
          </a:endParaRPr>
        </a:p>
      </xdr:txBody>
    </xdr:sp>
    <xdr:clientData/>
  </xdr:twoCellAnchor>
  <xdr:twoCellAnchor>
    <xdr:from>
      <xdr:col>7</xdr:col>
      <xdr:colOff>781348</xdr:colOff>
      <xdr:row>11</xdr:row>
      <xdr:rowOff>140291</xdr:rowOff>
    </xdr:from>
    <xdr:to>
      <xdr:col>9</xdr:col>
      <xdr:colOff>553780</xdr:colOff>
      <xdr:row>17</xdr:row>
      <xdr:rowOff>66454</xdr:rowOff>
    </xdr:to>
    <xdr:sp macro="" textlink="">
      <xdr:nvSpPr>
        <xdr:cNvPr id="8" name="Flecha: a la derecha 7">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9161871" y="2635989"/>
          <a:ext cx="1854642" cy="1063256"/>
        </a:xfrm>
        <a:prstGeom prst="rightArrow">
          <a:avLst>
            <a:gd name="adj1" fmla="val 50000"/>
            <a:gd name="adj2" fmla="val 54167"/>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400" b="1">
              <a:effectLst>
                <a:outerShdw blurRad="63500" sx="102000" sy="102000" algn="ctr" rotWithShape="0">
                  <a:prstClr val="black">
                    <a:alpha val="40000"/>
                  </a:prstClr>
                </a:outerShdw>
              </a:effectLst>
            </a:rPr>
            <a:t>Complementa</a:t>
          </a:r>
          <a:r>
            <a:rPr lang="es-MX" sz="1400" b="1" baseline="0">
              <a:effectLst>
                <a:outerShdw blurRad="63500" sx="102000" sy="102000" algn="ctr" rotWithShape="0">
                  <a:prstClr val="black">
                    <a:alpha val="40000"/>
                  </a:prstClr>
                </a:outerShdw>
              </a:effectLst>
            </a:rPr>
            <a:t> los datos de tu cliente</a:t>
          </a:r>
          <a:endParaRPr lang="es-MX" sz="1400" b="1">
            <a:effectLst>
              <a:outerShdw blurRad="63500" sx="102000" sy="102000" algn="ctr" rotWithShape="0">
                <a:prstClr val="black">
                  <a:alpha val="40000"/>
                </a:prstClr>
              </a:outerShdw>
            </a:effectLst>
          </a:endParaRPr>
        </a:p>
      </xdr:txBody>
    </xdr:sp>
    <xdr:clientData/>
  </xdr:twoCellAnchor>
  <xdr:twoCellAnchor>
    <xdr:from>
      <xdr:col>8</xdr:col>
      <xdr:colOff>1100174</xdr:colOff>
      <xdr:row>0</xdr:row>
      <xdr:rowOff>22150</xdr:rowOff>
    </xdr:from>
    <xdr:to>
      <xdr:col>10</xdr:col>
      <xdr:colOff>31706</xdr:colOff>
      <xdr:row>2</xdr:row>
      <xdr:rowOff>258430</xdr:rowOff>
    </xdr:to>
    <xdr:grpSp>
      <xdr:nvGrpSpPr>
        <xdr:cNvPr id="6" name="Grupo 5">
          <a:hlinkClick xmlns:r="http://schemas.openxmlformats.org/officeDocument/2006/relationships" r:id="rId2"/>
          <a:extLst>
            <a:ext uri="{FF2B5EF4-FFF2-40B4-BE49-F238E27FC236}">
              <a16:creationId xmlns:a16="http://schemas.microsoft.com/office/drawing/2014/main" id="{00000000-0008-0000-0200-000006000000}"/>
            </a:ext>
          </a:extLst>
        </xdr:cNvPr>
        <xdr:cNvGrpSpPr/>
      </xdr:nvGrpSpPr>
      <xdr:grpSpPr>
        <a:xfrm>
          <a:off x="10490237" y="22150"/>
          <a:ext cx="836532" cy="815718"/>
          <a:chOff x="4567082" y="3528136"/>
          <a:chExt cx="2714249" cy="2398529"/>
        </a:xfrm>
      </xdr:grpSpPr>
      <xdr:pic>
        <xdr:nvPicPr>
          <xdr:cNvPr id="9" name="Imagen 8" descr="flecha flechas atrás punto atrás azul línea punteada icono de línea  14992450 Vector en Vecteezy">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67082" y="3528136"/>
            <a:ext cx="2714249" cy="239852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0" name="Elipse 9">
            <a:extLst>
              <a:ext uri="{FF2B5EF4-FFF2-40B4-BE49-F238E27FC236}">
                <a16:creationId xmlns:a16="http://schemas.microsoft.com/office/drawing/2014/main" id="{00000000-0008-0000-0200-00000A000000}"/>
              </a:ext>
            </a:extLst>
          </xdr:cNvPr>
          <xdr:cNvSpPr/>
        </xdr:nvSpPr>
        <xdr:spPr>
          <a:xfrm>
            <a:off x="5054600" y="3925963"/>
            <a:ext cx="1786466" cy="1594197"/>
          </a:xfrm>
          <a:prstGeom prst="ellipse">
            <a:avLst/>
          </a:prstGeom>
          <a:solidFill>
            <a:schemeClr val="accent1">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pic>
        <xdr:nvPicPr>
          <xdr:cNvPr id="11" name="Imagen 10" descr="casa icono hogar png – mytimeplus.net">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brightnessContrast bright="-20000" contrast="40000"/>
                    </a14:imgEffect>
                  </a14:imgLayer>
                </a14:imgProps>
              </a:ext>
              <a:ext uri="{28A0092B-C50C-407E-A947-70E740481C1C}">
                <a14:useLocalDpi xmlns:a14="http://schemas.microsoft.com/office/drawing/2010/main" val="0"/>
              </a:ext>
            </a:extLst>
          </a:blip>
          <a:srcRect/>
          <a:stretch>
            <a:fillRect/>
          </a:stretch>
        </xdr:blipFill>
        <xdr:spPr bwMode="auto">
          <a:xfrm>
            <a:off x="5184288" y="3985336"/>
            <a:ext cx="1504378" cy="135160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177210</xdr:colOff>
      <xdr:row>0</xdr:row>
      <xdr:rowOff>110757</xdr:rowOff>
    </xdr:from>
    <xdr:to>
      <xdr:col>1</xdr:col>
      <xdr:colOff>2835349</xdr:colOff>
      <xdr:row>2</xdr:row>
      <xdr:rowOff>124310</xdr:rowOff>
    </xdr:to>
    <xdr:pic>
      <xdr:nvPicPr>
        <xdr:cNvPr id="4" name="Imagen 3">
          <a:extLst>
            <a:ext uri="{FF2B5EF4-FFF2-40B4-BE49-F238E27FC236}">
              <a16:creationId xmlns:a16="http://schemas.microsoft.com/office/drawing/2014/main" id="{5DF7E5D3-B88E-C766-5DC8-BF6BF073C679}"/>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7210" y="110757"/>
          <a:ext cx="2957180" cy="59265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481854</xdr:colOff>
      <xdr:row>0</xdr:row>
      <xdr:rowOff>291354</xdr:rowOff>
    </xdr:from>
    <xdr:to>
      <xdr:col>5</xdr:col>
      <xdr:colOff>862853</xdr:colOff>
      <xdr:row>2</xdr:row>
      <xdr:rowOff>6725</xdr:rowOff>
    </xdr:to>
    <xdr:sp macro="" textlink="">
      <xdr:nvSpPr>
        <xdr:cNvPr id="2" name="CuadroTexto 1">
          <a:extLst>
            <a:ext uri="{FF2B5EF4-FFF2-40B4-BE49-F238E27FC236}">
              <a16:creationId xmlns:a16="http://schemas.microsoft.com/office/drawing/2014/main" id="{00000000-0008-0000-0300-000002000000}"/>
            </a:ext>
          </a:extLst>
        </xdr:cNvPr>
        <xdr:cNvSpPr txBox="1"/>
      </xdr:nvSpPr>
      <xdr:spPr>
        <a:xfrm>
          <a:off x="3877236" y="291354"/>
          <a:ext cx="3765176"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800" b="1">
              <a:solidFill>
                <a:schemeClr val="accent1">
                  <a:lumMod val="50000"/>
                </a:schemeClr>
              </a:solidFill>
              <a:latin typeface="Candara" panose="020E0502030303020204" pitchFamily="34" charset="0"/>
            </a:rPr>
            <a:t>SIMULADOR CRÉDITO DE VIVIENDA</a:t>
          </a:r>
        </a:p>
      </xdr:txBody>
    </xdr:sp>
    <xdr:clientData/>
  </xdr:twoCellAnchor>
  <xdr:twoCellAnchor>
    <xdr:from>
      <xdr:col>4</xdr:col>
      <xdr:colOff>0</xdr:colOff>
      <xdr:row>8</xdr:row>
      <xdr:rowOff>0</xdr:rowOff>
    </xdr:from>
    <xdr:to>
      <xdr:col>5</xdr:col>
      <xdr:colOff>702236</xdr:colOff>
      <xdr:row>10</xdr:row>
      <xdr:rowOff>216647</xdr:rowOff>
    </xdr:to>
    <xdr:sp macro="" textlink="">
      <xdr:nvSpPr>
        <xdr:cNvPr id="6" name="Rectángulo: esquinas redondeadas 5">
          <a:hlinkClick xmlns:r="http://schemas.openxmlformats.org/officeDocument/2006/relationships" r:id="rId1"/>
          <a:extLst>
            <a:ext uri="{FF2B5EF4-FFF2-40B4-BE49-F238E27FC236}">
              <a16:creationId xmlns:a16="http://schemas.microsoft.com/office/drawing/2014/main" id="{00000000-0008-0000-0300-000006000000}"/>
            </a:ext>
          </a:extLst>
        </xdr:cNvPr>
        <xdr:cNvSpPr/>
      </xdr:nvSpPr>
      <xdr:spPr>
        <a:xfrm>
          <a:off x="5894294" y="1755588"/>
          <a:ext cx="1912471" cy="44823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600" b="1"/>
            <a:t>Ir al plan</a:t>
          </a:r>
          <a:r>
            <a:rPr lang="es-MX" sz="1600" b="1" baseline="0"/>
            <a:t> de pagos</a:t>
          </a:r>
          <a:endParaRPr lang="es-MX" sz="1600" b="1"/>
        </a:p>
      </xdr:txBody>
    </xdr:sp>
    <xdr:clientData/>
  </xdr:twoCellAnchor>
  <xdr:twoCellAnchor editAs="oneCell">
    <xdr:from>
      <xdr:col>8</xdr:col>
      <xdr:colOff>127000</xdr:colOff>
      <xdr:row>0</xdr:row>
      <xdr:rowOff>22412</xdr:rowOff>
    </xdr:from>
    <xdr:to>
      <xdr:col>8</xdr:col>
      <xdr:colOff>918882</xdr:colOff>
      <xdr:row>2</xdr:row>
      <xdr:rowOff>192167</xdr:rowOff>
    </xdr:to>
    <xdr:pic>
      <xdr:nvPicPr>
        <xdr:cNvPr id="3" name="Imagen 2" descr="flecha flechas atrás punto atrás azul línea punteada icono de línea  14992450 Vector en Vecteezy">
          <a:hlinkClick xmlns:r="http://schemas.openxmlformats.org/officeDocument/2006/relationships" r:id="rId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414000" y="22412"/>
          <a:ext cx="791882" cy="7898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246530</xdr:colOff>
      <xdr:row>0</xdr:row>
      <xdr:rowOff>145677</xdr:rowOff>
    </xdr:from>
    <xdr:to>
      <xdr:col>2</xdr:col>
      <xdr:colOff>78442</xdr:colOff>
      <xdr:row>2</xdr:row>
      <xdr:rowOff>164940</xdr:rowOff>
    </xdr:to>
    <xdr:pic>
      <xdr:nvPicPr>
        <xdr:cNvPr id="5" name="Imagen 4">
          <a:extLst>
            <a:ext uri="{FF2B5EF4-FFF2-40B4-BE49-F238E27FC236}">
              <a16:creationId xmlns:a16="http://schemas.microsoft.com/office/drawing/2014/main" id="{CE2A946E-5519-E082-04DD-F7177245D1B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46530" y="145677"/>
          <a:ext cx="3227294" cy="64679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199571</xdr:colOff>
      <xdr:row>0</xdr:row>
      <xdr:rowOff>0</xdr:rowOff>
    </xdr:from>
    <xdr:to>
      <xdr:col>1</xdr:col>
      <xdr:colOff>771071</xdr:colOff>
      <xdr:row>3</xdr:row>
      <xdr:rowOff>136071</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400-000002000000}"/>
            </a:ext>
          </a:extLst>
        </xdr:cNvPr>
        <xdr:cNvGrpSpPr/>
      </xdr:nvGrpSpPr>
      <xdr:grpSpPr>
        <a:xfrm>
          <a:off x="199571" y="0"/>
          <a:ext cx="780143" cy="807357"/>
          <a:chOff x="3627419" y="3206813"/>
          <a:chExt cx="3292186" cy="3283588"/>
        </a:xfrm>
      </xdr:grpSpPr>
      <xdr:pic>
        <xdr:nvPicPr>
          <xdr:cNvPr id="3" name="Imagen 2" descr="flecha flechas atrás punto atrás azul línea punteada icono de línea  14992450 Vector en Vecteezy">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27419" y="3206813"/>
            <a:ext cx="3292186" cy="3283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Elipse 4">
            <a:extLst>
              <a:ext uri="{FF2B5EF4-FFF2-40B4-BE49-F238E27FC236}">
                <a16:creationId xmlns:a16="http://schemas.microsoft.com/office/drawing/2014/main" id="{00000000-0008-0000-0400-000005000000}"/>
              </a:ext>
            </a:extLst>
          </xdr:cNvPr>
          <xdr:cNvSpPr/>
        </xdr:nvSpPr>
        <xdr:spPr>
          <a:xfrm>
            <a:off x="4250746" y="3803303"/>
            <a:ext cx="2058614" cy="2107045"/>
          </a:xfrm>
          <a:prstGeom prst="ellipse">
            <a:avLst/>
          </a:prstGeom>
          <a:solidFill>
            <a:schemeClr val="accent1">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pic>
        <xdr:nvPicPr>
          <xdr:cNvPr id="7" name="Picture 2" descr="COMFACESAR - Estamos Cumpliedo sueños">
            <a:extLst>
              <a:ext uri="{FF2B5EF4-FFF2-40B4-BE49-F238E27FC236}">
                <a16:creationId xmlns:a16="http://schemas.microsoft.com/office/drawing/2014/main" id="{00000000-0008-0000-0400-000007000000}"/>
              </a:ext>
            </a:extLst>
          </xdr:cNvPr>
          <xdr:cNvPicPr>
            <a:picLocks noChangeAspect="1" noChangeArrowheads="1"/>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r="59316"/>
          <a:stretch/>
        </xdr:blipFill>
        <xdr:spPr bwMode="auto">
          <a:xfrm>
            <a:off x="4250746" y="3822526"/>
            <a:ext cx="1782925" cy="2008621"/>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xdr:col>
      <xdr:colOff>217716</xdr:colOff>
      <xdr:row>1</xdr:row>
      <xdr:rowOff>13607</xdr:rowOff>
    </xdr:from>
    <xdr:to>
      <xdr:col>4</xdr:col>
      <xdr:colOff>449036</xdr:colOff>
      <xdr:row>2</xdr:row>
      <xdr:rowOff>196881</xdr:rowOff>
    </xdr:to>
    <xdr:pic>
      <xdr:nvPicPr>
        <xdr:cNvPr id="8" name="Imagen 7">
          <a:extLst>
            <a:ext uri="{FF2B5EF4-FFF2-40B4-BE49-F238E27FC236}">
              <a16:creationId xmlns:a16="http://schemas.microsoft.com/office/drawing/2014/main" id="{0238940E-C4D4-BB34-CE01-AC4C3E624C9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83823" y="204107"/>
          <a:ext cx="2272392" cy="45541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15875</xdr:colOff>
      <xdr:row>1</xdr:row>
      <xdr:rowOff>47625</xdr:rowOff>
    </xdr:from>
    <xdr:to>
      <xdr:col>6</xdr:col>
      <xdr:colOff>674688</xdr:colOff>
      <xdr:row>2</xdr:row>
      <xdr:rowOff>2399</xdr:rowOff>
    </xdr:to>
    <xdr:sp macro="" textlink="">
      <xdr:nvSpPr>
        <xdr:cNvPr id="3" name="CuadroTexto 2">
          <a:extLst>
            <a:ext uri="{FF2B5EF4-FFF2-40B4-BE49-F238E27FC236}">
              <a16:creationId xmlns:a16="http://schemas.microsoft.com/office/drawing/2014/main" id="{D7598947-A1A2-4806-ABF2-842EF9DB5AD4}"/>
            </a:ext>
          </a:extLst>
        </xdr:cNvPr>
        <xdr:cNvSpPr txBox="1"/>
      </xdr:nvSpPr>
      <xdr:spPr>
        <a:xfrm>
          <a:off x="2619375" y="238125"/>
          <a:ext cx="3503613" cy="2786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500" b="1">
              <a:solidFill>
                <a:schemeClr val="accent1">
                  <a:lumMod val="50000"/>
                </a:schemeClr>
              </a:solidFill>
              <a:latin typeface="Candara" panose="020E0502030303020204" pitchFamily="34" charset="0"/>
            </a:rPr>
            <a:t>COMPARA</a:t>
          </a:r>
          <a:r>
            <a:rPr lang="es-MX" sz="1500" b="1" baseline="0">
              <a:solidFill>
                <a:schemeClr val="accent1">
                  <a:lumMod val="50000"/>
                </a:schemeClr>
              </a:solidFill>
              <a:latin typeface="Candara" panose="020E0502030303020204" pitchFamily="34" charset="0"/>
            </a:rPr>
            <a:t> Y OFRECE LA MEJOR OFERTA</a:t>
          </a:r>
          <a:endParaRPr lang="es-MX" sz="1500" b="1">
            <a:solidFill>
              <a:schemeClr val="accent1">
                <a:lumMod val="50000"/>
              </a:schemeClr>
            </a:solidFill>
            <a:latin typeface="Candara" panose="020E0502030303020204" pitchFamily="34" charset="0"/>
          </a:endParaRPr>
        </a:p>
      </xdr:txBody>
    </xdr:sp>
    <xdr:clientData/>
  </xdr:twoCellAnchor>
  <xdr:twoCellAnchor>
    <xdr:from>
      <xdr:col>9</xdr:col>
      <xdr:colOff>136559</xdr:colOff>
      <xdr:row>0</xdr:row>
      <xdr:rowOff>0</xdr:rowOff>
    </xdr:from>
    <xdr:to>
      <xdr:col>9</xdr:col>
      <xdr:colOff>952455</xdr:colOff>
      <xdr:row>2</xdr:row>
      <xdr:rowOff>144537</xdr:rowOff>
    </xdr:to>
    <xdr:grpSp>
      <xdr:nvGrpSpPr>
        <xdr:cNvPr id="4" name="Grupo 3">
          <a:hlinkClick xmlns:r="http://schemas.openxmlformats.org/officeDocument/2006/relationships" r:id="rId1"/>
          <a:extLst>
            <a:ext uri="{FF2B5EF4-FFF2-40B4-BE49-F238E27FC236}">
              <a16:creationId xmlns:a16="http://schemas.microsoft.com/office/drawing/2014/main" id="{350AB8B3-D4CA-4593-BD3B-8B78348FECAA}"/>
            </a:ext>
          </a:extLst>
        </xdr:cNvPr>
        <xdr:cNvGrpSpPr/>
      </xdr:nvGrpSpPr>
      <xdr:grpSpPr>
        <a:xfrm>
          <a:off x="8525243" y="0"/>
          <a:ext cx="815896" cy="662563"/>
          <a:chOff x="4567082" y="3528136"/>
          <a:chExt cx="2714249" cy="2398529"/>
        </a:xfrm>
      </xdr:grpSpPr>
      <xdr:pic>
        <xdr:nvPicPr>
          <xdr:cNvPr id="5" name="Imagen 4" descr="flecha flechas atrás punto atrás azul línea punteada icono de línea  14992450 Vector en Vecteezy">
            <a:extLst>
              <a:ext uri="{FF2B5EF4-FFF2-40B4-BE49-F238E27FC236}">
                <a16:creationId xmlns:a16="http://schemas.microsoft.com/office/drawing/2014/main" id="{148B9527-AFF3-BA3E-1235-FFA09BAF6229}"/>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67082" y="3528136"/>
            <a:ext cx="2714249" cy="239852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Elipse 5">
            <a:extLst>
              <a:ext uri="{FF2B5EF4-FFF2-40B4-BE49-F238E27FC236}">
                <a16:creationId xmlns:a16="http://schemas.microsoft.com/office/drawing/2014/main" id="{2877C7DD-5F42-0B6C-813E-45BCF62C935F}"/>
              </a:ext>
            </a:extLst>
          </xdr:cNvPr>
          <xdr:cNvSpPr/>
        </xdr:nvSpPr>
        <xdr:spPr>
          <a:xfrm>
            <a:off x="5054600" y="3925963"/>
            <a:ext cx="1786466" cy="1594197"/>
          </a:xfrm>
          <a:prstGeom prst="ellipse">
            <a:avLst/>
          </a:prstGeom>
          <a:solidFill>
            <a:schemeClr val="accent1">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pic>
        <xdr:nvPicPr>
          <xdr:cNvPr id="7" name="Imagen 6" descr="casa icono hogar png – mytimeplus.net">
            <a:extLst>
              <a:ext uri="{FF2B5EF4-FFF2-40B4-BE49-F238E27FC236}">
                <a16:creationId xmlns:a16="http://schemas.microsoft.com/office/drawing/2014/main" id="{F996F6F2-9330-3D5A-1EF8-0CDB2AC8F8FC}"/>
              </a:ext>
            </a:extLst>
          </xdr:cNvPr>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40000"/>
                    </a14:imgEffect>
                  </a14:imgLayer>
                </a14:imgProps>
              </a:ext>
              <a:ext uri="{28A0092B-C50C-407E-A947-70E740481C1C}">
                <a14:useLocalDpi xmlns:a14="http://schemas.microsoft.com/office/drawing/2010/main" val="0"/>
              </a:ext>
            </a:extLst>
          </a:blip>
          <a:srcRect/>
          <a:stretch>
            <a:fillRect/>
          </a:stretch>
        </xdr:blipFill>
        <xdr:spPr bwMode="auto">
          <a:xfrm>
            <a:off x="5184288" y="3985336"/>
            <a:ext cx="1504378" cy="135160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10</xdr:col>
      <xdr:colOff>269875</xdr:colOff>
      <xdr:row>10</xdr:row>
      <xdr:rowOff>174624</xdr:rowOff>
    </xdr:from>
    <xdr:to>
      <xdr:col>24</xdr:col>
      <xdr:colOff>707212</xdr:colOff>
      <xdr:row>14</xdr:row>
      <xdr:rowOff>13104</xdr:rowOff>
    </xdr:to>
    <xdr:sp macro="" textlink="">
      <xdr:nvSpPr>
        <xdr:cNvPr id="9" name="Rectángulo: esquinas redondeadas 8">
          <a:hlinkClick xmlns:r="http://schemas.openxmlformats.org/officeDocument/2006/relationships" r:id="rId5"/>
          <a:extLst>
            <a:ext uri="{FF2B5EF4-FFF2-40B4-BE49-F238E27FC236}">
              <a16:creationId xmlns:a16="http://schemas.microsoft.com/office/drawing/2014/main" id="{4030E5D9-5417-4EF2-8BB9-19E776361123}"/>
            </a:ext>
          </a:extLst>
        </xdr:cNvPr>
        <xdr:cNvSpPr/>
      </xdr:nvSpPr>
      <xdr:spPr>
        <a:xfrm>
          <a:off x="9707563" y="2278062"/>
          <a:ext cx="2389962" cy="671917"/>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600" b="1" baseline="0">
              <a:effectLst>
                <a:outerShdw blurRad="63500" sx="102000" sy="102000" algn="ctr" rotWithShape="0">
                  <a:prstClr val="black">
                    <a:alpha val="40000"/>
                  </a:prstClr>
                </a:outerShdw>
              </a:effectLst>
            </a:rPr>
            <a:t>Ir al simulador Leasing Habitacional Familiar</a:t>
          </a:r>
          <a:endParaRPr lang="es-MX" sz="1600" b="1">
            <a:effectLst>
              <a:outerShdw blurRad="63500" sx="102000" sy="102000" algn="ctr" rotWithShape="0">
                <a:prstClr val="black">
                  <a:alpha val="40000"/>
                </a:prstClr>
              </a:outerShdw>
            </a:effectLst>
          </a:endParaRPr>
        </a:p>
      </xdr:txBody>
    </xdr:sp>
    <xdr:clientData/>
  </xdr:twoCellAnchor>
  <xdr:twoCellAnchor editAs="oneCell">
    <xdr:from>
      <xdr:col>0</xdr:col>
      <xdr:colOff>125329</xdr:colOff>
      <xdr:row>0</xdr:row>
      <xdr:rowOff>112797</xdr:rowOff>
    </xdr:from>
    <xdr:to>
      <xdr:col>2</xdr:col>
      <xdr:colOff>589046</xdr:colOff>
      <xdr:row>2</xdr:row>
      <xdr:rowOff>35994</xdr:rowOff>
    </xdr:to>
    <xdr:pic>
      <xdr:nvPicPr>
        <xdr:cNvPr id="10" name="Imagen 9">
          <a:extLst>
            <a:ext uri="{FF2B5EF4-FFF2-40B4-BE49-F238E27FC236}">
              <a16:creationId xmlns:a16="http://schemas.microsoft.com/office/drawing/2014/main" id="{D543F961-17BB-CC3E-2D3F-3042551AF0BD}"/>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5329" y="112797"/>
          <a:ext cx="2180724" cy="43704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2983022</xdr:colOff>
      <xdr:row>1</xdr:row>
      <xdr:rowOff>70143</xdr:rowOff>
    </xdr:from>
    <xdr:to>
      <xdr:col>6</xdr:col>
      <xdr:colOff>1070639</xdr:colOff>
      <xdr:row>2</xdr:row>
      <xdr:rowOff>44303</xdr:rowOff>
    </xdr:to>
    <xdr:sp macro="" textlink="">
      <xdr:nvSpPr>
        <xdr:cNvPr id="2" name="CuadroTexto 1">
          <a:extLst>
            <a:ext uri="{FF2B5EF4-FFF2-40B4-BE49-F238E27FC236}">
              <a16:creationId xmlns:a16="http://schemas.microsoft.com/office/drawing/2014/main" id="{4A5F5D4B-A64C-4991-9EF1-EAC9890CFD88}"/>
            </a:ext>
          </a:extLst>
        </xdr:cNvPr>
        <xdr:cNvSpPr txBox="1"/>
      </xdr:nvSpPr>
      <xdr:spPr>
        <a:xfrm>
          <a:off x="3293138" y="262120"/>
          <a:ext cx="4939710" cy="3581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600" b="1">
              <a:solidFill>
                <a:schemeClr val="accent1">
                  <a:lumMod val="50000"/>
                </a:schemeClr>
              </a:solidFill>
              <a:latin typeface="Candara" panose="020E0502030303020204" pitchFamily="34" charset="0"/>
            </a:rPr>
            <a:t>SIMULADOR LEASING HABITACIONAL FAMILIAR</a:t>
          </a:r>
        </a:p>
      </xdr:txBody>
    </xdr:sp>
    <xdr:clientData/>
  </xdr:twoCellAnchor>
  <xdr:twoCellAnchor>
    <xdr:from>
      <xdr:col>7</xdr:col>
      <xdr:colOff>810882</xdr:colOff>
      <xdr:row>11</xdr:row>
      <xdr:rowOff>103372</xdr:rowOff>
    </xdr:from>
    <xdr:to>
      <xdr:col>9</xdr:col>
      <xdr:colOff>583314</xdr:colOff>
      <xdr:row>17</xdr:row>
      <xdr:rowOff>29535</xdr:rowOff>
    </xdr:to>
    <xdr:sp macro="" textlink="">
      <xdr:nvSpPr>
        <xdr:cNvPr id="4" name="Flecha: a la derecha 3">
          <a:hlinkClick xmlns:r="http://schemas.openxmlformats.org/officeDocument/2006/relationships" r:id="rId1"/>
          <a:extLst>
            <a:ext uri="{FF2B5EF4-FFF2-40B4-BE49-F238E27FC236}">
              <a16:creationId xmlns:a16="http://schemas.microsoft.com/office/drawing/2014/main" id="{E2320CFA-1024-4CDD-AEA9-B1D60D6968C3}"/>
            </a:ext>
          </a:extLst>
        </xdr:cNvPr>
        <xdr:cNvSpPr/>
      </xdr:nvSpPr>
      <xdr:spPr>
        <a:xfrm>
          <a:off x="9191405" y="2599070"/>
          <a:ext cx="1854642" cy="1063256"/>
        </a:xfrm>
        <a:prstGeom prst="rightArrow">
          <a:avLst>
            <a:gd name="adj1" fmla="val 50000"/>
            <a:gd name="adj2" fmla="val 54167"/>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400" b="1">
              <a:effectLst>
                <a:outerShdw blurRad="63500" sx="102000" sy="102000" algn="ctr" rotWithShape="0">
                  <a:prstClr val="black">
                    <a:alpha val="40000"/>
                  </a:prstClr>
                </a:outerShdw>
              </a:effectLst>
            </a:rPr>
            <a:t>Complementa</a:t>
          </a:r>
          <a:r>
            <a:rPr lang="es-MX" sz="1400" b="1" baseline="0">
              <a:effectLst>
                <a:outerShdw blurRad="63500" sx="102000" sy="102000" algn="ctr" rotWithShape="0">
                  <a:prstClr val="black">
                    <a:alpha val="40000"/>
                  </a:prstClr>
                </a:outerShdw>
              </a:effectLst>
            </a:rPr>
            <a:t> los datos de tu cliente</a:t>
          </a:r>
          <a:endParaRPr lang="es-MX" sz="1400" b="1">
            <a:effectLst>
              <a:outerShdw blurRad="63500" sx="102000" sy="102000" algn="ctr" rotWithShape="0">
                <a:prstClr val="black">
                  <a:alpha val="40000"/>
                </a:prstClr>
              </a:outerShdw>
            </a:effectLst>
          </a:endParaRPr>
        </a:p>
      </xdr:txBody>
    </xdr:sp>
    <xdr:clientData/>
  </xdr:twoCellAnchor>
  <xdr:twoCellAnchor>
    <xdr:from>
      <xdr:col>8</xdr:col>
      <xdr:colOff>1100174</xdr:colOff>
      <xdr:row>0</xdr:row>
      <xdr:rowOff>22150</xdr:rowOff>
    </xdr:from>
    <xdr:to>
      <xdr:col>10</xdr:col>
      <xdr:colOff>31706</xdr:colOff>
      <xdr:row>2</xdr:row>
      <xdr:rowOff>258430</xdr:rowOff>
    </xdr:to>
    <xdr:grpSp>
      <xdr:nvGrpSpPr>
        <xdr:cNvPr id="5" name="Grupo 4">
          <a:hlinkClick xmlns:r="http://schemas.openxmlformats.org/officeDocument/2006/relationships" r:id="rId2"/>
          <a:extLst>
            <a:ext uri="{FF2B5EF4-FFF2-40B4-BE49-F238E27FC236}">
              <a16:creationId xmlns:a16="http://schemas.microsoft.com/office/drawing/2014/main" id="{239DCF85-BE49-42BD-B504-752766E6D94A}"/>
            </a:ext>
          </a:extLst>
        </xdr:cNvPr>
        <xdr:cNvGrpSpPr/>
      </xdr:nvGrpSpPr>
      <xdr:grpSpPr>
        <a:xfrm>
          <a:off x="10458487" y="22150"/>
          <a:ext cx="836532" cy="815718"/>
          <a:chOff x="4567082" y="3528136"/>
          <a:chExt cx="2714249" cy="2398529"/>
        </a:xfrm>
      </xdr:grpSpPr>
      <xdr:pic>
        <xdr:nvPicPr>
          <xdr:cNvPr id="6" name="Imagen 5" descr="flecha flechas atrás punto atrás azul línea punteada icono de línea  14992450 Vector en Vecteezy">
            <a:extLst>
              <a:ext uri="{FF2B5EF4-FFF2-40B4-BE49-F238E27FC236}">
                <a16:creationId xmlns:a16="http://schemas.microsoft.com/office/drawing/2014/main" id="{E801C945-DA75-55D1-6C6F-A197A87E5D2C}"/>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67082" y="3528136"/>
            <a:ext cx="2714249" cy="239852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 name="Elipse 6">
            <a:extLst>
              <a:ext uri="{FF2B5EF4-FFF2-40B4-BE49-F238E27FC236}">
                <a16:creationId xmlns:a16="http://schemas.microsoft.com/office/drawing/2014/main" id="{4320A65F-617C-6D68-5553-BFF3555527E0}"/>
              </a:ext>
            </a:extLst>
          </xdr:cNvPr>
          <xdr:cNvSpPr/>
        </xdr:nvSpPr>
        <xdr:spPr>
          <a:xfrm>
            <a:off x="5054600" y="3925963"/>
            <a:ext cx="1786466" cy="1594197"/>
          </a:xfrm>
          <a:prstGeom prst="ellipse">
            <a:avLst/>
          </a:prstGeom>
          <a:solidFill>
            <a:schemeClr val="accent1">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pic>
        <xdr:nvPicPr>
          <xdr:cNvPr id="8" name="Imagen 7" descr="casa icono hogar png – mytimeplus.net">
            <a:extLst>
              <a:ext uri="{FF2B5EF4-FFF2-40B4-BE49-F238E27FC236}">
                <a16:creationId xmlns:a16="http://schemas.microsoft.com/office/drawing/2014/main" id="{A6043F3C-72ED-BBB3-A74C-DD6CE8B5445D}"/>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brightnessContrast bright="-20000" contrast="40000"/>
                    </a14:imgEffect>
                  </a14:imgLayer>
                </a14:imgProps>
              </a:ext>
              <a:ext uri="{28A0092B-C50C-407E-A947-70E740481C1C}">
                <a14:useLocalDpi xmlns:a14="http://schemas.microsoft.com/office/drawing/2010/main" val="0"/>
              </a:ext>
            </a:extLst>
          </a:blip>
          <a:srcRect/>
          <a:stretch>
            <a:fillRect/>
          </a:stretch>
        </xdr:blipFill>
        <xdr:spPr bwMode="auto">
          <a:xfrm>
            <a:off x="5184288" y="3985336"/>
            <a:ext cx="1504378" cy="135160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232587</xdr:colOff>
      <xdr:row>0</xdr:row>
      <xdr:rowOff>132908</xdr:rowOff>
    </xdr:from>
    <xdr:to>
      <xdr:col>1</xdr:col>
      <xdr:colOff>2583030</xdr:colOff>
      <xdr:row>2</xdr:row>
      <xdr:rowOff>85431</xdr:rowOff>
    </xdr:to>
    <xdr:pic>
      <xdr:nvPicPr>
        <xdr:cNvPr id="10" name="Imagen 9">
          <a:extLst>
            <a:ext uri="{FF2B5EF4-FFF2-40B4-BE49-F238E27FC236}">
              <a16:creationId xmlns:a16="http://schemas.microsoft.com/office/drawing/2014/main" id="{970BF36B-19B2-226B-BEF5-6A136A8C79CB}"/>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32587" y="132908"/>
          <a:ext cx="2652659" cy="5316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459442</xdr:colOff>
      <xdr:row>0</xdr:row>
      <xdr:rowOff>291354</xdr:rowOff>
    </xdr:from>
    <xdr:to>
      <xdr:col>5</xdr:col>
      <xdr:colOff>769470</xdr:colOff>
      <xdr:row>2</xdr:row>
      <xdr:rowOff>6725</xdr:rowOff>
    </xdr:to>
    <xdr:sp macro="" textlink="">
      <xdr:nvSpPr>
        <xdr:cNvPr id="3" name="CuadroTexto 2">
          <a:extLst>
            <a:ext uri="{FF2B5EF4-FFF2-40B4-BE49-F238E27FC236}">
              <a16:creationId xmlns:a16="http://schemas.microsoft.com/office/drawing/2014/main" id="{9D31D6C1-91D9-4B75-8091-EB70BC819BB6}"/>
            </a:ext>
          </a:extLst>
        </xdr:cNvPr>
        <xdr:cNvSpPr txBox="1"/>
      </xdr:nvSpPr>
      <xdr:spPr>
        <a:xfrm>
          <a:off x="3485030" y="291354"/>
          <a:ext cx="4388969" cy="3354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600" b="1">
              <a:solidFill>
                <a:schemeClr val="accent1">
                  <a:lumMod val="50000"/>
                </a:schemeClr>
              </a:solidFill>
              <a:latin typeface="Candara" panose="020E0502030303020204" pitchFamily="34" charset="0"/>
            </a:rPr>
            <a:t>SIMULADOR LEASING HABITACIONAL FAMILIAR</a:t>
          </a:r>
        </a:p>
      </xdr:txBody>
    </xdr:sp>
    <xdr:clientData/>
  </xdr:twoCellAnchor>
  <xdr:twoCellAnchor>
    <xdr:from>
      <xdr:col>4</xdr:col>
      <xdr:colOff>0</xdr:colOff>
      <xdr:row>8</xdr:row>
      <xdr:rowOff>0</xdr:rowOff>
    </xdr:from>
    <xdr:to>
      <xdr:col>5</xdr:col>
      <xdr:colOff>702236</xdr:colOff>
      <xdr:row>10</xdr:row>
      <xdr:rowOff>216647</xdr:rowOff>
    </xdr:to>
    <xdr:sp macro="" textlink="">
      <xdr:nvSpPr>
        <xdr:cNvPr id="4" name="Rectángulo: esquinas redondeadas 3">
          <a:hlinkClick xmlns:r="http://schemas.openxmlformats.org/officeDocument/2006/relationships" r:id="rId1"/>
          <a:extLst>
            <a:ext uri="{FF2B5EF4-FFF2-40B4-BE49-F238E27FC236}">
              <a16:creationId xmlns:a16="http://schemas.microsoft.com/office/drawing/2014/main" id="{3206983C-DF26-4852-AA94-B56C1DD3222E}"/>
            </a:ext>
          </a:extLst>
        </xdr:cNvPr>
        <xdr:cNvSpPr/>
      </xdr:nvSpPr>
      <xdr:spPr>
        <a:xfrm>
          <a:off x="5886450" y="1752600"/>
          <a:ext cx="1908736" cy="445247"/>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600" b="1"/>
            <a:t>Ir al plan</a:t>
          </a:r>
          <a:r>
            <a:rPr lang="es-MX" sz="1600" b="1" baseline="0"/>
            <a:t> de pagos</a:t>
          </a:r>
          <a:endParaRPr lang="es-MX" sz="1600" b="1"/>
        </a:p>
      </xdr:txBody>
    </xdr:sp>
    <xdr:clientData/>
  </xdr:twoCellAnchor>
  <xdr:twoCellAnchor editAs="oneCell">
    <xdr:from>
      <xdr:col>8</xdr:col>
      <xdr:colOff>127000</xdr:colOff>
      <xdr:row>0</xdr:row>
      <xdr:rowOff>22412</xdr:rowOff>
    </xdr:from>
    <xdr:to>
      <xdr:col>8</xdr:col>
      <xdr:colOff>918882</xdr:colOff>
      <xdr:row>2</xdr:row>
      <xdr:rowOff>192167</xdr:rowOff>
    </xdr:to>
    <xdr:pic>
      <xdr:nvPicPr>
        <xdr:cNvPr id="5" name="Imagen 4" descr="flecha flechas atrás punto atrás azul línea punteada icono de línea  14992450 Vector en Vecteezy">
          <a:hlinkClick xmlns:r="http://schemas.openxmlformats.org/officeDocument/2006/relationships" r:id="rId2"/>
          <a:extLst>
            <a:ext uri="{FF2B5EF4-FFF2-40B4-BE49-F238E27FC236}">
              <a16:creationId xmlns:a16="http://schemas.microsoft.com/office/drawing/2014/main" id="{751B7FDE-FB4F-45F9-BE6B-CE381BABB4B9}"/>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401300" y="22412"/>
          <a:ext cx="791882" cy="7920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134471</xdr:colOff>
      <xdr:row>0</xdr:row>
      <xdr:rowOff>145678</xdr:rowOff>
    </xdr:from>
    <xdr:to>
      <xdr:col>1</xdr:col>
      <xdr:colOff>268941</xdr:colOff>
      <xdr:row>2</xdr:row>
      <xdr:rowOff>124517</xdr:rowOff>
    </xdr:to>
    <xdr:pic>
      <xdr:nvPicPr>
        <xdr:cNvPr id="7" name="Imagen 6">
          <a:extLst>
            <a:ext uri="{FF2B5EF4-FFF2-40B4-BE49-F238E27FC236}">
              <a16:creationId xmlns:a16="http://schemas.microsoft.com/office/drawing/2014/main" id="{2490215E-2389-DBEE-4162-D4A5C3167BB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4471" y="145678"/>
          <a:ext cx="3025588" cy="60636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199571</xdr:colOff>
      <xdr:row>0</xdr:row>
      <xdr:rowOff>0</xdr:rowOff>
    </xdr:from>
    <xdr:to>
      <xdr:col>1</xdr:col>
      <xdr:colOff>771071</xdr:colOff>
      <xdr:row>3</xdr:row>
      <xdr:rowOff>136071</xdr:rowOff>
    </xdr:to>
    <xdr:grpSp>
      <xdr:nvGrpSpPr>
        <xdr:cNvPr id="3" name="Grupo 2">
          <a:hlinkClick xmlns:r="http://schemas.openxmlformats.org/officeDocument/2006/relationships" r:id="rId1"/>
          <a:extLst>
            <a:ext uri="{FF2B5EF4-FFF2-40B4-BE49-F238E27FC236}">
              <a16:creationId xmlns:a16="http://schemas.microsoft.com/office/drawing/2014/main" id="{474E7364-3C94-450C-B80B-2906B7A15928}"/>
            </a:ext>
          </a:extLst>
        </xdr:cNvPr>
        <xdr:cNvGrpSpPr/>
      </xdr:nvGrpSpPr>
      <xdr:grpSpPr>
        <a:xfrm>
          <a:off x="199571" y="0"/>
          <a:ext cx="777875" cy="842509"/>
          <a:chOff x="3627419" y="3206813"/>
          <a:chExt cx="3292186" cy="3283588"/>
        </a:xfrm>
      </xdr:grpSpPr>
      <xdr:pic>
        <xdr:nvPicPr>
          <xdr:cNvPr id="4" name="Imagen 3" descr="flecha flechas atrás punto atrás azul línea punteada icono de línea  14992450 Vector en Vecteezy">
            <a:extLst>
              <a:ext uri="{FF2B5EF4-FFF2-40B4-BE49-F238E27FC236}">
                <a16:creationId xmlns:a16="http://schemas.microsoft.com/office/drawing/2014/main" id="{E4E9A6DA-AAA4-CA6B-3E89-B528B7FD8927}"/>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27419" y="3206813"/>
            <a:ext cx="3292186" cy="3283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Elipse 4">
            <a:extLst>
              <a:ext uri="{FF2B5EF4-FFF2-40B4-BE49-F238E27FC236}">
                <a16:creationId xmlns:a16="http://schemas.microsoft.com/office/drawing/2014/main" id="{3C9C43FD-F174-A09A-FA1D-BD7159066EEB}"/>
              </a:ext>
            </a:extLst>
          </xdr:cNvPr>
          <xdr:cNvSpPr/>
        </xdr:nvSpPr>
        <xdr:spPr>
          <a:xfrm>
            <a:off x="4250746" y="3803303"/>
            <a:ext cx="2058614" cy="2107045"/>
          </a:xfrm>
          <a:prstGeom prst="ellipse">
            <a:avLst/>
          </a:prstGeom>
          <a:solidFill>
            <a:schemeClr val="accent1">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pic>
        <xdr:nvPicPr>
          <xdr:cNvPr id="6" name="Picture 2" descr="COMFACESAR - Estamos Cumpliedo sueños">
            <a:extLst>
              <a:ext uri="{FF2B5EF4-FFF2-40B4-BE49-F238E27FC236}">
                <a16:creationId xmlns:a16="http://schemas.microsoft.com/office/drawing/2014/main" id="{4B17339A-3E17-BF2C-EAFA-0B731F4D8C9A}"/>
              </a:ext>
            </a:extLst>
          </xdr:cNvPr>
          <xdr:cNvPicPr>
            <a:picLocks noChangeAspect="1" noChangeArrowheads="1"/>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r="59316"/>
          <a:stretch/>
        </xdr:blipFill>
        <xdr:spPr bwMode="auto">
          <a:xfrm>
            <a:off x="4250746" y="3822526"/>
            <a:ext cx="1782925" cy="2008621"/>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xdr:col>
      <xdr:colOff>244931</xdr:colOff>
      <xdr:row>1</xdr:row>
      <xdr:rowOff>40820</xdr:rowOff>
    </xdr:from>
    <xdr:to>
      <xdr:col>4</xdr:col>
      <xdr:colOff>376517</xdr:colOff>
      <xdr:row>2</xdr:row>
      <xdr:rowOff>204106</xdr:rowOff>
    </xdr:to>
    <xdr:pic>
      <xdr:nvPicPr>
        <xdr:cNvPr id="8" name="Imagen 7">
          <a:extLst>
            <a:ext uri="{FF2B5EF4-FFF2-40B4-BE49-F238E27FC236}">
              <a16:creationId xmlns:a16="http://schemas.microsoft.com/office/drawing/2014/main" id="{C350BC03-F157-6E86-137F-40B5ED478E7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11038" y="231320"/>
          <a:ext cx="2172658" cy="43542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2</xdr:col>
      <xdr:colOff>132907</xdr:colOff>
      <xdr:row>1</xdr:row>
      <xdr:rowOff>55376</xdr:rowOff>
    </xdr:from>
    <xdr:to>
      <xdr:col>6</xdr:col>
      <xdr:colOff>745756</xdr:colOff>
      <xdr:row>2</xdr:row>
      <xdr:rowOff>14769</xdr:rowOff>
    </xdr:to>
    <xdr:sp macro="" textlink="">
      <xdr:nvSpPr>
        <xdr:cNvPr id="2" name="CuadroTexto 1">
          <a:extLst>
            <a:ext uri="{FF2B5EF4-FFF2-40B4-BE49-F238E27FC236}">
              <a16:creationId xmlns:a16="http://schemas.microsoft.com/office/drawing/2014/main" id="{4AE43093-B830-4EA4-8622-0C99F4A08E64}"/>
            </a:ext>
          </a:extLst>
        </xdr:cNvPr>
        <xdr:cNvSpPr txBox="1"/>
      </xdr:nvSpPr>
      <xdr:spPr>
        <a:xfrm>
          <a:off x="3462965" y="247353"/>
          <a:ext cx="4445000" cy="3433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600" b="1">
              <a:solidFill>
                <a:schemeClr val="accent1">
                  <a:lumMod val="50000"/>
                </a:schemeClr>
              </a:solidFill>
              <a:latin typeface="Candara" panose="020E0502030303020204" pitchFamily="34" charset="0"/>
            </a:rPr>
            <a:t>SIMULADOR CRÉDITO</a:t>
          </a:r>
          <a:r>
            <a:rPr lang="es-MX" sz="1600" b="1" baseline="0">
              <a:solidFill>
                <a:schemeClr val="accent1">
                  <a:lumMod val="50000"/>
                </a:schemeClr>
              </a:solidFill>
              <a:latin typeface="Candara" panose="020E0502030303020204" pitchFamily="34" charset="0"/>
            </a:rPr>
            <a:t> DE REMODELACIÓN</a:t>
          </a:r>
          <a:endParaRPr lang="es-MX" sz="1600" b="1">
            <a:solidFill>
              <a:schemeClr val="accent1">
                <a:lumMod val="50000"/>
              </a:schemeClr>
            </a:solidFill>
            <a:latin typeface="Candara" panose="020E0502030303020204" pitchFamily="34" charset="0"/>
          </a:endParaRPr>
        </a:p>
      </xdr:txBody>
    </xdr:sp>
    <xdr:clientData/>
  </xdr:twoCellAnchor>
  <xdr:twoCellAnchor>
    <xdr:from>
      <xdr:col>7</xdr:col>
      <xdr:colOff>567220</xdr:colOff>
      <xdr:row>11</xdr:row>
      <xdr:rowOff>169825</xdr:rowOff>
    </xdr:from>
    <xdr:to>
      <xdr:col>9</xdr:col>
      <xdr:colOff>339652</xdr:colOff>
      <xdr:row>17</xdr:row>
      <xdr:rowOff>95988</xdr:rowOff>
    </xdr:to>
    <xdr:sp macro="" textlink="">
      <xdr:nvSpPr>
        <xdr:cNvPr id="4" name="Flecha: a la derecha 3">
          <a:hlinkClick xmlns:r="http://schemas.openxmlformats.org/officeDocument/2006/relationships" r:id="rId1"/>
          <a:extLst>
            <a:ext uri="{FF2B5EF4-FFF2-40B4-BE49-F238E27FC236}">
              <a16:creationId xmlns:a16="http://schemas.microsoft.com/office/drawing/2014/main" id="{631E7586-6E24-44A0-9CA6-D50CE0452B15}"/>
            </a:ext>
          </a:extLst>
        </xdr:cNvPr>
        <xdr:cNvSpPr/>
      </xdr:nvSpPr>
      <xdr:spPr>
        <a:xfrm>
          <a:off x="8947743" y="2665523"/>
          <a:ext cx="1854642" cy="1063256"/>
        </a:xfrm>
        <a:prstGeom prst="rightArrow">
          <a:avLst>
            <a:gd name="adj1" fmla="val 50000"/>
            <a:gd name="adj2" fmla="val 54167"/>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400" b="1">
              <a:effectLst>
                <a:outerShdw blurRad="63500" sx="102000" sy="102000" algn="ctr" rotWithShape="0">
                  <a:prstClr val="black">
                    <a:alpha val="40000"/>
                  </a:prstClr>
                </a:outerShdw>
              </a:effectLst>
            </a:rPr>
            <a:t>Complementa</a:t>
          </a:r>
          <a:r>
            <a:rPr lang="es-MX" sz="1400" b="1" baseline="0">
              <a:effectLst>
                <a:outerShdw blurRad="63500" sx="102000" sy="102000" algn="ctr" rotWithShape="0">
                  <a:prstClr val="black">
                    <a:alpha val="40000"/>
                  </a:prstClr>
                </a:outerShdw>
              </a:effectLst>
            </a:rPr>
            <a:t> los datos de tu cliente</a:t>
          </a:r>
          <a:endParaRPr lang="es-MX" sz="1400" b="1">
            <a:effectLst>
              <a:outerShdw blurRad="63500" sx="102000" sy="102000" algn="ctr" rotWithShape="0">
                <a:prstClr val="black">
                  <a:alpha val="40000"/>
                </a:prstClr>
              </a:outerShdw>
            </a:effectLst>
          </a:endParaRPr>
        </a:p>
      </xdr:txBody>
    </xdr:sp>
    <xdr:clientData/>
  </xdr:twoCellAnchor>
  <xdr:twoCellAnchor>
    <xdr:from>
      <xdr:col>8</xdr:col>
      <xdr:colOff>1100174</xdr:colOff>
      <xdr:row>0</xdr:row>
      <xdr:rowOff>22150</xdr:rowOff>
    </xdr:from>
    <xdr:to>
      <xdr:col>10</xdr:col>
      <xdr:colOff>31706</xdr:colOff>
      <xdr:row>2</xdr:row>
      <xdr:rowOff>258430</xdr:rowOff>
    </xdr:to>
    <xdr:grpSp>
      <xdr:nvGrpSpPr>
        <xdr:cNvPr id="5" name="Grupo 4">
          <a:hlinkClick xmlns:r="http://schemas.openxmlformats.org/officeDocument/2006/relationships" r:id="rId2"/>
          <a:extLst>
            <a:ext uri="{FF2B5EF4-FFF2-40B4-BE49-F238E27FC236}">
              <a16:creationId xmlns:a16="http://schemas.microsoft.com/office/drawing/2014/main" id="{CED5169D-0117-4D6E-ACCA-B2781B4F7A3D}"/>
            </a:ext>
          </a:extLst>
        </xdr:cNvPr>
        <xdr:cNvGrpSpPr/>
      </xdr:nvGrpSpPr>
      <xdr:grpSpPr>
        <a:xfrm>
          <a:off x="10458487" y="22150"/>
          <a:ext cx="836532" cy="815718"/>
          <a:chOff x="4567082" y="3528136"/>
          <a:chExt cx="2714249" cy="2398529"/>
        </a:xfrm>
      </xdr:grpSpPr>
      <xdr:pic>
        <xdr:nvPicPr>
          <xdr:cNvPr id="6" name="Imagen 5" descr="flecha flechas atrás punto atrás azul línea punteada icono de línea  14992450 Vector en Vecteezy">
            <a:extLst>
              <a:ext uri="{FF2B5EF4-FFF2-40B4-BE49-F238E27FC236}">
                <a16:creationId xmlns:a16="http://schemas.microsoft.com/office/drawing/2014/main" id="{71742726-6F24-8F02-6234-885E4097A106}"/>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67082" y="3528136"/>
            <a:ext cx="2714249" cy="239852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 name="Elipse 6">
            <a:extLst>
              <a:ext uri="{FF2B5EF4-FFF2-40B4-BE49-F238E27FC236}">
                <a16:creationId xmlns:a16="http://schemas.microsoft.com/office/drawing/2014/main" id="{55776941-6403-8AE3-95AC-851AA3C3494D}"/>
              </a:ext>
            </a:extLst>
          </xdr:cNvPr>
          <xdr:cNvSpPr/>
        </xdr:nvSpPr>
        <xdr:spPr>
          <a:xfrm>
            <a:off x="5054600" y="3925963"/>
            <a:ext cx="1786466" cy="1594197"/>
          </a:xfrm>
          <a:prstGeom prst="ellipse">
            <a:avLst/>
          </a:prstGeom>
          <a:solidFill>
            <a:schemeClr val="accent1">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pic>
        <xdr:nvPicPr>
          <xdr:cNvPr id="8" name="Imagen 7" descr="casa icono hogar png – mytimeplus.net">
            <a:extLst>
              <a:ext uri="{FF2B5EF4-FFF2-40B4-BE49-F238E27FC236}">
                <a16:creationId xmlns:a16="http://schemas.microsoft.com/office/drawing/2014/main" id="{3C64C4A9-8194-4007-890E-79F471495D38}"/>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brightnessContrast bright="-20000" contrast="40000"/>
                    </a14:imgEffect>
                  </a14:imgLayer>
                </a14:imgProps>
              </a:ext>
              <a:ext uri="{28A0092B-C50C-407E-A947-70E740481C1C}">
                <a14:useLocalDpi xmlns:a14="http://schemas.microsoft.com/office/drawing/2010/main" val="0"/>
              </a:ext>
            </a:extLst>
          </a:blip>
          <a:srcRect/>
          <a:stretch>
            <a:fillRect/>
          </a:stretch>
        </xdr:blipFill>
        <xdr:spPr bwMode="auto">
          <a:xfrm>
            <a:off x="5184288" y="3985336"/>
            <a:ext cx="1504378" cy="135160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166133</xdr:colOff>
      <xdr:row>0</xdr:row>
      <xdr:rowOff>143983</xdr:rowOff>
    </xdr:from>
    <xdr:to>
      <xdr:col>1</xdr:col>
      <xdr:colOff>2768894</xdr:colOff>
      <xdr:row>2</xdr:row>
      <xdr:rowOff>149612</xdr:rowOff>
    </xdr:to>
    <xdr:pic>
      <xdr:nvPicPr>
        <xdr:cNvPr id="10" name="Imagen 9">
          <a:extLst>
            <a:ext uri="{FF2B5EF4-FFF2-40B4-BE49-F238E27FC236}">
              <a16:creationId xmlns:a16="http://schemas.microsoft.com/office/drawing/2014/main" id="{34DF4627-2B31-C4EF-8CEE-5C130FFBB192}"/>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66133" y="143983"/>
          <a:ext cx="2901802" cy="58155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429559</xdr:colOff>
      <xdr:row>0</xdr:row>
      <xdr:rowOff>254001</xdr:rowOff>
    </xdr:from>
    <xdr:to>
      <xdr:col>5</xdr:col>
      <xdr:colOff>732117</xdr:colOff>
      <xdr:row>1</xdr:row>
      <xdr:rowOff>209176</xdr:rowOff>
    </xdr:to>
    <xdr:sp macro="" textlink="">
      <xdr:nvSpPr>
        <xdr:cNvPr id="3" name="CuadroTexto 2">
          <a:extLst>
            <a:ext uri="{FF2B5EF4-FFF2-40B4-BE49-F238E27FC236}">
              <a16:creationId xmlns:a16="http://schemas.microsoft.com/office/drawing/2014/main" id="{1AA7CB08-BA04-4898-9F1E-BF3E311407C5}"/>
            </a:ext>
          </a:extLst>
        </xdr:cNvPr>
        <xdr:cNvSpPr txBox="1"/>
      </xdr:nvSpPr>
      <xdr:spPr>
        <a:xfrm>
          <a:off x="3455147" y="254001"/>
          <a:ext cx="4381499" cy="2838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600" b="1">
              <a:solidFill>
                <a:schemeClr val="accent1">
                  <a:lumMod val="50000"/>
                </a:schemeClr>
              </a:solidFill>
              <a:latin typeface="Candara" panose="020E0502030303020204" pitchFamily="34" charset="0"/>
            </a:rPr>
            <a:t>SIMULADOR CRÉDITO DE REMODELACIÓN</a:t>
          </a:r>
        </a:p>
      </xdr:txBody>
    </xdr:sp>
    <xdr:clientData/>
  </xdr:twoCellAnchor>
  <xdr:twoCellAnchor>
    <xdr:from>
      <xdr:col>4</xdr:col>
      <xdr:colOff>0</xdr:colOff>
      <xdr:row>8</xdr:row>
      <xdr:rowOff>0</xdr:rowOff>
    </xdr:from>
    <xdr:to>
      <xdr:col>5</xdr:col>
      <xdr:colOff>702236</xdr:colOff>
      <xdr:row>10</xdr:row>
      <xdr:rowOff>216647</xdr:rowOff>
    </xdr:to>
    <xdr:sp macro="" textlink="">
      <xdr:nvSpPr>
        <xdr:cNvPr id="4" name="Rectángulo: esquinas redondeadas 3">
          <a:hlinkClick xmlns:r="http://schemas.openxmlformats.org/officeDocument/2006/relationships" r:id="rId1"/>
          <a:extLst>
            <a:ext uri="{FF2B5EF4-FFF2-40B4-BE49-F238E27FC236}">
              <a16:creationId xmlns:a16="http://schemas.microsoft.com/office/drawing/2014/main" id="{F0DA4236-AAA4-4388-9782-8916DEB3218A}"/>
            </a:ext>
          </a:extLst>
        </xdr:cNvPr>
        <xdr:cNvSpPr/>
      </xdr:nvSpPr>
      <xdr:spPr>
        <a:xfrm>
          <a:off x="5886450" y="1708150"/>
          <a:ext cx="1908736" cy="445247"/>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600" b="1"/>
            <a:t>Ir al plan</a:t>
          </a:r>
          <a:r>
            <a:rPr lang="es-MX" sz="1600" b="1" baseline="0"/>
            <a:t> de pagos</a:t>
          </a:r>
          <a:endParaRPr lang="es-MX" sz="1600" b="1"/>
        </a:p>
      </xdr:txBody>
    </xdr:sp>
    <xdr:clientData/>
  </xdr:twoCellAnchor>
  <xdr:twoCellAnchor editAs="oneCell">
    <xdr:from>
      <xdr:col>8</xdr:col>
      <xdr:colOff>127000</xdr:colOff>
      <xdr:row>0</xdr:row>
      <xdr:rowOff>22412</xdr:rowOff>
    </xdr:from>
    <xdr:to>
      <xdr:col>8</xdr:col>
      <xdr:colOff>918882</xdr:colOff>
      <xdr:row>2</xdr:row>
      <xdr:rowOff>192167</xdr:rowOff>
    </xdr:to>
    <xdr:pic>
      <xdr:nvPicPr>
        <xdr:cNvPr id="5" name="Imagen 4" descr="flecha flechas atrás punto atrás azul línea punteada icono de línea  14992450 Vector en Vecteezy">
          <a:hlinkClick xmlns:r="http://schemas.openxmlformats.org/officeDocument/2006/relationships" r:id="rId2"/>
          <a:extLst>
            <a:ext uri="{FF2B5EF4-FFF2-40B4-BE49-F238E27FC236}">
              <a16:creationId xmlns:a16="http://schemas.microsoft.com/office/drawing/2014/main" id="{0D759EE4-45A2-4181-8450-8282AEBD29E9}"/>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401300" y="22412"/>
          <a:ext cx="791882" cy="7920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112059</xdr:colOff>
      <xdr:row>0</xdr:row>
      <xdr:rowOff>123265</xdr:rowOff>
    </xdr:from>
    <xdr:to>
      <xdr:col>1</xdr:col>
      <xdr:colOff>201706</xdr:colOff>
      <xdr:row>2</xdr:row>
      <xdr:rowOff>93121</xdr:rowOff>
    </xdr:to>
    <xdr:pic>
      <xdr:nvPicPr>
        <xdr:cNvPr id="7" name="Imagen 6">
          <a:extLst>
            <a:ext uri="{FF2B5EF4-FFF2-40B4-BE49-F238E27FC236}">
              <a16:creationId xmlns:a16="http://schemas.microsoft.com/office/drawing/2014/main" id="{6C34D691-96A2-2259-933C-F9E92D30EE2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2059" y="123265"/>
          <a:ext cx="2980765" cy="5973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428626</xdr:colOff>
      <xdr:row>1127</xdr:row>
      <xdr:rowOff>73025</xdr:rowOff>
    </xdr:from>
    <xdr:to>
      <xdr:col>3</xdr:col>
      <xdr:colOff>296605</xdr:colOff>
      <xdr:row>1139</xdr:row>
      <xdr:rowOff>130175</xdr:rowOff>
    </xdr:to>
    <xdr:pic>
      <xdr:nvPicPr>
        <xdr:cNvPr id="2" name="Imagen 1">
          <a:extLst>
            <a:ext uri="{FF2B5EF4-FFF2-40B4-BE49-F238E27FC236}">
              <a16:creationId xmlns:a16="http://schemas.microsoft.com/office/drawing/2014/main" id="{C75EFA65-2EFE-4F71-9C45-ABA60D4C53D2}"/>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521" t="30056" r="15730" b="9166"/>
        <a:stretch/>
      </xdr:blipFill>
      <xdr:spPr bwMode="auto">
        <a:xfrm>
          <a:off x="428626" y="225501200"/>
          <a:ext cx="4554279" cy="245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199571</xdr:colOff>
      <xdr:row>0</xdr:row>
      <xdr:rowOff>0</xdr:rowOff>
    </xdr:from>
    <xdr:to>
      <xdr:col>1</xdr:col>
      <xdr:colOff>771071</xdr:colOff>
      <xdr:row>3</xdr:row>
      <xdr:rowOff>136071</xdr:rowOff>
    </xdr:to>
    <xdr:grpSp>
      <xdr:nvGrpSpPr>
        <xdr:cNvPr id="3" name="Grupo 2">
          <a:hlinkClick xmlns:r="http://schemas.openxmlformats.org/officeDocument/2006/relationships" r:id="rId1"/>
          <a:extLst>
            <a:ext uri="{FF2B5EF4-FFF2-40B4-BE49-F238E27FC236}">
              <a16:creationId xmlns:a16="http://schemas.microsoft.com/office/drawing/2014/main" id="{9FD0453E-B87B-4E42-965C-3BA32B8D4B0A}"/>
            </a:ext>
          </a:extLst>
        </xdr:cNvPr>
        <xdr:cNvGrpSpPr/>
      </xdr:nvGrpSpPr>
      <xdr:grpSpPr>
        <a:xfrm>
          <a:off x="199571" y="0"/>
          <a:ext cx="780143" cy="807357"/>
          <a:chOff x="3627419" y="3206813"/>
          <a:chExt cx="3292186" cy="3283588"/>
        </a:xfrm>
      </xdr:grpSpPr>
      <xdr:pic>
        <xdr:nvPicPr>
          <xdr:cNvPr id="4" name="Imagen 3" descr="flecha flechas atrás punto atrás azul línea punteada icono de línea  14992450 Vector en Vecteezy">
            <a:extLst>
              <a:ext uri="{FF2B5EF4-FFF2-40B4-BE49-F238E27FC236}">
                <a16:creationId xmlns:a16="http://schemas.microsoft.com/office/drawing/2014/main" id="{B5CAB018-EE50-DEC8-2D2E-E453F9724B61}"/>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27419" y="3206813"/>
            <a:ext cx="3292186" cy="3283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Elipse 4">
            <a:extLst>
              <a:ext uri="{FF2B5EF4-FFF2-40B4-BE49-F238E27FC236}">
                <a16:creationId xmlns:a16="http://schemas.microsoft.com/office/drawing/2014/main" id="{D5302F17-F04B-C38C-D2C3-458C398538AB}"/>
              </a:ext>
            </a:extLst>
          </xdr:cNvPr>
          <xdr:cNvSpPr/>
        </xdr:nvSpPr>
        <xdr:spPr>
          <a:xfrm>
            <a:off x="4250746" y="3803303"/>
            <a:ext cx="2058614" cy="2107045"/>
          </a:xfrm>
          <a:prstGeom prst="ellipse">
            <a:avLst/>
          </a:prstGeom>
          <a:solidFill>
            <a:schemeClr val="accent1">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pic>
        <xdr:nvPicPr>
          <xdr:cNvPr id="6" name="Picture 2" descr="COMFACESAR - Estamos Cumpliedo sueños">
            <a:extLst>
              <a:ext uri="{FF2B5EF4-FFF2-40B4-BE49-F238E27FC236}">
                <a16:creationId xmlns:a16="http://schemas.microsoft.com/office/drawing/2014/main" id="{CFC91C8D-E382-507E-BF5E-4745472815DF}"/>
              </a:ext>
            </a:extLst>
          </xdr:cNvPr>
          <xdr:cNvPicPr>
            <a:picLocks noChangeAspect="1" noChangeArrowheads="1"/>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r="59316"/>
          <a:stretch/>
        </xdr:blipFill>
        <xdr:spPr bwMode="auto">
          <a:xfrm>
            <a:off x="4250746" y="3822526"/>
            <a:ext cx="1782925" cy="2008621"/>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xdr:col>
      <xdr:colOff>149679</xdr:colOff>
      <xdr:row>1</xdr:row>
      <xdr:rowOff>54429</xdr:rowOff>
    </xdr:from>
    <xdr:to>
      <xdr:col>4</xdr:col>
      <xdr:colOff>381000</xdr:colOff>
      <xdr:row>3</xdr:row>
      <xdr:rowOff>33597</xdr:rowOff>
    </xdr:to>
    <xdr:pic>
      <xdr:nvPicPr>
        <xdr:cNvPr id="8" name="Imagen 7">
          <a:extLst>
            <a:ext uri="{FF2B5EF4-FFF2-40B4-BE49-F238E27FC236}">
              <a16:creationId xmlns:a16="http://schemas.microsoft.com/office/drawing/2014/main" id="{800D5D72-3246-DA71-14BD-BB18999BBBD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15786" y="244929"/>
          <a:ext cx="2272393" cy="45541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2</xdr:col>
      <xdr:colOff>428256</xdr:colOff>
      <xdr:row>1</xdr:row>
      <xdr:rowOff>18457</xdr:rowOff>
    </xdr:from>
    <xdr:to>
      <xdr:col>6</xdr:col>
      <xdr:colOff>679303</xdr:colOff>
      <xdr:row>2</xdr:row>
      <xdr:rowOff>22152</xdr:rowOff>
    </xdr:to>
    <xdr:sp macro="" textlink="">
      <xdr:nvSpPr>
        <xdr:cNvPr id="2" name="CuadroTexto 1">
          <a:extLst>
            <a:ext uri="{FF2B5EF4-FFF2-40B4-BE49-F238E27FC236}">
              <a16:creationId xmlns:a16="http://schemas.microsoft.com/office/drawing/2014/main" id="{B96E438E-BC69-4DB0-8270-E05B3DA6DAF1}"/>
            </a:ext>
          </a:extLst>
        </xdr:cNvPr>
        <xdr:cNvSpPr txBox="1"/>
      </xdr:nvSpPr>
      <xdr:spPr>
        <a:xfrm>
          <a:off x="3758314" y="210434"/>
          <a:ext cx="4083198" cy="3876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800" b="1">
              <a:solidFill>
                <a:schemeClr val="accent1">
                  <a:lumMod val="50000"/>
                </a:schemeClr>
              </a:solidFill>
              <a:latin typeface="Candara" panose="020E0502030303020204" pitchFamily="34" charset="0"/>
            </a:rPr>
            <a:t>SIMULADOR COMPRA</a:t>
          </a:r>
          <a:r>
            <a:rPr lang="es-MX" sz="1800" b="1" baseline="0">
              <a:solidFill>
                <a:schemeClr val="accent1">
                  <a:lumMod val="50000"/>
                </a:schemeClr>
              </a:solidFill>
              <a:latin typeface="Candara" panose="020E0502030303020204" pitchFamily="34" charset="0"/>
            </a:rPr>
            <a:t> DE CARTERA</a:t>
          </a:r>
          <a:endParaRPr lang="es-MX" sz="1800" b="1">
            <a:solidFill>
              <a:schemeClr val="accent1">
                <a:lumMod val="50000"/>
              </a:schemeClr>
            </a:solidFill>
            <a:latin typeface="Candara" panose="020E0502030303020204" pitchFamily="34" charset="0"/>
          </a:endParaRPr>
        </a:p>
      </xdr:txBody>
    </xdr:sp>
    <xdr:clientData/>
  </xdr:twoCellAnchor>
  <xdr:twoCellAnchor>
    <xdr:from>
      <xdr:col>8</xdr:col>
      <xdr:colOff>301405</xdr:colOff>
      <xdr:row>11</xdr:row>
      <xdr:rowOff>140291</xdr:rowOff>
    </xdr:from>
    <xdr:to>
      <xdr:col>10</xdr:col>
      <xdr:colOff>310116</xdr:colOff>
      <xdr:row>17</xdr:row>
      <xdr:rowOff>162442</xdr:rowOff>
    </xdr:to>
    <xdr:sp macro="" textlink="">
      <xdr:nvSpPr>
        <xdr:cNvPr id="4" name="Flecha: a la derecha 3">
          <a:hlinkClick xmlns:r="http://schemas.openxmlformats.org/officeDocument/2006/relationships" r:id="rId1"/>
          <a:extLst>
            <a:ext uri="{FF2B5EF4-FFF2-40B4-BE49-F238E27FC236}">
              <a16:creationId xmlns:a16="http://schemas.microsoft.com/office/drawing/2014/main" id="{9094895E-756B-4C9D-9074-2186E4099F14}"/>
            </a:ext>
          </a:extLst>
        </xdr:cNvPr>
        <xdr:cNvSpPr/>
      </xdr:nvSpPr>
      <xdr:spPr>
        <a:xfrm>
          <a:off x="9649196" y="2429244"/>
          <a:ext cx="1913711" cy="1078024"/>
        </a:xfrm>
        <a:prstGeom prst="rightArrow">
          <a:avLst>
            <a:gd name="adj1" fmla="val 50000"/>
            <a:gd name="adj2" fmla="val 54167"/>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400" b="1">
              <a:effectLst>
                <a:outerShdw blurRad="63500" sx="102000" sy="102000" algn="ctr" rotWithShape="0">
                  <a:prstClr val="black">
                    <a:alpha val="40000"/>
                  </a:prstClr>
                </a:outerShdw>
              </a:effectLst>
            </a:rPr>
            <a:t>Complementa</a:t>
          </a:r>
          <a:r>
            <a:rPr lang="es-MX" sz="1400" b="1" baseline="0">
              <a:effectLst>
                <a:outerShdw blurRad="63500" sx="102000" sy="102000" algn="ctr" rotWithShape="0">
                  <a:prstClr val="black">
                    <a:alpha val="40000"/>
                  </a:prstClr>
                </a:outerShdw>
              </a:effectLst>
            </a:rPr>
            <a:t> los datos de tu cliente</a:t>
          </a:r>
          <a:endParaRPr lang="es-MX" sz="1400" b="1">
            <a:effectLst>
              <a:outerShdw blurRad="63500" sx="102000" sy="102000" algn="ctr" rotWithShape="0">
                <a:prstClr val="black">
                  <a:alpha val="40000"/>
                </a:prstClr>
              </a:outerShdw>
            </a:effectLst>
          </a:endParaRPr>
        </a:p>
      </xdr:txBody>
    </xdr:sp>
    <xdr:clientData/>
  </xdr:twoCellAnchor>
  <xdr:twoCellAnchor>
    <xdr:from>
      <xdr:col>8</xdr:col>
      <xdr:colOff>1100174</xdr:colOff>
      <xdr:row>0</xdr:row>
      <xdr:rowOff>22150</xdr:rowOff>
    </xdr:from>
    <xdr:to>
      <xdr:col>10</xdr:col>
      <xdr:colOff>31706</xdr:colOff>
      <xdr:row>2</xdr:row>
      <xdr:rowOff>258430</xdr:rowOff>
    </xdr:to>
    <xdr:grpSp>
      <xdr:nvGrpSpPr>
        <xdr:cNvPr id="5" name="Grupo 4">
          <a:hlinkClick xmlns:r="http://schemas.openxmlformats.org/officeDocument/2006/relationships" r:id="rId2"/>
          <a:extLst>
            <a:ext uri="{FF2B5EF4-FFF2-40B4-BE49-F238E27FC236}">
              <a16:creationId xmlns:a16="http://schemas.microsoft.com/office/drawing/2014/main" id="{8C133ED4-2A2E-4AC3-96B7-908EAB86BDE7}"/>
            </a:ext>
          </a:extLst>
        </xdr:cNvPr>
        <xdr:cNvGrpSpPr/>
      </xdr:nvGrpSpPr>
      <xdr:grpSpPr>
        <a:xfrm>
          <a:off x="10458487" y="22150"/>
          <a:ext cx="836532" cy="815718"/>
          <a:chOff x="4567082" y="3528136"/>
          <a:chExt cx="2714249" cy="2398529"/>
        </a:xfrm>
      </xdr:grpSpPr>
      <xdr:pic>
        <xdr:nvPicPr>
          <xdr:cNvPr id="6" name="Imagen 5" descr="flecha flechas atrás punto atrás azul línea punteada icono de línea  14992450 Vector en Vecteezy">
            <a:extLst>
              <a:ext uri="{FF2B5EF4-FFF2-40B4-BE49-F238E27FC236}">
                <a16:creationId xmlns:a16="http://schemas.microsoft.com/office/drawing/2014/main" id="{26557137-FB22-0BC2-1166-C1D6F6E5BF87}"/>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67082" y="3528136"/>
            <a:ext cx="2714249" cy="239852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 name="Elipse 6">
            <a:extLst>
              <a:ext uri="{FF2B5EF4-FFF2-40B4-BE49-F238E27FC236}">
                <a16:creationId xmlns:a16="http://schemas.microsoft.com/office/drawing/2014/main" id="{C680E5C4-ED86-D959-C9A8-5A39029092A6}"/>
              </a:ext>
            </a:extLst>
          </xdr:cNvPr>
          <xdr:cNvSpPr/>
        </xdr:nvSpPr>
        <xdr:spPr>
          <a:xfrm>
            <a:off x="5054600" y="3925963"/>
            <a:ext cx="1786466" cy="1594197"/>
          </a:xfrm>
          <a:prstGeom prst="ellipse">
            <a:avLst/>
          </a:prstGeom>
          <a:solidFill>
            <a:schemeClr val="accent1">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pic>
        <xdr:nvPicPr>
          <xdr:cNvPr id="8" name="Imagen 7" descr="casa icono hogar png – mytimeplus.net">
            <a:extLst>
              <a:ext uri="{FF2B5EF4-FFF2-40B4-BE49-F238E27FC236}">
                <a16:creationId xmlns:a16="http://schemas.microsoft.com/office/drawing/2014/main" id="{4496A376-1256-B8D7-E3BB-A2975DAC5235}"/>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brightnessContrast bright="-20000" contrast="40000"/>
                    </a14:imgEffect>
                  </a14:imgLayer>
                </a14:imgProps>
              </a:ext>
              <a:ext uri="{28A0092B-C50C-407E-A947-70E740481C1C}">
                <a14:useLocalDpi xmlns:a14="http://schemas.microsoft.com/office/drawing/2010/main" val="0"/>
              </a:ext>
            </a:extLst>
          </a:blip>
          <a:srcRect/>
          <a:stretch>
            <a:fillRect/>
          </a:stretch>
        </xdr:blipFill>
        <xdr:spPr bwMode="auto">
          <a:xfrm>
            <a:off x="5184288" y="3985336"/>
            <a:ext cx="1504378" cy="135160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177209</xdr:colOff>
      <xdr:row>0</xdr:row>
      <xdr:rowOff>121833</xdr:rowOff>
    </xdr:from>
    <xdr:to>
      <xdr:col>2</xdr:col>
      <xdr:colOff>33227</xdr:colOff>
      <xdr:row>2</xdr:row>
      <xdr:rowOff>156319</xdr:rowOff>
    </xdr:to>
    <xdr:pic>
      <xdr:nvPicPr>
        <xdr:cNvPr id="10" name="Imagen 9">
          <a:extLst>
            <a:ext uri="{FF2B5EF4-FFF2-40B4-BE49-F238E27FC236}">
              <a16:creationId xmlns:a16="http://schemas.microsoft.com/office/drawing/2014/main" id="{12692887-7E12-7891-7C48-4D44163C76C5}"/>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7209" y="121833"/>
          <a:ext cx="3045785" cy="610416"/>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2</xdr:col>
      <xdr:colOff>145677</xdr:colOff>
      <xdr:row>0</xdr:row>
      <xdr:rowOff>254001</xdr:rowOff>
    </xdr:from>
    <xdr:to>
      <xdr:col>5</xdr:col>
      <xdr:colOff>418354</xdr:colOff>
      <xdr:row>1</xdr:row>
      <xdr:rowOff>260725</xdr:rowOff>
    </xdr:to>
    <xdr:sp macro="" textlink="">
      <xdr:nvSpPr>
        <xdr:cNvPr id="3" name="CuadroTexto 2">
          <a:extLst>
            <a:ext uri="{FF2B5EF4-FFF2-40B4-BE49-F238E27FC236}">
              <a16:creationId xmlns:a16="http://schemas.microsoft.com/office/drawing/2014/main" id="{5E8CCB9D-FE4D-4605-A65F-AB579B10677C}"/>
            </a:ext>
          </a:extLst>
        </xdr:cNvPr>
        <xdr:cNvSpPr txBox="1"/>
      </xdr:nvSpPr>
      <xdr:spPr>
        <a:xfrm>
          <a:off x="3701677" y="254001"/>
          <a:ext cx="3821206" cy="3354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800" b="1">
              <a:solidFill>
                <a:schemeClr val="accent1">
                  <a:lumMod val="50000"/>
                </a:schemeClr>
              </a:solidFill>
              <a:latin typeface="Candara" panose="020E0502030303020204" pitchFamily="34" charset="0"/>
            </a:rPr>
            <a:t>SIMULADOR COMPRA DE CARTERA</a:t>
          </a:r>
        </a:p>
      </xdr:txBody>
    </xdr:sp>
    <xdr:clientData/>
  </xdr:twoCellAnchor>
  <xdr:twoCellAnchor>
    <xdr:from>
      <xdr:col>4</xdr:col>
      <xdr:colOff>194236</xdr:colOff>
      <xdr:row>8</xdr:row>
      <xdr:rowOff>59765</xdr:rowOff>
    </xdr:from>
    <xdr:to>
      <xdr:col>5</xdr:col>
      <xdr:colOff>896472</xdr:colOff>
      <xdr:row>11</xdr:row>
      <xdr:rowOff>44824</xdr:rowOff>
    </xdr:to>
    <xdr:sp macro="" textlink="">
      <xdr:nvSpPr>
        <xdr:cNvPr id="4" name="Rectángulo: esquinas redondeadas 3">
          <a:hlinkClick xmlns:r="http://schemas.openxmlformats.org/officeDocument/2006/relationships" r:id="rId1"/>
          <a:extLst>
            <a:ext uri="{FF2B5EF4-FFF2-40B4-BE49-F238E27FC236}">
              <a16:creationId xmlns:a16="http://schemas.microsoft.com/office/drawing/2014/main" id="{E3183F8A-3CED-455A-8643-46C14B522550}"/>
            </a:ext>
          </a:extLst>
        </xdr:cNvPr>
        <xdr:cNvSpPr/>
      </xdr:nvSpPr>
      <xdr:spPr>
        <a:xfrm>
          <a:off x="6088530" y="1576294"/>
          <a:ext cx="1912471" cy="448236"/>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600" b="1"/>
            <a:t>Ir al plan</a:t>
          </a:r>
          <a:r>
            <a:rPr lang="es-MX" sz="1600" b="1" baseline="0"/>
            <a:t> de pagos</a:t>
          </a:r>
          <a:endParaRPr lang="es-MX" sz="1600" b="1"/>
        </a:p>
      </xdr:txBody>
    </xdr:sp>
    <xdr:clientData/>
  </xdr:twoCellAnchor>
  <xdr:twoCellAnchor editAs="oneCell">
    <xdr:from>
      <xdr:col>8</xdr:col>
      <xdr:colOff>127000</xdr:colOff>
      <xdr:row>0</xdr:row>
      <xdr:rowOff>22412</xdr:rowOff>
    </xdr:from>
    <xdr:to>
      <xdr:col>8</xdr:col>
      <xdr:colOff>918882</xdr:colOff>
      <xdr:row>2</xdr:row>
      <xdr:rowOff>192167</xdr:rowOff>
    </xdr:to>
    <xdr:pic>
      <xdr:nvPicPr>
        <xdr:cNvPr id="5" name="Imagen 4" descr="flecha flechas atrás punto atrás azul línea punteada icono de línea  14992450 Vector en Vecteezy">
          <a:hlinkClick xmlns:r="http://schemas.openxmlformats.org/officeDocument/2006/relationships" r:id="rId2"/>
          <a:extLst>
            <a:ext uri="{FF2B5EF4-FFF2-40B4-BE49-F238E27FC236}">
              <a16:creationId xmlns:a16="http://schemas.microsoft.com/office/drawing/2014/main" id="{EA450A0C-01ED-4305-BACA-7806FF4B8711}"/>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401300" y="22412"/>
          <a:ext cx="791882" cy="7920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257735</xdr:colOff>
      <xdr:row>0</xdr:row>
      <xdr:rowOff>156883</xdr:rowOff>
    </xdr:from>
    <xdr:to>
      <xdr:col>1</xdr:col>
      <xdr:colOff>593911</xdr:colOff>
      <xdr:row>2</xdr:row>
      <xdr:rowOff>137968</xdr:rowOff>
    </xdr:to>
    <xdr:pic>
      <xdr:nvPicPr>
        <xdr:cNvPr id="7" name="Imagen 6">
          <a:extLst>
            <a:ext uri="{FF2B5EF4-FFF2-40B4-BE49-F238E27FC236}">
              <a16:creationId xmlns:a16="http://schemas.microsoft.com/office/drawing/2014/main" id="{4D519ED2-37FD-95A3-96C3-1A507DA28D6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57735" y="156883"/>
          <a:ext cx="3036794" cy="60861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199571</xdr:colOff>
      <xdr:row>0</xdr:row>
      <xdr:rowOff>0</xdr:rowOff>
    </xdr:from>
    <xdr:to>
      <xdr:col>1</xdr:col>
      <xdr:colOff>771071</xdr:colOff>
      <xdr:row>3</xdr:row>
      <xdr:rowOff>136071</xdr:rowOff>
    </xdr:to>
    <xdr:grpSp>
      <xdr:nvGrpSpPr>
        <xdr:cNvPr id="3" name="Grupo 2">
          <a:hlinkClick xmlns:r="http://schemas.openxmlformats.org/officeDocument/2006/relationships" r:id="rId1"/>
          <a:extLst>
            <a:ext uri="{FF2B5EF4-FFF2-40B4-BE49-F238E27FC236}">
              <a16:creationId xmlns:a16="http://schemas.microsoft.com/office/drawing/2014/main" id="{B5AD1E38-3107-468B-A941-650CF6A81A98}"/>
            </a:ext>
          </a:extLst>
        </xdr:cNvPr>
        <xdr:cNvGrpSpPr/>
      </xdr:nvGrpSpPr>
      <xdr:grpSpPr>
        <a:xfrm>
          <a:off x="199571" y="0"/>
          <a:ext cx="780143" cy="852714"/>
          <a:chOff x="3627419" y="3206813"/>
          <a:chExt cx="3292186" cy="3283588"/>
        </a:xfrm>
      </xdr:grpSpPr>
      <xdr:pic>
        <xdr:nvPicPr>
          <xdr:cNvPr id="4" name="Imagen 3" descr="flecha flechas atrás punto atrás azul línea punteada icono de línea  14992450 Vector en Vecteezy">
            <a:extLst>
              <a:ext uri="{FF2B5EF4-FFF2-40B4-BE49-F238E27FC236}">
                <a16:creationId xmlns:a16="http://schemas.microsoft.com/office/drawing/2014/main" id="{2D18C4B6-50B8-541F-0A05-263A59B62255}"/>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27419" y="3206813"/>
            <a:ext cx="3292186" cy="3283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Elipse 4">
            <a:extLst>
              <a:ext uri="{FF2B5EF4-FFF2-40B4-BE49-F238E27FC236}">
                <a16:creationId xmlns:a16="http://schemas.microsoft.com/office/drawing/2014/main" id="{F50A113D-943B-6EBD-D9BB-1C707E8F0641}"/>
              </a:ext>
            </a:extLst>
          </xdr:cNvPr>
          <xdr:cNvSpPr/>
        </xdr:nvSpPr>
        <xdr:spPr>
          <a:xfrm>
            <a:off x="4250746" y="3803303"/>
            <a:ext cx="2058614" cy="2107045"/>
          </a:xfrm>
          <a:prstGeom prst="ellipse">
            <a:avLst/>
          </a:prstGeom>
          <a:solidFill>
            <a:schemeClr val="accent1">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pic>
        <xdr:nvPicPr>
          <xdr:cNvPr id="6" name="Picture 2" descr="COMFACESAR - Estamos Cumpliedo sueños">
            <a:extLst>
              <a:ext uri="{FF2B5EF4-FFF2-40B4-BE49-F238E27FC236}">
                <a16:creationId xmlns:a16="http://schemas.microsoft.com/office/drawing/2014/main" id="{A1926832-16A3-72F4-54C0-6B7EC12F0E3D}"/>
              </a:ext>
            </a:extLst>
          </xdr:cNvPr>
          <xdr:cNvPicPr>
            <a:picLocks noChangeAspect="1" noChangeArrowheads="1"/>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r="59316"/>
          <a:stretch/>
        </xdr:blipFill>
        <xdr:spPr bwMode="auto">
          <a:xfrm>
            <a:off x="4250746" y="3822526"/>
            <a:ext cx="1782925" cy="2008621"/>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xdr:col>
      <xdr:colOff>149678</xdr:colOff>
      <xdr:row>1</xdr:row>
      <xdr:rowOff>13607</xdr:rowOff>
    </xdr:from>
    <xdr:to>
      <xdr:col>4</xdr:col>
      <xdr:colOff>417051</xdr:colOff>
      <xdr:row>2</xdr:row>
      <xdr:rowOff>204107</xdr:rowOff>
    </xdr:to>
    <xdr:pic>
      <xdr:nvPicPr>
        <xdr:cNvPr id="8" name="Imagen 7">
          <a:extLst>
            <a:ext uri="{FF2B5EF4-FFF2-40B4-BE49-F238E27FC236}">
              <a16:creationId xmlns:a16="http://schemas.microsoft.com/office/drawing/2014/main" id="{D8F88B3E-AF7C-6902-C850-E73EB4A05F2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15785" y="204107"/>
          <a:ext cx="2308445" cy="46264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10</xdr:col>
      <xdr:colOff>101600</xdr:colOff>
      <xdr:row>0</xdr:row>
      <xdr:rowOff>95250</xdr:rowOff>
    </xdr:from>
    <xdr:to>
      <xdr:col>10</xdr:col>
      <xdr:colOff>717550</xdr:colOff>
      <xdr:row>3</xdr:row>
      <xdr:rowOff>57150</xdr:rowOff>
    </xdr:to>
    <xdr:grpSp>
      <xdr:nvGrpSpPr>
        <xdr:cNvPr id="3" name="Grupo 2">
          <a:hlinkClick xmlns:r="http://schemas.openxmlformats.org/officeDocument/2006/relationships" r:id="rId1"/>
          <a:extLst>
            <a:ext uri="{FF2B5EF4-FFF2-40B4-BE49-F238E27FC236}">
              <a16:creationId xmlns:a16="http://schemas.microsoft.com/office/drawing/2014/main" id="{0CD7B817-E818-4EFA-A14A-DEFE5797DDBA}"/>
            </a:ext>
          </a:extLst>
        </xdr:cNvPr>
        <xdr:cNvGrpSpPr/>
      </xdr:nvGrpSpPr>
      <xdr:grpSpPr>
        <a:xfrm>
          <a:off x="7833248" y="95250"/>
          <a:ext cx="615950" cy="624812"/>
          <a:chOff x="4567082" y="3528136"/>
          <a:chExt cx="2714249" cy="2398529"/>
        </a:xfrm>
      </xdr:grpSpPr>
      <xdr:pic>
        <xdr:nvPicPr>
          <xdr:cNvPr id="4" name="Imagen 3" descr="flecha flechas atrás punto atrás azul línea punteada icono de línea  14992450 Vector en Vecteezy">
            <a:extLst>
              <a:ext uri="{FF2B5EF4-FFF2-40B4-BE49-F238E27FC236}">
                <a16:creationId xmlns:a16="http://schemas.microsoft.com/office/drawing/2014/main" id="{7E959CFF-B39F-9CA3-2A9C-4238ACF195E1}"/>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67082" y="3528136"/>
            <a:ext cx="2714249" cy="239852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Elipse 4">
            <a:extLst>
              <a:ext uri="{FF2B5EF4-FFF2-40B4-BE49-F238E27FC236}">
                <a16:creationId xmlns:a16="http://schemas.microsoft.com/office/drawing/2014/main" id="{4F13239F-951F-857C-1219-639FD3C94E60}"/>
              </a:ext>
            </a:extLst>
          </xdr:cNvPr>
          <xdr:cNvSpPr/>
        </xdr:nvSpPr>
        <xdr:spPr>
          <a:xfrm>
            <a:off x="5054600" y="3925963"/>
            <a:ext cx="1786466" cy="1594197"/>
          </a:xfrm>
          <a:prstGeom prst="ellipse">
            <a:avLst/>
          </a:prstGeom>
          <a:solidFill>
            <a:schemeClr val="accent1">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pic>
        <xdr:nvPicPr>
          <xdr:cNvPr id="7" name="Imagen 6" descr="casa icono hogar png – mytimeplus.net">
            <a:extLst>
              <a:ext uri="{FF2B5EF4-FFF2-40B4-BE49-F238E27FC236}">
                <a16:creationId xmlns:a16="http://schemas.microsoft.com/office/drawing/2014/main" id="{3712EB07-C7B9-DF77-75BA-194DD9F9688D}"/>
              </a:ext>
            </a:extLst>
          </xdr:cNvPr>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40000"/>
                    </a14:imgEffect>
                  </a14:imgLayer>
                </a14:imgProps>
              </a:ext>
              <a:ext uri="{28A0092B-C50C-407E-A947-70E740481C1C}">
                <a14:useLocalDpi xmlns:a14="http://schemas.microsoft.com/office/drawing/2010/main" val="0"/>
              </a:ext>
            </a:extLst>
          </a:blip>
          <a:srcRect/>
          <a:stretch>
            <a:fillRect/>
          </a:stretch>
        </xdr:blipFill>
        <xdr:spPr bwMode="auto">
          <a:xfrm>
            <a:off x="5184288" y="3985336"/>
            <a:ext cx="1504378" cy="135160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1</xdr:col>
      <xdr:colOff>69850</xdr:colOff>
      <xdr:row>0</xdr:row>
      <xdr:rowOff>66675</xdr:rowOff>
    </xdr:from>
    <xdr:to>
      <xdr:col>3</xdr:col>
      <xdr:colOff>531481</xdr:colOff>
      <xdr:row>1</xdr:row>
      <xdr:rowOff>238446</xdr:rowOff>
    </xdr:to>
    <xdr:pic>
      <xdr:nvPicPr>
        <xdr:cNvPr id="9" name="Imagen 8">
          <a:extLst>
            <a:ext uri="{FF2B5EF4-FFF2-40B4-BE49-F238E27FC236}">
              <a16:creationId xmlns:a16="http://schemas.microsoft.com/office/drawing/2014/main" id="{2466E53F-DA25-6991-EC3E-C94FB66E3C1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9850" y="66675"/>
          <a:ext cx="2378075" cy="4606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1762125</xdr:colOff>
      <xdr:row>0</xdr:row>
      <xdr:rowOff>198324</xdr:rowOff>
    </xdr:from>
    <xdr:to>
      <xdr:col>6</xdr:col>
      <xdr:colOff>1562893</xdr:colOff>
      <xdr:row>2</xdr:row>
      <xdr:rowOff>68262</xdr:rowOff>
    </xdr:to>
    <xdr:sp macro="" textlink="">
      <xdr:nvSpPr>
        <xdr:cNvPr id="10" name="CuadroTexto 9">
          <a:extLst>
            <a:ext uri="{FF2B5EF4-FFF2-40B4-BE49-F238E27FC236}">
              <a16:creationId xmlns:a16="http://schemas.microsoft.com/office/drawing/2014/main" id="{BDD1960E-7D1B-49BA-BFCD-0F69A2B73880}"/>
            </a:ext>
          </a:extLst>
        </xdr:cNvPr>
        <xdr:cNvSpPr txBox="1"/>
      </xdr:nvSpPr>
      <xdr:spPr>
        <a:xfrm>
          <a:off x="2524125" y="198324"/>
          <a:ext cx="5027612" cy="4176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800" b="1">
              <a:solidFill>
                <a:schemeClr val="accent1">
                  <a:lumMod val="50000"/>
                </a:schemeClr>
              </a:solidFill>
              <a:latin typeface="Candara" panose="020E0502030303020204" pitchFamily="34" charset="0"/>
            </a:rPr>
            <a:t>SIMULADOR AVALÚO</a:t>
          </a:r>
          <a:r>
            <a:rPr lang="es-MX" sz="1800" b="1" baseline="0">
              <a:solidFill>
                <a:schemeClr val="accent1">
                  <a:lumMod val="50000"/>
                </a:schemeClr>
              </a:solidFill>
              <a:latin typeface="Candara" panose="020E0502030303020204" pitchFamily="34" charset="0"/>
            </a:rPr>
            <a:t> Y ESTUDIO DE TITULOS</a:t>
          </a:r>
          <a:endParaRPr lang="es-MX" sz="1800" b="1">
            <a:solidFill>
              <a:schemeClr val="accent1">
                <a:lumMod val="50000"/>
              </a:schemeClr>
            </a:solidFill>
            <a:latin typeface="Candara" panose="020E0502030303020204" pitchFamily="34" charset="0"/>
          </a:endParaRPr>
        </a:p>
      </xdr:txBody>
    </xdr:sp>
    <xdr:clientData/>
  </xdr:twoCellAnchor>
  <xdr:twoCellAnchor>
    <xdr:from>
      <xdr:col>4</xdr:col>
      <xdr:colOff>0</xdr:colOff>
      <xdr:row>0</xdr:row>
      <xdr:rowOff>22150</xdr:rowOff>
    </xdr:from>
    <xdr:to>
      <xdr:col>4</xdr:col>
      <xdr:colOff>0</xdr:colOff>
      <xdr:row>2</xdr:row>
      <xdr:rowOff>179055</xdr:rowOff>
    </xdr:to>
    <xdr:grpSp>
      <xdr:nvGrpSpPr>
        <xdr:cNvPr id="11" name="Grupo 10">
          <a:hlinkClick xmlns:r="http://schemas.openxmlformats.org/officeDocument/2006/relationships" r:id="rId1"/>
          <a:extLst>
            <a:ext uri="{FF2B5EF4-FFF2-40B4-BE49-F238E27FC236}">
              <a16:creationId xmlns:a16="http://schemas.microsoft.com/office/drawing/2014/main" id="{F645CF9E-73E6-44AF-9AA8-AF1A4949A828}"/>
            </a:ext>
          </a:extLst>
        </xdr:cNvPr>
        <xdr:cNvGrpSpPr/>
      </xdr:nvGrpSpPr>
      <xdr:grpSpPr>
        <a:xfrm>
          <a:off x="5087938" y="22150"/>
          <a:ext cx="0" cy="744280"/>
          <a:chOff x="4567082" y="3528136"/>
          <a:chExt cx="2714249" cy="2398529"/>
        </a:xfrm>
      </xdr:grpSpPr>
      <xdr:pic>
        <xdr:nvPicPr>
          <xdr:cNvPr id="12" name="Imagen 11" descr="flecha flechas atrás punto atrás azul línea punteada icono de línea  14992450 Vector en Vecteezy">
            <a:extLst>
              <a:ext uri="{FF2B5EF4-FFF2-40B4-BE49-F238E27FC236}">
                <a16:creationId xmlns:a16="http://schemas.microsoft.com/office/drawing/2014/main" id="{F76B2955-7401-9150-83B7-8B52D69D09E0}"/>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67082" y="3528136"/>
            <a:ext cx="2714249" cy="239852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3" name="Elipse 12">
            <a:extLst>
              <a:ext uri="{FF2B5EF4-FFF2-40B4-BE49-F238E27FC236}">
                <a16:creationId xmlns:a16="http://schemas.microsoft.com/office/drawing/2014/main" id="{ED9FF9D6-EF4B-3544-8732-ADFE9283890E}"/>
              </a:ext>
            </a:extLst>
          </xdr:cNvPr>
          <xdr:cNvSpPr/>
        </xdr:nvSpPr>
        <xdr:spPr>
          <a:xfrm>
            <a:off x="5054600" y="3925963"/>
            <a:ext cx="1786466" cy="1594197"/>
          </a:xfrm>
          <a:prstGeom prst="ellipse">
            <a:avLst/>
          </a:prstGeom>
          <a:solidFill>
            <a:schemeClr val="accent1">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pic>
        <xdr:nvPicPr>
          <xdr:cNvPr id="14" name="Imagen 13" descr="casa icono hogar png – mytimeplus.net">
            <a:extLst>
              <a:ext uri="{FF2B5EF4-FFF2-40B4-BE49-F238E27FC236}">
                <a16:creationId xmlns:a16="http://schemas.microsoft.com/office/drawing/2014/main" id="{C2C84093-FFD4-8F5E-66DC-FD1746F47F98}"/>
              </a:ext>
            </a:extLst>
          </xdr:cNvPr>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40000"/>
                    </a14:imgEffect>
                  </a14:imgLayer>
                </a14:imgProps>
              </a:ext>
              <a:ext uri="{28A0092B-C50C-407E-A947-70E740481C1C}">
                <a14:useLocalDpi xmlns:a14="http://schemas.microsoft.com/office/drawing/2010/main" val="0"/>
              </a:ext>
            </a:extLst>
          </a:blip>
          <a:srcRect/>
          <a:stretch>
            <a:fillRect/>
          </a:stretch>
        </xdr:blipFill>
        <xdr:spPr bwMode="auto">
          <a:xfrm>
            <a:off x="5184288" y="3985336"/>
            <a:ext cx="1504378" cy="135160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103982</xdr:colOff>
      <xdr:row>0</xdr:row>
      <xdr:rowOff>220294</xdr:rowOff>
    </xdr:from>
    <xdr:to>
      <xdr:col>1</xdr:col>
      <xdr:colOff>1602034</xdr:colOff>
      <xdr:row>2</xdr:row>
      <xdr:rowOff>86518</xdr:rowOff>
    </xdr:to>
    <xdr:pic>
      <xdr:nvPicPr>
        <xdr:cNvPr id="15" name="Imagen 14">
          <a:extLst>
            <a:ext uri="{FF2B5EF4-FFF2-40B4-BE49-F238E27FC236}">
              <a16:creationId xmlns:a16="http://schemas.microsoft.com/office/drawing/2014/main" id="{E6EE0F0D-7454-44E1-BBD2-AD18C095F9A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3982" y="220294"/>
          <a:ext cx="2260052" cy="458362"/>
        </a:xfrm>
        <a:prstGeom prst="rect">
          <a:avLst/>
        </a:prstGeom>
      </xdr:spPr>
    </xdr:pic>
    <xdr:clientData/>
  </xdr:twoCellAnchor>
  <xdr:twoCellAnchor>
    <xdr:from>
      <xdr:col>8</xdr:col>
      <xdr:colOff>850900</xdr:colOff>
      <xdr:row>0</xdr:row>
      <xdr:rowOff>0</xdr:rowOff>
    </xdr:from>
    <xdr:to>
      <xdr:col>10</xdr:col>
      <xdr:colOff>31670</xdr:colOff>
      <xdr:row>2</xdr:row>
      <xdr:rowOff>217487</xdr:rowOff>
    </xdr:to>
    <xdr:grpSp>
      <xdr:nvGrpSpPr>
        <xdr:cNvPr id="16" name="Grupo 15">
          <a:hlinkClick xmlns:r="http://schemas.openxmlformats.org/officeDocument/2006/relationships" r:id="rId1"/>
          <a:extLst>
            <a:ext uri="{FF2B5EF4-FFF2-40B4-BE49-F238E27FC236}">
              <a16:creationId xmlns:a16="http://schemas.microsoft.com/office/drawing/2014/main" id="{A947FE3F-A49F-43DB-9F29-109DBD87B2D2}"/>
            </a:ext>
          </a:extLst>
        </xdr:cNvPr>
        <xdr:cNvGrpSpPr/>
      </xdr:nvGrpSpPr>
      <xdr:grpSpPr>
        <a:xfrm>
          <a:off x="9486900" y="0"/>
          <a:ext cx="800020" cy="804862"/>
          <a:chOff x="4567082" y="3528136"/>
          <a:chExt cx="2714249" cy="2398529"/>
        </a:xfrm>
      </xdr:grpSpPr>
      <xdr:pic>
        <xdr:nvPicPr>
          <xdr:cNvPr id="17" name="Imagen 16" descr="flecha flechas atrás punto atrás azul línea punteada icono de línea  14992450 Vector en Vecteezy">
            <a:extLst>
              <a:ext uri="{FF2B5EF4-FFF2-40B4-BE49-F238E27FC236}">
                <a16:creationId xmlns:a16="http://schemas.microsoft.com/office/drawing/2014/main" id="{405B1CDF-C22B-DCEA-387B-BD4C5939DDEF}"/>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67082" y="3528136"/>
            <a:ext cx="2714249" cy="239852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8" name="Elipse 17">
            <a:extLst>
              <a:ext uri="{FF2B5EF4-FFF2-40B4-BE49-F238E27FC236}">
                <a16:creationId xmlns:a16="http://schemas.microsoft.com/office/drawing/2014/main" id="{0637B725-0761-AE7B-092B-40C52B4526B4}"/>
              </a:ext>
            </a:extLst>
          </xdr:cNvPr>
          <xdr:cNvSpPr/>
        </xdr:nvSpPr>
        <xdr:spPr>
          <a:xfrm>
            <a:off x="5054600" y="3925963"/>
            <a:ext cx="1786466" cy="1594197"/>
          </a:xfrm>
          <a:prstGeom prst="ellipse">
            <a:avLst/>
          </a:prstGeom>
          <a:solidFill>
            <a:schemeClr val="accent1">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pic>
        <xdr:nvPicPr>
          <xdr:cNvPr id="19" name="Imagen 18" descr="casa icono hogar png – mytimeplus.net">
            <a:extLst>
              <a:ext uri="{FF2B5EF4-FFF2-40B4-BE49-F238E27FC236}">
                <a16:creationId xmlns:a16="http://schemas.microsoft.com/office/drawing/2014/main" id="{F628EF32-0CEA-F8BD-9E9B-BA57B0C3C561}"/>
              </a:ext>
            </a:extLst>
          </xdr:cNvPr>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40000"/>
                    </a14:imgEffect>
                  </a14:imgLayer>
                </a14:imgProps>
              </a:ext>
              <a:ext uri="{28A0092B-C50C-407E-A947-70E740481C1C}">
                <a14:useLocalDpi xmlns:a14="http://schemas.microsoft.com/office/drawing/2010/main" val="0"/>
              </a:ext>
            </a:extLst>
          </a:blip>
          <a:srcRect/>
          <a:stretch>
            <a:fillRect/>
          </a:stretch>
        </xdr:blipFill>
        <xdr:spPr bwMode="auto">
          <a:xfrm>
            <a:off x="5184288" y="3985336"/>
            <a:ext cx="1504378" cy="135160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1814512</xdr:colOff>
      <xdr:row>40</xdr:row>
      <xdr:rowOff>141288</xdr:rowOff>
    </xdr:from>
    <xdr:ext cx="256160" cy="264560"/>
    <xdr:sp macro="" textlink="">
      <xdr:nvSpPr>
        <xdr:cNvPr id="2" name="CuadroTexto 1">
          <a:extLst>
            <a:ext uri="{FF2B5EF4-FFF2-40B4-BE49-F238E27FC236}">
              <a16:creationId xmlns:a16="http://schemas.microsoft.com/office/drawing/2014/main" id="{C4518AC2-A6A0-447D-8AC5-4953F3409ECF}"/>
            </a:ext>
          </a:extLst>
        </xdr:cNvPr>
        <xdr:cNvSpPr txBox="1"/>
      </xdr:nvSpPr>
      <xdr:spPr>
        <a:xfrm>
          <a:off x="1814512" y="12225338"/>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1100"/>
            <a:t>1</a:t>
          </a:r>
        </a:p>
      </xdr:txBody>
    </xdr:sp>
    <xdr:clientData/>
  </xdr:oneCellAnchor>
  <xdr:oneCellAnchor>
    <xdr:from>
      <xdr:col>0</xdr:col>
      <xdr:colOff>1752600</xdr:colOff>
      <xdr:row>42</xdr:row>
      <xdr:rowOff>38100</xdr:rowOff>
    </xdr:from>
    <xdr:ext cx="256160" cy="264560"/>
    <xdr:sp macro="" textlink="">
      <xdr:nvSpPr>
        <xdr:cNvPr id="3" name="CuadroTexto 2">
          <a:extLst>
            <a:ext uri="{FF2B5EF4-FFF2-40B4-BE49-F238E27FC236}">
              <a16:creationId xmlns:a16="http://schemas.microsoft.com/office/drawing/2014/main" id="{FEC80428-2B6C-4DD5-9178-3507490B65EA}"/>
            </a:ext>
          </a:extLst>
        </xdr:cNvPr>
        <xdr:cNvSpPr txBox="1"/>
      </xdr:nvSpPr>
      <xdr:spPr>
        <a:xfrm>
          <a:off x="1752600" y="12522200"/>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1100"/>
            <a:t>2</a:t>
          </a:r>
        </a:p>
      </xdr:txBody>
    </xdr:sp>
    <xdr:clientData/>
  </xdr:oneCellAnchor>
  <xdr:oneCellAnchor>
    <xdr:from>
      <xdr:col>0</xdr:col>
      <xdr:colOff>1998662</xdr:colOff>
      <xdr:row>41</xdr:row>
      <xdr:rowOff>130176</xdr:rowOff>
    </xdr:from>
    <xdr:ext cx="256160" cy="264560"/>
    <xdr:sp macro="" textlink="">
      <xdr:nvSpPr>
        <xdr:cNvPr id="4" name="CuadroTexto 3">
          <a:extLst>
            <a:ext uri="{FF2B5EF4-FFF2-40B4-BE49-F238E27FC236}">
              <a16:creationId xmlns:a16="http://schemas.microsoft.com/office/drawing/2014/main" id="{C40A769A-CF82-4F2B-8812-17179DC5C8D6}"/>
            </a:ext>
          </a:extLst>
        </xdr:cNvPr>
        <xdr:cNvSpPr txBox="1"/>
      </xdr:nvSpPr>
      <xdr:spPr>
        <a:xfrm>
          <a:off x="1998662" y="12411076"/>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1100"/>
            <a:t>2</a:t>
          </a:r>
        </a:p>
      </xdr:txBody>
    </xdr:sp>
    <xdr:clientData/>
  </xdr:oneCellAnchor>
  <xdr:oneCellAnchor>
    <xdr:from>
      <xdr:col>0</xdr:col>
      <xdr:colOff>1349376</xdr:colOff>
      <xdr:row>45</xdr:row>
      <xdr:rowOff>377825</xdr:rowOff>
    </xdr:from>
    <xdr:ext cx="256160" cy="264560"/>
    <xdr:sp macro="" textlink="">
      <xdr:nvSpPr>
        <xdr:cNvPr id="5" name="CuadroTexto 4">
          <a:extLst>
            <a:ext uri="{FF2B5EF4-FFF2-40B4-BE49-F238E27FC236}">
              <a16:creationId xmlns:a16="http://schemas.microsoft.com/office/drawing/2014/main" id="{8A655158-02E9-4375-A8F6-ECE042D549D4}"/>
            </a:ext>
          </a:extLst>
        </xdr:cNvPr>
        <xdr:cNvSpPr txBox="1"/>
      </xdr:nvSpPr>
      <xdr:spPr>
        <a:xfrm>
          <a:off x="1349376" y="13560425"/>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1100"/>
            <a:t>3</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2976562</xdr:colOff>
      <xdr:row>1</xdr:row>
      <xdr:rowOff>33224</xdr:rowOff>
    </xdr:from>
    <xdr:to>
      <xdr:col>6</xdr:col>
      <xdr:colOff>1008061</xdr:colOff>
      <xdr:row>2</xdr:row>
      <xdr:rowOff>73836</xdr:rowOff>
    </xdr:to>
    <xdr:sp macro="" textlink="">
      <xdr:nvSpPr>
        <xdr:cNvPr id="2" name="CuadroTexto 1">
          <a:extLst>
            <a:ext uri="{FF2B5EF4-FFF2-40B4-BE49-F238E27FC236}">
              <a16:creationId xmlns:a16="http://schemas.microsoft.com/office/drawing/2014/main" id="{DD5F7A72-5749-46CB-8067-519D9784F698}"/>
            </a:ext>
          </a:extLst>
        </xdr:cNvPr>
        <xdr:cNvSpPr txBox="1"/>
      </xdr:nvSpPr>
      <xdr:spPr>
        <a:xfrm>
          <a:off x="3286125" y="223724"/>
          <a:ext cx="4921249" cy="429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2000" b="1">
              <a:solidFill>
                <a:schemeClr val="accent1">
                  <a:lumMod val="50000"/>
                </a:schemeClr>
              </a:solidFill>
              <a:latin typeface="Candara" panose="020E0502030303020204" pitchFamily="34" charset="0"/>
            </a:rPr>
            <a:t>SIMULADOR CREDITO</a:t>
          </a:r>
          <a:r>
            <a:rPr lang="es-MX" sz="2000" b="1" baseline="0">
              <a:solidFill>
                <a:schemeClr val="accent1">
                  <a:lumMod val="50000"/>
                </a:schemeClr>
              </a:solidFill>
              <a:latin typeface="Candara" panose="020E0502030303020204" pitchFamily="34" charset="0"/>
            </a:rPr>
            <a:t> DE VIVIENDA EN UVR</a:t>
          </a:r>
          <a:endParaRPr lang="es-MX" sz="2000" b="1">
            <a:solidFill>
              <a:schemeClr val="accent1">
                <a:lumMod val="50000"/>
              </a:schemeClr>
            </a:solidFill>
            <a:latin typeface="Candara" panose="020E0502030303020204" pitchFamily="34" charset="0"/>
          </a:endParaRPr>
        </a:p>
      </xdr:txBody>
    </xdr:sp>
    <xdr:clientData/>
  </xdr:twoCellAnchor>
  <xdr:twoCellAnchor>
    <xdr:from>
      <xdr:col>7</xdr:col>
      <xdr:colOff>705148</xdr:colOff>
      <xdr:row>11</xdr:row>
      <xdr:rowOff>140291</xdr:rowOff>
    </xdr:from>
    <xdr:to>
      <xdr:col>10</xdr:col>
      <xdr:colOff>79375</xdr:colOff>
      <xdr:row>17</xdr:row>
      <xdr:rowOff>66454</xdr:rowOff>
    </xdr:to>
    <xdr:sp macro="" textlink="">
      <xdr:nvSpPr>
        <xdr:cNvPr id="3" name="Flecha: a la derecha 2">
          <a:hlinkClick xmlns:r="http://schemas.openxmlformats.org/officeDocument/2006/relationships" r:id="rId1"/>
          <a:extLst>
            <a:ext uri="{FF2B5EF4-FFF2-40B4-BE49-F238E27FC236}">
              <a16:creationId xmlns:a16="http://schemas.microsoft.com/office/drawing/2014/main" id="{843038A5-7355-4CD8-9C2B-D27AABD54C6C}"/>
            </a:ext>
          </a:extLst>
        </xdr:cNvPr>
        <xdr:cNvSpPr/>
      </xdr:nvSpPr>
      <xdr:spPr>
        <a:xfrm>
          <a:off x="9126836" y="2632666"/>
          <a:ext cx="1866602" cy="1069163"/>
        </a:xfrm>
        <a:prstGeom prst="rightArrow">
          <a:avLst>
            <a:gd name="adj1" fmla="val 50000"/>
            <a:gd name="adj2" fmla="val 54167"/>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400" b="1">
              <a:effectLst>
                <a:outerShdw blurRad="63500" sx="102000" sy="102000" algn="ctr" rotWithShape="0">
                  <a:prstClr val="black">
                    <a:alpha val="40000"/>
                  </a:prstClr>
                </a:outerShdw>
              </a:effectLst>
            </a:rPr>
            <a:t>Complementa</a:t>
          </a:r>
          <a:r>
            <a:rPr lang="es-MX" sz="1400" b="1" baseline="0">
              <a:effectLst>
                <a:outerShdw blurRad="63500" sx="102000" sy="102000" algn="ctr" rotWithShape="0">
                  <a:prstClr val="black">
                    <a:alpha val="40000"/>
                  </a:prstClr>
                </a:outerShdw>
              </a:effectLst>
            </a:rPr>
            <a:t> los datos de tu cliente</a:t>
          </a:r>
          <a:endParaRPr lang="es-MX" sz="1400" b="1">
            <a:effectLst>
              <a:outerShdw blurRad="63500" sx="102000" sy="102000" algn="ctr" rotWithShape="0">
                <a:prstClr val="black">
                  <a:alpha val="40000"/>
                </a:prstClr>
              </a:outerShdw>
            </a:effectLst>
          </a:endParaRPr>
        </a:p>
      </xdr:txBody>
    </xdr:sp>
    <xdr:clientData/>
  </xdr:twoCellAnchor>
  <xdr:twoCellAnchor>
    <xdr:from>
      <xdr:col>8</xdr:col>
      <xdr:colOff>1040643</xdr:colOff>
      <xdr:row>0</xdr:row>
      <xdr:rowOff>0</xdr:rowOff>
    </xdr:from>
    <xdr:to>
      <xdr:col>10</xdr:col>
      <xdr:colOff>10275</xdr:colOff>
      <xdr:row>2</xdr:row>
      <xdr:rowOff>239455</xdr:rowOff>
    </xdr:to>
    <xdr:grpSp>
      <xdr:nvGrpSpPr>
        <xdr:cNvPr id="4" name="Grupo 3">
          <a:hlinkClick xmlns:r="http://schemas.openxmlformats.org/officeDocument/2006/relationships" r:id="rId2"/>
          <a:extLst>
            <a:ext uri="{FF2B5EF4-FFF2-40B4-BE49-F238E27FC236}">
              <a16:creationId xmlns:a16="http://schemas.microsoft.com/office/drawing/2014/main" id="{537A198F-57C4-425A-A60E-81CB5A70FFDF}"/>
            </a:ext>
          </a:extLst>
        </xdr:cNvPr>
        <xdr:cNvGrpSpPr/>
      </xdr:nvGrpSpPr>
      <xdr:grpSpPr>
        <a:xfrm>
          <a:off x="10176706" y="0"/>
          <a:ext cx="819069" cy="818893"/>
          <a:chOff x="4567082" y="3528136"/>
          <a:chExt cx="2714249" cy="2398529"/>
        </a:xfrm>
      </xdr:grpSpPr>
      <xdr:pic>
        <xdr:nvPicPr>
          <xdr:cNvPr id="5" name="Imagen 4" descr="flecha flechas atrás punto atrás azul línea punteada icono de línea  14992450 Vector en Vecteezy">
            <a:extLst>
              <a:ext uri="{FF2B5EF4-FFF2-40B4-BE49-F238E27FC236}">
                <a16:creationId xmlns:a16="http://schemas.microsoft.com/office/drawing/2014/main" id="{780C5215-20FC-793D-D0F7-1BCDC1F628BC}"/>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67082" y="3528136"/>
            <a:ext cx="2714249" cy="239852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Elipse 5">
            <a:extLst>
              <a:ext uri="{FF2B5EF4-FFF2-40B4-BE49-F238E27FC236}">
                <a16:creationId xmlns:a16="http://schemas.microsoft.com/office/drawing/2014/main" id="{0E97A294-F1DB-4AB1-8C0E-63146C83455E}"/>
              </a:ext>
            </a:extLst>
          </xdr:cNvPr>
          <xdr:cNvSpPr/>
        </xdr:nvSpPr>
        <xdr:spPr>
          <a:xfrm>
            <a:off x="5054600" y="3925963"/>
            <a:ext cx="1786466" cy="1594197"/>
          </a:xfrm>
          <a:prstGeom prst="ellipse">
            <a:avLst/>
          </a:prstGeom>
          <a:solidFill>
            <a:schemeClr val="accent1">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pic>
        <xdr:nvPicPr>
          <xdr:cNvPr id="7" name="Imagen 6" descr="casa icono hogar png – mytimeplus.net">
            <a:extLst>
              <a:ext uri="{FF2B5EF4-FFF2-40B4-BE49-F238E27FC236}">
                <a16:creationId xmlns:a16="http://schemas.microsoft.com/office/drawing/2014/main" id="{6C4B9A43-21B3-C782-5E93-D03A45295FD8}"/>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brightnessContrast bright="-20000" contrast="40000"/>
                    </a14:imgEffect>
                  </a14:imgLayer>
                </a14:imgProps>
              </a:ext>
              <a:ext uri="{28A0092B-C50C-407E-A947-70E740481C1C}">
                <a14:useLocalDpi xmlns:a14="http://schemas.microsoft.com/office/drawing/2010/main" val="0"/>
              </a:ext>
            </a:extLst>
          </a:blip>
          <a:srcRect/>
          <a:stretch>
            <a:fillRect/>
          </a:stretch>
        </xdr:blipFill>
        <xdr:spPr bwMode="auto">
          <a:xfrm>
            <a:off x="5184288" y="3985336"/>
            <a:ext cx="1504378" cy="135160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177210</xdr:colOff>
      <xdr:row>0</xdr:row>
      <xdr:rowOff>110757</xdr:rowOff>
    </xdr:from>
    <xdr:to>
      <xdr:col>1</xdr:col>
      <xdr:colOff>2835349</xdr:colOff>
      <xdr:row>2</xdr:row>
      <xdr:rowOff>121135</xdr:rowOff>
    </xdr:to>
    <xdr:pic>
      <xdr:nvPicPr>
        <xdr:cNvPr id="8" name="Imagen 7">
          <a:extLst>
            <a:ext uri="{FF2B5EF4-FFF2-40B4-BE49-F238E27FC236}">
              <a16:creationId xmlns:a16="http://schemas.microsoft.com/office/drawing/2014/main" id="{937DC097-89AC-46C3-8F2F-05A0557C7312}"/>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7210" y="110757"/>
          <a:ext cx="2969289" cy="59457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156882</xdr:colOff>
      <xdr:row>0</xdr:row>
      <xdr:rowOff>291354</xdr:rowOff>
    </xdr:from>
    <xdr:to>
      <xdr:col>5</xdr:col>
      <xdr:colOff>862853</xdr:colOff>
      <xdr:row>2</xdr:row>
      <xdr:rowOff>6725</xdr:rowOff>
    </xdr:to>
    <xdr:sp macro="" textlink="">
      <xdr:nvSpPr>
        <xdr:cNvPr id="2" name="CuadroTexto 1">
          <a:extLst>
            <a:ext uri="{FF2B5EF4-FFF2-40B4-BE49-F238E27FC236}">
              <a16:creationId xmlns:a16="http://schemas.microsoft.com/office/drawing/2014/main" id="{9449D99F-1AB2-4048-BBCC-63108E0A71E0}"/>
            </a:ext>
          </a:extLst>
        </xdr:cNvPr>
        <xdr:cNvSpPr txBox="1"/>
      </xdr:nvSpPr>
      <xdr:spPr>
        <a:xfrm>
          <a:off x="3712882" y="291354"/>
          <a:ext cx="4254500" cy="3354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700" b="1">
              <a:solidFill>
                <a:schemeClr val="accent1">
                  <a:lumMod val="50000"/>
                </a:schemeClr>
              </a:solidFill>
              <a:latin typeface="Candara" panose="020E0502030303020204" pitchFamily="34" charset="0"/>
            </a:rPr>
            <a:t>SIMULADOR CRÉDITO DE VIVIENDA EN</a:t>
          </a:r>
          <a:r>
            <a:rPr lang="es-MX" sz="1700" b="1" baseline="0">
              <a:solidFill>
                <a:schemeClr val="accent1">
                  <a:lumMod val="50000"/>
                </a:schemeClr>
              </a:solidFill>
              <a:latin typeface="Candara" panose="020E0502030303020204" pitchFamily="34" charset="0"/>
            </a:rPr>
            <a:t> UVR</a:t>
          </a:r>
          <a:endParaRPr lang="es-MX" sz="1700" b="1">
            <a:solidFill>
              <a:schemeClr val="accent1">
                <a:lumMod val="50000"/>
              </a:schemeClr>
            </a:solidFill>
            <a:latin typeface="Candara" panose="020E0502030303020204" pitchFamily="34" charset="0"/>
          </a:endParaRPr>
        </a:p>
      </xdr:txBody>
    </xdr:sp>
    <xdr:clientData/>
  </xdr:twoCellAnchor>
  <xdr:twoCellAnchor>
    <xdr:from>
      <xdr:col>4</xdr:col>
      <xdr:colOff>0</xdr:colOff>
      <xdr:row>8</xdr:row>
      <xdr:rowOff>0</xdr:rowOff>
    </xdr:from>
    <xdr:to>
      <xdr:col>5</xdr:col>
      <xdr:colOff>702236</xdr:colOff>
      <xdr:row>10</xdr:row>
      <xdr:rowOff>216647</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7BE62EBF-C795-4005-8224-C647C4F31A2E}"/>
            </a:ext>
          </a:extLst>
        </xdr:cNvPr>
        <xdr:cNvSpPr/>
      </xdr:nvSpPr>
      <xdr:spPr>
        <a:xfrm>
          <a:off x="5886450" y="1708150"/>
          <a:ext cx="1908736" cy="445247"/>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600" b="1"/>
            <a:t>Ir al plan</a:t>
          </a:r>
          <a:r>
            <a:rPr lang="es-MX" sz="1600" b="1" baseline="0"/>
            <a:t> de pagos</a:t>
          </a:r>
          <a:endParaRPr lang="es-MX" sz="1600" b="1"/>
        </a:p>
      </xdr:txBody>
    </xdr:sp>
    <xdr:clientData/>
  </xdr:twoCellAnchor>
  <xdr:twoCellAnchor editAs="oneCell">
    <xdr:from>
      <xdr:col>8</xdr:col>
      <xdr:colOff>127000</xdr:colOff>
      <xdr:row>0</xdr:row>
      <xdr:rowOff>22412</xdr:rowOff>
    </xdr:from>
    <xdr:to>
      <xdr:col>8</xdr:col>
      <xdr:colOff>918882</xdr:colOff>
      <xdr:row>2</xdr:row>
      <xdr:rowOff>192167</xdr:rowOff>
    </xdr:to>
    <xdr:pic>
      <xdr:nvPicPr>
        <xdr:cNvPr id="4" name="Imagen 3" descr="flecha flechas atrás punto atrás azul línea punteada icono de línea  14992450 Vector en Vecteezy">
          <a:hlinkClick xmlns:r="http://schemas.openxmlformats.org/officeDocument/2006/relationships" r:id="rId2"/>
          <a:extLst>
            <a:ext uri="{FF2B5EF4-FFF2-40B4-BE49-F238E27FC236}">
              <a16:creationId xmlns:a16="http://schemas.microsoft.com/office/drawing/2014/main" id="{5A75FE41-F866-47AD-9543-D5B81E02B3AC}"/>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401300" y="22412"/>
          <a:ext cx="791882" cy="7920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246530</xdr:colOff>
      <xdr:row>0</xdr:row>
      <xdr:rowOff>145677</xdr:rowOff>
    </xdr:from>
    <xdr:to>
      <xdr:col>2</xdr:col>
      <xdr:colOff>1121</xdr:colOff>
      <xdr:row>2</xdr:row>
      <xdr:rowOff>147318</xdr:rowOff>
    </xdr:to>
    <xdr:pic>
      <xdr:nvPicPr>
        <xdr:cNvPr id="5" name="Imagen 4">
          <a:extLst>
            <a:ext uri="{FF2B5EF4-FFF2-40B4-BE49-F238E27FC236}">
              <a16:creationId xmlns:a16="http://schemas.microsoft.com/office/drawing/2014/main" id="{6B4A211E-0D7A-45F3-A0AF-BDE5BD628C9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46530" y="145677"/>
          <a:ext cx="3294529" cy="6217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199571</xdr:colOff>
      <xdr:row>0</xdr:row>
      <xdr:rowOff>0</xdr:rowOff>
    </xdr:from>
    <xdr:to>
      <xdr:col>1</xdr:col>
      <xdr:colOff>771071</xdr:colOff>
      <xdr:row>3</xdr:row>
      <xdr:rowOff>136071</xdr:rowOff>
    </xdr:to>
    <xdr:grpSp>
      <xdr:nvGrpSpPr>
        <xdr:cNvPr id="2" name="Grupo 1">
          <a:hlinkClick xmlns:r="http://schemas.openxmlformats.org/officeDocument/2006/relationships" r:id="rId1"/>
          <a:extLst>
            <a:ext uri="{FF2B5EF4-FFF2-40B4-BE49-F238E27FC236}">
              <a16:creationId xmlns:a16="http://schemas.microsoft.com/office/drawing/2014/main" id="{852624EC-BE0B-48A1-BF00-17786378FF0A}"/>
            </a:ext>
          </a:extLst>
        </xdr:cNvPr>
        <xdr:cNvGrpSpPr/>
      </xdr:nvGrpSpPr>
      <xdr:grpSpPr>
        <a:xfrm>
          <a:off x="199571" y="0"/>
          <a:ext cx="780143" cy="807357"/>
          <a:chOff x="3627419" y="3206813"/>
          <a:chExt cx="3292186" cy="3283588"/>
        </a:xfrm>
      </xdr:grpSpPr>
      <xdr:pic>
        <xdr:nvPicPr>
          <xdr:cNvPr id="3" name="Imagen 2" descr="flecha flechas atrás punto atrás azul línea punteada icono de línea  14992450 Vector en Vecteezy">
            <a:extLst>
              <a:ext uri="{FF2B5EF4-FFF2-40B4-BE49-F238E27FC236}">
                <a16:creationId xmlns:a16="http://schemas.microsoft.com/office/drawing/2014/main" id="{574B67DB-C313-B5AB-04BB-ACD989B02935}"/>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27419" y="3206813"/>
            <a:ext cx="3292186" cy="3283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Elipse 3">
            <a:extLst>
              <a:ext uri="{FF2B5EF4-FFF2-40B4-BE49-F238E27FC236}">
                <a16:creationId xmlns:a16="http://schemas.microsoft.com/office/drawing/2014/main" id="{7203373A-3409-6D72-666D-4A36C01C524C}"/>
              </a:ext>
            </a:extLst>
          </xdr:cNvPr>
          <xdr:cNvSpPr/>
        </xdr:nvSpPr>
        <xdr:spPr>
          <a:xfrm>
            <a:off x="4250746" y="3803303"/>
            <a:ext cx="2058614" cy="2107045"/>
          </a:xfrm>
          <a:prstGeom prst="ellipse">
            <a:avLst/>
          </a:prstGeom>
          <a:solidFill>
            <a:schemeClr val="accent1">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pic>
        <xdr:nvPicPr>
          <xdr:cNvPr id="5" name="Picture 2" descr="COMFACESAR - Estamos Cumpliedo sueños">
            <a:extLst>
              <a:ext uri="{FF2B5EF4-FFF2-40B4-BE49-F238E27FC236}">
                <a16:creationId xmlns:a16="http://schemas.microsoft.com/office/drawing/2014/main" id="{CDE23430-74FB-1DBA-1278-5E96881F2805}"/>
              </a:ext>
            </a:extLst>
          </xdr:cNvPr>
          <xdr:cNvPicPr>
            <a:picLocks noChangeAspect="1" noChangeArrowheads="1"/>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r="59316"/>
          <a:stretch/>
        </xdr:blipFill>
        <xdr:spPr bwMode="auto">
          <a:xfrm>
            <a:off x="4250746" y="3822526"/>
            <a:ext cx="1782925" cy="2008621"/>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xdr:col>
      <xdr:colOff>217716</xdr:colOff>
      <xdr:row>1</xdr:row>
      <xdr:rowOff>13607</xdr:rowOff>
    </xdr:from>
    <xdr:to>
      <xdr:col>4</xdr:col>
      <xdr:colOff>449036</xdr:colOff>
      <xdr:row>2</xdr:row>
      <xdr:rowOff>196881</xdr:rowOff>
    </xdr:to>
    <xdr:pic>
      <xdr:nvPicPr>
        <xdr:cNvPr id="6" name="Imagen 5">
          <a:extLst>
            <a:ext uri="{FF2B5EF4-FFF2-40B4-BE49-F238E27FC236}">
              <a16:creationId xmlns:a16="http://schemas.microsoft.com/office/drawing/2014/main" id="{3AF16B12-64D3-4180-BF3A-A15DEDF33B8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27366" y="204107"/>
          <a:ext cx="2364920" cy="45632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2983022</xdr:colOff>
      <xdr:row>1</xdr:row>
      <xdr:rowOff>55375</xdr:rowOff>
    </xdr:from>
    <xdr:to>
      <xdr:col>6</xdr:col>
      <xdr:colOff>1070639</xdr:colOff>
      <xdr:row>2</xdr:row>
      <xdr:rowOff>95987</xdr:rowOff>
    </xdr:to>
    <xdr:sp macro="" textlink="">
      <xdr:nvSpPr>
        <xdr:cNvPr id="2" name="CuadroTexto 1">
          <a:extLst>
            <a:ext uri="{FF2B5EF4-FFF2-40B4-BE49-F238E27FC236}">
              <a16:creationId xmlns:a16="http://schemas.microsoft.com/office/drawing/2014/main" id="{8766BD27-2AE2-418B-930D-51BC2FD62BFB}"/>
            </a:ext>
          </a:extLst>
        </xdr:cNvPr>
        <xdr:cNvSpPr txBox="1"/>
      </xdr:nvSpPr>
      <xdr:spPr>
        <a:xfrm>
          <a:off x="3294172" y="245875"/>
          <a:ext cx="4945617" cy="4279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800" b="1">
              <a:solidFill>
                <a:schemeClr val="accent1">
                  <a:lumMod val="50000"/>
                </a:schemeClr>
              </a:solidFill>
              <a:latin typeface="Candara" panose="020E0502030303020204" pitchFamily="34" charset="0"/>
            </a:rPr>
            <a:t>SIMULADOR LEASING HAB.</a:t>
          </a:r>
          <a:r>
            <a:rPr lang="es-MX" sz="1800" b="1" baseline="0">
              <a:solidFill>
                <a:schemeClr val="accent1">
                  <a:lumMod val="50000"/>
                </a:schemeClr>
              </a:solidFill>
              <a:latin typeface="Candara" panose="020E0502030303020204" pitchFamily="34" charset="0"/>
            </a:rPr>
            <a:t> NO</a:t>
          </a:r>
          <a:r>
            <a:rPr lang="es-MX" sz="1800" b="1">
              <a:solidFill>
                <a:schemeClr val="accent1">
                  <a:lumMod val="50000"/>
                </a:schemeClr>
              </a:solidFill>
              <a:latin typeface="Candara" panose="020E0502030303020204" pitchFamily="34" charset="0"/>
            </a:rPr>
            <a:t> FAMILIAR</a:t>
          </a:r>
        </a:p>
      </xdr:txBody>
    </xdr:sp>
    <xdr:clientData/>
  </xdr:twoCellAnchor>
  <xdr:twoCellAnchor>
    <xdr:from>
      <xdr:col>7</xdr:col>
      <xdr:colOff>810882</xdr:colOff>
      <xdr:row>11</xdr:row>
      <xdr:rowOff>103372</xdr:rowOff>
    </xdr:from>
    <xdr:to>
      <xdr:col>9</xdr:col>
      <xdr:colOff>583314</xdr:colOff>
      <xdr:row>17</xdr:row>
      <xdr:rowOff>29535</xdr:rowOff>
    </xdr:to>
    <xdr:sp macro="" textlink="">
      <xdr:nvSpPr>
        <xdr:cNvPr id="4" name="Flecha: a la derecha 3">
          <a:hlinkClick xmlns:r="http://schemas.openxmlformats.org/officeDocument/2006/relationships" r:id="rId1"/>
          <a:extLst>
            <a:ext uri="{FF2B5EF4-FFF2-40B4-BE49-F238E27FC236}">
              <a16:creationId xmlns:a16="http://schemas.microsoft.com/office/drawing/2014/main" id="{D6522669-120F-4E8F-927F-08E58F967061}"/>
            </a:ext>
          </a:extLst>
        </xdr:cNvPr>
        <xdr:cNvSpPr/>
      </xdr:nvSpPr>
      <xdr:spPr>
        <a:xfrm>
          <a:off x="9205582" y="2598922"/>
          <a:ext cx="1855232" cy="1062813"/>
        </a:xfrm>
        <a:prstGeom prst="rightArrow">
          <a:avLst>
            <a:gd name="adj1" fmla="val 50000"/>
            <a:gd name="adj2" fmla="val 54167"/>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400" b="1">
              <a:effectLst>
                <a:outerShdw blurRad="63500" sx="102000" sy="102000" algn="ctr" rotWithShape="0">
                  <a:prstClr val="black">
                    <a:alpha val="40000"/>
                  </a:prstClr>
                </a:outerShdw>
              </a:effectLst>
            </a:rPr>
            <a:t>Complementa</a:t>
          </a:r>
          <a:r>
            <a:rPr lang="es-MX" sz="1400" b="1" baseline="0">
              <a:effectLst>
                <a:outerShdw blurRad="63500" sx="102000" sy="102000" algn="ctr" rotWithShape="0">
                  <a:prstClr val="black">
                    <a:alpha val="40000"/>
                  </a:prstClr>
                </a:outerShdw>
              </a:effectLst>
            </a:rPr>
            <a:t> los datos de tu cliente</a:t>
          </a:r>
          <a:endParaRPr lang="es-MX" sz="1400" b="1">
            <a:effectLst>
              <a:outerShdw blurRad="63500" sx="102000" sy="102000" algn="ctr" rotWithShape="0">
                <a:prstClr val="black">
                  <a:alpha val="40000"/>
                </a:prstClr>
              </a:outerShdw>
            </a:effectLst>
          </a:endParaRPr>
        </a:p>
      </xdr:txBody>
    </xdr:sp>
    <xdr:clientData/>
  </xdr:twoCellAnchor>
  <xdr:twoCellAnchor>
    <xdr:from>
      <xdr:col>8</xdr:col>
      <xdr:colOff>1100174</xdr:colOff>
      <xdr:row>0</xdr:row>
      <xdr:rowOff>22150</xdr:rowOff>
    </xdr:from>
    <xdr:to>
      <xdr:col>10</xdr:col>
      <xdr:colOff>31706</xdr:colOff>
      <xdr:row>2</xdr:row>
      <xdr:rowOff>258430</xdr:rowOff>
    </xdr:to>
    <xdr:grpSp>
      <xdr:nvGrpSpPr>
        <xdr:cNvPr id="5" name="Grupo 4">
          <a:hlinkClick xmlns:r="http://schemas.openxmlformats.org/officeDocument/2006/relationships" r:id="rId2"/>
          <a:extLst>
            <a:ext uri="{FF2B5EF4-FFF2-40B4-BE49-F238E27FC236}">
              <a16:creationId xmlns:a16="http://schemas.microsoft.com/office/drawing/2014/main" id="{86D4489F-F5BB-478F-A90E-4504EFE1020C}"/>
            </a:ext>
          </a:extLst>
        </xdr:cNvPr>
        <xdr:cNvGrpSpPr/>
      </xdr:nvGrpSpPr>
      <xdr:grpSpPr>
        <a:xfrm>
          <a:off x="10458487" y="22150"/>
          <a:ext cx="836532" cy="815718"/>
          <a:chOff x="4567082" y="3528136"/>
          <a:chExt cx="2714249" cy="2398529"/>
        </a:xfrm>
      </xdr:grpSpPr>
      <xdr:pic>
        <xdr:nvPicPr>
          <xdr:cNvPr id="6" name="Imagen 5" descr="flecha flechas atrás punto atrás azul línea punteada icono de línea  14992450 Vector en Vecteezy">
            <a:extLst>
              <a:ext uri="{FF2B5EF4-FFF2-40B4-BE49-F238E27FC236}">
                <a16:creationId xmlns:a16="http://schemas.microsoft.com/office/drawing/2014/main" id="{B4D5A216-EAE4-1213-EC20-F1F4707BED17}"/>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67082" y="3528136"/>
            <a:ext cx="2714249" cy="239852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 name="Elipse 6">
            <a:extLst>
              <a:ext uri="{FF2B5EF4-FFF2-40B4-BE49-F238E27FC236}">
                <a16:creationId xmlns:a16="http://schemas.microsoft.com/office/drawing/2014/main" id="{CE63D432-FB9A-8286-0EC1-EAB0CCF4E273}"/>
              </a:ext>
            </a:extLst>
          </xdr:cNvPr>
          <xdr:cNvSpPr/>
        </xdr:nvSpPr>
        <xdr:spPr>
          <a:xfrm>
            <a:off x="5054600" y="3925963"/>
            <a:ext cx="1786466" cy="1594197"/>
          </a:xfrm>
          <a:prstGeom prst="ellipse">
            <a:avLst/>
          </a:prstGeom>
          <a:solidFill>
            <a:schemeClr val="accent1">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pic>
        <xdr:nvPicPr>
          <xdr:cNvPr id="8" name="Imagen 7" descr="casa icono hogar png – mytimeplus.net">
            <a:extLst>
              <a:ext uri="{FF2B5EF4-FFF2-40B4-BE49-F238E27FC236}">
                <a16:creationId xmlns:a16="http://schemas.microsoft.com/office/drawing/2014/main" id="{A2FE3585-E49D-FBC0-0696-F26070326DFF}"/>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brightnessContrast bright="-20000" contrast="40000"/>
                    </a14:imgEffect>
                  </a14:imgLayer>
                </a14:imgProps>
              </a:ext>
              <a:ext uri="{28A0092B-C50C-407E-A947-70E740481C1C}">
                <a14:useLocalDpi xmlns:a14="http://schemas.microsoft.com/office/drawing/2010/main" val="0"/>
              </a:ext>
            </a:extLst>
          </a:blip>
          <a:srcRect/>
          <a:stretch>
            <a:fillRect/>
          </a:stretch>
        </xdr:blipFill>
        <xdr:spPr bwMode="auto">
          <a:xfrm>
            <a:off x="5184288" y="3985336"/>
            <a:ext cx="1504378" cy="135160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166133</xdr:colOff>
      <xdr:row>0</xdr:row>
      <xdr:rowOff>177209</xdr:rowOff>
    </xdr:from>
    <xdr:to>
      <xdr:col>1</xdr:col>
      <xdr:colOff>2724592</xdr:colOff>
      <xdr:row>2</xdr:row>
      <xdr:rowOff>173960</xdr:rowOff>
    </xdr:to>
    <xdr:pic>
      <xdr:nvPicPr>
        <xdr:cNvPr id="10" name="Imagen 9">
          <a:extLst>
            <a:ext uri="{FF2B5EF4-FFF2-40B4-BE49-F238E27FC236}">
              <a16:creationId xmlns:a16="http://schemas.microsoft.com/office/drawing/2014/main" id="{7A7A3D2D-8C31-2F55-C303-9442656E64CE}"/>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66133" y="177209"/>
          <a:ext cx="2857500" cy="57268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459442</xdr:colOff>
      <xdr:row>0</xdr:row>
      <xdr:rowOff>291354</xdr:rowOff>
    </xdr:from>
    <xdr:to>
      <xdr:col>5</xdr:col>
      <xdr:colOff>769470</xdr:colOff>
      <xdr:row>2</xdr:row>
      <xdr:rowOff>6725</xdr:rowOff>
    </xdr:to>
    <xdr:sp macro="" textlink="">
      <xdr:nvSpPr>
        <xdr:cNvPr id="3" name="CuadroTexto 2">
          <a:extLst>
            <a:ext uri="{FF2B5EF4-FFF2-40B4-BE49-F238E27FC236}">
              <a16:creationId xmlns:a16="http://schemas.microsoft.com/office/drawing/2014/main" id="{65356DFC-F51A-4F43-9966-D1274C457AFF}"/>
            </a:ext>
          </a:extLst>
        </xdr:cNvPr>
        <xdr:cNvSpPr txBox="1"/>
      </xdr:nvSpPr>
      <xdr:spPr>
        <a:xfrm>
          <a:off x="3482042" y="291354"/>
          <a:ext cx="4380378" cy="3376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b="1">
              <a:solidFill>
                <a:schemeClr val="accent1">
                  <a:lumMod val="50000"/>
                </a:schemeClr>
              </a:solidFill>
              <a:latin typeface="Candara" panose="020E0502030303020204" pitchFamily="34" charset="0"/>
            </a:rPr>
            <a:t>SIMULADOR LEASING HAB. NO FAMILIAR</a:t>
          </a:r>
        </a:p>
      </xdr:txBody>
    </xdr:sp>
    <xdr:clientData/>
  </xdr:twoCellAnchor>
  <xdr:twoCellAnchor>
    <xdr:from>
      <xdr:col>4</xdr:col>
      <xdr:colOff>0</xdr:colOff>
      <xdr:row>8</xdr:row>
      <xdr:rowOff>0</xdr:rowOff>
    </xdr:from>
    <xdr:to>
      <xdr:col>5</xdr:col>
      <xdr:colOff>702236</xdr:colOff>
      <xdr:row>10</xdr:row>
      <xdr:rowOff>216647</xdr:rowOff>
    </xdr:to>
    <xdr:sp macro="" textlink="">
      <xdr:nvSpPr>
        <xdr:cNvPr id="4" name="Rectángulo: esquinas redondeadas 3">
          <a:hlinkClick xmlns:r="http://schemas.openxmlformats.org/officeDocument/2006/relationships" r:id="rId1"/>
          <a:extLst>
            <a:ext uri="{FF2B5EF4-FFF2-40B4-BE49-F238E27FC236}">
              <a16:creationId xmlns:a16="http://schemas.microsoft.com/office/drawing/2014/main" id="{5D3760C0-CDF8-442E-A8E9-2220D93DB308}"/>
            </a:ext>
          </a:extLst>
        </xdr:cNvPr>
        <xdr:cNvSpPr/>
      </xdr:nvSpPr>
      <xdr:spPr>
        <a:xfrm>
          <a:off x="5886450" y="1752600"/>
          <a:ext cx="1908736" cy="445247"/>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600" b="1"/>
            <a:t>Ir al plan</a:t>
          </a:r>
          <a:r>
            <a:rPr lang="es-MX" sz="1600" b="1" baseline="0"/>
            <a:t> de pagos</a:t>
          </a:r>
          <a:endParaRPr lang="es-MX" sz="1600" b="1"/>
        </a:p>
      </xdr:txBody>
    </xdr:sp>
    <xdr:clientData/>
  </xdr:twoCellAnchor>
  <xdr:twoCellAnchor editAs="oneCell">
    <xdr:from>
      <xdr:col>8</xdr:col>
      <xdr:colOff>127000</xdr:colOff>
      <xdr:row>0</xdr:row>
      <xdr:rowOff>22412</xdr:rowOff>
    </xdr:from>
    <xdr:to>
      <xdr:col>8</xdr:col>
      <xdr:colOff>918882</xdr:colOff>
      <xdr:row>2</xdr:row>
      <xdr:rowOff>192167</xdr:rowOff>
    </xdr:to>
    <xdr:pic>
      <xdr:nvPicPr>
        <xdr:cNvPr id="5" name="Imagen 4" descr="flecha flechas atrás punto atrás azul línea punteada icono de línea  14992450 Vector en Vecteezy">
          <a:hlinkClick xmlns:r="http://schemas.openxmlformats.org/officeDocument/2006/relationships" r:id="rId2"/>
          <a:extLst>
            <a:ext uri="{FF2B5EF4-FFF2-40B4-BE49-F238E27FC236}">
              <a16:creationId xmlns:a16="http://schemas.microsoft.com/office/drawing/2014/main" id="{45EB35BE-3F49-411C-B468-A7A840A24C02}"/>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401300" y="22412"/>
          <a:ext cx="791882" cy="7920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89647</xdr:colOff>
      <xdr:row>0</xdr:row>
      <xdr:rowOff>145678</xdr:rowOff>
    </xdr:from>
    <xdr:to>
      <xdr:col>1</xdr:col>
      <xdr:colOff>358588</xdr:colOff>
      <xdr:row>2</xdr:row>
      <xdr:rowOff>151467</xdr:rowOff>
    </xdr:to>
    <xdr:pic>
      <xdr:nvPicPr>
        <xdr:cNvPr id="7" name="Imagen 6">
          <a:extLst>
            <a:ext uri="{FF2B5EF4-FFF2-40B4-BE49-F238E27FC236}">
              <a16:creationId xmlns:a16="http://schemas.microsoft.com/office/drawing/2014/main" id="{526A77D2-3D71-3C05-C3C1-209A3618309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9647" y="145678"/>
          <a:ext cx="3160059" cy="633318"/>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hyperlink" Target="https://checkout.wompi.co/l/QAziNo" TargetMode="External"/><Relationship Id="rId7" Type="http://schemas.openxmlformats.org/officeDocument/2006/relationships/drawing" Target="../drawings/drawing4.xml"/><Relationship Id="rId2" Type="http://schemas.openxmlformats.org/officeDocument/2006/relationships/hyperlink" Target="https://www.avalpaycenter.com/nombre%20del%20convenio%20Isa%20Avaluos" TargetMode="External"/><Relationship Id="rId1" Type="http://schemas.openxmlformats.org/officeDocument/2006/relationships/hyperlink" Target="https://micrositios.goupagos.com.co/c-i-c-sas-ma" TargetMode="External"/><Relationship Id="rId6" Type="http://schemas.openxmlformats.org/officeDocument/2006/relationships/printerSettings" Target="../printerSettings/printerSettings5.bin"/><Relationship Id="rId5" Type="http://schemas.openxmlformats.org/officeDocument/2006/relationships/hyperlink" Target="https://checkout.wompi.co/l/VPOS_gGe2tc" TargetMode="External"/><Relationship Id="rId4" Type="http://schemas.openxmlformats.org/officeDocument/2006/relationships/hyperlink" Target="https://micrositios.goupagos.com.co/bq-avaluos-sas-ma"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AC900-EDCA-4B4E-9751-68AFF836CC35}">
  <sheetPr codeName="Hoja7"/>
  <dimension ref="A2:AV82"/>
  <sheetViews>
    <sheetView showGridLines="0" zoomScale="70" zoomScaleNormal="70" workbookViewId="0">
      <selection activeCell="F4" sqref="F4"/>
    </sheetView>
  </sheetViews>
  <sheetFormatPr baseColWidth="10" defaultColWidth="11.453125" defaultRowHeight="14.5" x14ac:dyDescent="0.35"/>
  <cols>
    <col min="1" max="1" width="10.26953125" style="125" customWidth="1"/>
    <col min="2" max="5" width="11.453125" style="2"/>
    <col min="6" max="6" width="43" style="2" customWidth="1"/>
    <col min="7" max="7" width="1.81640625" style="2" customWidth="1"/>
    <col min="8" max="9" width="12.54296875" style="2" customWidth="1"/>
    <col min="10" max="10" width="12.81640625" style="2" customWidth="1"/>
    <col min="11" max="13" width="12.54296875" style="2" customWidth="1"/>
    <col min="14" max="14" width="1.81640625" style="2" customWidth="1"/>
    <col min="15" max="15" width="14.453125" style="2" customWidth="1"/>
    <col min="16" max="20" width="12.54296875" style="2" customWidth="1"/>
    <col min="21" max="21" width="1.81640625" style="2" customWidth="1"/>
    <col min="22" max="27" width="12.54296875" style="2" customWidth="1"/>
    <col min="28" max="28" width="1.81640625" style="2" customWidth="1"/>
    <col min="29" max="34" width="12.54296875" style="2" customWidth="1"/>
    <col min="35" max="35" width="1.81640625" style="2" customWidth="1"/>
    <col min="36" max="41" width="12.54296875" style="2" customWidth="1"/>
    <col min="42" max="42" width="1.81640625" style="2" customWidth="1"/>
    <col min="43" max="48" width="12.54296875" style="2" customWidth="1"/>
    <col min="49" max="16384" width="11.453125" style="2"/>
  </cols>
  <sheetData>
    <row r="2" spans="1:48" x14ac:dyDescent="0.35">
      <c r="A2" s="125" t="e">
        <f>CV!B5&amp;CV!F14</f>
        <v>#N/A</v>
      </c>
    </row>
    <row r="3" spans="1:48" x14ac:dyDescent="0.35">
      <c r="A3" s="125" t="str">
        <f>CV!D24&amp;CV!D14&amp;CV!D11&amp;CV!F20&amp;CV!D22</f>
        <v>&lt;789Asalariado y Pensionado</v>
      </c>
    </row>
    <row r="5" spans="1:48" x14ac:dyDescent="0.35">
      <c r="H5" s="2" t="s">
        <v>0</v>
      </c>
      <c r="I5" s="2" t="s">
        <v>1</v>
      </c>
      <c r="J5" s="2" t="s">
        <v>2</v>
      </c>
      <c r="K5" s="2" t="s">
        <v>3</v>
      </c>
      <c r="L5" s="2" t="s">
        <v>4</v>
      </c>
      <c r="M5" s="2" t="s">
        <v>5</v>
      </c>
      <c r="O5" s="2" t="s">
        <v>6</v>
      </c>
      <c r="P5" s="2" t="s">
        <v>7</v>
      </c>
      <c r="Q5" s="2" t="s">
        <v>8</v>
      </c>
      <c r="R5" s="2" t="s">
        <v>9</v>
      </c>
      <c r="S5" s="2" t="s">
        <v>10</v>
      </c>
      <c r="T5" s="2" t="s">
        <v>11</v>
      </c>
      <c r="V5" s="2" t="s">
        <v>12</v>
      </c>
      <c r="W5" s="2" t="s">
        <v>13</v>
      </c>
      <c r="X5" s="2" t="s">
        <v>14</v>
      </c>
      <c r="Y5" s="2" t="s">
        <v>15</v>
      </c>
      <c r="Z5" s="2" t="s">
        <v>16</v>
      </c>
      <c r="AA5" s="2" t="s">
        <v>17</v>
      </c>
      <c r="AC5" s="2" t="s">
        <v>18</v>
      </c>
      <c r="AD5" s="2" t="s">
        <v>19</v>
      </c>
      <c r="AE5" s="2" t="s">
        <v>20</v>
      </c>
      <c r="AF5" s="2" t="s">
        <v>21</v>
      </c>
      <c r="AG5" s="2" t="s">
        <v>22</v>
      </c>
      <c r="AH5" s="2" t="s">
        <v>23</v>
      </c>
      <c r="AJ5" s="2" t="s">
        <v>24</v>
      </c>
      <c r="AK5" s="2" t="s">
        <v>25</v>
      </c>
      <c r="AL5" s="2" t="s">
        <v>26</v>
      </c>
      <c r="AM5" s="2" t="s">
        <v>27</v>
      </c>
      <c r="AN5" s="2" t="s">
        <v>28</v>
      </c>
      <c r="AO5" s="2" t="s">
        <v>29</v>
      </c>
      <c r="AQ5" s="2" t="s">
        <v>0</v>
      </c>
      <c r="AR5" s="2" t="s">
        <v>1</v>
      </c>
      <c r="AS5" s="2" t="s">
        <v>2</v>
      </c>
      <c r="AT5" s="2" t="s">
        <v>3</v>
      </c>
      <c r="AU5" s="2" t="s">
        <v>4</v>
      </c>
      <c r="AV5" s="2" t="s">
        <v>5</v>
      </c>
    </row>
    <row r="6" spans="1:48" ht="18.5" x14ac:dyDescent="0.45">
      <c r="B6" s="126" t="s">
        <v>30</v>
      </c>
      <c r="H6" s="463" t="s">
        <v>31</v>
      </c>
      <c r="I6" s="463"/>
      <c r="J6" s="463"/>
      <c r="K6" s="463"/>
      <c r="L6" s="463"/>
      <c r="M6" s="463"/>
      <c r="O6" s="463" t="s">
        <v>32</v>
      </c>
      <c r="P6" s="463"/>
      <c r="Q6" s="463"/>
      <c r="R6" s="463"/>
      <c r="S6" s="463"/>
      <c r="T6" s="463"/>
      <c r="V6" s="463" t="s">
        <v>33</v>
      </c>
      <c r="W6" s="463"/>
      <c r="X6" s="463"/>
      <c r="Y6" s="463"/>
      <c r="Z6" s="463"/>
      <c r="AA6" s="463"/>
      <c r="AC6" s="463" t="s">
        <v>34</v>
      </c>
      <c r="AD6" s="463"/>
      <c r="AE6" s="463"/>
      <c r="AF6" s="463"/>
      <c r="AG6" s="463"/>
      <c r="AH6" s="463"/>
      <c r="AJ6" s="463" t="s">
        <v>35</v>
      </c>
      <c r="AK6" s="463"/>
      <c r="AL6" s="463"/>
      <c r="AM6" s="463"/>
      <c r="AN6" s="463"/>
      <c r="AO6" s="463"/>
      <c r="AQ6" s="463" t="s">
        <v>36</v>
      </c>
      <c r="AR6" s="463"/>
      <c r="AS6" s="463"/>
      <c r="AT6" s="463"/>
      <c r="AU6" s="463"/>
      <c r="AV6" s="463"/>
    </row>
    <row r="7" spans="1:48" ht="29" x14ac:dyDescent="0.35">
      <c r="B7" s="127" t="s">
        <v>37</v>
      </c>
      <c r="C7" s="127" t="s">
        <v>38</v>
      </c>
      <c r="D7" s="127" t="s">
        <v>39</v>
      </c>
      <c r="E7" s="127" t="s">
        <v>40</v>
      </c>
      <c r="F7" s="127" t="s">
        <v>41</v>
      </c>
      <c r="G7" s="128"/>
      <c r="H7" s="127" t="s">
        <v>42</v>
      </c>
      <c r="I7" s="127" t="s">
        <v>43</v>
      </c>
      <c r="J7" s="127" t="s">
        <v>44</v>
      </c>
      <c r="K7" s="127" t="s">
        <v>45</v>
      </c>
      <c r="L7" s="127" t="s">
        <v>46</v>
      </c>
      <c r="M7" s="127" t="s">
        <v>47</v>
      </c>
      <c r="N7" s="129"/>
      <c r="O7" s="127" t="s">
        <v>42</v>
      </c>
      <c r="P7" s="127" t="s">
        <v>43</v>
      </c>
      <c r="Q7" s="127" t="s">
        <v>44</v>
      </c>
      <c r="R7" s="127" t="s">
        <v>45</v>
      </c>
      <c r="S7" s="127" t="s">
        <v>46</v>
      </c>
      <c r="T7" s="127" t="s">
        <v>47</v>
      </c>
      <c r="U7" s="129"/>
      <c r="V7" s="127" t="s">
        <v>42</v>
      </c>
      <c r="W7" s="127" t="s">
        <v>43</v>
      </c>
      <c r="X7" s="127" t="s">
        <v>44</v>
      </c>
      <c r="Y7" s="127" t="s">
        <v>45</v>
      </c>
      <c r="Z7" s="127" t="s">
        <v>46</v>
      </c>
      <c r="AA7" s="127" t="s">
        <v>47</v>
      </c>
      <c r="AC7" s="127" t="s">
        <v>42</v>
      </c>
      <c r="AD7" s="127" t="s">
        <v>43</v>
      </c>
      <c r="AE7" s="127" t="s">
        <v>44</v>
      </c>
      <c r="AF7" s="127" t="s">
        <v>45</v>
      </c>
      <c r="AG7" s="127" t="s">
        <v>46</v>
      </c>
      <c r="AH7" s="127" t="s">
        <v>47</v>
      </c>
      <c r="AJ7" s="127" t="s">
        <v>42</v>
      </c>
      <c r="AK7" s="127" t="s">
        <v>43</v>
      </c>
      <c r="AL7" s="127" t="s">
        <v>44</v>
      </c>
      <c r="AM7" s="127" t="s">
        <v>45</v>
      </c>
      <c r="AN7" s="127" t="s">
        <v>46</v>
      </c>
      <c r="AO7" s="127" t="s">
        <v>47</v>
      </c>
      <c r="AQ7" s="127" t="s">
        <v>42</v>
      </c>
      <c r="AR7" s="127" t="s">
        <v>43</v>
      </c>
      <c r="AS7" s="127" t="s">
        <v>44</v>
      </c>
      <c r="AT7" s="127" t="s">
        <v>45</v>
      </c>
      <c r="AU7" s="127" t="s">
        <v>46</v>
      </c>
      <c r="AV7" s="127" t="s">
        <v>48</v>
      </c>
    </row>
    <row r="8" spans="1:48" x14ac:dyDescent="0.35">
      <c r="A8" s="125" t="s">
        <v>49</v>
      </c>
      <c r="B8" s="130" t="s">
        <v>50</v>
      </c>
      <c r="C8" s="130" t="s">
        <v>51</v>
      </c>
      <c r="D8" s="130" t="s">
        <v>52</v>
      </c>
      <c r="E8" s="130" t="s">
        <v>53</v>
      </c>
      <c r="F8" s="130" t="s">
        <v>54</v>
      </c>
      <c r="H8" s="138">
        <v>0.14707191153891563</v>
      </c>
      <c r="I8" s="138">
        <v>0.14843348840566883</v>
      </c>
      <c r="J8" s="138">
        <v>0.1497965466377309</v>
      </c>
      <c r="K8" s="138">
        <v>0.15116108770013081</v>
      </c>
      <c r="L8" s="138">
        <v>0.15526362253922477</v>
      </c>
      <c r="M8" s="132">
        <v>0.15937955571773355</v>
      </c>
      <c r="N8" s="133"/>
      <c r="O8" s="138">
        <v>0.14707191153891563</v>
      </c>
      <c r="P8" s="138">
        <v>0.14843348840566883</v>
      </c>
      <c r="Q8" s="138">
        <v>0.1497965466377309</v>
      </c>
      <c r="R8" s="138">
        <v>0.15116108770013081</v>
      </c>
      <c r="S8" s="138">
        <v>0.15526362253922477</v>
      </c>
      <c r="T8" s="132">
        <v>0.15937955571773355</v>
      </c>
      <c r="U8" s="133"/>
      <c r="V8" s="138">
        <v>0.14843348840566883</v>
      </c>
      <c r="W8" s="138">
        <v>0.1497965466377309</v>
      </c>
      <c r="X8" s="138">
        <v>0.15116108770013081</v>
      </c>
      <c r="Y8" s="138">
        <v>0.15252711305920341</v>
      </c>
      <c r="Z8" s="138">
        <v>0.15663410959937174</v>
      </c>
      <c r="AA8" s="132">
        <v>0.16075451772299854</v>
      </c>
      <c r="AB8" s="141"/>
      <c r="AC8" s="138">
        <v>0.15800608683458517</v>
      </c>
      <c r="AD8" s="138">
        <v>0.15937955571773355</v>
      </c>
      <c r="AE8" s="138">
        <v>0.16075451772299854</v>
      </c>
      <c r="AF8" s="138">
        <v>0.1621309743258661</v>
      </c>
      <c r="AG8" s="138">
        <v>0.16350892700314201</v>
      </c>
      <c r="AH8" s="132">
        <v>0.16488837723293726</v>
      </c>
      <c r="AI8" s="141"/>
      <c r="AJ8" s="138">
        <v>0.14707191153891563</v>
      </c>
      <c r="AK8" s="138">
        <v>0.14843348840566883</v>
      </c>
      <c r="AL8" s="138">
        <v>0.1497965466377309</v>
      </c>
      <c r="AM8" s="138">
        <v>0.15116108770013081</v>
      </c>
      <c r="AN8" s="138">
        <v>0.15526362253922477</v>
      </c>
      <c r="AO8" s="132">
        <v>0.15937955571773355</v>
      </c>
      <c r="AP8" s="141"/>
      <c r="AQ8" s="327">
        <v>7.6990210897167399E-2</v>
      </c>
      <c r="AR8" s="327">
        <v>7.9561870720073591E-2</v>
      </c>
      <c r="AS8" s="327">
        <v>8.3429916117545799E-2</v>
      </c>
      <c r="AT8" s="327">
        <v>8.4722085025153548E-2</v>
      </c>
      <c r="AU8" s="327">
        <v>8.6015666489925202E-2</v>
      </c>
      <c r="AV8" s="327">
        <v>8.7310661915505294E-2</v>
      </c>
    </row>
    <row r="9" spans="1:48" x14ac:dyDescent="0.35">
      <c r="A9" s="125" t="s">
        <v>55</v>
      </c>
      <c r="B9" s="130" t="s">
        <v>50</v>
      </c>
      <c r="C9" s="130" t="s">
        <v>51</v>
      </c>
      <c r="D9" s="130" t="s">
        <v>52</v>
      </c>
      <c r="E9" s="130" t="s">
        <v>53</v>
      </c>
      <c r="F9" s="130" t="s">
        <v>56</v>
      </c>
      <c r="H9" s="138">
        <v>0.14843348840566883</v>
      </c>
      <c r="I9" s="138">
        <v>0.1497965466377309</v>
      </c>
      <c r="J9" s="138">
        <v>0.15116108770013081</v>
      </c>
      <c r="K9" s="138">
        <v>0.15252711305920341</v>
      </c>
      <c r="L9" s="138">
        <v>0.15663410959937174</v>
      </c>
      <c r="M9" s="132">
        <v>0.16075451772299854</v>
      </c>
      <c r="N9" s="133"/>
      <c r="O9" s="138">
        <v>0.14707191153891563</v>
      </c>
      <c r="P9" s="138">
        <v>0.14843348840566883</v>
      </c>
      <c r="Q9" s="138">
        <v>0.1497965466377309</v>
      </c>
      <c r="R9" s="138">
        <v>0.15116108770013081</v>
      </c>
      <c r="S9" s="138">
        <v>0.15526362253922477</v>
      </c>
      <c r="T9" s="132">
        <v>0.15937955571773355</v>
      </c>
      <c r="U9" s="133"/>
      <c r="V9" s="138">
        <v>0.14843348840566883</v>
      </c>
      <c r="W9" s="138">
        <v>0.1497965466377309</v>
      </c>
      <c r="X9" s="138">
        <v>0.15116108770013081</v>
      </c>
      <c r="Y9" s="138">
        <v>0.15252711305920341</v>
      </c>
      <c r="Z9" s="138">
        <v>0.15663410959937174</v>
      </c>
      <c r="AA9" s="132">
        <v>0.16075451772299854</v>
      </c>
      <c r="AB9" s="141"/>
      <c r="AC9" s="138">
        <v>0.16075451772299854</v>
      </c>
      <c r="AD9" s="138">
        <v>0.1621309743258661</v>
      </c>
      <c r="AE9" s="138">
        <v>0.16350892700314201</v>
      </c>
      <c r="AF9" s="138">
        <v>0.16488837723293726</v>
      </c>
      <c r="AG9" s="138">
        <v>0.16626932649468618</v>
      </c>
      <c r="AH9" s="132">
        <v>0.16765177626913008</v>
      </c>
      <c r="AI9" s="141"/>
      <c r="AJ9" s="138">
        <v>0.14707191153891563</v>
      </c>
      <c r="AK9" s="138">
        <v>0.14843348840566883</v>
      </c>
      <c r="AL9" s="138">
        <v>0.1497965466377309</v>
      </c>
      <c r="AM9" s="138">
        <v>0.15116108770013081</v>
      </c>
      <c r="AN9" s="138">
        <v>0.15526362253922477</v>
      </c>
      <c r="AO9" s="132">
        <v>0.15937955571773355</v>
      </c>
      <c r="AP9" s="141"/>
      <c r="AQ9" s="327">
        <v>7.827533802975073E-2</v>
      </c>
      <c r="AR9" s="327">
        <v>7.9561870720073591E-2</v>
      </c>
      <c r="AS9" s="327">
        <v>8.4722085025153548E-2</v>
      </c>
      <c r="AT9" s="327">
        <v>8.6015666489925202E-2</v>
      </c>
      <c r="AU9" s="327">
        <v>8.7310661915505294E-2</v>
      </c>
      <c r="AV9" s="327">
        <v>8.8607072706796242E-2</v>
      </c>
    </row>
    <row r="10" spans="1:48" x14ac:dyDescent="0.35">
      <c r="A10" s="125" t="s">
        <v>57</v>
      </c>
      <c r="B10" s="130" t="s">
        <v>50</v>
      </c>
      <c r="C10" s="130" t="s">
        <v>51</v>
      </c>
      <c r="D10" s="130" t="s">
        <v>52</v>
      </c>
      <c r="E10" s="130" t="s">
        <v>58</v>
      </c>
      <c r="F10" s="130" t="s">
        <v>54</v>
      </c>
      <c r="H10" s="138">
        <v>0.14843348840566883</v>
      </c>
      <c r="I10" s="138">
        <v>0.1497965466377309</v>
      </c>
      <c r="J10" s="138">
        <v>0.15116108770013081</v>
      </c>
      <c r="K10" s="138">
        <v>0.15252711305920341</v>
      </c>
      <c r="L10" s="138">
        <v>0.15663410959937174</v>
      </c>
      <c r="M10" s="132">
        <v>0.16075451772299854</v>
      </c>
      <c r="N10" s="133"/>
      <c r="O10" s="138">
        <v>0.14707191153891563</v>
      </c>
      <c r="P10" s="138">
        <v>0.14843348840566883</v>
      </c>
      <c r="Q10" s="138">
        <v>0.1497965466377309</v>
      </c>
      <c r="R10" s="138">
        <v>0.15116108770013081</v>
      </c>
      <c r="S10" s="138">
        <v>0.15526362253922477</v>
      </c>
      <c r="T10" s="132">
        <v>0.15937955571773355</v>
      </c>
      <c r="U10" s="133"/>
      <c r="V10" s="138">
        <v>0.15389462418258582</v>
      </c>
      <c r="W10" s="138">
        <v>0.15526362253922477</v>
      </c>
      <c r="X10" s="138">
        <v>0.15663410959937174</v>
      </c>
      <c r="Y10" s="138">
        <v>0.15800608683458517</v>
      </c>
      <c r="Z10" s="138">
        <v>0.1621309743258661</v>
      </c>
      <c r="AA10" s="132">
        <v>0.16626932649468618</v>
      </c>
      <c r="AB10" s="141"/>
      <c r="AC10" s="138">
        <v>0.1621309743258661</v>
      </c>
      <c r="AD10" s="138">
        <v>0.16350892700314201</v>
      </c>
      <c r="AE10" s="138">
        <v>0.16488837723293726</v>
      </c>
      <c r="AF10" s="138">
        <v>0.16626932649468618</v>
      </c>
      <c r="AG10" s="138">
        <v>0.16765177626913008</v>
      </c>
      <c r="AH10" s="132">
        <v>0.16903572803833167</v>
      </c>
      <c r="AI10" s="141"/>
      <c r="AJ10" s="138">
        <v>0.14707191153891563</v>
      </c>
      <c r="AK10" s="138">
        <v>0.14843348840566883</v>
      </c>
      <c r="AL10" s="138">
        <v>0.1497965466377309</v>
      </c>
      <c r="AM10" s="138">
        <v>0.15116108770013081</v>
      </c>
      <c r="AN10" s="138">
        <v>0.15526362253922477</v>
      </c>
      <c r="AO10" s="132">
        <v>0.15937955571773355</v>
      </c>
      <c r="AP10" s="141"/>
      <c r="AQ10" s="327">
        <v>7.9561870720073591E-2</v>
      </c>
      <c r="AR10" s="327">
        <v>8.0849810365514863E-2</v>
      </c>
      <c r="AS10" s="327">
        <v>8.6015666489925202E-2</v>
      </c>
      <c r="AT10" s="327">
        <v>8.7310661915505294E-2</v>
      </c>
      <c r="AU10" s="327">
        <v>8.8607072706796242E-2</v>
      </c>
      <c r="AV10" s="327">
        <v>8.8607072706796242E-2</v>
      </c>
    </row>
    <row r="11" spans="1:48" x14ac:dyDescent="0.35">
      <c r="A11" s="125" t="s">
        <v>59</v>
      </c>
      <c r="B11" s="130" t="s">
        <v>50</v>
      </c>
      <c r="C11" s="130" t="s">
        <v>51</v>
      </c>
      <c r="D11" s="130" t="s">
        <v>52</v>
      </c>
      <c r="E11" s="130" t="s">
        <v>58</v>
      </c>
      <c r="F11" s="130" t="s">
        <v>56</v>
      </c>
      <c r="H11" s="138">
        <v>0.14843348840566883</v>
      </c>
      <c r="I11" s="138">
        <v>0.1497965466377309</v>
      </c>
      <c r="J11" s="138">
        <v>0.15116108770013081</v>
      </c>
      <c r="K11" s="138">
        <v>0.15252711305920341</v>
      </c>
      <c r="L11" s="138">
        <v>0.15663410959937174</v>
      </c>
      <c r="M11" s="132">
        <v>0.16075451772299854</v>
      </c>
      <c r="N11" s="133"/>
      <c r="O11" s="138">
        <v>0.14707191153891563</v>
      </c>
      <c r="P11" s="138">
        <v>0.14843348840566883</v>
      </c>
      <c r="Q11" s="138">
        <v>0.1497965466377309</v>
      </c>
      <c r="R11" s="138">
        <v>0.15116108770013081</v>
      </c>
      <c r="S11" s="138">
        <v>0.15526362253922477</v>
      </c>
      <c r="T11" s="132">
        <v>0.15937955571773355</v>
      </c>
      <c r="U11" s="133"/>
      <c r="V11" s="138">
        <v>0.15116108770013081</v>
      </c>
      <c r="W11" s="138">
        <v>0.15252711305920341</v>
      </c>
      <c r="X11" s="138">
        <v>0.15389462418258582</v>
      </c>
      <c r="Y11" s="138">
        <v>0.15526362253922477</v>
      </c>
      <c r="Z11" s="138">
        <v>0.15937955571773355</v>
      </c>
      <c r="AA11" s="132">
        <v>0.16350892700314201</v>
      </c>
      <c r="AB11" s="141"/>
      <c r="AC11" s="138">
        <v>0.16488837723293726</v>
      </c>
      <c r="AD11" s="138">
        <v>0.16626932649468618</v>
      </c>
      <c r="AE11" s="138">
        <v>0.16765177626913008</v>
      </c>
      <c r="AF11" s="138">
        <v>0.16903572803833167</v>
      </c>
      <c r="AG11" s="138">
        <v>0.1704211832856668</v>
      </c>
      <c r="AH11" s="132">
        <v>0.17180814349583362</v>
      </c>
      <c r="AI11" s="141"/>
      <c r="AJ11" s="138">
        <v>0.14707191153891563</v>
      </c>
      <c r="AK11" s="138">
        <v>0.14843348840566883</v>
      </c>
      <c r="AL11" s="138">
        <v>0.1497965466377309</v>
      </c>
      <c r="AM11" s="138">
        <v>0.15116108770013081</v>
      </c>
      <c r="AN11" s="138">
        <v>0.15526362253922477</v>
      </c>
      <c r="AO11" s="132">
        <v>0.15937955571773355</v>
      </c>
      <c r="AP11" s="141"/>
      <c r="AQ11" s="327">
        <v>8.6015666489925202E-2</v>
      </c>
      <c r="AR11" s="327">
        <v>8.8607072706796242E-2</v>
      </c>
      <c r="AS11" s="327">
        <v>9.3806897670984268E-2</v>
      </c>
      <c r="AT11" s="327">
        <v>9.5110406408293935E-2</v>
      </c>
      <c r="AU11" s="327">
        <v>9.5110406408293935E-2</v>
      </c>
      <c r="AV11" s="327">
        <v>9.6415338967120068E-2</v>
      </c>
    </row>
    <row r="12" spans="1:48" x14ac:dyDescent="0.35">
      <c r="A12" s="125" t="s">
        <v>60</v>
      </c>
      <c r="B12" s="130" t="s">
        <v>50</v>
      </c>
      <c r="C12" s="130" t="s">
        <v>51</v>
      </c>
      <c r="D12" s="130" t="s">
        <v>61</v>
      </c>
      <c r="E12" s="130" t="s">
        <v>53</v>
      </c>
      <c r="F12" s="130" t="s">
        <v>54</v>
      </c>
      <c r="H12" s="138">
        <v>0.16075451772299854</v>
      </c>
      <c r="I12" s="138">
        <v>0.1621309743258661</v>
      </c>
      <c r="J12" s="138">
        <v>0.16350892700314201</v>
      </c>
      <c r="K12" s="138">
        <v>0.16488837723293726</v>
      </c>
      <c r="L12" s="138">
        <v>0.1704211832856668</v>
      </c>
      <c r="M12" s="132">
        <v>0.1745865847500423</v>
      </c>
      <c r="N12" s="133"/>
      <c r="O12" s="138">
        <v>0.15389462418258582</v>
      </c>
      <c r="P12" s="138">
        <v>0.15526362253922477</v>
      </c>
      <c r="Q12" s="138">
        <v>0.15663410959937174</v>
      </c>
      <c r="R12" s="138">
        <v>0.15800608683458517</v>
      </c>
      <c r="S12" s="138">
        <v>0.16350892700314201</v>
      </c>
      <c r="T12" s="132">
        <v>0.16765177626913008</v>
      </c>
      <c r="U12" s="133"/>
      <c r="V12" s="138">
        <v>0.15663410959937174</v>
      </c>
      <c r="W12" s="138">
        <v>0.15800608683458517</v>
      </c>
      <c r="X12" s="138">
        <v>0.15937955571773355</v>
      </c>
      <c r="Y12" s="138">
        <v>0.16075451772299854</v>
      </c>
      <c r="Z12" s="138">
        <v>0.16626932649468618</v>
      </c>
      <c r="AA12" s="132">
        <v>0.1704211832856668</v>
      </c>
      <c r="AB12" s="141"/>
      <c r="AC12" s="138">
        <v>0.16075451772299854</v>
      </c>
      <c r="AD12" s="138">
        <v>0.1621309743258661</v>
      </c>
      <c r="AE12" s="138">
        <v>0.16350892700314201</v>
      </c>
      <c r="AF12" s="138">
        <v>0.16488837723293726</v>
      </c>
      <c r="AG12" s="138">
        <v>0.16626932649468618</v>
      </c>
      <c r="AH12" s="132">
        <v>0.16765177626913008</v>
      </c>
      <c r="AI12" s="141"/>
      <c r="AJ12" s="138">
        <v>0.15389462418258582</v>
      </c>
      <c r="AK12" s="138">
        <v>0.15526362253922477</v>
      </c>
      <c r="AL12" s="138">
        <v>0.15663410959937174</v>
      </c>
      <c r="AM12" s="138">
        <v>0.15800608683458517</v>
      </c>
      <c r="AN12" s="138">
        <v>0.16350892700314201</v>
      </c>
      <c r="AO12" s="132">
        <v>0.16765177626913008</v>
      </c>
      <c r="AP12" s="141"/>
      <c r="AQ12" s="327">
        <v>7.827533802975073E-2</v>
      </c>
      <c r="AR12" s="327">
        <v>7.9561870720073591E-2</v>
      </c>
      <c r="AS12" s="327">
        <v>8.4722085025153548E-2</v>
      </c>
      <c r="AT12" s="327">
        <v>8.6015666489925202E-2</v>
      </c>
      <c r="AU12" s="327">
        <v>8.7310661915505294E-2</v>
      </c>
      <c r="AV12" s="327">
        <v>8.7310661915505294E-2</v>
      </c>
    </row>
    <row r="13" spans="1:48" x14ac:dyDescent="0.35">
      <c r="A13" s="125" t="s">
        <v>62</v>
      </c>
      <c r="B13" s="130" t="s">
        <v>50</v>
      </c>
      <c r="C13" s="130" t="s">
        <v>51</v>
      </c>
      <c r="D13" s="130" t="s">
        <v>61</v>
      </c>
      <c r="E13" s="130" t="s">
        <v>53</v>
      </c>
      <c r="F13" s="130" t="s">
        <v>56</v>
      </c>
      <c r="H13" s="138">
        <v>0.16350892700314201</v>
      </c>
      <c r="I13" s="138">
        <v>0.16488837723293726</v>
      </c>
      <c r="J13" s="138">
        <v>0.16626932649468618</v>
      </c>
      <c r="K13" s="138">
        <v>0.16765177626913008</v>
      </c>
      <c r="L13" s="138">
        <v>0.17319661015484678</v>
      </c>
      <c r="M13" s="132">
        <v>0.17737106370494238</v>
      </c>
      <c r="N13" s="133"/>
      <c r="O13" s="138">
        <v>0.15389462418258582</v>
      </c>
      <c r="P13" s="138">
        <v>0.15526362253922477</v>
      </c>
      <c r="Q13" s="138">
        <v>0.15663410959937174</v>
      </c>
      <c r="R13" s="138">
        <v>0.15800608683458517</v>
      </c>
      <c r="S13" s="138">
        <v>0.16350892700314201</v>
      </c>
      <c r="T13" s="132">
        <v>0.16765177626913008</v>
      </c>
      <c r="U13" s="133"/>
      <c r="V13" s="138">
        <v>0.15526362253922477</v>
      </c>
      <c r="W13" s="138">
        <v>0.15663410959937174</v>
      </c>
      <c r="X13" s="138">
        <v>0.15800608683458517</v>
      </c>
      <c r="Y13" s="138">
        <v>0.15937955571773355</v>
      </c>
      <c r="Z13" s="138">
        <v>0.16488837723293726</v>
      </c>
      <c r="AA13" s="132">
        <v>0.16903572803833167</v>
      </c>
      <c r="AB13" s="141"/>
      <c r="AC13" s="138">
        <v>0.16350892700314201</v>
      </c>
      <c r="AD13" s="138">
        <v>0.16488837723293726</v>
      </c>
      <c r="AE13" s="138">
        <v>0.16626932649468618</v>
      </c>
      <c r="AF13" s="138">
        <v>0.16765177626913008</v>
      </c>
      <c r="AG13" s="138">
        <v>0.16903572803833167</v>
      </c>
      <c r="AH13" s="132">
        <v>0.1704211832856668</v>
      </c>
      <c r="AI13" s="141"/>
      <c r="AJ13" s="138">
        <v>0.15389462418258582</v>
      </c>
      <c r="AK13" s="138">
        <v>0.15526362253922477</v>
      </c>
      <c r="AL13" s="138">
        <v>0.15663410959937174</v>
      </c>
      <c r="AM13" s="138">
        <v>0.15800608683458517</v>
      </c>
      <c r="AN13" s="138">
        <v>0.16350892700314201</v>
      </c>
      <c r="AO13" s="132">
        <v>0.16765177626913008</v>
      </c>
      <c r="AP13" s="141"/>
      <c r="AQ13" s="327">
        <v>7.827533802975073E-2</v>
      </c>
      <c r="AR13" s="327">
        <v>8.0849810365514863E-2</v>
      </c>
      <c r="AS13" s="327">
        <v>8.6015666489925202E-2</v>
      </c>
      <c r="AT13" s="327">
        <v>8.7310661915505294E-2</v>
      </c>
      <c r="AU13" s="327">
        <v>8.8607072706796242E-2</v>
      </c>
      <c r="AV13" s="327">
        <v>8.8607072706796242E-2</v>
      </c>
    </row>
    <row r="14" spans="1:48" x14ac:dyDescent="0.35">
      <c r="A14" s="125" t="s">
        <v>63</v>
      </c>
      <c r="B14" s="130" t="s">
        <v>50</v>
      </c>
      <c r="C14" s="130" t="s">
        <v>51</v>
      </c>
      <c r="D14" s="130" t="s">
        <v>61</v>
      </c>
      <c r="E14" s="130" t="s">
        <v>58</v>
      </c>
      <c r="F14" s="130" t="s">
        <v>54</v>
      </c>
      <c r="H14" s="138">
        <v>0.1621309743258661</v>
      </c>
      <c r="I14" s="138">
        <v>0.16350892700314201</v>
      </c>
      <c r="J14" s="138">
        <v>0.16488837723293726</v>
      </c>
      <c r="K14" s="138">
        <v>0.16626932649468618</v>
      </c>
      <c r="L14" s="138">
        <v>0.17180814349583362</v>
      </c>
      <c r="M14" s="132">
        <v>0.17597806877008071</v>
      </c>
      <c r="N14" s="133"/>
      <c r="O14" s="138">
        <v>0.15526362253922477</v>
      </c>
      <c r="P14" s="138">
        <v>0.15663410959937174</v>
      </c>
      <c r="Q14" s="138">
        <v>0.15800608683458517</v>
      </c>
      <c r="R14" s="138">
        <v>0.15937955571773355</v>
      </c>
      <c r="S14" s="138">
        <v>0.16488837723293726</v>
      </c>
      <c r="T14" s="132">
        <v>0.16903572803833167</v>
      </c>
      <c r="U14" s="133"/>
      <c r="V14" s="138">
        <v>0.15937955571773355</v>
      </c>
      <c r="W14" s="138">
        <v>0.16075451772299854</v>
      </c>
      <c r="X14" s="138">
        <v>0.1621309743258661</v>
      </c>
      <c r="Y14" s="138">
        <v>0.16350892700314201</v>
      </c>
      <c r="Z14" s="138">
        <v>0.16903572803833167</v>
      </c>
      <c r="AA14" s="132">
        <v>0.17319661015484678</v>
      </c>
      <c r="AB14" s="141"/>
      <c r="AC14" s="138">
        <v>0.16488837723293726</v>
      </c>
      <c r="AD14" s="138">
        <v>0.16626932649468618</v>
      </c>
      <c r="AE14" s="138">
        <v>0.16765177626913008</v>
      </c>
      <c r="AF14" s="138">
        <v>0.16903572803833167</v>
      </c>
      <c r="AG14" s="138">
        <v>0.1704211832856668</v>
      </c>
      <c r="AH14" s="132">
        <v>0.17180814349583362</v>
      </c>
      <c r="AI14" s="141"/>
      <c r="AJ14" s="138">
        <v>0.15526362253922477</v>
      </c>
      <c r="AK14" s="138">
        <v>0.15663410959937174</v>
      </c>
      <c r="AL14" s="138">
        <v>0.15800608683458517</v>
      </c>
      <c r="AM14" s="138">
        <v>0.15937955571773355</v>
      </c>
      <c r="AN14" s="138">
        <v>0.16488837723293726</v>
      </c>
      <c r="AO14" s="132">
        <v>0.16903572803833167</v>
      </c>
      <c r="AP14" s="141"/>
      <c r="AQ14" s="327">
        <v>7.9561870720073591E-2</v>
      </c>
      <c r="AR14" s="327">
        <v>8.2139158364710863E-2</v>
      </c>
      <c r="AS14" s="327">
        <v>8.6015666489925202E-2</v>
      </c>
      <c r="AT14" s="327">
        <v>8.8607072706796242E-2</v>
      </c>
      <c r="AU14" s="327">
        <v>8.8607072706796242E-2</v>
      </c>
      <c r="AV14" s="327">
        <v>8.9904900269945021E-2</v>
      </c>
    </row>
    <row r="15" spans="1:48" x14ac:dyDescent="0.35">
      <c r="A15" s="125" t="s">
        <v>64</v>
      </c>
      <c r="B15" s="130" t="s">
        <v>50</v>
      </c>
      <c r="C15" s="130" t="s">
        <v>51</v>
      </c>
      <c r="D15" s="130" t="s">
        <v>61</v>
      </c>
      <c r="E15" s="130" t="s">
        <v>58</v>
      </c>
      <c r="F15" s="130" t="s">
        <v>56</v>
      </c>
      <c r="H15" s="138">
        <v>0.16350892700314201</v>
      </c>
      <c r="I15" s="138">
        <v>0.16488837723293726</v>
      </c>
      <c r="J15" s="138">
        <v>0.16626932649468618</v>
      </c>
      <c r="K15" s="138">
        <v>0.16765177626913008</v>
      </c>
      <c r="L15" s="138">
        <v>0.17319661015484678</v>
      </c>
      <c r="M15" s="132">
        <v>0.17737106370494238</v>
      </c>
      <c r="N15" s="133"/>
      <c r="O15" s="138">
        <v>0.15526362253922477</v>
      </c>
      <c r="P15" s="138">
        <v>0.15663410959937174</v>
      </c>
      <c r="Q15" s="138">
        <v>0.15800608683458517</v>
      </c>
      <c r="R15" s="138">
        <v>0.15937955571773355</v>
      </c>
      <c r="S15" s="138">
        <v>0.16488837723293726</v>
      </c>
      <c r="T15" s="132">
        <v>0.16903572803833167</v>
      </c>
      <c r="U15" s="133"/>
      <c r="V15" s="138">
        <v>0.15937955571773355</v>
      </c>
      <c r="W15" s="138">
        <v>0.16075451772299854</v>
      </c>
      <c r="X15" s="138">
        <v>0.1621309743258661</v>
      </c>
      <c r="Y15" s="138">
        <v>0.16350892700314201</v>
      </c>
      <c r="Z15" s="138">
        <v>0.16903572803833167</v>
      </c>
      <c r="AA15" s="132">
        <v>0.17319661015484678</v>
      </c>
      <c r="AB15" s="141"/>
      <c r="AC15" s="138">
        <v>0.16488837723293726</v>
      </c>
      <c r="AD15" s="138">
        <v>0.16626932649468618</v>
      </c>
      <c r="AE15" s="138">
        <v>0.16765177626913008</v>
      </c>
      <c r="AF15" s="138">
        <v>0.16903572803833167</v>
      </c>
      <c r="AG15" s="138">
        <v>0.1704211832856668</v>
      </c>
      <c r="AH15" s="132">
        <v>0.17180814349583362</v>
      </c>
      <c r="AI15" s="141"/>
      <c r="AJ15" s="138">
        <v>0.15526362253922477</v>
      </c>
      <c r="AK15" s="138">
        <v>0.15663410959937174</v>
      </c>
      <c r="AL15" s="138">
        <v>0.15800608683458517</v>
      </c>
      <c r="AM15" s="138">
        <v>0.15937955571773355</v>
      </c>
      <c r="AN15" s="138">
        <v>0.16488837723293726</v>
      </c>
      <c r="AO15" s="132">
        <v>0.16903572803833167</v>
      </c>
      <c r="AP15" s="141"/>
      <c r="AQ15" s="327">
        <v>8.7310661915505294E-2</v>
      </c>
      <c r="AR15" s="327">
        <v>8.9904900269945021E-2</v>
      </c>
      <c r="AS15" s="327">
        <v>9.3806897670984268E-2</v>
      </c>
      <c r="AT15" s="327">
        <v>9.5110406408293935E-2</v>
      </c>
      <c r="AU15" s="327">
        <v>9.6415338967120068E-2</v>
      </c>
      <c r="AV15" s="327">
        <v>9.7721696761175814E-2</v>
      </c>
    </row>
    <row r="16" spans="1:48" x14ac:dyDescent="0.35">
      <c r="A16" s="125" t="s">
        <v>65</v>
      </c>
      <c r="B16" s="130" t="s">
        <v>50</v>
      </c>
      <c r="C16" s="130" t="s">
        <v>66</v>
      </c>
      <c r="D16" s="130" t="s">
        <v>52</v>
      </c>
      <c r="E16" s="130" t="s">
        <v>53</v>
      </c>
      <c r="F16" s="130" t="s">
        <v>54</v>
      </c>
      <c r="H16" s="138">
        <v>0.1375822289110713</v>
      </c>
      <c r="I16" s="138">
        <v>0.13893347713220328</v>
      </c>
      <c r="J16" s="138">
        <v>0.14028619649985408</v>
      </c>
      <c r="K16" s="138">
        <v>0.14164038846995752</v>
      </c>
      <c r="L16" s="138">
        <v>0.14571181457374238</v>
      </c>
      <c r="M16" s="132">
        <v>0.15526362253922477</v>
      </c>
      <c r="N16" s="133"/>
      <c r="O16" s="132">
        <v>0.1375822289110713</v>
      </c>
      <c r="P16" s="132">
        <v>0.13893347713220328</v>
      </c>
      <c r="Q16" s="132">
        <v>0.14028619649985408</v>
      </c>
      <c r="R16" s="132">
        <v>0.14164038846995752</v>
      </c>
      <c r="S16" s="132">
        <v>0.14571181457374238</v>
      </c>
      <c r="T16" s="132">
        <v>0.15526362253922477</v>
      </c>
      <c r="U16" s="133"/>
      <c r="V16" s="138">
        <v>0.1443531960477249</v>
      </c>
      <c r="W16" s="138">
        <v>0.14571181457374238</v>
      </c>
      <c r="X16" s="138">
        <v>0.14707191153891563</v>
      </c>
      <c r="Y16" s="138">
        <v>0.14843348840566883</v>
      </c>
      <c r="Z16" s="138">
        <v>0.15252711305920341</v>
      </c>
      <c r="AA16" s="132">
        <v>0.15526362253922477</v>
      </c>
      <c r="AB16" s="141"/>
      <c r="AC16" s="138">
        <v>0.14707191153891563</v>
      </c>
      <c r="AD16" s="138">
        <v>0.14843348840566883</v>
      </c>
      <c r="AE16" s="138">
        <v>0.1497965466377309</v>
      </c>
      <c r="AF16" s="138">
        <v>0.15116108770013081</v>
      </c>
      <c r="AG16" s="138">
        <v>0.15252711305920341</v>
      </c>
      <c r="AH16" s="132">
        <v>0.15526362253922477</v>
      </c>
      <c r="AI16" s="141"/>
      <c r="AJ16" s="132">
        <v>0.1375822289110713</v>
      </c>
      <c r="AK16" s="132">
        <v>0.13893347713220328</v>
      </c>
      <c r="AL16" s="132">
        <v>0.14028619649985408</v>
      </c>
      <c r="AM16" s="132">
        <v>0.14164038846995752</v>
      </c>
      <c r="AN16" s="132">
        <v>0.14571181457374238</v>
      </c>
      <c r="AO16" s="132">
        <v>0.15526362253922477</v>
      </c>
      <c r="AP16" s="141"/>
      <c r="AQ16" s="327">
        <v>7.570648792618595E-2</v>
      </c>
      <c r="AR16" s="327">
        <v>7.6990210897167399E-2</v>
      </c>
      <c r="AS16" s="327">
        <v>8.2139158364710863E-2</v>
      </c>
      <c r="AT16" s="327">
        <v>8.3429916117545799E-2</v>
      </c>
      <c r="AU16" s="327">
        <v>8.4722085025153548E-2</v>
      </c>
      <c r="AV16" s="327">
        <v>8.4722085025153548E-2</v>
      </c>
    </row>
    <row r="17" spans="1:48" x14ac:dyDescent="0.35">
      <c r="A17" s="125" t="s">
        <v>67</v>
      </c>
      <c r="B17" s="130" t="s">
        <v>50</v>
      </c>
      <c r="C17" s="130" t="s">
        <v>66</v>
      </c>
      <c r="D17" s="130" t="s">
        <v>52</v>
      </c>
      <c r="E17" s="130" t="s">
        <v>53</v>
      </c>
      <c r="F17" s="130" t="s">
        <v>56</v>
      </c>
      <c r="H17" s="138">
        <v>0.13893347713220328</v>
      </c>
      <c r="I17" s="138">
        <v>0.14028619649985408</v>
      </c>
      <c r="J17" s="138">
        <v>0.14164038846995752</v>
      </c>
      <c r="K17" s="138">
        <v>0.14299605449973818</v>
      </c>
      <c r="L17" s="138">
        <v>0.14707191153891563</v>
      </c>
      <c r="M17" s="132">
        <v>0.15526362253922477</v>
      </c>
      <c r="N17" s="133"/>
      <c r="O17" s="132">
        <v>0.13623245038182419</v>
      </c>
      <c r="P17" s="132">
        <v>0.1375822289110713</v>
      </c>
      <c r="Q17" s="132">
        <v>0.13893347713220328</v>
      </c>
      <c r="R17" s="132">
        <v>0.14028619649985408</v>
      </c>
      <c r="S17" s="132">
        <v>0.1443531960477249</v>
      </c>
      <c r="T17" s="132">
        <v>0.15526362253922477</v>
      </c>
      <c r="U17" s="133"/>
      <c r="V17" s="138">
        <v>0.1443531960477249</v>
      </c>
      <c r="W17" s="138">
        <v>0.14571181457374238</v>
      </c>
      <c r="X17" s="138">
        <v>0.14707191153891563</v>
      </c>
      <c r="Y17" s="138">
        <v>0.14843348840566883</v>
      </c>
      <c r="Z17" s="138">
        <v>0.15252711305920341</v>
      </c>
      <c r="AA17" s="132">
        <v>0.15526362253922477</v>
      </c>
      <c r="AB17" s="141"/>
      <c r="AC17" s="138">
        <v>0.14843348840566883</v>
      </c>
      <c r="AD17" s="138">
        <v>0.1497965466377309</v>
      </c>
      <c r="AE17" s="138">
        <v>0.15116108770013081</v>
      </c>
      <c r="AF17" s="138">
        <v>0.15252711305920341</v>
      </c>
      <c r="AG17" s="138">
        <v>0.15389462418258582</v>
      </c>
      <c r="AH17" s="132">
        <v>0.15526362253922477</v>
      </c>
      <c r="AI17" s="141"/>
      <c r="AJ17" s="132">
        <v>0.13623245038182419</v>
      </c>
      <c r="AK17" s="132">
        <v>0.1375822289110713</v>
      </c>
      <c r="AL17" s="132">
        <v>0.13893347713220328</v>
      </c>
      <c r="AM17" s="132">
        <v>0.14028619649985408</v>
      </c>
      <c r="AN17" s="132">
        <v>0.1443531960477249</v>
      </c>
      <c r="AO17" s="132">
        <v>0.15526362253922477</v>
      </c>
      <c r="AP17" s="141"/>
      <c r="AQ17" s="327">
        <v>7.570648792618595E-2</v>
      </c>
      <c r="AR17" s="327">
        <v>7.6990210897167399E-2</v>
      </c>
      <c r="AS17" s="327">
        <v>8.2139158364710863E-2</v>
      </c>
      <c r="AT17" s="327">
        <v>8.3429916117545799E-2</v>
      </c>
      <c r="AU17" s="327">
        <v>8.4722085025153548E-2</v>
      </c>
      <c r="AV17" s="327">
        <v>8.4722085025153548E-2</v>
      </c>
    </row>
    <row r="18" spans="1:48" x14ac:dyDescent="0.35">
      <c r="A18" s="125" t="s">
        <v>68</v>
      </c>
      <c r="B18" s="130" t="s">
        <v>50</v>
      </c>
      <c r="C18" s="130" t="s">
        <v>66</v>
      </c>
      <c r="D18" s="130" t="s">
        <v>52</v>
      </c>
      <c r="E18" s="130" t="s">
        <v>58</v>
      </c>
      <c r="F18" s="130" t="s">
        <v>54</v>
      </c>
      <c r="H18" s="138">
        <v>0.14028619649985408</v>
      </c>
      <c r="I18" s="138">
        <v>0.14164038846995752</v>
      </c>
      <c r="J18" s="138">
        <v>0.14299605449973818</v>
      </c>
      <c r="K18" s="138">
        <v>0.1443531960477249</v>
      </c>
      <c r="L18" s="138">
        <v>0.14843348840566883</v>
      </c>
      <c r="M18" s="132">
        <v>0.15526362253922477</v>
      </c>
      <c r="N18" s="133"/>
      <c r="O18" s="132">
        <v>0.14028619649985408</v>
      </c>
      <c r="P18" s="132">
        <v>0.14164038846995752</v>
      </c>
      <c r="Q18" s="132">
        <v>0.14299605449973818</v>
      </c>
      <c r="R18" s="132">
        <v>0.1443531960477249</v>
      </c>
      <c r="S18" s="132">
        <v>0.14843348840566883</v>
      </c>
      <c r="T18" s="132">
        <v>0.15526362253922477</v>
      </c>
      <c r="U18" s="133"/>
      <c r="V18" s="138">
        <v>0.15116108770013081</v>
      </c>
      <c r="W18" s="138">
        <v>0.15252711305920341</v>
      </c>
      <c r="X18" s="138">
        <v>0.15389462418258582</v>
      </c>
      <c r="Y18" s="138">
        <v>0.15526362253922477</v>
      </c>
      <c r="Z18" s="138">
        <v>0.15937955571773355</v>
      </c>
      <c r="AA18" s="132">
        <v>0.15526362253922477</v>
      </c>
      <c r="AB18" s="141"/>
      <c r="AC18" s="138">
        <v>0.1497965466377309</v>
      </c>
      <c r="AD18" s="138">
        <v>0.15116108770013081</v>
      </c>
      <c r="AE18" s="138">
        <v>0.15252711305920341</v>
      </c>
      <c r="AF18" s="138">
        <v>0.15389462418258582</v>
      </c>
      <c r="AG18" s="138">
        <v>0.15526362253922477</v>
      </c>
      <c r="AH18" s="132">
        <v>0.15526362253922477</v>
      </c>
      <c r="AI18" s="141"/>
      <c r="AJ18" s="132">
        <v>0.14028619649985408</v>
      </c>
      <c r="AK18" s="132">
        <v>0.14164038846995752</v>
      </c>
      <c r="AL18" s="132">
        <v>0.14299605449973818</v>
      </c>
      <c r="AM18" s="132">
        <v>0.1443531960477249</v>
      </c>
      <c r="AN18" s="132">
        <v>0.14843348840566883</v>
      </c>
      <c r="AO18" s="132">
        <v>0.15526362253922477</v>
      </c>
      <c r="AP18" s="141"/>
      <c r="AQ18" s="327">
        <v>7.570648792618595E-2</v>
      </c>
      <c r="AR18" s="327">
        <v>7.6990210897167399E-2</v>
      </c>
      <c r="AS18" s="327">
        <v>8.2139158364710863E-2</v>
      </c>
      <c r="AT18" s="327">
        <v>8.3429916117545799E-2</v>
      </c>
      <c r="AU18" s="327">
        <v>8.4722085025153548E-2</v>
      </c>
      <c r="AV18" s="327">
        <v>8.4722085025153548E-2</v>
      </c>
    </row>
    <row r="19" spans="1:48" x14ac:dyDescent="0.35">
      <c r="A19" s="125" t="s">
        <v>69</v>
      </c>
      <c r="B19" s="130" t="s">
        <v>50</v>
      </c>
      <c r="C19" s="130" t="s">
        <v>66</v>
      </c>
      <c r="D19" s="130" t="s">
        <v>52</v>
      </c>
      <c r="E19" s="130" t="s">
        <v>58</v>
      </c>
      <c r="F19" s="130" t="s">
        <v>56</v>
      </c>
      <c r="H19" s="138">
        <v>0.14164038846995752</v>
      </c>
      <c r="I19" s="138">
        <v>0.14299605449973818</v>
      </c>
      <c r="J19" s="138">
        <v>0.1443531960477249</v>
      </c>
      <c r="K19" s="138">
        <v>0.14571181457374238</v>
      </c>
      <c r="L19" s="138">
        <v>0.1497965466377309</v>
      </c>
      <c r="M19" s="132">
        <v>0.15526362253922477</v>
      </c>
      <c r="N19" s="133"/>
      <c r="O19" s="132">
        <v>0.14028619649985408</v>
      </c>
      <c r="P19" s="132">
        <v>0.14164038846995752</v>
      </c>
      <c r="Q19" s="132">
        <v>0.14299605449973818</v>
      </c>
      <c r="R19" s="132">
        <v>0.1443531960477249</v>
      </c>
      <c r="S19" s="132">
        <v>0.14843348840566883</v>
      </c>
      <c r="T19" s="132">
        <v>0.15526362253922477</v>
      </c>
      <c r="U19" s="133"/>
      <c r="V19" s="138">
        <v>0.14843348840566883</v>
      </c>
      <c r="W19" s="138">
        <v>0.1497965466377309</v>
      </c>
      <c r="X19" s="138">
        <v>0.15116108770013081</v>
      </c>
      <c r="Y19" s="138">
        <v>0.15252711305920341</v>
      </c>
      <c r="Z19" s="138">
        <v>0.15663410959937174</v>
      </c>
      <c r="AA19" s="132">
        <v>0.15526362253922477</v>
      </c>
      <c r="AB19" s="141"/>
      <c r="AC19" s="138">
        <v>0.1497965466377309</v>
      </c>
      <c r="AD19" s="138">
        <v>0.15116108770013081</v>
      </c>
      <c r="AE19" s="138">
        <v>0.15252711305920341</v>
      </c>
      <c r="AF19" s="138">
        <v>0.15389462418258582</v>
      </c>
      <c r="AG19" s="138">
        <v>0.15526362253922477</v>
      </c>
      <c r="AH19" s="132">
        <v>0.15526362253922477</v>
      </c>
      <c r="AI19" s="141"/>
      <c r="AJ19" s="132">
        <v>0.14028619649985408</v>
      </c>
      <c r="AK19" s="132">
        <v>0.14164038846995752</v>
      </c>
      <c r="AL19" s="132">
        <v>0.14299605449973818</v>
      </c>
      <c r="AM19" s="132">
        <v>0.1443531960477249</v>
      </c>
      <c r="AN19" s="132">
        <v>0.14843348840566883</v>
      </c>
      <c r="AO19" s="132">
        <v>0.15526362253922477</v>
      </c>
      <c r="AP19" s="141"/>
      <c r="AQ19" s="327">
        <v>7.6990210897167399E-2</v>
      </c>
      <c r="AR19" s="327">
        <v>7.827533802975073E-2</v>
      </c>
      <c r="AS19" s="327">
        <v>8.3429916117545799E-2</v>
      </c>
      <c r="AT19" s="327">
        <v>8.4722085025153548E-2</v>
      </c>
      <c r="AU19" s="327">
        <v>8.6015666489925202E-2</v>
      </c>
      <c r="AV19" s="327">
        <v>8.6015666489925202E-2</v>
      </c>
    </row>
    <row r="20" spans="1:48" x14ac:dyDescent="0.35">
      <c r="A20" s="125" t="s">
        <v>70</v>
      </c>
      <c r="B20" s="130" t="s">
        <v>50</v>
      </c>
      <c r="C20" s="130" t="s">
        <v>66</v>
      </c>
      <c r="D20" s="130" t="s">
        <v>61</v>
      </c>
      <c r="E20" s="130" t="s">
        <v>53</v>
      </c>
      <c r="F20" s="130" t="s">
        <v>54</v>
      </c>
      <c r="H20" s="138">
        <v>0.14843348840566883</v>
      </c>
      <c r="I20" s="138">
        <v>0.1497965466377309</v>
      </c>
      <c r="J20" s="138">
        <v>0.15116108770013081</v>
      </c>
      <c r="K20" s="138">
        <v>0.15252711305920341</v>
      </c>
      <c r="L20" s="138">
        <v>0.15389462418258582</v>
      </c>
      <c r="M20" s="132">
        <v>0.15526362253922477</v>
      </c>
      <c r="N20" s="133"/>
      <c r="O20" s="132">
        <v>0.14299605449973818</v>
      </c>
      <c r="P20" s="132">
        <v>0.1443531960477249</v>
      </c>
      <c r="Q20" s="132">
        <v>0.14571181457374238</v>
      </c>
      <c r="R20" s="132">
        <v>0.14707191153891563</v>
      </c>
      <c r="S20" s="132">
        <v>0.14843348840566883</v>
      </c>
      <c r="T20" s="132">
        <v>0.15526362253922477</v>
      </c>
      <c r="U20" s="133"/>
      <c r="V20" s="138">
        <v>0.14843348840566883</v>
      </c>
      <c r="W20" s="138">
        <v>0.1497965466377309</v>
      </c>
      <c r="X20" s="138">
        <v>0.15116108770013081</v>
      </c>
      <c r="Y20" s="138">
        <v>0.15252711305920341</v>
      </c>
      <c r="Z20" s="138">
        <v>0.15389462418258582</v>
      </c>
      <c r="AA20" s="132">
        <v>0.15526362253922477</v>
      </c>
      <c r="AB20" s="141"/>
      <c r="AC20" s="138">
        <v>0.14843348840566883</v>
      </c>
      <c r="AD20" s="138">
        <v>0.1497965466377309</v>
      </c>
      <c r="AE20" s="138">
        <v>0.15116108770013081</v>
      </c>
      <c r="AF20" s="138">
        <v>0.15252711305920341</v>
      </c>
      <c r="AG20" s="138">
        <v>0.15389462418258582</v>
      </c>
      <c r="AH20" s="132">
        <v>0.15526362253922477</v>
      </c>
      <c r="AI20" s="141"/>
      <c r="AJ20" s="132">
        <v>0.14299605449973818</v>
      </c>
      <c r="AK20" s="132">
        <v>0.1443531960477249</v>
      </c>
      <c r="AL20" s="132">
        <v>0.14571181457374238</v>
      </c>
      <c r="AM20" s="132">
        <v>0.14707191153891563</v>
      </c>
      <c r="AN20" s="132">
        <v>0.14843348840566883</v>
      </c>
      <c r="AO20" s="132">
        <v>0.15526362253922477</v>
      </c>
      <c r="AP20" s="141"/>
      <c r="AQ20" s="327">
        <v>7.570648792618595E-2</v>
      </c>
      <c r="AR20" s="327">
        <v>7.827533802975073E-2</v>
      </c>
      <c r="AS20" s="327">
        <v>8.2139158364710863E-2</v>
      </c>
      <c r="AT20" s="327">
        <v>8.3429916117545799E-2</v>
      </c>
      <c r="AU20" s="327">
        <v>8.4722085025153548E-2</v>
      </c>
      <c r="AV20" s="327">
        <v>8.6015666489925202E-2</v>
      </c>
    </row>
    <row r="21" spans="1:48" x14ac:dyDescent="0.35">
      <c r="A21" s="125" t="s">
        <v>71</v>
      </c>
      <c r="B21" s="130" t="s">
        <v>50</v>
      </c>
      <c r="C21" s="130" t="s">
        <v>66</v>
      </c>
      <c r="D21" s="130" t="s">
        <v>61</v>
      </c>
      <c r="E21" s="130" t="s">
        <v>53</v>
      </c>
      <c r="F21" s="130" t="s">
        <v>56</v>
      </c>
      <c r="H21" s="138">
        <v>0.1497965466377309</v>
      </c>
      <c r="I21" s="138">
        <v>0.15116108770013081</v>
      </c>
      <c r="J21" s="138">
        <v>0.15252711305920341</v>
      </c>
      <c r="K21" s="138">
        <v>0.15389462418258582</v>
      </c>
      <c r="L21" s="138">
        <v>0.15526362253922477</v>
      </c>
      <c r="M21" s="132">
        <v>0.15526362253922477</v>
      </c>
      <c r="N21" s="133"/>
      <c r="O21" s="132">
        <v>0.14299605449973818</v>
      </c>
      <c r="P21" s="132">
        <v>0.1443531960477249</v>
      </c>
      <c r="Q21" s="132">
        <v>0.14571181457374238</v>
      </c>
      <c r="R21" s="132">
        <v>0.14707191153891563</v>
      </c>
      <c r="S21" s="132">
        <v>0.14843348840566883</v>
      </c>
      <c r="T21" s="132">
        <v>0.15526362253922477</v>
      </c>
      <c r="U21" s="133"/>
      <c r="V21" s="138">
        <v>0.14707191153891563</v>
      </c>
      <c r="W21" s="138">
        <v>0.14843348840566883</v>
      </c>
      <c r="X21" s="138">
        <v>0.1497965466377309</v>
      </c>
      <c r="Y21" s="138">
        <v>0.15116108770013081</v>
      </c>
      <c r="Z21" s="138">
        <v>0.15252711305920341</v>
      </c>
      <c r="AA21" s="132">
        <v>0.15526362253922477</v>
      </c>
      <c r="AB21" s="141"/>
      <c r="AC21" s="138">
        <v>0.1497965466377309</v>
      </c>
      <c r="AD21" s="138">
        <v>0.15116108770013081</v>
      </c>
      <c r="AE21" s="138">
        <v>0.15252711305920341</v>
      </c>
      <c r="AF21" s="138">
        <v>0.15389462418258582</v>
      </c>
      <c r="AG21" s="138">
        <v>0.15526362253922477</v>
      </c>
      <c r="AH21" s="132">
        <v>0.15526362253922477</v>
      </c>
      <c r="AI21" s="141"/>
      <c r="AJ21" s="132">
        <v>0.14299605449973818</v>
      </c>
      <c r="AK21" s="132">
        <v>0.1443531960477249</v>
      </c>
      <c r="AL21" s="132">
        <v>0.14571181457374238</v>
      </c>
      <c r="AM21" s="132">
        <v>0.14707191153891563</v>
      </c>
      <c r="AN21" s="132">
        <v>0.14843348840566883</v>
      </c>
      <c r="AO21" s="132">
        <v>0.15526362253922477</v>
      </c>
      <c r="AP21" s="141"/>
      <c r="AQ21" s="327">
        <v>7.570648792618595E-2</v>
      </c>
      <c r="AR21" s="327">
        <v>7.827533802975073E-2</v>
      </c>
      <c r="AS21" s="327">
        <v>8.2139158364710863E-2</v>
      </c>
      <c r="AT21" s="327">
        <v>8.3429916117545799E-2</v>
      </c>
      <c r="AU21" s="327">
        <v>8.4722085025153548E-2</v>
      </c>
      <c r="AV21" s="327">
        <v>8.6015666489925202E-2</v>
      </c>
    </row>
    <row r="22" spans="1:48" x14ac:dyDescent="0.35">
      <c r="A22" s="125" t="s">
        <v>72</v>
      </c>
      <c r="B22" s="130" t="s">
        <v>50</v>
      </c>
      <c r="C22" s="130" t="s">
        <v>66</v>
      </c>
      <c r="D22" s="130" t="s">
        <v>61</v>
      </c>
      <c r="E22" s="130" t="s">
        <v>58</v>
      </c>
      <c r="F22" s="130" t="s">
        <v>54</v>
      </c>
      <c r="H22" s="138">
        <v>0.1497965466377309</v>
      </c>
      <c r="I22" s="138">
        <v>0.15116108770013081</v>
      </c>
      <c r="J22" s="138">
        <v>0.15252711305920341</v>
      </c>
      <c r="K22" s="138">
        <v>0.15389462418258582</v>
      </c>
      <c r="L22" s="138">
        <v>0.15526362253922477</v>
      </c>
      <c r="M22" s="132">
        <v>0.15526362253922477</v>
      </c>
      <c r="N22" s="133"/>
      <c r="O22" s="132">
        <v>0.14571181457374238</v>
      </c>
      <c r="P22" s="132">
        <v>0.14707191153891563</v>
      </c>
      <c r="Q22" s="132">
        <v>0.14843348840566883</v>
      </c>
      <c r="R22" s="132">
        <v>0.1497965466377309</v>
      </c>
      <c r="S22" s="132">
        <v>0.15116108770013081</v>
      </c>
      <c r="T22" s="132">
        <v>0.15526362253922477</v>
      </c>
      <c r="U22" s="133"/>
      <c r="V22" s="138">
        <v>0.15252711305920341</v>
      </c>
      <c r="W22" s="138">
        <v>0.15389462418258582</v>
      </c>
      <c r="X22" s="138">
        <v>0.15526362253922477</v>
      </c>
      <c r="Y22" s="138">
        <v>0.15663410959937174</v>
      </c>
      <c r="Z22" s="138">
        <v>0.15800608683458517</v>
      </c>
      <c r="AA22" s="132">
        <v>0.15526362253922477</v>
      </c>
      <c r="AB22" s="141"/>
      <c r="AC22" s="138">
        <v>0.1497965466377309</v>
      </c>
      <c r="AD22" s="138">
        <v>0.15116108770013081</v>
      </c>
      <c r="AE22" s="138">
        <v>0.15252711305920341</v>
      </c>
      <c r="AF22" s="138">
        <v>0.15389462418258582</v>
      </c>
      <c r="AG22" s="138">
        <v>0.15526362253922477</v>
      </c>
      <c r="AH22" s="132">
        <v>0.15526362253922477</v>
      </c>
      <c r="AI22" s="141"/>
      <c r="AJ22" s="132">
        <v>0.14571181457374238</v>
      </c>
      <c r="AK22" s="132">
        <v>0.14707191153891563</v>
      </c>
      <c r="AL22" s="132">
        <v>0.14843348840566883</v>
      </c>
      <c r="AM22" s="132">
        <v>0.1497965466377309</v>
      </c>
      <c r="AN22" s="132">
        <v>0.15116108770013081</v>
      </c>
      <c r="AO22" s="132">
        <v>0.15526362253922477</v>
      </c>
      <c r="AP22" s="141"/>
      <c r="AQ22" s="327">
        <v>7.570648792618595E-2</v>
      </c>
      <c r="AR22" s="327">
        <v>7.827533802975073E-2</v>
      </c>
      <c r="AS22" s="327">
        <v>8.2139158364710863E-2</v>
      </c>
      <c r="AT22" s="327">
        <v>8.4722085025153548E-2</v>
      </c>
      <c r="AU22" s="327">
        <v>8.4722085025153548E-2</v>
      </c>
      <c r="AV22" s="327">
        <v>8.6015666489925202E-2</v>
      </c>
    </row>
    <row r="23" spans="1:48" x14ac:dyDescent="0.35">
      <c r="A23" s="125" t="s">
        <v>73</v>
      </c>
      <c r="B23" s="130" t="s">
        <v>50</v>
      </c>
      <c r="C23" s="130" t="s">
        <v>66</v>
      </c>
      <c r="D23" s="130" t="s">
        <v>61</v>
      </c>
      <c r="E23" s="130" t="s">
        <v>58</v>
      </c>
      <c r="F23" s="130" t="s">
        <v>56</v>
      </c>
      <c r="H23" s="138">
        <v>0.15116108770013081</v>
      </c>
      <c r="I23" s="138">
        <v>0.15252711305920341</v>
      </c>
      <c r="J23" s="138">
        <v>0.15389462418258582</v>
      </c>
      <c r="K23" s="138">
        <v>0.15526362253922477</v>
      </c>
      <c r="L23" s="138">
        <v>0.15663410959937174</v>
      </c>
      <c r="M23" s="132">
        <v>0.15526362253922477</v>
      </c>
      <c r="N23" s="133"/>
      <c r="O23" s="132">
        <v>0.14843348840566883</v>
      </c>
      <c r="P23" s="132">
        <v>0.1497965466377309</v>
      </c>
      <c r="Q23" s="132">
        <v>0.15116108770013081</v>
      </c>
      <c r="R23" s="132">
        <v>0.15252711305920341</v>
      </c>
      <c r="S23" s="132">
        <v>0.15389462418258582</v>
      </c>
      <c r="T23" s="132">
        <v>0.15526362253922477</v>
      </c>
      <c r="U23" s="133"/>
      <c r="V23" s="138">
        <v>0.15252711305920341</v>
      </c>
      <c r="W23" s="138">
        <v>0.15389462418258582</v>
      </c>
      <c r="X23" s="138">
        <v>0.15526362253922477</v>
      </c>
      <c r="Y23" s="138">
        <v>0.15663410959937174</v>
      </c>
      <c r="Z23" s="138">
        <v>0.15800608683458517</v>
      </c>
      <c r="AA23" s="132">
        <v>0.15526362253922477</v>
      </c>
      <c r="AB23" s="141"/>
      <c r="AC23" s="138">
        <v>0.1497965466377309</v>
      </c>
      <c r="AD23" s="138">
        <v>0.15116108770013081</v>
      </c>
      <c r="AE23" s="138">
        <v>0.15252711305920341</v>
      </c>
      <c r="AF23" s="138">
        <v>0.15389462418258582</v>
      </c>
      <c r="AG23" s="138">
        <v>0.15526362253922477</v>
      </c>
      <c r="AH23" s="132">
        <v>0.15526362253922477</v>
      </c>
      <c r="AI23" s="141"/>
      <c r="AJ23" s="132">
        <v>0.14843348840566883</v>
      </c>
      <c r="AK23" s="132">
        <v>0.1497965466377309</v>
      </c>
      <c r="AL23" s="132">
        <v>0.15116108770013081</v>
      </c>
      <c r="AM23" s="132">
        <v>0.15252711305920341</v>
      </c>
      <c r="AN23" s="132">
        <v>0.15389462418258582</v>
      </c>
      <c r="AO23" s="132">
        <v>0.15526362253922477</v>
      </c>
      <c r="AP23" s="141"/>
      <c r="AQ23" s="327">
        <v>7.6990210897167399E-2</v>
      </c>
      <c r="AR23" s="327">
        <v>7.9561870720073591E-2</v>
      </c>
      <c r="AS23" s="327">
        <v>8.3429916117545799E-2</v>
      </c>
      <c r="AT23" s="327">
        <v>8.4722085025153548E-2</v>
      </c>
      <c r="AU23" s="327">
        <v>8.6015666489925202E-2</v>
      </c>
      <c r="AV23" s="327">
        <v>8.7310661915505294E-2</v>
      </c>
    </row>
    <row r="24" spans="1:48" x14ac:dyDescent="0.35">
      <c r="A24" s="125" t="s">
        <v>74</v>
      </c>
      <c r="B24" s="130" t="s">
        <v>75</v>
      </c>
      <c r="C24" s="130" t="s">
        <v>51</v>
      </c>
      <c r="D24" s="130" t="s">
        <v>52</v>
      </c>
      <c r="E24" s="130" t="s">
        <v>53</v>
      </c>
      <c r="F24" s="130" t="s">
        <v>54</v>
      </c>
      <c r="H24" s="138">
        <v>0.14164038846995752</v>
      </c>
      <c r="I24" s="138">
        <v>0.14299605449973818</v>
      </c>
      <c r="J24" s="138">
        <v>0.14571181457374238</v>
      </c>
      <c r="K24" s="138">
        <v>0.14571181457374238</v>
      </c>
      <c r="L24" s="138">
        <v>0.15116108770013081</v>
      </c>
      <c r="M24" s="132">
        <v>0.15526362253922477</v>
      </c>
      <c r="N24" s="133"/>
      <c r="O24" s="138">
        <v>0.14164038846995752</v>
      </c>
      <c r="P24" s="138">
        <v>0.14299605449973818</v>
      </c>
      <c r="Q24" s="138">
        <v>0.14571181457374238</v>
      </c>
      <c r="R24" s="138">
        <v>0.14571181457374238</v>
      </c>
      <c r="S24" s="138">
        <v>0.15116108770013081</v>
      </c>
      <c r="T24" s="132">
        <v>0.15526362253922477</v>
      </c>
      <c r="U24" s="133"/>
      <c r="V24" s="138">
        <v>0.14028619649985408</v>
      </c>
      <c r="W24" s="138">
        <v>0.14164038846995752</v>
      </c>
      <c r="X24" s="138">
        <v>0.1443531960477249</v>
      </c>
      <c r="Y24" s="138">
        <v>0.1443531960477249</v>
      </c>
      <c r="Z24" s="138">
        <v>0.1497965466377309</v>
      </c>
      <c r="AA24" s="132">
        <v>0.15389462418258582</v>
      </c>
      <c r="AB24" s="141"/>
      <c r="AC24" s="138">
        <v>0.14843348840566883</v>
      </c>
      <c r="AD24" s="138">
        <v>0.1497965466377309</v>
      </c>
      <c r="AE24" s="138">
        <v>0.15116108770013081</v>
      </c>
      <c r="AF24" s="138">
        <v>0.15252711305920341</v>
      </c>
      <c r="AG24" s="138">
        <v>0.15389462418258582</v>
      </c>
      <c r="AH24" s="132">
        <v>0.15526362253922477</v>
      </c>
      <c r="AI24" s="141"/>
      <c r="AJ24" s="138">
        <v>0.14164038846995752</v>
      </c>
      <c r="AK24" s="138">
        <v>0.14299605449973818</v>
      </c>
      <c r="AL24" s="138">
        <v>0.14571181457374238</v>
      </c>
      <c r="AM24" s="138">
        <v>0.14571181457374238</v>
      </c>
      <c r="AN24" s="138">
        <v>0.15116108770013081</v>
      </c>
      <c r="AO24" s="132">
        <v>0.15526362253922477</v>
      </c>
      <c r="AP24" s="141"/>
      <c r="AQ24" s="327">
        <v>7.6990210897167399E-2</v>
      </c>
      <c r="AR24" s="327">
        <v>7.827533802975073E-2</v>
      </c>
      <c r="AS24" s="327">
        <v>8.3429916117545799E-2</v>
      </c>
      <c r="AT24" s="327">
        <v>8.4722085025153548E-2</v>
      </c>
      <c r="AU24" s="327">
        <v>8.6015666489925202E-2</v>
      </c>
      <c r="AV24" s="327">
        <v>8.6015666489925202E-2</v>
      </c>
    </row>
    <row r="25" spans="1:48" x14ac:dyDescent="0.35">
      <c r="A25" s="125" t="s">
        <v>76</v>
      </c>
      <c r="B25" s="130" t="s">
        <v>75</v>
      </c>
      <c r="C25" s="130" t="s">
        <v>51</v>
      </c>
      <c r="D25" s="130" t="s">
        <v>52</v>
      </c>
      <c r="E25" s="130" t="s">
        <v>53</v>
      </c>
      <c r="F25" s="130" t="s">
        <v>56</v>
      </c>
      <c r="H25" s="138">
        <v>0.14164038846995752</v>
      </c>
      <c r="I25" s="138">
        <v>0.14299605449973818</v>
      </c>
      <c r="J25" s="138">
        <v>0.14571181457374238</v>
      </c>
      <c r="K25" s="138">
        <v>0.14571181457374238</v>
      </c>
      <c r="L25" s="138">
        <v>0.15116108770013081</v>
      </c>
      <c r="M25" s="132">
        <v>0.15526362253922477</v>
      </c>
      <c r="N25" s="133"/>
      <c r="O25" s="138">
        <v>0.14164038846995752</v>
      </c>
      <c r="P25" s="138">
        <v>0.14299605449973818</v>
      </c>
      <c r="Q25" s="138">
        <v>0.14571181457374238</v>
      </c>
      <c r="R25" s="138">
        <v>0.14571181457374238</v>
      </c>
      <c r="S25" s="138">
        <v>0.15116108770013081</v>
      </c>
      <c r="T25" s="132">
        <v>0.15526362253922477</v>
      </c>
      <c r="U25" s="133"/>
      <c r="V25" s="138">
        <v>0.14164038846995752</v>
      </c>
      <c r="W25" s="138">
        <v>0.14299605449973818</v>
      </c>
      <c r="X25" s="138">
        <v>0.14571181457374238</v>
      </c>
      <c r="Y25" s="138">
        <v>0.14571181457374238</v>
      </c>
      <c r="Z25" s="138">
        <v>0.15116108770013081</v>
      </c>
      <c r="AA25" s="132">
        <v>0.15526362253922477</v>
      </c>
      <c r="AB25" s="141"/>
      <c r="AC25" s="138">
        <v>0.1497965466377309</v>
      </c>
      <c r="AD25" s="138">
        <v>0.15116108770013081</v>
      </c>
      <c r="AE25" s="138">
        <v>0.15252711305920341</v>
      </c>
      <c r="AF25" s="138">
        <v>0.15389462418258582</v>
      </c>
      <c r="AG25" s="138">
        <v>0.15526362253922477</v>
      </c>
      <c r="AH25" s="132">
        <v>0.15663410959937174</v>
      </c>
      <c r="AI25" s="141"/>
      <c r="AJ25" s="138">
        <v>0.14164038846995752</v>
      </c>
      <c r="AK25" s="138">
        <v>0.14299605449973818</v>
      </c>
      <c r="AL25" s="138">
        <v>0.14571181457374238</v>
      </c>
      <c r="AM25" s="138">
        <v>0.14571181457374238</v>
      </c>
      <c r="AN25" s="138">
        <v>0.15116108770013081</v>
      </c>
      <c r="AO25" s="132">
        <v>0.15526362253922477</v>
      </c>
      <c r="AP25" s="141"/>
      <c r="AQ25" s="327">
        <v>7.827533802975073E-2</v>
      </c>
      <c r="AR25" s="327">
        <v>7.9561870720073591E-2</v>
      </c>
      <c r="AS25" s="327">
        <v>8.4722085025153548E-2</v>
      </c>
      <c r="AT25" s="327">
        <v>8.6015666489925202E-2</v>
      </c>
      <c r="AU25" s="327">
        <v>8.7310661915505294E-2</v>
      </c>
      <c r="AV25" s="327">
        <v>8.7310661915505294E-2</v>
      </c>
    </row>
    <row r="26" spans="1:48" x14ac:dyDescent="0.35">
      <c r="A26" s="125" t="s">
        <v>77</v>
      </c>
      <c r="B26" s="130" t="s">
        <v>75</v>
      </c>
      <c r="C26" s="130" t="s">
        <v>51</v>
      </c>
      <c r="D26" s="130" t="s">
        <v>52</v>
      </c>
      <c r="E26" s="130" t="s">
        <v>58</v>
      </c>
      <c r="F26" s="130" t="s">
        <v>54</v>
      </c>
      <c r="H26" s="138">
        <v>0.1443531960477249</v>
      </c>
      <c r="I26" s="138">
        <v>0.14571181457374238</v>
      </c>
      <c r="J26" s="138">
        <v>0.14843348840566883</v>
      </c>
      <c r="K26" s="138">
        <v>0.14843348840566883</v>
      </c>
      <c r="L26" s="138">
        <v>0.15389462418258582</v>
      </c>
      <c r="M26" s="132">
        <v>0.15800608683458517</v>
      </c>
      <c r="N26" s="133"/>
      <c r="O26" s="138">
        <v>0.14299605449973818</v>
      </c>
      <c r="P26" s="138">
        <v>0.1443531960477249</v>
      </c>
      <c r="Q26" s="138">
        <v>0.14707191153891563</v>
      </c>
      <c r="R26" s="138">
        <v>0.14707191153891563</v>
      </c>
      <c r="S26" s="138">
        <v>0.15252711305920341</v>
      </c>
      <c r="T26" s="132">
        <v>0.15663410959937174</v>
      </c>
      <c r="U26" s="133"/>
      <c r="V26" s="138">
        <v>0.1497965466377309</v>
      </c>
      <c r="W26" s="138">
        <v>0.15116108770013081</v>
      </c>
      <c r="X26" s="138">
        <v>0.15389462418258582</v>
      </c>
      <c r="Y26" s="138">
        <v>0.15389462418258582</v>
      </c>
      <c r="Z26" s="138">
        <v>0.15937955571773355</v>
      </c>
      <c r="AA26" s="132">
        <v>0.16350892700314201</v>
      </c>
      <c r="AB26" s="141"/>
      <c r="AC26" s="138">
        <v>0.15116108770013081</v>
      </c>
      <c r="AD26" s="138">
        <v>0.15252711305920341</v>
      </c>
      <c r="AE26" s="138">
        <v>0.15389462418258582</v>
      </c>
      <c r="AF26" s="138">
        <v>0.15526362253922477</v>
      </c>
      <c r="AG26" s="138">
        <v>0.15663410959937174</v>
      </c>
      <c r="AH26" s="132">
        <v>0.15800608683458517</v>
      </c>
      <c r="AI26" s="141"/>
      <c r="AJ26" s="138">
        <v>0.14299605449973818</v>
      </c>
      <c r="AK26" s="138">
        <v>0.1443531960477249</v>
      </c>
      <c r="AL26" s="138">
        <v>0.14707191153891563</v>
      </c>
      <c r="AM26" s="138">
        <v>0.14707191153891563</v>
      </c>
      <c r="AN26" s="138">
        <v>0.15252711305920341</v>
      </c>
      <c r="AO26" s="132">
        <v>0.15663410959937174</v>
      </c>
      <c r="AP26" s="141"/>
      <c r="AQ26" s="327">
        <v>7.827533802975073E-2</v>
      </c>
      <c r="AR26" s="327">
        <v>8.0849810365514863E-2</v>
      </c>
      <c r="AS26" s="327">
        <v>8.4722085025153548E-2</v>
      </c>
      <c r="AT26" s="327">
        <v>8.6015666489925202E-2</v>
      </c>
      <c r="AU26" s="327">
        <v>8.7310661915505294E-2</v>
      </c>
      <c r="AV26" s="327">
        <v>8.8607072706796242E-2</v>
      </c>
    </row>
    <row r="27" spans="1:48" x14ac:dyDescent="0.35">
      <c r="A27" s="125" t="s">
        <v>78</v>
      </c>
      <c r="B27" s="130" t="s">
        <v>75</v>
      </c>
      <c r="C27" s="130" t="s">
        <v>51</v>
      </c>
      <c r="D27" s="130" t="s">
        <v>52</v>
      </c>
      <c r="E27" s="130" t="s">
        <v>58</v>
      </c>
      <c r="F27" s="130" t="s">
        <v>56</v>
      </c>
      <c r="H27" s="138">
        <v>0.14299605449973818</v>
      </c>
      <c r="I27" s="138">
        <v>0.1443531960477249</v>
      </c>
      <c r="J27" s="138">
        <v>0.14707191153891563</v>
      </c>
      <c r="K27" s="138">
        <v>0.14707191153891563</v>
      </c>
      <c r="L27" s="138">
        <v>0.15252711305920341</v>
      </c>
      <c r="M27" s="132">
        <v>0.15663410959937174</v>
      </c>
      <c r="N27" s="133"/>
      <c r="O27" s="138">
        <v>0.14299605449973818</v>
      </c>
      <c r="P27" s="138">
        <v>0.1443531960477249</v>
      </c>
      <c r="Q27" s="138">
        <v>0.14707191153891563</v>
      </c>
      <c r="R27" s="138">
        <v>0.14707191153891563</v>
      </c>
      <c r="S27" s="138">
        <v>0.15252711305920341</v>
      </c>
      <c r="T27" s="132">
        <v>0.15663410959937174</v>
      </c>
      <c r="U27" s="133"/>
      <c r="V27" s="138">
        <v>0.1497965466377309</v>
      </c>
      <c r="W27" s="138">
        <v>0.15116108770013081</v>
      </c>
      <c r="X27" s="138">
        <v>0.15389462418258582</v>
      </c>
      <c r="Y27" s="138">
        <v>0.15389462418258582</v>
      </c>
      <c r="Z27" s="138">
        <v>0.15937955571773355</v>
      </c>
      <c r="AA27" s="132">
        <v>0.16350892700314201</v>
      </c>
      <c r="AB27" s="141"/>
      <c r="AC27" s="138">
        <v>0.15937955571773355</v>
      </c>
      <c r="AD27" s="138">
        <v>0.16075451772299854</v>
      </c>
      <c r="AE27" s="138">
        <v>0.1621309743258661</v>
      </c>
      <c r="AF27" s="138">
        <v>0.16350892700314201</v>
      </c>
      <c r="AG27" s="138">
        <v>0.16488837723293726</v>
      </c>
      <c r="AH27" s="132">
        <v>0.16626932649468618</v>
      </c>
      <c r="AI27" s="141"/>
      <c r="AJ27" s="138">
        <v>0.14299605449973818</v>
      </c>
      <c r="AK27" s="138">
        <v>0.1443531960477249</v>
      </c>
      <c r="AL27" s="138">
        <v>0.14707191153891563</v>
      </c>
      <c r="AM27" s="138">
        <v>0.14707191153891563</v>
      </c>
      <c r="AN27" s="138">
        <v>0.15252711305920341</v>
      </c>
      <c r="AO27" s="132">
        <v>0.15663410959937174</v>
      </c>
      <c r="AP27" s="141"/>
      <c r="AQ27" s="327">
        <v>8.6015666489925202E-2</v>
      </c>
      <c r="AR27" s="327">
        <v>8.7310661915505294E-2</v>
      </c>
      <c r="AS27" s="327">
        <v>9.2504811342739135E-2</v>
      </c>
      <c r="AT27" s="327">
        <v>9.3806897670984268E-2</v>
      </c>
      <c r="AU27" s="327">
        <v>9.5110406408293935E-2</v>
      </c>
      <c r="AV27" s="327">
        <v>9.6415338967120068E-2</v>
      </c>
    </row>
    <row r="28" spans="1:48" x14ac:dyDescent="0.35">
      <c r="A28" s="125" t="s">
        <v>79</v>
      </c>
      <c r="B28" s="130" t="s">
        <v>75</v>
      </c>
      <c r="C28" s="130" t="s">
        <v>51</v>
      </c>
      <c r="D28" s="130" t="s">
        <v>61</v>
      </c>
      <c r="E28" s="130" t="s">
        <v>53</v>
      </c>
      <c r="F28" s="130" t="s">
        <v>54</v>
      </c>
      <c r="H28" s="138">
        <v>0.15663410959937174</v>
      </c>
      <c r="I28" s="138">
        <v>0.15800608683458517</v>
      </c>
      <c r="J28" s="138">
        <v>0.16075451772299854</v>
      </c>
      <c r="K28" s="138">
        <v>0.16075451772299854</v>
      </c>
      <c r="L28" s="138">
        <v>0.16765177626913008</v>
      </c>
      <c r="M28" s="132">
        <v>0.17180814349583362</v>
      </c>
      <c r="N28" s="133"/>
      <c r="O28" s="138">
        <v>0.15252711305920341</v>
      </c>
      <c r="P28" s="138">
        <v>0.15389462418258582</v>
      </c>
      <c r="Q28" s="138">
        <v>0.15663410959937174</v>
      </c>
      <c r="R28" s="138">
        <v>0.15663410959937174</v>
      </c>
      <c r="S28" s="138">
        <v>0.16350892700314201</v>
      </c>
      <c r="T28" s="132">
        <v>0.16765177626913008</v>
      </c>
      <c r="U28" s="133"/>
      <c r="V28" s="138">
        <v>0.14707191153891563</v>
      </c>
      <c r="W28" s="138">
        <v>0.14843348840566883</v>
      </c>
      <c r="X28" s="138">
        <v>0.15116108770013081</v>
      </c>
      <c r="Y28" s="138">
        <v>0.15116108770013081</v>
      </c>
      <c r="Z28" s="138">
        <v>0.15800608683458517</v>
      </c>
      <c r="AA28" s="132">
        <v>0.1621309743258661</v>
      </c>
      <c r="AB28" s="141"/>
      <c r="AC28" s="138">
        <v>0.1497965466377309</v>
      </c>
      <c r="AD28" s="138">
        <v>0.15116108770013081</v>
      </c>
      <c r="AE28" s="138">
        <v>0.15252711305920341</v>
      </c>
      <c r="AF28" s="138">
        <v>0.15389462418258582</v>
      </c>
      <c r="AG28" s="138">
        <v>0.15526362253922477</v>
      </c>
      <c r="AH28" s="132">
        <v>0.15663410959937174</v>
      </c>
      <c r="AI28" s="141"/>
      <c r="AJ28" s="138">
        <v>0.15252711305920341</v>
      </c>
      <c r="AK28" s="138">
        <v>0.15389462418258582</v>
      </c>
      <c r="AL28" s="138">
        <v>0.15663410959937174</v>
      </c>
      <c r="AM28" s="138">
        <v>0.15663410959937174</v>
      </c>
      <c r="AN28" s="138">
        <v>0.16350892700314201</v>
      </c>
      <c r="AO28" s="132">
        <v>0.16765177626913008</v>
      </c>
      <c r="AP28" s="141"/>
      <c r="AQ28" s="327">
        <v>7.6990210897167399E-2</v>
      </c>
      <c r="AR28" s="327">
        <v>7.9561870720073591E-2</v>
      </c>
      <c r="AS28" s="327">
        <v>8.3429916117545799E-2</v>
      </c>
      <c r="AT28" s="327">
        <v>8.4722085025153548E-2</v>
      </c>
      <c r="AU28" s="327">
        <v>8.6015666489925202E-2</v>
      </c>
      <c r="AV28" s="327">
        <v>8.7310661915505294E-2</v>
      </c>
    </row>
    <row r="29" spans="1:48" x14ac:dyDescent="0.35">
      <c r="A29" s="125" t="s">
        <v>80</v>
      </c>
      <c r="B29" s="130" t="s">
        <v>75</v>
      </c>
      <c r="C29" s="130" t="s">
        <v>51</v>
      </c>
      <c r="D29" s="130" t="s">
        <v>61</v>
      </c>
      <c r="E29" s="130" t="s">
        <v>53</v>
      </c>
      <c r="F29" s="130" t="s">
        <v>56</v>
      </c>
      <c r="H29" s="138">
        <v>0.15663410959937174</v>
      </c>
      <c r="I29" s="138">
        <v>0.15800608683458517</v>
      </c>
      <c r="J29" s="138">
        <v>0.16075451772299854</v>
      </c>
      <c r="K29" s="138">
        <v>0.16075451772299854</v>
      </c>
      <c r="L29" s="138">
        <v>0.16350892700314201</v>
      </c>
      <c r="M29" s="132">
        <v>0.17180814349583362</v>
      </c>
      <c r="N29" s="133"/>
      <c r="O29" s="138">
        <v>0.15252711305920341</v>
      </c>
      <c r="P29" s="138">
        <v>0.15389462418258582</v>
      </c>
      <c r="Q29" s="138">
        <v>0.15663410959937174</v>
      </c>
      <c r="R29" s="138">
        <v>0.15663410959937174</v>
      </c>
      <c r="S29" s="138">
        <v>0.15937955571773355</v>
      </c>
      <c r="T29" s="132">
        <v>0.16765177626913008</v>
      </c>
      <c r="U29" s="133"/>
      <c r="V29" s="138">
        <v>0.14707191153891563</v>
      </c>
      <c r="W29" s="138">
        <v>0.14843348840566883</v>
      </c>
      <c r="X29" s="138">
        <v>0.15116108770013081</v>
      </c>
      <c r="Y29" s="138">
        <v>0.15116108770013081</v>
      </c>
      <c r="Z29" s="138">
        <v>0.15389462418258582</v>
      </c>
      <c r="AA29" s="132">
        <v>0.1621309743258661</v>
      </c>
      <c r="AB29" s="141"/>
      <c r="AC29" s="138">
        <v>0.15252711305920341</v>
      </c>
      <c r="AD29" s="138">
        <v>0.15389462418258582</v>
      </c>
      <c r="AE29" s="138">
        <v>0.15526362253922477</v>
      </c>
      <c r="AF29" s="138">
        <v>0.15663410959937174</v>
      </c>
      <c r="AG29" s="138">
        <v>0.15800608683458517</v>
      </c>
      <c r="AH29" s="132">
        <v>0.15937955571773355</v>
      </c>
      <c r="AI29" s="141"/>
      <c r="AJ29" s="138">
        <v>0.15252711305920341</v>
      </c>
      <c r="AK29" s="138">
        <v>0.15389462418258582</v>
      </c>
      <c r="AL29" s="138">
        <v>0.15663410959937174</v>
      </c>
      <c r="AM29" s="138">
        <v>0.15663410959937174</v>
      </c>
      <c r="AN29" s="138">
        <v>0.15937955571773355</v>
      </c>
      <c r="AO29" s="132">
        <v>0.16765177626913008</v>
      </c>
      <c r="AP29" s="141"/>
      <c r="AQ29" s="327">
        <v>7.827533802975073E-2</v>
      </c>
      <c r="AR29" s="327">
        <v>8.0849810365514863E-2</v>
      </c>
      <c r="AS29" s="327">
        <v>8.4722085025153548E-2</v>
      </c>
      <c r="AT29" s="327">
        <v>8.6015666489925202E-2</v>
      </c>
      <c r="AU29" s="327">
        <v>8.7310661915505294E-2</v>
      </c>
      <c r="AV29" s="327">
        <v>8.8607072706796242E-2</v>
      </c>
    </row>
    <row r="30" spans="1:48" x14ac:dyDescent="0.35">
      <c r="A30" s="125" t="s">
        <v>81</v>
      </c>
      <c r="B30" s="130" t="s">
        <v>75</v>
      </c>
      <c r="C30" s="130" t="s">
        <v>51</v>
      </c>
      <c r="D30" s="130" t="s">
        <v>61</v>
      </c>
      <c r="E30" s="130" t="s">
        <v>58</v>
      </c>
      <c r="F30" s="130" t="s">
        <v>54</v>
      </c>
      <c r="H30" s="138">
        <v>0.15800608683458517</v>
      </c>
      <c r="I30" s="138">
        <v>0.15937955571773355</v>
      </c>
      <c r="J30" s="138">
        <v>0.1621309743258661</v>
      </c>
      <c r="K30" s="138">
        <v>0.1621309743258661</v>
      </c>
      <c r="L30" s="138">
        <v>0.16488837723293726</v>
      </c>
      <c r="M30" s="132">
        <v>0.17319661015484678</v>
      </c>
      <c r="N30" s="133"/>
      <c r="O30" s="138">
        <v>0.15389462418258582</v>
      </c>
      <c r="P30" s="138">
        <v>0.15526362253922477</v>
      </c>
      <c r="Q30" s="138">
        <v>0.15800608683458517</v>
      </c>
      <c r="R30" s="138">
        <v>0.15800608683458517</v>
      </c>
      <c r="S30" s="138">
        <v>0.16075451772299854</v>
      </c>
      <c r="T30" s="132">
        <v>0.16903572803833167</v>
      </c>
      <c r="U30" s="133"/>
      <c r="V30" s="138">
        <v>0.15663410959937174</v>
      </c>
      <c r="W30" s="138">
        <v>0.15800608683458517</v>
      </c>
      <c r="X30" s="138">
        <v>0.16075451772299854</v>
      </c>
      <c r="Y30" s="138">
        <v>0.16075451772299854</v>
      </c>
      <c r="Z30" s="138">
        <v>0.16350892700314201</v>
      </c>
      <c r="AA30" s="132">
        <v>0.17180814349583362</v>
      </c>
      <c r="AB30" s="141"/>
      <c r="AC30" s="138">
        <v>0.15389462418258582</v>
      </c>
      <c r="AD30" s="138">
        <v>0.15526362253922477</v>
      </c>
      <c r="AE30" s="138">
        <v>0.15663410959937174</v>
      </c>
      <c r="AF30" s="138">
        <v>0.15800608683458517</v>
      </c>
      <c r="AG30" s="138">
        <v>0.15937955571773355</v>
      </c>
      <c r="AH30" s="132">
        <v>0.16075451772299854</v>
      </c>
      <c r="AI30" s="141"/>
      <c r="AJ30" s="138">
        <v>0.15389462418258582</v>
      </c>
      <c r="AK30" s="138">
        <v>0.15526362253922477</v>
      </c>
      <c r="AL30" s="138">
        <v>0.15800608683458517</v>
      </c>
      <c r="AM30" s="138">
        <v>0.15800608683458517</v>
      </c>
      <c r="AN30" s="138">
        <v>0.16075451772299854</v>
      </c>
      <c r="AO30" s="132">
        <v>0.16903572803833167</v>
      </c>
      <c r="AP30" s="141"/>
      <c r="AQ30" s="327">
        <v>7.9561870720073591E-2</v>
      </c>
      <c r="AR30" s="327">
        <v>8.0849810365514863E-2</v>
      </c>
      <c r="AS30" s="327">
        <v>8.6015666489925202E-2</v>
      </c>
      <c r="AT30" s="327">
        <v>8.7310661915505294E-2</v>
      </c>
      <c r="AU30" s="327">
        <v>8.8607072706796242E-2</v>
      </c>
      <c r="AV30" s="327">
        <v>8.8607072706796242E-2</v>
      </c>
    </row>
    <row r="31" spans="1:48" x14ac:dyDescent="0.35">
      <c r="A31" s="125" t="s">
        <v>82</v>
      </c>
      <c r="B31" s="130" t="s">
        <v>75</v>
      </c>
      <c r="C31" s="130" t="s">
        <v>51</v>
      </c>
      <c r="D31" s="130" t="s">
        <v>61</v>
      </c>
      <c r="E31" s="130" t="s">
        <v>58</v>
      </c>
      <c r="F31" s="130" t="s">
        <v>56</v>
      </c>
      <c r="H31" s="138">
        <v>0.15663410959937174</v>
      </c>
      <c r="I31" s="138">
        <v>0.15800608683458517</v>
      </c>
      <c r="J31" s="138">
        <v>0.16075451772299854</v>
      </c>
      <c r="K31" s="138">
        <v>0.16075451772299854</v>
      </c>
      <c r="L31" s="138">
        <v>0.16350892700314201</v>
      </c>
      <c r="M31" s="132">
        <v>0.17180814349583362</v>
      </c>
      <c r="N31" s="133"/>
      <c r="O31" s="138">
        <v>0.15389462418258582</v>
      </c>
      <c r="P31" s="138">
        <v>0.15526362253922477</v>
      </c>
      <c r="Q31" s="138">
        <v>0.15800608683458517</v>
      </c>
      <c r="R31" s="138">
        <v>0.15800608683458517</v>
      </c>
      <c r="S31" s="138">
        <v>0.16075451772299854</v>
      </c>
      <c r="T31" s="132">
        <v>0.16903572803833167</v>
      </c>
      <c r="U31" s="133"/>
      <c r="V31" s="138">
        <v>0.15663410959937174</v>
      </c>
      <c r="W31" s="138">
        <v>0.15800608683458517</v>
      </c>
      <c r="X31" s="138">
        <v>0.16075451772299854</v>
      </c>
      <c r="Y31" s="138">
        <v>0.16075451772299854</v>
      </c>
      <c r="Z31" s="138">
        <v>0.16350892700314201</v>
      </c>
      <c r="AA31" s="132">
        <v>0.17180814349583362</v>
      </c>
      <c r="AB31" s="141"/>
      <c r="AC31" s="138">
        <v>0.1621309743258661</v>
      </c>
      <c r="AD31" s="138">
        <v>0.16350892700314201</v>
      </c>
      <c r="AE31" s="138">
        <v>0.16488837723293726</v>
      </c>
      <c r="AF31" s="138">
        <v>0.16626932649468618</v>
      </c>
      <c r="AG31" s="138">
        <v>0.16765177626913008</v>
      </c>
      <c r="AH31" s="132">
        <v>0.16903572803833167</v>
      </c>
      <c r="AI31" s="141"/>
      <c r="AJ31" s="138">
        <v>0.15389462418258582</v>
      </c>
      <c r="AK31" s="138">
        <v>0.15526362253922477</v>
      </c>
      <c r="AL31" s="138">
        <v>0.15800608683458517</v>
      </c>
      <c r="AM31" s="138">
        <v>0.15800608683458517</v>
      </c>
      <c r="AN31" s="138">
        <v>0.16075451772299854</v>
      </c>
      <c r="AO31" s="132">
        <v>0.16903572803833167</v>
      </c>
      <c r="AP31" s="141"/>
      <c r="AQ31" s="327">
        <v>8.6015666489925202E-2</v>
      </c>
      <c r="AR31" s="327">
        <v>8.8607072706796242E-2</v>
      </c>
      <c r="AS31" s="327">
        <v>9.3806897670984268E-2</v>
      </c>
      <c r="AT31" s="327">
        <v>9.5110406408293935E-2</v>
      </c>
      <c r="AU31" s="327">
        <v>9.6415338967120068E-2</v>
      </c>
      <c r="AV31" s="327">
        <v>9.6415338967120068E-2</v>
      </c>
    </row>
    <row r="32" spans="1:48" x14ac:dyDescent="0.35">
      <c r="A32" s="125" t="s">
        <v>83</v>
      </c>
      <c r="B32" s="130" t="s">
        <v>75</v>
      </c>
      <c r="C32" s="130" t="s">
        <v>66</v>
      </c>
      <c r="D32" s="130" t="s">
        <v>52</v>
      </c>
      <c r="E32" s="130" t="s">
        <v>53</v>
      </c>
      <c r="F32" s="130" t="s">
        <v>54</v>
      </c>
      <c r="H32" s="138">
        <v>0.1335372965869035</v>
      </c>
      <c r="I32" s="138">
        <v>0.13488414009111604</v>
      </c>
      <c r="J32" s="138">
        <v>0.1375822289110713</v>
      </c>
      <c r="K32" s="138">
        <v>0.1375822289110713</v>
      </c>
      <c r="L32" s="138">
        <v>0.14028619649985408</v>
      </c>
      <c r="M32" s="132">
        <v>0.15526362253922477</v>
      </c>
      <c r="N32" s="133"/>
      <c r="O32" s="132">
        <v>0.13219191841842548</v>
      </c>
      <c r="P32" s="132">
        <v>0.1335372965869035</v>
      </c>
      <c r="Q32" s="132">
        <v>0.13623245038182419</v>
      </c>
      <c r="R32" s="132">
        <v>0.13623245038182419</v>
      </c>
      <c r="S32" s="132">
        <v>0.13893347713220328</v>
      </c>
      <c r="T32" s="132">
        <v>0.15526362253922477</v>
      </c>
      <c r="U32" s="133"/>
      <c r="V32" s="138">
        <v>0.13488414009111604</v>
      </c>
      <c r="W32" s="138">
        <v>0.13623245038182419</v>
      </c>
      <c r="X32" s="138">
        <v>0.13893347713220328</v>
      </c>
      <c r="Y32" s="138">
        <v>0.13893347713220328</v>
      </c>
      <c r="Z32" s="138">
        <v>0.14164038846995752</v>
      </c>
      <c r="AA32" s="132">
        <v>0.15526362253922477</v>
      </c>
      <c r="AB32" s="141"/>
      <c r="AC32" s="138">
        <v>0.14571181457374238</v>
      </c>
      <c r="AD32" s="138">
        <v>0.14707191153891563</v>
      </c>
      <c r="AE32" s="138">
        <v>0.14843348840566883</v>
      </c>
      <c r="AF32" s="138">
        <v>0.1497965466377309</v>
      </c>
      <c r="AG32" s="138">
        <v>0.15116108770013081</v>
      </c>
      <c r="AH32" s="132">
        <v>0.15526362253922477</v>
      </c>
      <c r="AI32" s="141"/>
      <c r="AJ32" s="132">
        <v>0.13219191841842548</v>
      </c>
      <c r="AK32" s="132">
        <v>0.1335372965869035</v>
      </c>
      <c r="AL32" s="132">
        <v>0.13623245038182419</v>
      </c>
      <c r="AM32" s="132">
        <v>0.13623245038182419</v>
      </c>
      <c r="AN32" s="132">
        <v>0.13893347713220328</v>
      </c>
      <c r="AO32" s="132">
        <v>0.15526362253922477</v>
      </c>
      <c r="AP32" s="141"/>
      <c r="AQ32" s="327">
        <v>7.4424167721924617E-2</v>
      </c>
      <c r="AR32" s="327">
        <v>7.6990210897167399E-2</v>
      </c>
      <c r="AS32" s="327">
        <v>8.0849810365514863E-2</v>
      </c>
      <c r="AT32" s="327">
        <v>8.2139158364710863E-2</v>
      </c>
      <c r="AU32" s="327">
        <v>8.3429916117545799E-2</v>
      </c>
      <c r="AV32" s="327">
        <v>8.4722085025153548E-2</v>
      </c>
    </row>
    <row r="33" spans="1:48" x14ac:dyDescent="0.35">
      <c r="A33" s="125" t="s">
        <v>84</v>
      </c>
      <c r="B33" s="130" t="s">
        <v>75</v>
      </c>
      <c r="C33" s="130" t="s">
        <v>66</v>
      </c>
      <c r="D33" s="130" t="s">
        <v>52</v>
      </c>
      <c r="E33" s="130" t="s">
        <v>53</v>
      </c>
      <c r="F33" s="130" t="s">
        <v>56</v>
      </c>
      <c r="H33" s="138">
        <v>0.1335372965869035</v>
      </c>
      <c r="I33" s="138">
        <v>0.13488414009111604</v>
      </c>
      <c r="J33" s="138">
        <v>0.1375822289110713</v>
      </c>
      <c r="K33" s="138">
        <v>0.1375822289110713</v>
      </c>
      <c r="L33" s="138">
        <v>0.14028619649985408</v>
      </c>
      <c r="M33" s="132">
        <v>0.15526362253922477</v>
      </c>
      <c r="N33" s="133"/>
      <c r="O33" s="132">
        <v>0.13219191841842548</v>
      </c>
      <c r="P33" s="132">
        <v>0.1335372965869035</v>
      </c>
      <c r="Q33" s="132">
        <v>0.13623245038182419</v>
      </c>
      <c r="R33" s="132">
        <v>0.13623245038182419</v>
      </c>
      <c r="S33" s="132">
        <v>0.13893347713220328</v>
      </c>
      <c r="T33" s="132">
        <v>0.15526362253922477</v>
      </c>
      <c r="U33" s="133"/>
      <c r="V33" s="138">
        <v>0.13623245038182419</v>
      </c>
      <c r="W33" s="138">
        <v>0.1375822289110713</v>
      </c>
      <c r="X33" s="138">
        <v>0.14028619649985408</v>
      </c>
      <c r="Y33" s="138">
        <v>0.14028619649985408</v>
      </c>
      <c r="Z33" s="138">
        <v>0.14299605449973818</v>
      </c>
      <c r="AA33" s="132">
        <v>0.15526362253922477</v>
      </c>
      <c r="AB33" s="141"/>
      <c r="AC33" s="138">
        <v>0.14707191153891563</v>
      </c>
      <c r="AD33" s="138">
        <v>0.14843348840566883</v>
      </c>
      <c r="AE33" s="138">
        <v>0.1497965466377309</v>
      </c>
      <c r="AF33" s="138">
        <v>0.15116108770013081</v>
      </c>
      <c r="AG33" s="138">
        <v>0.15252711305920341</v>
      </c>
      <c r="AH33" s="132">
        <v>0.15526362253922477</v>
      </c>
      <c r="AI33" s="141"/>
      <c r="AJ33" s="132">
        <v>0.13219191841842548</v>
      </c>
      <c r="AK33" s="132">
        <v>0.1335372965869035</v>
      </c>
      <c r="AL33" s="132">
        <v>0.13623245038182419</v>
      </c>
      <c r="AM33" s="132">
        <v>0.13623245038182419</v>
      </c>
      <c r="AN33" s="132">
        <v>0.13893347713220328</v>
      </c>
      <c r="AO33" s="132">
        <v>0.15526362253922477</v>
      </c>
      <c r="AP33" s="141"/>
      <c r="AQ33" s="327">
        <v>7.570648792618595E-2</v>
      </c>
      <c r="AR33" s="327">
        <v>7.6990210897167399E-2</v>
      </c>
      <c r="AS33" s="327">
        <v>8.2139158364710863E-2</v>
      </c>
      <c r="AT33" s="327">
        <v>8.3429916117545799E-2</v>
      </c>
      <c r="AU33" s="327">
        <v>8.4722085025153548E-2</v>
      </c>
      <c r="AV33" s="327">
        <v>8.4722085025153548E-2</v>
      </c>
    </row>
    <row r="34" spans="1:48" x14ac:dyDescent="0.35">
      <c r="A34" s="125" t="s">
        <v>85</v>
      </c>
      <c r="B34" s="130" t="s">
        <v>75</v>
      </c>
      <c r="C34" s="130" t="s">
        <v>66</v>
      </c>
      <c r="D34" s="130" t="s">
        <v>52</v>
      </c>
      <c r="E34" s="130" t="s">
        <v>58</v>
      </c>
      <c r="F34" s="130" t="s">
        <v>54</v>
      </c>
      <c r="H34" s="138">
        <v>0.1375822289110713</v>
      </c>
      <c r="I34" s="138">
        <v>0.13893347713220328</v>
      </c>
      <c r="J34" s="138">
        <v>0.14164038846995752</v>
      </c>
      <c r="K34" s="138">
        <v>0.14164038846995752</v>
      </c>
      <c r="L34" s="138">
        <v>0.1443531960477249</v>
      </c>
      <c r="M34" s="132">
        <v>0.15526362253922477</v>
      </c>
      <c r="N34" s="133"/>
      <c r="O34" s="132">
        <v>0.13488414009111604</v>
      </c>
      <c r="P34" s="132">
        <v>0.13623245038182419</v>
      </c>
      <c r="Q34" s="132">
        <v>0.13893347713220328</v>
      </c>
      <c r="R34" s="132">
        <v>0.13893347713220328</v>
      </c>
      <c r="S34" s="132">
        <v>0.14164038846995752</v>
      </c>
      <c r="T34" s="132">
        <v>0.15526362253922477</v>
      </c>
      <c r="U34" s="133"/>
      <c r="V34" s="138">
        <v>0.14571181457374238</v>
      </c>
      <c r="W34" s="138">
        <v>0.14707191153891563</v>
      </c>
      <c r="X34" s="138">
        <v>0.1497965466377309</v>
      </c>
      <c r="Y34" s="138">
        <v>0.1497965466377309</v>
      </c>
      <c r="Z34" s="138">
        <v>0.15252711305920341</v>
      </c>
      <c r="AA34" s="132">
        <v>0.15526362253922477</v>
      </c>
      <c r="AB34" s="141"/>
      <c r="AC34" s="138">
        <v>0.14843348840566883</v>
      </c>
      <c r="AD34" s="138">
        <v>0.1497965466377309</v>
      </c>
      <c r="AE34" s="138">
        <v>0.15116108770013081</v>
      </c>
      <c r="AF34" s="138">
        <v>0.15252711305920341</v>
      </c>
      <c r="AG34" s="138">
        <v>0.15389462418258582</v>
      </c>
      <c r="AH34" s="132">
        <v>0.15526362253922477</v>
      </c>
      <c r="AI34" s="141"/>
      <c r="AJ34" s="132">
        <v>0.13488414009111604</v>
      </c>
      <c r="AK34" s="132">
        <v>0.13623245038182419</v>
      </c>
      <c r="AL34" s="132">
        <v>0.13893347713220328</v>
      </c>
      <c r="AM34" s="132">
        <v>0.13893347713220328</v>
      </c>
      <c r="AN34" s="132">
        <v>0.14164038846995752</v>
      </c>
      <c r="AO34" s="132">
        <v>0.15526362253922477</v>
      </c>
      <c r="AP34" s="141"/>
      <c r="AQ34" s="327">
        <v>7.570648792618595E-2</v>
      </c>
      <c r="AR34" s="327">
        <v>7.6990210897167399E-2</v>
      </c>
      <c r="AS34" s="327">
        <v>8.2139158364710863E-2</v>
      </c>
      <c r="AT34" s="327">
        <v>8.3429916117545799E-2</v>
      </c>
      <c r="AU34" s="327">
        <v>8.4722085025153548E-2</v>
      </c>
      <c r="AV34" s="327">
        <v>8.4722085025153548E-2</v>
      </c>
    </row>
    <row r="35" spans="1:48" x14ac:dyDescent="0.35">
      <c r="A35" s="125" t="s">
        <v>86</v>
      </c>
      <c r="B35" s="130" t="s">
        <v>75</v>
      </c>
      <c r="C35" s="130" t="s">
        <v>66</v>
      </c>
      <c r="D35" s="130" t="s">
        <v>52</v>
      </c>
      <c r="E35" s="130" t="s">
        <v>58</v>
      </c>
      <c r="F35" s="130" t="s">
        <v>56</v>
      </c>
      <c r="H35" s="138">
        <v>0.13623245038182419</v>
      </c>
      <c r="I35" s="138">
        <v>0.1375822289110713</v>
      </c>
      <c r="J35" s="138">
        <v>0.14028619649985408</v>
      </c>
      <c r="K35" s="138">
        <v>0.14028619649985408</v>
      </c>
      <c r="L35" s="138">
        <v>0.14299605449973818</v>
      </c>
      <c r="M35" s="132">
        <v>0.15526362253922477</v>
      </c>
      <c r="N35" s="133"/>
      <c r="O35" s="132">
        <v>0.13488414009111604</v>
      </c>
      <c r="P35" s="132">
        <v>0.13623245038182419</v>
      </c>
      <c r="Q35" s="132">
        <v>0.13893347713220328</v>
      </c>
      <c r="R35" s="132">
        <v>0.13893347713220328</v>
      </c>
      <c r="S35" s="132">
        <v>0.14164038846995752</v>
      </c>
      <c r="T35" s="132">
        <v>0.15526362253922477</v>
      </c>
      <c r="U35" s="133"/>
      <c r="V35" s="138">
        <v>0.14571181457374238</v>
      </c>
      <c r="W35" s="138">
        <v>0.14707191153891563</v>
      </c>
      <c r="X35" s="138">
        <v>0.1497965466377309</v>
      </c>
      <c r="Y35" s="138">
        <v>0.1497965466377309</v>
      </c>
      <c r="Z35" s="138">
        <v>0.15252711305920341</v>
      </c>
      <c r="AA35" s="132">
        <v>0.15526362253922477</v>
      </c>
      <c r="AB35" s="141"/>
      <c r="AC35" s="138">
        <v>0.1497965466377309</v>
      </c>
      <c r="AD35" s="138">
        <v>0.15116108770013081</v>
      </c>
      <c r="AE35" s="138">
        <v>0.15252711305920341</v>
      </c>
      <c r="AF35" s="138">
        <v>0.15389462418258582</v>
      </c>
      <c r="AG35" s="138">
        <v>0.15526362253922477</v>
      </c>
      <c r="AH35" s="132">
        <v>0.15526362253922477</v>
      </c>
      <c r="AI35" s="141"/>
      <c r="AJ35" s="132">
        <v>0.13488414009111604</v>
      </c>
      <c r="AK35" s="132">
        <v>0.13623245038182419</v>
      </c>
      <c r="AL35" s="132">
        <v>0.13893347713220328</v>
      </c>
      <c r="AM35" s="132">
        <v>0.13893347713220328</v>
      </c>
      <c r="AN35" s="132">
        <v>0.14164038846995752</v>
      </c>
      <c r="AO35" s="132">
        <v>0.15526362253922477</v>
      </c>
      <c r="AP35" s="141"/>
      <c r="AQ35" s="327">
        <v>7.570648792618595E-2</v>
      </c>
      <c r="AR35" s="327">
        <v>7.827533802975073E-2</v>
      </c>
      <c r="AS35" s="327">
        <v>8.2139158364710863E-2</v>
      </c>
      <c r="AT35" s="327">
        <v>8.4722085025153548E-2</v>
      </c>
      <c r="AU35" s="327">
        <v>8.4722085025153548E-2</v>
      </c>
      <c r="AV35" s="327">
        <v>8.6015666489925202E-2</v>
      </c>
    </row>
    <row r="36" spans="1:48" x14ac:dyDescent="0.35">
      <c r="A36" s="125" t="s">
        <v>87</v>
      </c>
      <c r="B36" s="130" t="s">
        <v>75</v>
      </c>
      <c r="C36" s="130" t="s">
        <v>66</v>
      </c>
      <c r="D36" s="130" t="s">
        <v>61</v>
      </c>
      <c r="E36" s="130" t="s">
        <v>53</v>
      </c>
      <c r="F36" s="130" t="s">
        <v>54</v>
      </c>
      <c r="H36" s="138">
        <v>0.14299605449973818</v>
      </c>
      <c r="I36" s="138">
        <v>0.1443531960477249</v>
      </c>
      <c r="J36" s="138">
        <v>0.14707191153891563</v>
      </c>
      <c r="K36" s="138">
        <v>0.14707191153891563</v>
      </c>
      <c r="L36" s="138">
        <v>0.1497965466377309</v>
      </c>
      <c r="M36" s="132">
        <v>0.15526362253922477</v>
      </c>
      <c r="N36" s="133"/>
      <c r="O36" s="132">
        <v>0.13893347713220328</v>
      </c>
      <c r="P36" s="132">
        <v>0.14028619649985408</v>
      </c>
      <c r="Q36" s="132">
        <v>0.14299605449973818</v>
      </c>
      <c r="R36" s="132">
        <v>0.14299605449973818</v>
      </c>
      <c r="S36" s="132">
        <v>0.14571181457374238</v>
      </c>
      <c r="T36" s="132">
        <v>0.15526362253922477</v>
      </c>
      <c r="U36" s="133"/>
      <c r="V36" s="138">
        <v>0.1375822289110713</v>
      </c>
      <c r="W36" s="138">
        <v>0.13893347713220328</v>
      </c>
      <c r="X36" s="138">
        <v>0.14164038846995752</v>
      </c>
      <c r="Y36" s="138">
        <v>0.14164038846995752</v>
      </c>
      <c r="Z36" s="138">
        <v>0.1443531960477249</v>
      </c>
      <c r="AA36" s="132">
        <v>0.15526362253922477</v>
      </c>
      <c r="AB36" s="141"/>
      <c r="AC36" s="138">
        <v>0.14843348840566883</v>
      </c>
      <c r="AD36" s="138">
        <v>0.1497965466377309</v>
      </c>
      <c r="AE36" s="138">
        <v>0.15116108770013081</v>
      </c>
      <c r="AF36" s="138">
        <v>0.15252711305920341</v>
      </c>
      <c r="AG36" s="138">
        <v>0.15389462418258582</v>
      </c>
      <c r="AH36" s="132">
        <v>0.15526362253922477</v>
      </c>
      <c r="AI36" s="141"/>
      <c r="AJ36" s="132">
        <v>0.13893347713220328</v>
      </c>
      <c r="AK36" s="132">
        <v>0.14028619649985408</v>
      </c>
      <c r="AL36" s="132">
        <v>0.14299605449973818</v>
      </c>
      <c r="AM36" s="132">
        <v>0.14299605449973818</v>
      </c>
      <c r="AN36" s="132">
        <v>0.14571181457374238</v>
      </c>
      <c r="AO36" s="132">
        <v>0.15526362253922477</v>
      </c>
      <c r="AP36" s="141"/>
      <c r="AQ36" s="327">
        <v>7.570648792618595E-2</v>
      </c>
      <c r="AR36" s="327">
        <v>7.6990210897167399E-2</v>
      </c>
      <c r="AS36" s="327">
        <v>8.2139158364710863E-2</v>
      </c>
      <c r="AT36" s="327">
        <v>8.3429916117545799E-2</v>
      </c>
      <c r="AU36" s="327">
        <v>8.4722085025153548E-2</v>
      </c>
      <c r="AV36" s="327">
        <v>8.4722085025153548E-2</v>
      </c>
    </row>
    <row r="37" spans="1:48" x14ac:dyDescent="0.35">
      <c r="A37" s="125" t="s">
        <v>88</v>
      </c>
      <c r="B37" s="130" t="s">
        <v>75</v>
      </c>
      <c r="C37" s="130" t="s">
        <v>66</v>
      </c>
      <c r="D37" s="130" t="s">
        <v>61</v>
      </c>
      <c r="E37" s="130" t="s">
        <v>53</v>
      </c>
      <c r="F37" s="130" t="s">
        <v>56</v>
      </c>
      <c r="H37" s="138">
        <v>0.14299605449973818</v>
      </c>
      <c r="I37" s="138">
        <v>0.1443531960477249</v>
      </c>
      <c r="J37" s="138">
        <v>0.14707191153891563</v>
      </c>
      <c r="K37" s="138">
        <v>0.14707191153891563</v>
      </c>
      <c r="L37" s="138">
        <v>0.1497965466377309</v>
      </c>
      <c r="M37" s="132">
        <v>0.15526362253922477</v>
      </c>
      <c r="N37" s="133"/>
      <c r="O37" s="132">
        <v>0.13893347713220328</v>
      </c>
      <c r="P37" s="132">
        <v>0.14028619649985408</v>
      </c>
      <c r="Q37" s="132">
        <v>0.14299605449973818</v>
      </c>
      <c r="R37" s="132">
        <v>0.14299605449973818</v>
      </c>
      <c r="S37" s="132">
        <v>0.14571181457374238</v>
      </c>
      <c r="T37" s="132">
        <v>0.15526362253922477</v>
      </c>
      <c r="U37" s="133"/>
      <c r="V37" s="138">
        <v>0.1375822289110713</v>
      </c>
      <c r="W37" s="138">
        <v>0.13893347713220328</v>
      </c>
      <c r="X37" s="138">
        <v>0.14164038846995752</v>
      </c>
      <c r="Y37" s="138">
        <v>0.14164038846995752</v>
      </c>
      <c r="Z37" s="138">
        <v>0.1443531960477249</v>
      </c>
      <c r="AA37" s="132">
        <v>0.15526362253922477</v>
      </c>
      <c r="AB37" s="141"/>
      <c r="AC37" s="138">
        <v>0.1497965466377309</v>
      </c>
      <c r="AD37" s="138">
        <v>0.15116108770013081</v>
      </c>
      <c r="AE37" s="138">
        <v>0.15252711305920341</v>
      </c>
      <c r="AF37" s="138">
        <v>0.15389462418258582</v>
      </c>
      <c r="AG37" s="138">
        <v>0.15526362253922477</v>
      </c>
      <c r="AH37" s="132">
        <v>0.15526362253922477</v>
      </c>
      <c r="AI37" s="141"/>
      <c r="AJ37" s="132">
        <v>0.13893347713220328</v>
      </c>
      <c r="AK37" s="132">
        <v>0.14028619649985408</v>
      </c>
      <c r="AL37" s="132">
        <v>0.14299605449973818</v>
      </c>
      <c r="AM37" s="132">
        <v>0.14299605449973818</v>
      </c>
      <c r="AN37" s="132">
        <v>0.14571181457374238</v>
      </c>
      <c r="AO37" s="132">
        <v>0.15526362253922477</v>
      </c>
      <c r="AP37" s="141"/>
      <c r="AQ37" s="327">
        <v>7.570648792618595E-2</v>
      </c>
      <c r="AR37" s="327">
        <v>7.827533802975073E-2</v>
      </c>
      <c r="AS37" s="327">
        <v>8.2139158364710863E-2</v>
      </c>
      <c r="AT37" s="327">
        <v>8.3429916117545799E-2</v>
      </c>
      <c r="AU37" s="327">
        <v>8.4722085025153548E-2</v>
      </c>
      <c r="AV37" s="327">
        <v>8.6015666489925202E-2</v>
      </c>
    </row>
    <row r="38" spans="1:48" x14ac:dyDescent="0.35">
      <c r="A38" s="125" t="s">
        <v>89</v>
      </c>
      <c r="B38" s="130" t="s">
        <v>75</v>
      </c>
      <c r="C38" s="130" t="s">
        <v>66</v>
      </c>
      <c r="D38" s="130" t="s">
        <v>61</v>
      </c>
      <c r="E38" s="130" t="s">
        <v>58</v>
      </c>
      <c r="F38" s="130" t="s">
        <v>54</v>
      </c>
      <c r="H38" s="138">
        <v>0.14571181457374238</v>
      </c>
      <c r="I38" s="138">
        <v>0.14707191153891563</v>
      </c>
      <c r="J38" s="138">
        <v>0.1497965466377309</v>
      </c>
      <c r="K38" s="138">
        <v>0.1497965466377309</v>
      </c>
      <c r="L38" s="138">
        <v>0.15252711305920341</v>
      </c>
      <c r="M38" s="132">
        <v>0.15526362253922477</v>
      </c>
      <c r="N38" s="133"/>
      <c r="O38" s="132">
        <v>0.14164038846995752</v>
      </c>
      <c r="P38" s="132">
        <v>0.14299605449973818</v>
      </c>
      <c r="Q38" s="132">
        <v>0.14571181457374238</v>
      </c>
      <c r="R38" s="132">
        <v>0.14571181457374238</v>
      </c>
      <c r="S38" s="132">
        <v>0.14843348840566883</v>
      </c>
      <c r="T38" s="132">
        <v>0.15526362253922477</v>
      </c>
      <c r="U38" s="133"/>
      <c r="V38" s="138">
        <v>0.14843348840566883</v>
      </c>
      <c r="W38" s="138">
        <v>0.1497965466377309</v>
      </c>
      <c r="X38" s="138">
        <v>0.15252711305920341</v>
      </c>
      <c r="Y38" s="138">
        <v>0.15252711305920341</v>
      </c>
      <c r="Z38" s="138">
        <v>0.15526362253922477</v>
      </c>
      <c r="AA38" s="132">
        <v>0.15526362253922477</v>
      </c>
      <c r="AB38" s="141"/>
      <c r="AC38" s="138">
        <v>0.1497965466377309</v>
      </c>
      <c r="AD38" s="138">
        <v>0.15116108770013081</v>
      </c>
      <c r="AE38" s="138">
        <v>0.15252711305920341</v>
      </c>
      <c r="AF38" s="138">
        <v>0.15389462418258582</v>
      </c>
      <c r="AG38" s="138">
        <v>0.15526362253922477</v>
      </c>
      <c r="AH38" s="132">
        <v>0.15526362253922477</v>
      </c>
      <c r="AI38" s="141"/>
      <c r="AJ38" s="132">
        <v>0.14164038846995752</v>
      </c>
      <c r="AK38" s="132">
        <v>0.14299605449973818</v>
      </c>
      <c r="AL38" s="132">
        <v>0.14571181457374238</v>
      </c>
      <c r="AM38" s="132">
        <v>0.14571181457374238</v>
      </c>
      <c r="AN38" s="132">
        <v>0.14843348840566883</v>
      </c>
      <c r="AO38" s="132">
        <v>0.15526362253922477</v>
      </c>
      <c r="AP38" s="141"/>
      <c r="AQ38" s="327">
        <v>7.570648792618595E-2</v>
      </c>
      <c r="AR38" s="327">
        <v>7.827533802975073E-2</v>
      </c>
      <c r="AS38" s="327">
        <v>8.2139158364710863E-2</v>
      </c>
      <c r="AT38" s="327">
        <v>8.3429916117545799E-2</v>
      </c>
      <c r="AU38" s="327">
        <v>8.4722085025153548E-2</v>
      </c>
      <c r="AV38" s="327">
        <v>8.6015666489925202E-2</v>
      </c>
    </row>
    <row r="39" spans="1:48" x14ac:dyDescent="0.35">
      <c r="A39" s="125" t="s">
        <v>90</v>
      </c>
      <c r="B39" s="130" t="s">
        <v>75</v>
      </c>
      <c r="C39" s="130" t="s">
        <v>66</v>
      </c>
      <c r="D39" s="130" t="s">
        <v>61</v>
      </c>
      <c r="E39" s="130" t="s">
        <v>58</v>
      </c>
      <c r="F39" s="130" t="s">
        <v>56</v>
      </c>
      <c r="H39" s="138">
        <v>0.1443531960477249</v>
      </c>
      <c r="I39" s="138">
        <v>0.14571181457374238</v>
      </c>
      <c r="J39" s="138">
        <v>0.14843348840566883</v>
      </c>
      <c r="K39" s="138">
        <v>0.14843348840566883</v>
      </c>
      <c r="L39" s="138">
        <v>0.15116108770013081</v>
      </c>
      <c r="M39" s="132">
        <v>0.15526362253922477</v>
      </c>
      <c r="N39" s="133"/>
      <c r="O39" s="132">
        <v>0.14164038846995752</v>
      </c>
      <c r="P39" s="132">
        <v>0.14299605449973818</v>
      </c>
      <c r="Q39" s="132">
        <v>0.14571181457374238</v>
      </c>
      <c r="R39" s="132">
        <v>0.14571181457374238</v>
      </c>
      <c r="S39" s="132">
        <v>0.14843348840566883</v>
      </c>
      <c r="T39" s="132">
        <v>0.15526362253922477</v>
      </c>
      <c r="U39" s="133"/>
      <c r="V39" s="138">
        <v>0.14843348840566883</v>
      </c>
      <c r="W39" s="138">
        <v>0.1497965466377309</v>
      </c>
      <c r="X39" s="138">
        <v>0.15252711305920341</v>
      </c>
      <c r="Y39" s="138">
        <v>0.15252711305920341</v>
      </c>
      <c r="Z39" s="138">
        <v>0.15526362253922477</v>
      </c>
      <c r="AA39" s="132">
        <v>0.15526362253922477</v>
      </c>
      <c r="AB39" s="141"/>
      <c r="AC39" s="138">
        <v>0.1497965466377309</v>
      </c>
      <c r="AD39" s="138">
        <v>0.15116108770013081</v>
      </c>
      <c r="AE39" s="138">
        <v>0.15252711305920341</v>
      </c>
      <c r="AF39" s="138">
        <v>0.15389462418258582</v>
      </c>
      <c r="AG39" s="138">
        <v>0.15526362253922477</v>
      </c>
      <c r="AH39" s="132">
        <v>0.15526362253922477</v>
      </c>
      <c r="AI39" s="141"/>
      <c r="AJ39" s="132">
        <v>0.14164038846995752</v>
      </c>
      <c r="AK39" s="132">
        <v>0.14299605449973818</v>
      </c>
      <c r="AL39" s="132">
        <v>0.14571181457374238</v>
      </c>
      <c r="AM39" s="132">
        <v>0.14571181457374238</v>
      </c>
      <c r="AN39" s="132">
        <v>0.14843348840566883</v>
      </c>
      <c r="AO39" s="132">
        <v>0.15526362253922477</v>
      </c>
      <c r="AP39" s="141"/>
      <c r="AQ39" s="327">
        <v>7.6990210897167399E-2</v>
      </c>
      <c r="AR39" s="327">
        <v>7.827533802975073E-2</v>
      </c>
      <c r="AS39" s="327">
        <v>8.3429916117545799E-2</v>
      </c>
      <c r="AT39" s="327">
        <v>8.4722085025153548E-2</v>
      </c>
      <c r="AU39" s="327">
        <v>8.6015666489925202E-2</v>
      </c>
      <c r="AV39" s="327">
        <v>8.7310661915505294E-2</v>
      </c>
    </row>
    <row r="40" spans="1:48" x14ac:dyDescent="0.35">
      <c r="A40" s="125" t="s">
        <v>91</v>
      </c>
      <c r="B40" s="130" t="s">
        <v>92</v>
      </c>
      <c r="C40" s="130" t="s">
        <v>51</v>
      </c>
      <c r="D40" s="130" t="s">
        <v>52</v>
      </c>
      <c r="E40" s="130" t="s">
        <v>53</v>
      </c>
      <c r="F40" s="130" t="s">
        <v>54</v>
      </c>
      <c r="H40" s="138">
        <v>0.13893347713220328</v>
      </c>
      <c r="I40" s="138">
        <v>0.14028619649985408</v>
      </c>
      <c r="J40" s="138">
        <v>0.14299605449973818</v>
      </c>
      <c r="K40" s="138">
        <v>0.14299605449973818</v>
      </c>
      <c r="L40" s="138">
        <v>0.14571181457374238</v>
      </c>
      <c r="M40" s="132">
        <v>0.15252711305920341</v>
      </c>
      <c r="N40" s="133"/>
      <c r="O40" s="138">
        <v>0.13893347713220328</v>
      </c>
      <c r="P40" s="138">
        <v>0.14028619649985408</v>
      </c>
      <c r="Q40" s="138">
        <v>0.14299605449973818</v>
      </c>
      <c r="R40" s="138">
        <v>0.14299605449973818</v>
      </c>
      <c r="S40" s="138">
        <v>0.14571181457374238</v>
      </c>
      <c r="T40" s="132">
        <v>0.15252711305920341</v>
      </c>
      <c r="U40" s="133"/>
      <c r="V40" s="138">
        <v>0.13893347713220328</v>
      </c>
      <c r="W40" s="138">
        <v>0.14028619649985408</v>
      </c>
      <c r="X40" s="138">
        <v>0.14299605449973818</v>
      </c>
      <c r="Y40" s="138">
        <v>0.14299605449973818</v>
      </c>
      <c r="Z40" s="138">
        <v>0.14571181457374238</v>
      </c>
      <c r="AA40" s="132">
        <v>0.15252711305920341</v>
      </c>
      <c r="AB40" s="141"/>
      <c r="AC40" s="138">
        <v>0.14164038846995752</v>
      </c>
      <c r="AD40" s="138">
        <v>0.14299605449973818</v>
      </c>
      <c r="AE40" s="138">
        <v>0.1443531960477249</v>
      </c>
      <c r="AF40" s="138">
        <v>0.14571181457374238</v>
      </c>
      <c r="AG40" s="138">
        <v>0.14707191153891563</v>
      </c>
      <c r="AH40" s="132">
        <v>0.14843348840566883</v>
      </c>
      <c r="AI40" s="141"/>
      <c r="AJ40" s="138">
        <v>0.13893347713220328</v>
      </c>
      <c r="AK40" s="138">
        <v>0.14028619649985408</v>
      </c>
      <c r="AL40" s="138">
        <v>0.14299605449973818</v>
      </c>
      <c r="AM40" s="138">
        <v>0.14299605449973818</v>
      </c>
      <c r="AN40" s="138">
        <v>0.14571181457374238</v>
      </c>
      <c r="AO40" s="132">
        <v>0.15252711305920341</v>
      </c>
      <c r="AP40" s="141"/>
      <c r="AQ40" s="327">
        <v>7.570648792618595E-2</v>
      </c>
      <c r="AR40" s="327">
        <v>7.827533802975073E-2</v>
      </c>
      <c r="AS40" s="327">
        <v>8.2139158364710863E-2</v>
      </c>
      <c r="AT40" s="327">
        <v>8.3429916117545799E-2</v>
      </c>
      <c r="AU40" s="327">
        <v>8.4722085025153548E-2</v>
      </c>
      <c r="AV40" s="327">
        <v>8.6015666489925202E-2</v>
      </c>
    </row>
    <row r="41" spans="1:48" x14ac:dyDescent="0.35">
      <c r="A41" s="125" t="s">
        <v>93</v>
      </c>
      <c r="B41" s="130" t="s">
        <v>92</v>
      </c>
      <c r="C41" s="130" t="s">
        <v>51</v>
      </c>
      <c r="D41" s="130" t="s">
        <v>52</v>
      </c>
      <c r="E41" s="130" t="s">
        <v>53</v>
      </c>
      <c r="F41" s="130" t="s">
        <v>56</v>
      </c>
      <c r="H41" s="138">
        <v>0.13893347713220328</v>
      </c>
      <c r="I41" s="138">
        <v>0.14028619649985408</v>
      </c>
      <c r="J41" s="138">
        <v>0.14299605449973818</v>
      </c>
      <c r="K41" s="138">
        <v>0.14299605449973818</v>
      </c>
      <c r="L41" s="138">
        <v>0.14571181457374238</v>
      </c>
      <c r="M41" s="132">
        <v>0.15252711305920341</v>
      </c>
      <c r="N41" s="133"/>
      <c r="O41" s="138">
        <v>0.13893347713220328</v>
      </c>
      <c r="P41" s="138">
        <v>0.14028619649985408</v>
      </c>
      <c r="Q41" s="138">
        <v>0.14299605449973818</v>
      </c>
      <c r="R41" s="138">
        <v>0.14299605449973818</v>
      </c>
      <c r="S41" s="138">
        <v>0.14571181457374238</v>
      </c>
      <c r="T41" s="132">
        <v>0.15252711305920341</v>
      </c>
      <c r="U41" s="133"/>
      <c r="V41" s="138">
        <v>0.13893347713220328</v>
      </c>
      <c r="W41" s="138">
        <v>0.14028619649985408</v>
      </c>
      <c r="X41" s="138">
        <v>0.14299605449973818</v>
      </c>
      <c r="Y41" s="138">
        <v>0.14299605449973818</v>
      </c>
      <c r="Z41" s="138">
        <v>0.14571181457374238</v>
      </c>
      <c r="AA41" s="132">
        <v>0.15252711305920341</v>
      </c>
      <c r="AB41" s="141"/>
      <c r="AC41" s="138">
        <v>0.1443531960477249</v>
      </c>
      <c r="AD41" s="138">
        <v>0.14571181457374238</v>
      </c>
      <c r="AE41" s="138">
        <v>0.14707191153891563</v>
      </c>
      <c r="AF41" s="138">
        <v>0.14843348840566883</v>
      </c>
      <c r="AG41" s="138">
        <v>0.1497965466377309</v>
      </c>
      <c r="AH41" s="132">
        <v>0.15116108770013081</v>
      </c>
      <c r="AI41" s="141"/>
      <c r="AJ41" s="138">
        <v>0.13893347713220328</v>
      </c>
      <c r="AK41" s="138">
        <v>0.14028619649985408</v>
      </c>
      <c r="AL41" s="138">
        <v>0.14299605449973818</v>
      </c>
      <c r="AM41" s="138">
        <v>0.14299605449973818</v>
      </c>
      <c r="AN41" s="138">
        <v>0.14571181457374238</v>
      </c>
      <c r="AO41" s="132">
        <v>0.15252711305920341</v>
      </c>
      <c r="AP41" s="141"/>
      <c r="AQ41" s="327">
        <v>7.6990210897167399E-2</v>
      </c>
      <c r="AR41" s="327">
        <v>7.827533802975073E-2</v>
      </c>
      <c r="AS41" s="327">
        <v>8.3429916117545799E-2</v>
      </c>
      <c r="AT41" s="327">
        <v>8.4722085025153548E-2</v>
      </c>
      <c r="AU41" s="327">
        <v>8.6015666489925202E-2</v>
      </c>
      <c r="AV41" s="327">
        <v>8.6015666489925202E-2</v>
      </c>
    </row>
    <row r="42" spans="1:48" x14ac:dyDescent="0.35">
      <c r="A42" s="125" t="s">
        <v>94</v>
      </c>
      <c r="B42" s="130" t="s">
        <v>92</v>
      </c>
      <c r="C42" s="130" t="s">
        <v>51</v>
      </c>
      <c r="D42" s="130" t="s">
        <v>52</v>
      </c>
      <c r="E42" s="130" t="s">
        <v>58</v>
      </c>
      <c r="F42" s="130" t="s">
        <v>54</v>
      </c>
      <c r="H42" s="138">
        <v>0.14164038846995752</v>
      </c>
      <c r="I42" s="138">
        <v>0.14299605449973818</v>
      </c>
      <c r="J42" s="138">
        <v>0.14571181457374238</v>
      </c>
      <c r="K42" s="138">
        <v>0.14571181457374238</v>
      </c>
      <c r="L42" s="138">
        <v>0.14843348840566883</v>
      </c>
      <c r="M42" s="132">
        <v>0.15526362253922477</v>
      </c>
      <c r="N42" s="133"/>
      <c r="O42" s="138">
        <v>0.13893347713220328</v>
      </c>
      <c r="P42" s="138">
        <v>0.14028619649985408</v>
      </c>
      <c r="Q42" s="138">
        <v>0.14299605449973818</v>
      </c>
      <c r="R42" s="138">
        <v>0.14299605449973818</v>
      </c>
      <c r="S42" s="138">
        <v>0.14571181457374238</v>
      </c>
      <c r="T42" s="132">
        <v>0.15252711305920341</v>
      </c>
      <c r="U42" s="133"/>
      <c r="V42" s="138">
        <v>0.1443531960477249</v>
      </c>
      <c r="W42" s="138">
        <v>0.14571181457374238</v>
      </c>
      <c r="X42" s="138">
        <v>0.14843348840566883</v>
      </c>
      <c r="Y42" s="138">
        <v>0.14843348840566883</v>
      </c>
      <c r="Z42" s="138">
        <v>0.15116108770013081</v>
      </c>
      <c r="AA42" s="132">
        <v>0.15800608683458517</v>
      </c>
      <c r="AB42" s="141"/>
      <c r="AC42" s="138">
        <v>0.14571181457374238</v>
      </c>
      <c r="AD42" s="138">
        <v>0.14707191153891563</v>
      </c>
      <c r="AE42" s="138">
        <v>0.14843348840566883</v>
      </c>
      <c r="AF42" s="138">
        <v>0.1497965466377309</v>
      </c>
      <c r="AG42" s="138">
        <v>0.15116108770013081</v>
      </c>
      <c r="AH42" s="132">
        <v>0.15252711305920341</v>
      </c>
      <c r="AI42" s="141"/>
      <c r="AJ42" s="138">
        <v>0.13893347713220328</v>
      </c>
      <c r="AK42" s="138">
        <v>0.14028619649985408</v>
      </c>
      <c r="AL42" s="138">
        <v>0.14299605449973818</v>
      </c>
      <c r="AM42" s="138">
        <v>0.14299605449973818</v>
      </c>
      <c r="AN42" s="138">
        <v>0.14571181457374238</v>
      </c>
      <c r="AO42" s="132">
        <v>0.15252711305920341</v>
      </c>
      <c r="AP42" s="141"/>
      <c r="AQ42" s="327">
        <v>7.6990210897167399E-2</v>
      </c>
      <c r="AR42" s="327">
        <v>7.9561870720073591E-2</v>
      </c>
      <c r="AS42" s="327">
        <v>8.3429916117545799E-2</v>
      </c>
      <c r="AT42" s="327">
        <v>8.4722085025153548E-2</v>
      </c>
      <c r="AU42" s="327">
        <v>8.6015666489925202E-2</v>
      </c>
      <c r="AV42" s="327">
        <v>8.7310661915505294E-2</v>
      </c>
    </row>
    <row r="43" spans="1:48" x14ac:dyDescent="0.35">
      <c r="A43" s="125" t="s">
        <v>95</v>
      </c>
      <c r="B43" s="130" t="s">
        <v>92</v>
      </c>
      <c r="C43" s="130" t="s">
        <v>51</v>
      </c>
      <c r="D43" s="130" t="s">
        <v>52</v>
      </c>
      <c r="E43" s="130" t="s">
        <v>58</v>
      </c>
      <c r="F43" s="130" t="s">
        <v>56</v>
      </c>
      <c r="H43" s="138">
        <v>0.14028619649985408</v>
      </c>
      <c r="I43" s="138">
        <v>0.14164038846995752</v>
      </c>
      <c r="J43" s="138">
        <v>0.1443531960477249</v>
      </c>
      <c r="K43" s="138">
        <v>0.1443531960477249</v>
      </c>
      <c r="L43" s="138">
        <v>0.14707191153891563</v>
      </c>
      <c r="M43" s="132">
        <v>0.15389462418258582</v>
      </c>
      <c r="N43" s="133"/>
      <c r="O43" s="138">
        <v>0.13893347713220328</v>
      </c>
      <c r="P43" s="138">
        <v>0.14028619649985408</v>
      </c>
      <c r="Q43" s="138">
        <v>0.14299605449973818</v>
      </c>
      <c r="R43" s="138">
        <v>0.14299605449973818</v>
      </c>
      <c r="S43" s="138">
        <v>0.14571181457374238</v>
      </c>
      <c r="T43" s="132">
        <v>0.15252711305920341</v>
      </c>
      <c r="U43" s="133"/>
      <c r="V43" s="138">
        <v>0.1443531960477249</v>
      </c>
      <c r="W43" s="138">
        <v>0.14571181457374238</v>
      </c>
      <c r="X43" s="138">
        <v>0.14843348840566883</v>
      </c>
      <c r="Y43" s="138">
        <v>0.14843348840566883</v>
      </c>
      <c r="Z43" s="138">
        <v>0.15116108770013081</v>
      </c>
      <c r="AA43" s="132">
        <v>0.15800608683458517</v>
      </c>
      <c r="AB43" s="141"/>
      <c r="AC43" s="138">
        <v>0.15389462418258582</v>
      </c>
      <c r="AD43" s="138">
        <v>0.15526362253922477</v>
      </c>
      <c r="AE43" s="138">
        <v>0.15663410959937174</v>
      </c>
      <c r="AF43" s="138">
        <v>0.15800608683458517</v>
      </c>
      <c r="AG43" s="138">
        <v>0.15937955571773355</v>
      </c>
      <c r="AH43" s="132">
        <v>0.16075451772299854</v>
      </c>
      <c r="AI43" s="141"/>
      <c r="AJ43" s="138">
        <v>0.13893347713220328</v>
      </c>
      <c r="AK43" s="138">
        <v>0.14028619649985408</v>
      </c>
      <c r="AL43" s="138">
        <v>0.14299605449973818</v>
      </c>
      <c r="AM43" s="138">
        <v>0.14299605449973818</v>
      </c>
      <c r="AN43" s="138">
        <v>0.14571181457374238</v>
      </c>
      <c r="AO43" s="132">
        <v>0.15252711305920341</v>
      </c>
      <c r="AP43" s="141"/>
      <c r="AQ43" s="327">
        <v>8.3429916117545799E-2</v>
      </c>
      <c r="AR43" s="327">
        <v>8.4722085025153548E-2</v>
      </c>
      <c r="AS43" s="327">
        <v>8.9904900269945021E-2</v>
      </c>
      <c r="AT43" s="327">
        <v>9.1204146012370035E-2</v>
      </c>
      <c r="AU43" s="327">
        <v>9.2504811342739135E-2</v>
      </c>
      <c r="AV43" s="327">
        <v>9.2504811342739135E-2</v>
      </c>
    </row>
    <row r="44" spans="1:48" x14ac:dyDescent="0.35">
      <c r="A44" s="125" t="s">
        <v>96</v>
      </c>
      <c r="B44" s="130" t="s">
        <v>92</v>
      </c>
      <c r="C44" s="130" t="s">
        <v>51</v>
      </c>
      <c r="D44" s="130" t="s">
        <v>61</v>
      </c>
      <c r="E44" s="130" t="s">
        <v>53</v>
      </c>
      <c r="F44" s="130" t="s">
        <v>54</v>
      </c>
      <c r="H44" s="138">
        <v>0.15252711305920341</v>
      </c>
      <c r="I44" s="138">
        <v>0.15389462418258582</v>
      </c>
      <c r="J44" s="138">
        <v>0.15663410959937174</v>
      </c>
      <c r="K44" s="138">
        <v>0.15663410959937174</v>
      </c>
      <c r="L44" s="138">
        <v>0.15937955571773355</v>
      </c>
      <c r="M44" s="132">
        <v>0.16765177626913008</v>
      </c>
      <c r="N44" s="133"/>
      <c r="O44" s="138">
        <v>0.14707191153891563</v>
      </c>
      <c r="P44" s="138">
        <v>0.14843348840566883</v>
      </c>
      <c r="Q44" s="138">
        <v>0.15116108770013081</v>
      </c>
      <c r="R44" s="138">
        <v>0.15116108770013081</v>
      </c>
      <c r="S44" s="138">
        <v>0.15389462418258582</v>
      </c>
      <c r="T44" s="132">
        <v>0.1621309743258661</v>
      </c>
      <c r="U44" s="133"/>
      <c r="V44" s="138">
        <v>0.14571181457374238</v>
      </c>
      <c r="W44" s="138">
        <v>0.14707191153891563</v>
      </c>
      <c r="X44" s="138">
        <v>0.1497965466377309</v>
      </c>
      <c r="Y44" s="138">
        <v>0.1497965466377309</v>
      </c>
      <c r="Z44" s="138">
        <v>0.15252711305920341</v>
      </c>
      <c r="AA44" s="132">
        <v>0.16075451772299854</v>
      </c>
      <c r="AB44" s="141"/>
      <c r="AC44" s="138">
        <v>0.14299605449973818</v>
      </c>
      <c r="AD44" s="138">
        <v>0.1443531960477249</v>
      </c>
      <c r="AE44" s="138">
        <v>0.14571181457374238</v>
      </c>
      <c r="AF44" s="138">
        <v>0.14707191153891563</v>
      </c>
      <c r="AG44" s="138">
        <v>0.14843348840566883</v>
      </c>
      <c r="AH44" s="132">
        <v>0.1497965466377309</v>
      </c>
      <c r="AI44" s="141"/>
      <c r="AJ44" s="138">
        <v>0.14707191153891563</v>
      </c>
      <c r="AK44" s="138">
        <v>0.14843348840566883</v>
      </c>
      <c r="AL44" s="138">
        <v>0.15116108770013081</v>
      </c>
      <c r="AM44" s="138">
        <v>0.15116108770013081</v>
      </c>
      <c r="AN44" s="138">
        <v>0.15389462418258582</v>
      </c>
      <c r="AO44" s="132">
        <v>0.1621309743258661</v>
      </c>
      <c r="AP44" s="141"/>
      <c r="AQ44" s="327">
        <v>7.6990210897167399E-2</v>
      </c>
      <c r="AR44" s="327">
        <v>7.827533802975073E-2</v>
      </c>
      <c r="AS44" s="327">
        <v>8.3429916117545799E-2</v>
      </c>
      <c r="AT44" s="327">
        <v>8.4722085025153548E-2</v>
      </c>
      <c r="AU44" s="327">
        <v>8.6015666489925202E-2</v>
      </c>
      <c r="AV44" s="327">
        <v>8.6015666489925202E-2</v>
      </c>
    </row>
    <row r="45" spans="1:48" x14ac:dyDescent="0.35">
      <c r="A45" s="125" t="s">
        <v>97</v>
      </c>
      <c r="B45" s="130" t="s">
        <v>92</v>
      </c>
      <c r="C45" s="130" t="s">
        <v>51</v>
      </c>
      <c r="D45" s="130" t="s">
        <v>61</v>
      </c>
      <c r="E45" s="130" t="s">
        <v>53</v>
      </c>
      <c r="F45" s="130" t="s">
        <v>56</v>
      </c>
      <c r="H45" s="138">
        <v>0.15252711305920341</v>
      </c>
      <c r="I45" s="138">
        <v>0.15389462418258582</v>
      </c>
      <c r="J45" s="138">
        <v>0.15663410959937174</v>
      </c>
      <c r="K45" s="138">
        <v>0.15663410959937174</v>
      </c>
      <c r="L45" s="138">
        <v>0.15937955571773355</v>
      </c>
      <c r="M45" s="132">
        <v>0.16765177626913008</v>
      </c>
      <c r="N45" s="133"/>
      <c r="O45" s="138">
        <v>0.14707191153891563</v>
      </c>
      <c r="P45" s="138">
        <v>0.14843348840566883</v>
      </c>
      <c r="Q45" s="138">
        <v>0.15116108770013081</v>
      </c>
      <c r="R45" s="138">
        <v>0.15116108770013081</v>
      </c>
      <c r="S45" s="138">
        <v>0.15389462418258582</v>
      </c>
      <c r="T45" s="132">
        <v>0.1621309743258661</v>
      </c>
      <c r="U45" s="133"/>
      <c r="V45" s="138">
        <v>0.14571181457374238</v>
      </c>
      <c r="W45" s="138">
        <v>0.14707191153891563</v>
      </c>
      <c r="X45" s="138">
        <v>0.1497965466377309</v>
      </c>
      <c r="Y45" s="138">
        <v>0.1497965466377309</v>
      </c>
      <c r="Z45" s="138">
        <v>0.15252711305920341</v>
      </c>
      <c r="AA45" s="132">
        <v>0.16075451772299854</v>
      </c>
      <c r="AB45" s="141"/>
      <c r="AC45" s="138">
        <v>0.14571181457374238</v>
      </c>
      <c r="AD45" s="138">
        <v>0.14707191153891563</v>
      </c>
      <c r="AE45" s="138">
        <v>0.14843348840566883</v>
      </c>
      <c r="AF45" s="138">
        <v>0.1497965466377309</v>
      </c>
      <c r="AG45" s="138">
        <v>0.15116108770013081</v>
      </c>
      <c r="AH45" s="132">
        <v>0.15252711305920341</v>
      </c>
      <c r="AI45" s="141"/>
      <c r="AJ45" s="138">
        <v>0.14707191153891563</v>
      </c>
      <c r="AK45" s="138">
        <v>0.14843348840566883</v>
      </c>
      <c r="AL45" s="138">
        <v>0.15116108770013081</v>
      </c>
      <c r="AM45" s="138">
        <v>0.15116108770013081</v>
      </c>
      <c r="AN45" s="138">
        <v>0.15389462418258582</v>
      </c>
      <c r="AO45" s="132">
        <v>0.1621309743258661</v>
      </c>
      <c r="AP45" s="141"/>
      <c r="AQ45" s="327">
        <v>7.6990210897167399E-2</v>
      </c>
      <c r="AR45" s="327">
        <v>7.9561870720073591E-2</v>
      </c>
      <c r="AS45" s="327">
        <v>8.3429916117545799E-2</v>
      </c>
      <c r="AT45" s="327">
        <v>8.4722085025153548E-2</v>
      </c>
      <c r="AU45" s="327">
        <v>8.6015666489925202E-2</v>
      </c>
      <c r="AV45" s="327">
        <v>8.7310661915505294E-2</v>
      </c>
    </row>
    <row r="46" spans="1:48" x14ac:dyDescent="0.35">
      <c r="A46" s="125" t="s">
        <v>98</v>
      </c>
      <c r="B46" s="130" t="s">
        <v>92</v>
      </c>
      <c r="C46" s="130" t="s">
        <v>51</v>
      </c>
      <c r="D46" s="130" t="s">
        <v>61</v>
      </c>
      <c r="E46" s="130" t="s">
        <v>58</v>
      </c>
      <c r="F46" s="130" t="s">
        <v>54</v>
      </c>
      <c r="H46" s="138">
        <v>0.15389462418258582</v>
      </c>
      <c r="I46" s="138">
        <v>0.15526362253922477</v>
      </c>
      <c r="J46" s="138">
        <v>0.15800608683458517</v>
      </c>
      <c r="K46" s="138">
        <v>0.15800608683458517</v>
      </c>
      <c r="L46" s="138">
        <v>0.16075451772299854</v>
      </c>
      <c r="M46" s="132">
        <v>0.16903572803833167</v>
      </c>
      <c r="N46" s="133"/>
      <c r="O46" s="138">
        <v>0.14843348840566883</v>
      </c>
      <c r="P46" s="138">
        <v>0.1497965466377309</v>
      </c>
      <c r="Q46" s="138">
        <v>0.15252711305920341</v>
      </c>
      <c r="R46" s="138">
        <v>0.15252711305920341</v>
      </c>
      <c r="S46" s="138">
        <v>0.15526362253922477</v>
      </c>
      <c r="T46" s="132">
        <v>0.16350892700314201</v>
      </c>
      <c r="U46" s="133"/>
      <c r="V46" s="138">
        <v>0.15116108770013081</v>
      </c>
      <c r="W46" s="138">
        <v>0.15252711305920341</v>
      </c>
      <c r="X46" s="138">
        <v>0.15526362253922477</v>
      </c>
      <c r="Y46" s="138">
        <v>0.15526362253922477</v>
      </c>
      <c r="Z46" s="138">
        <v>0.15800608683458517</v>
      </c>
      <c r="AA46" s="132">
        <v>0.16626932649468618</v>
      </c>
      <c r="AB46" s="141"/>
      <c r="AC46" s="138">
        <v>0.14707191153891563</v>
      </c>
      <c r="AD46" s="138">
        <v>0.14843348840566883</v>
      </c>
      <c r="AE46" s="138">
        <v>0.1497965466377309</v>
      </c>
      <c r="AF46" s="138">
        <v>0.15116108770013081</v>
      </c>
      <c r="AG46" s="138">
        <v>0.15252711305920341</v>
      </c>
      <c r="AH46" s="132">
        <v>0.15389462418258582</v>
      </c>
      <c r="AI46" s="141"/>
      <c r="AJ46" s="138">
        <v>0.14843348840566883</v>
      </c>
      <c r="AK46" s="138">
        <v>0.1497965466377309</v>
      </c>
      <c r="AL46" s="138">
        <v>0.15252711305920341</v>
      </c>
      <c r="AM46" s="138">
        <v>0.15252711305920341</v>
      </c>
      <c r="AN46" s="138">
        <v>0.15526362253922477</v>
      </c>
      <c r="AO46" s="132">
        <v>0.16350892700314201</v>
      </c>
      <c r="AP46" s="141"/>
      <c r="AQ46" s="327">
        <v>7.827533802975073E-2</v>
      </c>
      <c r="AR46" s="327">
        <v>7.9561870720073591E-2</v>
      </c>
      <c r="AS46" s="327">
        <v>8.4722085025153548E-2</v>
      </c>
      <c r="AT46" s="327">
        <v>8.6015666489925202E-2</v>
      </c>
      <c r="AU46" s="327">
        <v>8.7310661915505294E-2</v>
      </c>
      <c r="AV46" s="327">
        <v>8.7310661915505294E-2</v>
      </c>
    </row>
    <row r="47" spans="1:48" x14ac:dyDescent="0.35">
      <c r="A47" s="125" t="s">
        <v>99</v>
      </c>
      <c r="B47" s="130" t="s">
        <v>92</v>
      </c>
      <c r="C47" s="130" t="s">
        <v>51</v>
      </c>
      <c r="D47" s="130" t="s">
        <v>61</v>
      </c>
      <c r="E47" s="130" t="s">
        <v>58</v>
      </c>
      <c r="F47" s="130" t="s">
        <v>56</v>
      </c>
      <c r="H47" s="138">
        <v>0.15252711305920341</v>
      </c>
      <c r="I47" s="138">
        <v>0.15389462418258582</v>
      </c>
      <c r="J47" s="138">
        <v>0.15663410959937174</v>
      </c>
      <c r="K47" s="138">
        <v>0.15663410959937174</v>
      </c>
      <c r="L47" s="138">
        <v>0.15937955571773355</v>
      </c>
      <c r="M47" s="132">
        <v>0.16765177626913008</v>
      </c>
      <c r="N47" s="133"/>
      <c r="O47" s="138">
        <v>0.14843348840566883</v>
      </c>
      <c r="P47" s="138">
        <v>0.1497965466377309</v>
      </c>
      <c r="Q47" s="138">
        <v>0.15252711305920341</v>
      </c>
      <c r="R47" s="138">
        <v>0.15252711305920341</v>
      </c>
      <c r="S47" s="138">
        <v>0.15526362253922477</v>
      </c>
      <c r="T47" s="132">
        <v>0.16350892700314201</v>
      </c>
      <c r="U47" s="133"/>
      <c r="V47" s="138">
        <v>0.15116108770013081</v>
      </c>
      <c r="W47" s="138">
        <v>0.15252711305920341</v>
      </c>
      <c r="X47" s="138">
        <v>0.15526362253922477</v>
      </c>
      <c r="Y47" s="138">
        <v>0.15526362253922477</v>
      </c>
      <c r="Z47" s="138">
        <v>0.15800608683458517</v>
      </c>
      <c r="AA47" s="132">
        <v>0.16626932649468618</v>
      </c>
      <c r="AB47" s="141"/>
      <c r="AC47" s="138">
        <v>0.15526362253922477</v>
      </c>
      <c r="AD47" s="138">
        <v>0.15663410959937174</v>
      </c>
      <c r="AE47" s="138">
        <v>0.15800608683458517</v>
      </c>
      <c r="AF47" s="138">
        <v>0.15937955571773355</v>
      </c>
      <c r="AG47" s="138">
        <v>0.16075451772299854</v>
      </c>
      <c r="AH47" s="132">
        <v>0.1621309743258661</v>
      </c>
      <c r="AI47" s="141"/>
      <c r="AJ47" s="138">
        <v>0.14843348840566883</v>
      </c>
      <c r="AK47" s="138">
        <v>0.1497965466377309</v>
      </c>
      <c r="AL47" s="138">
        <v>0.15252711305920341</v>
      </c>
      <c r="AM47" s="138">
        <v>0.15252711305920341</v>
      </c>
      <c r="AN47" s="138">
        <v>0.15526362253922477</v>
      </c>
      <c r="AO47" s="132">
        <v>0.16350892700314201</v>
      </c>
      <c r="AP47" s="141"/>
      <c r="AQ47" s="327">
        <v>8.3429916117545799E-2</v>
      </c>
      <c r="AR47" s="327">
        <v>8.6015666489925202E-2</v>
      </c>
      <c r="AS47" s="327">
        <v>8.9904900269945021E-2</v>
      </c>
      <c r="AT47" s="327">
        <v>9.2504811342739135E-2</v>
      </c>
      <c r="AU47" s="327">
        <v>9.2504811342739135E-2</v>
      </c>
      <c r="AV47" s="327">
        <v>9.3806897670984268E-2</v>
      </c>
    </row>
    <row r="48" spans="1:48" x14ac:dyDescent="0.35">
      <c r="A48" s="125" t="s">
        <v>100</v>
      </c>
      <c r="B48" s="130" t="s">
        <v>92</v>
      </c>
      <c r="C48" s="130" t="s">
        <v>66</v>
      </c>
      <c r="D48" s="130" t="s">
        <v>52</v>
      </c>
      <c r="E48" s="130" t="s">
        <v>53</v>
      </c>
      <c r="F48" s="130" t="s">
        <v>54</v>
      </c>
      <c r="H48" s="138">
        <v>0.12950555229212202</v>
      </c>
      <c r="I48" s="138">
        <v>0.13084800413622433</v>
      </c>
      <c r="J48" s="138">
        <v>0.1335372965869035</v>
      </c>
      <c r="K48" s="138">
        <v>0.13488414009111604</v>
      </c>
      <c r="L48" s="138">
        <v>0.13623245038182419</v>
      </c>
      <c r="M48" s="132">
        <v>0.15526362253922477</v>
      </c>
      <c r="N48" s="133"/>
      <c r="O48" s="132">
        <v>0.12816456143923505</v>
      </c>
      <c r="P48" s="132">
        <v>0.12950555229212202</v>
      </c>
      <c r="Q48" s="132">
        <v>0.13219191841842548</v>
      </c>
      <c r="R48" s="132">
        <v>0.1335372965869035</v>
      </c>
      <c r="S48" s="132">
        <v>0.13488414009111604</v>
      </c>
      <c r="T48" s="132">
        <v>0.15526362253922477</v>
      </c>
      <c r="U48" s="133"/>
      <c r="V48" s="138">
        <v>0.1335372965869035</v>
      </c>
      <c r="W48" s="138">
        <v>0.13488414009111604</v>
      </c>
      <c r="X48" s="138">
        <v>0.1375822289110713</v>
      </c>
      <c r="Y48" s="138">
        <v>0.1375822289110713</v>
      </c>
      <c r="Z48" s="138">
        <v>0.14028619649985408</v>
      </c>
      <c r="AA48" s="132">
        <v>0.15526362253922477</v>
      </c>
      <c r="AB48" s="141"/>
      <c r="AC48" s="138">
        <v>0.14571181457374238</v>
      </c>
      <c r="AD48" s="138">
        <v>0.14707191153891563</v>
      </c>
      <c r="AE48" s="138">
        <v>0.14843348840566883</v>
      </c>
      <c r="AF48" s="138">
        <v>0.1497965466377309</v>
      </c>
      <c r="AG48" s="138">
        <v>0.15116108770013081</v>
      </c>
      <c r="AH48" s="132">
        <v>0.15526362253922477</v>
      </c>
      <c r="AI48" s="141"/>
      <c r="AJ48" s="132">
        <v>0.12816456143923505</v>
      </c>
      <c r="AK48" s="132">
        <v>0.12950555229212202</v>
      </c>
      <c r="AL48" s="132">
        <v>0.13219191841842548</v>
      </c>
      <c r="AM48" s="132">
        <v>0.1335372965869035</v>
      </c>
      <c r="AN48" s="132">
        <v>0.13488414009111604</v>
      </c>
      <c r="AO48" s="132">
        <v>0.15526362253922477</v>
      </c>
      <c r="AP48" s="141"/>
      <c r="AQ48" s="327">
        <v>7.1863730040249596E-2</v>
      </c>
      <c r="AR48" s="327">
        <v>7.4424167721924617E-2</v>
      </c>
      <c r="AS48" s="327">
        <v>7.827533802975073E-2</v>
      </c>
      <c r="AT48" s="327">
        <v>8.0849810365514863E-2</v>
      </c>
      <c r="AU48" s="327">
        <v>8.0849810365514863E-2</v>
      </c>
      <c r="AV48" s="327">
        <v>8.2139158364710863E-2</v>
      </c>
    </row>
    <row r="49" spans="1:48" x14ac:dyDescent="0.35">
      <c r="A49" s="125" t="s">
        <v>101</v>
      </c>
      <c r="B49" s="130" t="s">
        <v>92</v>
      </c>
      <c r="C49" s="130" t="s">
        <v>66</v>
      </c>
      <c r="D49" s="130" t="s">
        <v>52</v>
      </c>
      <c r="E49" s="130" t="s">
        <v>53</v>
      </c>
      <c r="F49" s="130" t="s">
        <v>56</v>
      </c>
      <c r="H49" s="138">
        <v>0.12950555229212202</v>
      </c>
      <c r="I49" s="138">
        <v>0.13084800413622433</v>
      </c>
      <c r="J49" s="138">
        <v>0.1335372965869035</v>
      </c>
      <c r="K49" s="138">
        <v>0.13488414009111604</v>
      </c>
      <c r="L49" s="138">
        <v>0.13623245038182419</v>
      </c>
      <c r="M49" s="132">
        <v>0.15526362253922477</v>
      </c>
      <c r="N49" s="133"/>
      <c r="O49" s="132">
        <v>0.12816456143923505</v>
      </c>
      <c r="P49" s="132">
        <v>0.12950555229212202</v>
      </c>
      <c r="Q49" s="132">
        <v>0.13219191841842548</v>
      </c>
      <c r="R49" s="132">
        <v>0.1335372965869035</v>
      </c>
      <c r="S49" s="132">
        <v>0.13488414009111604</v>
      </c>
      <c r="T49" s="132">
        <v>0.15526362253922477</v>
      </c>
      <c r="U49" s="133"/>
      <c r="V49" s="138">
        <v>0.1335372965869035</v>
      </c>
      <c r="W49" s="138">
        <v>0.13488414009111604</v>
      </c>
      <c r="X49" s="138">
        <v>0.1375822289110713</v>
      </c>
      <c r="Y49" s="138">
        <v>0.1375822289110713</v>
      </c>
      <c r="Z49" s="138">
        <v>0.14028619649985408</v>
      </c>
      <c r="AA49" s="132">
        <v>0.15526362253922477</v>
      </c>
      <c r="AB49" s="141"/>
      <c r="AC49" s="138">
        <v>0.14707191153891563</v>
      </c>
      <c r="AD49" s="138">
        <v>0.14843348840566883</v>
      </c>
      <c r="AE49" s="138">
        <v>0.1497965466377309</v>
      </c>
      <c r="AF49" s="138">
        <v>0.15116108770013081</v>
      </c>
      <c r="AG49" s="138">
        <v>0.15252711305920341</v>
      </c>
      <c r="AH49" s="132">
        <v>0.15526362253922477</v>
      </c>
      <c r="AI49" s="141"/>
      <c r="AJ49" s="132">
        <v>0.12816456143923505</v>
      </c>
      <c r="AK49" s="132">
        <v>0.12950555229212202</v>
      </c>
      <c r="AL49" s="132">
        <v>0.13219191841842548</v>
      </c>
      <c r="AM49" s="132">
        <v>0.1335372965869035</v>
      </c>
      <c r="AN49" s="132">
        <v>0.13488414009111604</v>
      </c>
      <c r="AO49" s="132">
        <v>0.15526362253922477</v>
      </c>
      <c r="AP49" s="141"/>
      <c r="AQ49" s="327">
        <v>7.3143248890743306E-2</v>
      </c>
      <c r="AR49" s="327">
        <v>7.570648792618595E-2</v>
      </c>
      <c r="AS49" s="327">
        <v>7.9561870720073591E-2</v>
      </c>
      <c r="AT49" s="327">
        <v>8.0849810365514863E-2</v>
      </c>
      <c r="AU49" s="327">
        <v>8.2139158364710863E-2</v>
      </c>
      <c r="AV49" s="327">
        <v>8.3429916117545799E-2</v>
      </c>
    </row>
    <row r="50" spans="1:48" x14ac:dyDescent="0.35">
      <c r="A50" s="125" t="s">
        <v>102</v>
      </c>
      <c r="B50" s="130" t="s">
        <v>92</v>
      </c>
      <c r="C50" s="130" t="s">
        <v>66</v>
      </c>
      <c r="D50" s="130" t="s">
        <v>52</v>
      </c>
      <c r="E50" s="130" t="s">
        <v>58</v>
      </c>
      <c r="F50" s="130" t="s">
        <v>54</v>
      </c>
      <c r="H50" s="138">
        <v>0.1335372965869035</v>
      </c>
      <c r="I50" s="138">
        <v>0.13488414009111604</v>
      </c>
      <c r="J50" s="138">
        <v>0.1375822289110713</v>
      </c>
      <c r="K50" s="138">
        <v>0.1375822289110713</v>
      </c>
      <c r="L50" s="138">
        <v>0.14028619649985408</v>
      </c>
      <c r="M50" s="132">
        <v>0.15526362253922477</v>
      </c>
      <c r="N50" s="133"/>
      <c r="O50" s="132">
        <v>0.13084800413622433</v>
      </c>
      <c r="P50" s="132">
        <v>0.13219191841842548</v>
      </c>
      <c r="Q50" s="132">
        <v>0.13488414009111604</v>
      </c>
      <c r="R50" s="132">
        <v>0.13488414009111604</v>
      </c>
      <c r="S50" s="132">
        <v>0.1375822289110713</v>
      </c>
      <c r="T50" s="132">
        <v>0.15526362253922477</v>
      </c>
      <c r="U50" s="133"/>
      <c r="V50" s="138">
        <v>0.14164038846995752</v>
      </c>
      <c r="W50" s="138">
        <v>0.14299605449973818</v>
      </c>
      <c r="X50" s="138">
        <v>0.14571181457374238</v>
      </c>
      <c r="Y50" s="138">
        <v>0.14571181457374238</v>
      </c>
      <c r="Z50" s="138">
        <v>0.14843348840566883</v>
      </c>
      <c r="AA50" s="132">
        <v>0.15526362253922477</v>
      </c>
      <c r="AB50" s="141"/>
      <c r="AC50" s="138">
        <v>0.14843348840566883</v>
      </c>
      <c r="AD50" s="138">
        <v>0.1497965466377309</v>
      </c>
      <c r="AE50" s="138">
        <v>0.15116108770013081</v>
      </c>
      <c r="AF50" s="138">
        <v>0.15252711305920341</v>
      </c>
      <c r="AG50" s="138">
        <v>0.15389462418258582</v>
      </c>
      <c r="AH50" s="132">
        <v>0.15526362253922477</v>
      </c>
      <c r="AI50" s="141"/>
      <c r="AJ50" s="132">
        <v>0.13084800413622433</v>
      </c>
      <c r="AK50" s="132">
        <v>0.13219191841842548</v>
      </c>
      <c r="AL50" s="132">
        <v>0.13488414009111604</v>
      </c>
      <c r="AM50" s="132">
        <v>0.13488414009111604</v>
      </c>
      <c r="AN50" s="132">
        <v>0.1375822289110713</v>
      </c>
      <c r="AO50" s="132">
        <v>0.15526362253922477</v>
      </c>
      <c r="AP50" s="141"/>
      <c r="AQ50" s="327">
        <v>7.4424167721924617E-2</v>
      </c>
      <c r="AR50" s="327">
        <v>7.570648792618595E-2</v>
      </c>
      <c r="AS50" s="327">
        <v>8.0849810365514863E-2</v>
      </c>
      <c r="AT50" s="327">
        <v>8.2139158364710863E-2</v>
      </c>
      <c r="AU50" s="327">
        <v>8.3429916117545799E-2</v>
      </c>
      <c r="AV50" s="327">
        <v>8.3429916117545799E-2</v>
      </c>
    </row>
    <row r="51" spans="1:48" x14ac:dyDescent="0.35">
      <c r="A51" s="125" t="s">
        <v>103</v>
      </c>
      <c r="B51" s="130" t="s">
        <v>92</v>
      </c>
      <c r="C51" s="130" t="s">
        <v>66</v>
      </c>
      <c r="D51" s="130" t="s">
        <v>52</v>
      </c>
      <c r="E51" s="130" t="s">
        <v>58</v>
      </c>
      <c r="F51" s="130" t="s">
        <v>56</v>
      </c>
      <c r="H51" s="138">
        <v>0.13219191841842548</v>
      </c>
      <c r="I51" s="138">
        <v>0.1335372965869035</v>
      </c>
      <c r="J51" s="138">
        <v>0.13623245038182419</v>
      </c>
      <c r="K51" s="138">
        <v>0.13623245038182419</v>
      </c>
      <c r="L51" s="138">
        <v>0.13893347713220328</v>
      </c>
      <c r="M51" s="132">
        <v>0.15526362253922477</v>
      </c>
      <c r="N51" s="133"/>
      <c r="O51" s="132">
        <v>0.13084800413622433</v>
      </c>
      <c r="P51" s="132">
        <v>0.13219191841842548</v>
      </c>
      <c r="Q51" s="132">
        <v>0.13488414009111604</v>
      </c>
      <c r="R51" s="132">
        <v>0.13488414009111604</v>
      </c>
      <c r="S51" s="132">
        <v>0.1375822289110713</v>
      </c>
      <c r="T51" s="132">
        <v>0.15526362253922477</v>
      </c>
      <c r="U51" s="133"/>
      <c r="V51" s="138">
        <v>0.14164038846995752</v>
      </c>
      <c r="W51" s="138">
        <v>0.14299605449973818</v>
      </c>
      <c r="X51" s="138">
        <v>0.14571181457374238</v>
      </c>
      <c r="Y51" s="138">
        <v>0.14571181457374238</v>
      </c>
      <c r="Z51" s="138">
        <v>0.14843348840566883</v>
      </c>
      <c r="AA51" s="132">
        <v>0.15526362253922477</v>
      </c>
      <c r="AB51" s="141"/>
      <c r="AC51" s="138">
        <v>0.1497965466377309</v>
      </c>
      <c r="AD51" s="138">
        <v>0.15116108770013081</v>
      </c>
      <c r="AE51" s="138">
        <v>0.15252711305920341</v>
      </c>
      <c r="AF51" s="138">
        <v>0.15389462418258582</v>
      </c>
      <c r="AG51" s="138">
        <v>0.15526362253922477</v>
      </c>
      <c r="AH51" s="132">
        <v>0.15526362253922477</v>
      </c>
      <c r="AI51" s="141"/>
      <c r="AJ51" s="132">
        <v>0.13084800413622433</v>
      </c>
      <c r="AK51" s="132">
        <v>0.13219191841842548</v>
      </c>
      <c r="AL51" s="132">
        <v>0.13488414009111604</v>
      </c>
      <c r="AM51" s="132">
        <v>0.13488414009111604</v>
      </c>
      <c r="AN51" s="132">
        <v>0.1375822289110713</v>
      </c>
      <c r="AO51" s="132">
        <v>0.15526362253922477</v>
      </c>
      <c r="AP51" s="141"/>
      <c r="AQ51" s="327">
        <v>7.4424167721924617E-2</v>
      </c>
      <c r="AR51" s="327">
        <v>7.570648792618595E-2</v>
      </c>
      <c r="AS51" s="327">
        <v>8.0849810365514863E-2</v>
      </c>
      <c r="AT51" s="327">
        <v>8.2139158364710863E-2</v>
      </c>
      <c r="AU51" s="327">
        <v>8.3429916117545799E-2</v>
      </c>
      <c r="AV51" s="327">
        <v>8.3429916117545799E-2</v>
      </c>
    </row>
    <row r="52" spans="1:48" x14ac:dyDescent="0.35">
      <c r="A52" s="125" t="s">
        <v>104</v>
      </c>
      <c r="B52" s="130" t="s">
        <v>92</v>
      </c>
      <c r="C52" s="130" t="s">
        <v>66</v>
      </c>
      <c r="D52" s="130" t="s">
        <v>61</v>
      </c>
      <c r="E52" s="130" t="s">
        <v>53</v>
      </c>
      <c r="F52" s="130" t="s">
        <v>54</v>
      </c>
      <c r="H52" s="138">
        <v>0.14028619649985408</v>
      </c>
      <c r="I52" s="138">
        <v>0.14164038846995752</v>
      </c>
      <c r="J52" s="138">
        <v>0.1443531960477249</v>
      </c>
      <c r="K52" s="138">
        <v>0.1443531960477249</v>
      </c>
      <c r="L52" s="138">
        <v>0.14707191153891563</v>
      </c>
      <c r="M52" s="132">
        <v>0.15526362253922477</v>
      </c>
      <c r="N52" s="133"/>
      <c r="O52" s="132">
        <v>0.1335372965869035</v>
      </c>
      <c r="P52" s="132">
        <v>0.13488414009111604</v>
      </c>
      <c r="Q52" s="132">
        <v>0.1375822289110713</v>
      </c>
      <c r="R52" s="132">
        <v>0.1375822289110713</v>
      </c>
      <c r="S52" s="132">
        <v>0.14028619649985408</v>
      </c>
      <c r="T52" s="132">
        <v>0.15526362253922477</v>
      </c>
      <c r="U52" s="133"/>
      <c r="V52" s="138">
        <v>0.13623245038182419</v>
      </c>
      <c r="W52" s="138">
        <v>0.1375822289110713</v>
      </c>
      <c r="X52" s="138">
        <v>0.14028619649985408</v>
      </c>
      <c r="Y52" s="138">
        <v>0.14028619649985408</v>
      </c>
      <c r="Z52" s="138">
        <v>0.14299605449973818</v>
      </c>
      <c r="AA52" s="132">
        <v>0.15526362253922477</v>
      </c>
      <c r="AB52" s="141"/>
      <c r="AC52" s="138">
        <v>0.14707191153891563</v>
      </c>
      <c r="AD52" s="138">
        <v>0.14843348840566883</v>
      </c>
      <c r="AE52" s="138">
        <v>0.1497965466377309</v>
      </c>
      <c r="AF52" s="138">
        <v>0.15116108770013081</v>
      </c>
      <c r="AG52" s="138">
        <v>0.15252711305920341</v>
      </c>
      <c r="AH52" s="132">
        <v>0.15526362253922477</v>
      </c>
      <c r="AI52" s="141"/>
      <c r="AJ52" s="132">
        <v>0.1335372965869035</v>
      </c>
      <c r="AK52" s="132">
        <v>0.13488414009111604</v>
      </c>
      <c r="AL52" s="132">
        <v>0.1375822289110713</v>
      </c>
      <c r="AM52" s="132">
        <v>0.1375822289110713</v>
      </c>
      <c r="AN52" s="132">
        <v>0.14028619649985408</v>
      </c>
      <c r="AO52" s="132">
        <v>0.15526362253922477</v>
      </c>
      <c r="AP52" s="141"/>
      <c r="AQ52" s="327">
        <v>7.3143248890743306E-2</v>
      </c>
      <c r="AR52" s="327">
        <v>7.4424167721924617E-2</v>
      </c>
      <c r="AS52" s="327">
        <v>7.9561870720073591E-2</v>
      </c>
      <c r="AT52" s="327">
        <v>8.0849810365514863E-2</v>
      </c>
      <c r="AU52" s="327">
        <v>8.2139158364710863E-2</v>
      </c>
      <c r="AV52" s="327">
        <v>8.3429916117545799E-2</v>
      </c>
    </row>
    <row r="53" spans="1:48" x14ac:dyDescent="0.35">
      <c r="A53" s="125" t="s">
        <v>105</v>
      </c>
      <c r="B53" s="130" t="s">
        <v>92</v>
      </c>
      <c r="C53" s="130" t="s">
        <v>66</v>
      </c>
      <c r="D53" s="130" t="s">
        <v>61</v>
      </c>
      <c r="E53" s="130" t="s">
        <v>53</v>
      </c>
      <c r="F53" s="130" t="s">
        <v>56</v>
      </c>
      <c r="H53" s="138">
        <v>0.14028619649985408</v>
      </c>
      <c r="I53" s="138">
        <v>0.14164038846995752</v>
      </c>
      <c r="J53" s="138">
        <v>0.1443531960477249</v>
      </c>
      <c r="K53" s="138">
        <v>0.1443531960477249</v>
      </c>
      <c r="L53" s="138">
        <v>0.14707191153891563</v>
      </c>
      <c r="M53" s="132">
        <v>0.15526362253922477</v>
      </c>
      <c r="N53" s="133"/>
      <c r="O53" s="132">
        <v>0.1335372965869035</v>
      </c>
      <c r="P53" s="132">
        <v>0.13488414009111604</v>
      </c>
      <c r="Q53" s="132">
        <v>0.1375822289110713</v>
      </c>
      <c r="R53" s="132">
        <v>0.1375822289110713</v>
      </c>
      <c r="S53" s="132">
        <v>0.14028619649985408</v>
      </c>
      <c r="T53" s="132">
        <v>0.15526362253922477</v>
      </c>
      <c r="U53" s="133"/>
      <c r="V53" s="138">
        <v>0.13623245038182419</v>
      </c>
      <c r="W53" s="138">
        <v>0.1375822289110713</v>
      </c>
      <c r="X53" s="138">
        <v>0.14028619649985408</v>
      </c>
      <c r="Y53" s="138">
        <v>0.14028619649985408</v>
      </c>
      <c r="Z53" s="138">
        <v>0.14299605449973818</v>
      </c>
      <c r="AA53" s="132">
        <v>0.15526362253922477</v>
      </c>
      <c r="AB53" s="141"/>
      <c r="AC53" s="138">
        <v>0.14843348840566883</v>
      </c>
      <c r="AD53" s="138">
        <v>0.1497965466377309</v>
      </c>
      <c r="AE53" s="138">
        <v>0.15116108770013081</v>
      </c>
      <c r="AF53" s="138">
        <v>0.15252711305920341</v>
      </c>
      <c r="AG53" s="138">
        <v>0.15389462418258582</v>
      </c>
      <c r="AH53" s="132">
        <v>0.15526362253922477</v>
      </c>
      <c r="AI53" s="141"/>
      <c r="AJ53" s="132">
        <v>0.1335372965869035</v>
      </c>
      <c r="AK53" s="132">
        <v>0.13488414009111604</v>
      </c>
      <c r="AL53" s="132">
        <v>0.1375822289110713</v>
      </c>
      <c r="AM53" s="132">
        <v>0.1375822289110713</v>
      </c>
      <c r="AN53" s="132">
        <v>0.14028619649985408</v>
      </c>
      <c r="AO53" s="132">
        <v>0.15526362253922477</v>
      </c>
      <c r="AP53" s="141"/>
      <c r="AQ53" s="327">
        <v>7.4424167721924617E-2</v>
      </c>
      <c r="AR53" s="327">
        <v>7.570648792618595E-2</v>
      </c>
      <c r="AS53" s="327">
        <v>8.0849810365514863E-2</v>
      </c>
      <c r="AT53" s="327">
        <v>8.2139158364710863E-2</v>
      </c>
      <c r="AU53" s="327">
        <v>8.3429916117545799E-2</v>
      </c>
      <c r="AV53" s="327">
        <v>8.3429916117545799E-2</v>
      </c>
    </row>
    <row r="54" spans="1:48" x14ac:dyDescent="0.35">
      <c r="A54" s="125" t="s">
        <v>106</v>
      </c>
      <c r="B54" s="130" t="s">
        <v>92</v>
      </c>
      <c r="C54" s="130" t="s">
        <v>66</v>
      </c>
      <c r="D54" s="130" t="s">
        <v>61</v>
      </c>
      <c r="E54" s="130" t="s">
        <v>58</v>
      </c>
      <c r="F54" s="130" t="s">
        <v>54</v>
      </c>
      <c r="H54" s="138">
        <v>0.14299605449973818</v>
      </c>
      <c r="I54" s="138">
        <v>0.1443531960477249</v>
      </c>
      <c r="J54" s="138">
        <v>0.14707191153891563</v>
      </c>
      <c r="K54" s="138">
        <v>0.14707191153891563</v>
      </c>
      <c r="L54" s="138">
        <v>0.1497965466377309</v>
      </c>
      <c r="M54" s="132">
        <v>0.15526362253922477</v>
      </c>
      <c r="N54" s="133"/>
      <c r="O54" s="132">
        <v>0.13623245038182419</v>
      </c>
      <c r="P54" s="132">
        <v>0.1375822289110713</v>
      </c>
      <c r="Q54" s="132">
        <v>0.14028619649985408</v>
      </c>
      <c r="R54" s="132">
        <v>0.14028619649985408</v>
      </c>
      <c r="S54" s="132">
        <v>0.14299605449973818</v>
      </c>
      <c r="T54" s="132">
        <v>0.15526362253922477</v>
      </c>
      <c r="U54" s="133"/>
      <c r="V54" s="138">
        <v>0.1443531960477249</v>
      </c>
      <c r="W54" s="138">
        <v>0.14571181457374238</v>
      </c>
      <c r="X54" s="138">
        <v>0.14843348840566883</v>
      </c>
      <c r="Y54" s="138">
        <v>0.14843348840566883</v>
      </c>
      <c r="Z54" s="138">
        <v>0.15116108770013081</v>
      </c>
      <c r="AA54" s="132">
        <v>0.15526362253922477</v>
      </c>
      <c r="AB54" s="141"/>
      <c r="AC54" s="138">
        <v>0.1497965466377309</v>
      </c>
      <c r="AD54" s="138">
        <v>0.15116108770013081</v>
      </c>
      <c r="AE54" s="138">
        <v>0.15252711305920341</v>
      </c>
      <c r="AF54" s="138">
        <v>0.15389462418258582</v>
      </c>
      <c r="AG54" s="138">
        <v>0.15526362253922477</v>
      </c>
      <c r="AH54" s="132">
        <v>0.15526362253922477</v>
      </c>
      <c r="AI54" s="141"/>
      <c r="AJ54" s="132">
        <v>0.13623245038182419</v>
      </c>
      <c r="AK54" s="132">
        <v>0.1375822289110713</v>
      </c>
      <c r="AL54" s="132">
        <v>0.14028619649985408</v>
      </c>
      <c r="AM54" s="132">
        <v>0.14028619649985408</v>
      </c>
      <c r="AN54" s="132">
        <v>0.14299605449973818</v>
      </c>
      <c r="AO54" s="132">
        <v>0.15526362253922477</v>
      </c>
      <c r="AP54" s="141"/>
      <c r="AQ54" s="327">
        <v>7.4424167721924617E-2</v>
      </c>
      <c r="AR54" s="327">
        <v>7.6990210897167399E-2</v>
      </c>
      <c r="AS54" s="327">
        <v>8.0849810365514863E-2</v>
      </c>
      <c r="AT54" s="327">
        <v>8.2139158364710863E-2</v>
      </c>
      <c r="AU54" s="327">
        <v>8.3429916117545799E-2</v>
      </c>
      <c r="AV54" s="327">
        <v>8.4722085025153548E-2</v>
      </c>
    </row>
    <row r="55" spans="1:48" x14ac:dyDescent="0.35">
      <c r="A55" s="125" t="s">
        <v>107</v>
      </c>
      <c r="B55" s="130" t="s">
        <v>92</v>
      </c>
      <c r="C55" s="130" t="s">
        <v>66</v>
      </c>
      <c r="D55" s="130" t="s">
        <v>61</v>
      </c>
      <c r="E55" s="130" t="s">
        <v>58</v>
      </c>
      <c r="F55" s="130" t="s">
        <v>56</v>
      </c>
      <c r="H55" s="138">
        <v>0.14164038846995752</v>
      </c>
      <c r="I55" s="138">
        <v>0.14299605449973818</v>
      </c>
      <c r="J55" s="138">
        <v>0.14571181457374238</v>
      </c>
      <c r="K55" s="138">
        <v>0.14571181457374238</v>
      </c>
      <c r="L55" s="138">
        <v>0.14843348840566883</v>
      </c>
      <c r="M55" s="132">
        <v>0.15526362253922477</v>
      </c>
      <c r="N55" s="133"/>
      <c r="O55" s="132">
        <v>0.13623245038182419</v>
      </c>
      <c r="P55" s="132">
        <v>0.1375822289110713</v>
      </c>
      <c r="Q55" s="132">
        <v>0.14028619649985408</v>
      </c>
      <c r="R55" s="132">
        <v>0.14028619649985408</v>
      </c>
      <c r="S55" s="132">
        <v>0.14299605449973818</v>
      </c>
      <c r="T55" s="132">
        <v>0.15526362253922477</v>
      </c>
      <c r="U55" s="133"/>
      <c r="V55" s="138">
        <v>0.1443531960477249</v>
      </c>
      <c r="W55" s="138">
        <v>0.14571181457374238</v>
      </c>
      <c r="X55" s="138">
        <v>0.14843348840566883</v>
      </c>
      <c r="Y55" s="138">
        <v>0.14843348840566883</v>
      </c>
      <c r="Z55" s="138">
        <v>0.15116108770013081</v>
      </c>
      <c r="AA55" s="132">
        <v>0.15526362253922477</v>
      </c>
      <c r="AB55" s="141"/>
      <c r="AC55" s="138">
        <v>0.1497965466377309</v>
      </c>
      <c r="AD55" s="138">
        <v>0.15116108770013081</v>
      </c>
      <c r="AE55" s="138">
        <v>0.15252711305920341</v>
      </c>
      <c r="AF55" s="138">
        <v>0.15389462418258582</v>
      </c>
      <c r="AG55" s="138">
        <v>0.15526362253922477</v>
      </c>
      <c r="AH55" s="132">
        <v>0.15526362253922477</v>
      </c>
      <c r="AI55" s="141"/>
      <c r="AJ55" s="132">
        <v>0.13623245038182419</v>
      </c>
      <c r="AK55" s="132">
        <v>0.1375822289110713</v>
      </c>
      <c r="AL55" s="132">
        <v>0.14028619649985408</v>
      </c>
      <c r="AM55" s="132">
        <v>0.14028619649985408</v>
      </c>
      <c r="AN55" s="132">
        <v>0.14299605449973818</v>
      </c>
      <c r="AO55" s="132">
        <v>0.15526362253922477</v>
      </c>
      <c r="AP55" s="141"/>
      <c r="AQ55" s="327">
        <v>7.4424167721924617E-2</v>
      </c>
      <c r="AR55" s="327">
        <v>7.6990210897167399E-2</v>
      </c>
      <c r="AS55" s="327">
        <v>8.2139158364710863E-2</v>
      </c>
      <c r="AT55" s="327">
        <v>8.3429916117545799E-2</v>
      </c>
      <c r="AU55" s="327">
        <v>8.3429916117545799E-2</v>
      </c>
      <c r="AV55" s="327">
        <v>8.4722085025153548E-2</v>
      </c>
    </row>
    <row r="56" spans="1:48" x14ac:dyDescent="0.35">
      <c r="H56" s="131"/>
      <c r="I56" s="131"/>
      <c r="J56" s="131"/>
      <c r="K56" s="131"/>
      <c r="L56" s="131"/>
      <c r="M56" s="131"/>
      <c r="N56" s="131"/>
      <c r="O56" s="131"/>
      <c r="P56" s="131"/>
      <c r="Q56" s="131"/>
      <c r="R56" s="131"/>
      <c r="S56" s="131"/>
      <c r="T56" s="131"/>
      <c r="U56" s="131"/>
      <c r="V56" s="131"/>
      <c r="W56" s="131"/>
      <c r="X56" s="131"/>
      <c r="Y56" s="131"/>
      <c r="Z56" s="131"/>
      <c r="AA56" s="131"/>
    </row>
    <row r="57" spans="1:48" x14ac:dyDescent="0.35">
      <c r="F57" s="2" t="s">
        <v>108</v>
      </c>
      <c r="H57" s="131"/>
      <c r="I57" s="131"/>
      <c r="J57" s="131"/>
      <c r="K57" s="131"/>
      <c r="L57" s="131"/>
      <c r="M57" s="131"/>
      <c r="N57" s="131"/>
      <c r="O57" s="131"/>
      <c r="P57" s="131"/>
      <c r="Q57" s="131"/>
      <c r="R57" s="131"/>
      <c r="S57" s="131"/>
      <c r="T57" s="131"/>
      <c r="U57" s="131"/>
      <c r="V57" s="131"/>
      <c r="W57" s="131"/>
      <c r="X57" s="131"/>
      <c r="Y57" s="131"/>
      <c r="Z57" s="131"/>
      <c r="AA57" s="131"/>
    </row>
    <row r="58" spans="1:48" x14ac:dyDescent="0.35">
      <c r="F58" s="420" t="s">
        <v>109</v>
      </c>
      <c r="G58" s="358"/>
      <c r="H58" s="421" t="s">
        <v>110</v>
      </c>
      <c r="I58" s="421" t="s">
        <v>111</v>
      </c>
      <c r="J58" s="358"/>
      <c r="K58" s="358"/>
      <c r="L58" s="358"/>
      <c r="M58" s="358"/>
      <c r="N58" s="358"/>
      <c r="O58" s="422" t="s">
        <v>112</v>
      </c>
      <c r="P58" s="421" t="s">
        <v>113</v>
      </c>
      <c r="Q58" s="421" t="s">
        <v>114</v>
      </c>
      <c r="R58" s="421" t="s">
        <v>115</v>
      </c>
    </row>
    <row r="59" spans="1:48" x14ac:dyDescent="0.35">
      <c r="F59" s="423" t="s">
        <v>116</v>
      </c>
      <c r="G59" s="358"/>
      <c r="H59" s="424">
        <f>+MIN(H16:L23,H32:L39,H48:L55)</f>
        <v>0.12950555229212202</v>
      </c>
      <c r="I59" s="424">
        <f>+MAX(H16:L23,H32:L39,H48:L55)</f>
        <v>0.15663410959937174</v>
      </c>
      <c r="J59" s="361"/>
      <c r="K59" s="361"/>
      <c r="L59" s="462" t="s">
        <v>66</v>
      </c>
      <c r="M59" s="359" t="s">
        <v>92</v>
      </c>
      <c r="N59" s="358"/>
      <c r="O59" s="360">
        <f>+MAX(H48:L55)</f>
        <v>0.1497965466377309</v>
      </c>
      <c r="P59" s="360">
        <f>+MAX(AQ48:AV55)</f>
        <v>8.4722085025153548E-2</v>
      </c>
      <c r="Q59" s="360" t="s">
        <v>117</v>
      </c>
      <c r="R59" s="360" t="s">
        <v>117</v>
      </c>
    </row>
    <row r="60" spans="1:48" x14ac:dyDescent="0.35">
      <c r="F60" s="423" t="s">
        <v>118</v>
      </c>
      <c r="G60" s="358"/>
      <c r="H60" s="424">
        <f>+MIN(H8:L15,H24:L31,H40:L47)</f>
        <v>0.13893347713220328</v>
      </c>
      <c r="I60" s="424">
        <f>+MAX(H8:L15,H24:L31,H40:L47)</f>
        <v>0.17319661015484678</v>
      </c>
      <c r="J60" s="361"/>
      <c r="K60" s="361"/>
      <c r="L60" s="462"/>
      <c r="M60" s="359" t="s">
        <v>75</v>
      </c>
      <c r="N60" s="358"/>
      <c r="O60" s="360">
        <f>+MAX(H32:L39)</f>
        <v>0.15252711305920341</v>
      </c>
      <c r="P60" s="360">
        <f>+MAX(AQ32:AV39)</f>
        <v>8.7310661915505294E-2</v>
      </c>
      <c r="Q60" s="360" t="s">
        <v>117</v>
      </c>
      <c r="R60" s="360" t="s">
        <v>117</v>
      </c>
    </row>
    <row r="61" spans="1:48" x14ac:dyDescent="0.35">
      <c r="F61" s="423" t="s">
        <v>119</v>
      </c>
      <c r="G61" s="358"/>
      <c r="H61" s="424">
        <f>+MIN(O8:S15,O24:S31,O40:S47)</f>
        <v>0.13893347713220328</v>
      </c>
      <c r="I61" s="424">
        <f>+MAX(O8:S15,O24:S31,O40:S47)</f>
        <v>0.16488837723293726</v>
      </c>
      <c r="J61" s="361"/>
      <c r="K61" s="361"/>
      <c r="L61" s="462"/>
      <c r="M61" s="359" t="s">
        <v>50</v>
      </c>
      <c r="N61" s="358"/>
      <c r="O61" s="360">
        <f>+MAX(H16:L23)</f>
        <v>0.15663410959937174</v>
      </c>
      <c r="P61" s="360">
        <f>+MAX(AQ16:AV23)</f>
        <v>8.7310661915505294E-2</v>
      </c>
      <c r="Q61" s="360" t="s">
        <v>117</v>
      </c>
      <c r="R61" s="360" t="s">
        <v>117</v>
      </c>
    </row>
    <row r="62" spans="1:48" x14ac:dyDescent="0.35">
      <c r="F62" s="423" t="s">
        <v>120</v>
      </c>
      <c r="G62" s="358"/>
      <c r="H62" s="424">
        <f>+MIN(AJ8:AN15,AJ24:AN31,AJ40:AN47)</f>
        <v>0.13893347713220328</v>
      </c>
      <c r="I62" s="424">
        <f>+MAX(AJ8:AN15,AJ24:AN31,AJ40:AN47)</f>
        <v>0.16488837723293726</v>
      </c>
      <c r="J62" s="361"/>
      <c r="K62" s="361"/>
      <c r="L62" s="462" t="s">
        <v>51</v>
      </c>
      <c r="M62" s="359" t="s">
        <v>92</v>
      </c>
      <c r="N62" s="358"/>
      <c r="O62" s="360">
        <f>+MAX(H40:L47)</f>
        <v>0.16075451772299854</v>
      </c>
      <c r="P62" s="360">
        <f>+MAX(AQ40:AV47)</f>
        <v>9.3806897670984268E-2</v>
      </c>
      <c r="Q62" s="360">
        <f>+MAX(O40:S47)</f>
        <v>0.15526362253922477</v>
      </c>
      <c r="R62" s="360">
        <f>+MAX(AJ40:AN47)</f>
        <v>0.15526362253922477</v>
      </c>
    </row>
    <row r="63" spans="1:48" x14ac:dyDescent="0.35">
      <c r="F63" s="423" t="s">
        <v>121</v>
      </c>
      <c r="G63" s="358"/>
      <c r="H63" s="424">
        <f>+MIN(V16:Z23,V32:Z39,V48:Z55)</f>
        <v>0.1335372965869035</v>
      </c>
      <c r="I63" s="424">
        <f>MAX(V16:Z23,V32:Z39,V48:Z55)</f>
        <v>0.15937955571773355</v>
      </c>
      <c r="J63" s="361"/>
      <c r="K63" s="361"/>
      <c r="L63" s="462"/>
      <c r="M63" s="359" t="s">
        <v>75</v>
      </c>
      <c r="N63" s="358"/>
      <c r="O63" s="360">
        <f>+MAX(H24:L31)</f>
        <v>0.16765177626913008</v>
      </c>
      <c r="P63" s="360">
        <f>+MAX(AQ24:AV31)</f>
        <v>9.6415338967120068E-2</v>
      </c>
      <c r="Q63" s="360">
        <f>+MAX(O24:S31)</f>
        <v>0.16350892700314201</v>
      </c>
      <c r="R63" s="360">
        <f>+MAX(AJ24:AN31)</f>
        <v>0.16350892700314201</v>
      </c>
    </row>
    <row r="64" spans="1:48" x14ac:dyDescent="0.35">
      <c r="F64" s="423" t="s">
        <v>122</v>
      </c>
      <c r="G64" s="358"/>
      <c r="H64" s="424">
        <f>+MIN(V8:Z15,V24:Z31,V40:Z47)</f>
        <v>0.13893347713220328</v>
      </c>
      <c r="I64" s="424">
        <f>+MAX(V8:Z15,V24:Z31,V40:Z47)</f>
        <v>0.16903572803833167</v>
      </c>
      <c r="J64" s="361"/>
      <c r="K64" s="361"/>
      <c r="L64" s="462"/>
      <c r="M64" s="359" t="s">
        <v>50</v>
      </c>
      <c r="N64" s="358"/>
      <c r="O64" s="360">
        <f>+MAX(H8:L15)</f>
        <v>0.17319661015484678</v>
      </c>
      <c r="P64" s="360">
        <f>+MAX(AQ8:AV15)</f>
        <v>9.7721696761175814E-2</v>
      </c>
      <c r="Q64" s="360">
        <f>+MAX(O8:S15)</f>
        <v>0.16488837723293726</v>
      </c>
      <c r="R64" s="360">
        <f>+MAX(AJ8:AN15)</f>
        <v>0.16488837723293726</v>
      </c>
    </row>
    <row r="65" spans="6:19" x14ac:dyDescent="0.35">
      <c r="F65" s="423" t="s">
        <v>123</v>
      </c>
      <c r="G65" s="358"/>
      <c r="H65" s="424">
        <f>+MIN(AC16:AG23,AC32:AG39,AC48:AG55)</f>
        <v>0.14571181457374238</v>
      </c>
      <c r="I65" s="424">
        <f>+MAX(AC16:AG23,AC32:AG39,AC48:AG55)</f>
        <v>0.15526362253922477</v>
      </c>
      <c r="J65" s="361"/>
      <c r="K65" s="361"/>
      <c r="L65" s="358"/>
      <c r="M65" s="358"/>
      <c r="N65" s="358"/>
      <c r="O65" s="358"/>
      <c r="P65" s="358"/>
      <c r="Q65" s="358"/>
      <c r="R65" s="358"/>
    </row>
    <row r="66" spans="6:19" x14ac:dyDescent="0.35">
      <c r="F66" s="423" t="s">
        <v>124</v>
      </c>
      <c r="G66" s="358"/>
      <c r="H66" s="424">
        <f>+MIN(AC8:AG15,AC24:AG31,AC40:AG47)</f>
        <v>0.14164038846995752</v>
      </c>
      <c r="I66" s="424">
        <f>+MAX(AC8:AG15,AC24:AG31,AC40:AG47)</f>
        <v>0.1704211832856668</v>
      </c>
      <c r="J66" s="361"/>
      <c r="K66" s="361"/>
      <c r="L66" s="358"/>
      <c r="M66" s="358"/>
      <c r="N66" s="358"/>
      <c r="O66" s="358"/>
      <c r="P66" s="358"/>
      <c r="Q66" s="358"/>
      <c r="R66" s="358"/>
    </row>
    <row r="68" spans="6:19" x14ac:dyDescent="0.35">
      <c r="F68" s="2" t="s">
        <v>125</v>
      </c>
      <c r="H68" s="131"/>
      <c r="I68" s="131"/>
    </row>
    <row r="69" spans="6:19" x14ac:dyDescent="0.35">
      <c r="F69" s="420" t="s">
        <v>109</v>
      </c>
      <c r="G69" s="358"/>
      <c r="H69" s="421" t="s">
        <v>110</v>
      </c>
      <c r="I69" s="421" t="s">
        <v>111</v>
      </c>
      <c r="O69" s="464" t="s">
        <v>33</v>
      </c>
      <c r="P69" s="464"/>
      <c r="Q69" s="464"/>
      <c r="R69" s="464"/>
      <c r="S69" s="464"/>
    </row>
    <row r="70" spans="6:19" x14ac:dyDescent="0.35">
      <c r="F70" s="423" t="s">
        <v>116</v>
      </c>
      <c r="H70" s="424">
        <f>+MIN(AQ16:AV23,AQ32:AV39,AQ48:AV55)</f>
        <v>7.1863730040249596E-2</v>
      </c>
      <c r="I70" s="424">
        <f>+MAX(AQ16:AV23,AQ32:AV39,AQ48:AV55)</f>
        <v>8.7310661915505294E-2</v>
      </c>
      <c r="O70" s="464" t="s">
        <v>37</v>
      </c>
      <c r="P70" s="464" t="s">
        <v>51</v>
      </c>
      <c r="Q70" s="464"/>
      <c r="R70" s="464" t="s">
        <v>66</v>
      </c>
      <c r="S70" s="464"/>
    </row>
    <row r="71" spans="6:19" x14ac:dyDescent="0.35">
      <c r="F71" s="423" t="s">
        <v>118</v>
      </c>
      <c r="H71" s="424">
        <f>+MIN(AQ8:AV15,AQ24:AV31,AQ40:AV47)</f>
        <v>7.570648792618595E-2</v>
      </c>
      <c r="I71" s="424">
        <f>+MAX(AQ8:AV15,AQ24:AV31,AQ40:AV47)</f>
        <v>9.7721696761175814E-2</v>
      </c>
      <c r="O71" s="464"/>
      <c r="P71" s="425" t="s">
        <v>126</v>
      </c>
      <c r="Q71" s="425" t="s">
        <v>127</v>
      </c>
      <c r="R71" s="425" t="s">
        <v>126</v>
      </c>
      <c r="S71" s="425" t="s">
        <v>127</v>
      </c>
    </row>
    <row r="72" spans="6:19" x14ac:dyDescent="0.35">
      <c r="O72" s="426" t="s">
        <v>50</v>
      </c>
      <c r="P72" s="427">
        <f>+MIN(V8:Z15)</f>
        <v>0.14843348840566883</v>
      </c>
      <c r="Q72" s="427">
        <f>+NOMINAL(P72,12)</f>
        <v>0.13920000000000066</v>
      </c>
      <c r="R72" s="427">
        <f>+MIN(V16:Z23)</f>
        <v>0.1443531960477249</v>
      </c>
      <c r="S72" s="427">
        <f>+NOMINAL(R72,12)</f>
        <v>0.13560000000000105</v>
      </c>
    </row>
    <row r="73" spans="6:19" x14ac:dyDescent="0.35">
      <c r="O73" s="426" t="s">
        <v>75</v>
      </c>
      <c r="P73" s="427">
        <f>+MIN(V24:Z31)</f>
        <v>0.14028619649985408</v>
      </c>
      <c r="Q73" s="427">
        <f t="shared" ref="Q73:Q74" si="0">+NOMINAL(P73,12)</f>
        <v>0.13199999999999878</v>
      </c>
      <c r="R73" s="427">
        <f>+MIN(V32:Z39)</f>
        <v>0.13488414009111604</v>
      </c>
      <c r="S73" s="427">
        <f t="shared" ref="S73:S74" si="1">+NOMINAL(R73,12)</f>
        <v>0.12719999999999931</v>
      </c>
    </row>
    <row r="74" spans="6:19" x14ac:dyDescent="0.35">
      <c r="O74" s="426" t="s">
        <v>92</v>
      </c>
      <c r="P74" s="427">
        <f>+MIN(V40:Z47)</f>
        <v>0.13893347713220328</v>
      </c>
      <c r="Q74" s="427">
        <f t="shared" si="0"/>
        <v>0.13079999999999892</v>
      </c>
      <c r="R74" s="427">
        <f>+MIN(V48:Z55)</f>
        <v>0.1335372965869035</v>
      </c>
      <c r="S74" s="427">
        <f t="shared" si="1"/>
        <v>0.12599999999999945</v>
      </c>
    </row>
    <row r="75" spans="6:19" x14ac:dyDescent="0.35">
      <c r="O75" s="428"/>
      <c r="P75" s="428"/>
      <c r="Q75" s="428"/>
      <c r="R75" s="428"/>
      <c r="S75" s="428"/>
    </row>
    <row r="76" spans="6:19" x14ac:dyDescent="0.35">
      <c r="O76" s="428"/>
      <c r="P76" s="428"/>
      <c r="Q76" s="428"/>
      <c r="R76" s="428"/>
      <c r="S76" s="428"/>
    </row>
    <row r="77" spans="6:19" x14ac:dyDescent="0.35">
      <c r="O77" s="428"/>
      <c r="P77" s="464" t="s">
        <v>128</v>
      </c>
      <c r="Q77" s="464"/>
      <c r="R77" s="464"/>
      <c r="S77" s="428"/>
    </row>
    <row r="78" spans="6:19" x14ac:dyDescent="0.35">
      <c r="O78" s="428"/>
      <c r="P78" s="464" t="s">
        <v>37</v>
      </c>
      <c r="Q78" s="464" t="s">
        <v>51</v>
      </c>
      <c r="R78" s="464"/>
      <c r="S78" s="428"/>
    </row>
    <row r="79" spans="6:19" x14ac:dyDescent="0.35">
      <c r="O79" s="428"/>
      <c r="P79" s="464"/>
      <c r="Q79" s="429" t="s">
        <v>126</v>
      </c>
      <c r="R79" s="429" t="s">
        <v>127</v>
      </c>
      <c r="S79" s="428"/>
    </row>
    <row r="80" spans="6:19" x14ac:dyDescent="0.35">
      <c r="O80" s="428"/>
      <c r="P80" s="426" t="s">
        <v>50</v>
      </c>
      <c r="Q80" s="427">
        <f>+MIN(H12:L15)</f>
        <v>0.16075451772299854</v>
      </c>
      <c r="R80" s="427">
        <f>+NOMINAL(Q80,12)</f>
        <v>0.14999999999999947</v>
      </c>
      <c r="S80" s="428"/>
    </row>
    <row r="81" spans="15:19" x14ac:dyDescent="0.35">
      <c r="O81" s="428"/>
      <c r="P81" s="426" t="s">
        <v>75</v>
      </c>
      <c r="Q81" s="427">
        <f>+MIN(H28:L31)</f>
        <v>0.15663410959937174</v>
      </c>
      <c r="R81" s="427">
        <f t="shared" ref="R81:R82" si="2">+NOMINAL(Q81,12)</f>
        <v>0.14639999999999986</v>
      </c>
      <c r="S81" s="428"/>
    </row>
    <row r="82" spans="15:19" x14ac:dyDescent="0.35">
      <c r="O82" s="428"/>
      <c r="P82" s="426" t="s">
        <v>92</v>
      </c>
      <c r="Q82" s="427">
        <f>+MIN(H44:L47)</f>
        <v>0.15252711305920341</v>
      </c>
      <c r="R82" s="427">
        <f t="shared" si="2"/>
        <v>0.14280000000000026</v>
      </c>
      <c r="S82" s="428"/>
    </row>
  </sheetData>
  <sheetProtection algorithmName="SHA-512" hashValue="ZtVCJCsmpo/zNbsqKE6q7qKuqLtb5cbNMUMh5GsICNxr8sJAu8tnGg5Xf6H2sKLEv53o/kR//ahrHi5qBzXxug==" saltValue="/Swgfmwwk0x8zMnlwziRrA==" spinCount="100000" sheet="1" objects="1" scenarios="1"/>
  <autoFilter ref="A7:AV55" xr:uid="{512AC900-EDCA-4B4E-9751-68AFF836CC35}"/>
  <mergeCells count="15">
    <mergeCell ref="P78:P79"/>
    <mergeCell ref="Q78:R78"/>
    <mergeCell ref="O69:S69"/>
    <mergeCell ref="O70:O71"/>
    <mergeCell ref="P70:Q70"/>
    <mergeCell ref="R70:S70"/>
    <mergeCell ref="P77:R77"/>
    <mergeCell ref="L59:L61"/>
    <mergeCell ref="L62:L64"/>
    <mergeCell ref="AQ6:AV6"/>
    <mergeCell ref="H6:M6"/>
    <mergeCell ref="O6:T6"/>
    <mergeCell ref="V6:AA6"/>
    <mergeCell ref="AC6:AH6"/>
    <mergeCell ref="AJ6:AO6"/>
  </mergeCells>
  <phoneticPr fontId="10" type="noConversion"/>
  <conditionalFormatting sqref="AJ8:AN15 AJ24:AN31 AJ40:AN47">
    <cfRule type="containsText" dxfId="108" priority="1" operator="containsText" text="N">
      <formula>NOT(ISERROR(SEARCH("N",AJ8)))</formula>
    </cfRule>
  </conditionalFormatting>
  <pageMargins left="0.7" right="0.7" top="0.75" bottom="0.75" header="0.3" footer="0.3"/>
  <pageSetup paperSize="9" orientation="portrait" r:id="rId1"/>
  <ignoredErrors>
    <ignoredError sqref="P62:P64"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FAAC9-E521-4230-8D1D-39B8E6450027}">
  <sheetPr codeName="Hoja27">
    <pageSetUpPr fitToPage="1"/>
  </sheetPr>
  <dimension ref="A1:XFB378"/>
  <sheetViews>
    <sheetView showGridLines="0" view="pageBreakPreview" zoomScale="70" zoomScaleNormal="70" zoomScaleSheetLayoutView="70" workbookViewId="0">
      <pane ySplit="17" topLeftCell="A18" activePane="bottomLeft" state="frozen"/>
      <selection activeCell="B24" sqref="B24"/>
      <selection pane="bottomLeft" activeCell="B24" sqref="B24"/>
    </sheetView>
  </sheetViews>
  <sheetFormatPr baseColWidth="10" defaultColWidth="0" defaultRowHeight="15" customHeight="1" x14ac:dyDescent="0.35"/>
  <cols>
    <col min="1" max="1" width="3" style="2" customWidth="1"/>
    <col min="2" max="2" width="11.453125" style="2" customWidth="1"/>
    <col min="3" max="3" width="16.7265625" style="2" bestFit="1" customWidth="1"/>
    <col min="4" max="5" width="13.81640625" style="2" bestFit="1" customWidth="1"/>
    <col min="6" max="6" width="13.81640625" style="2" customWidth="1"/>
    <col min="7" max="7" width="15.7265625" style="2" hidden="1" customWidth="1"/>
    <col min="8" max="10" width="12.54296875" style="2" hidden="1" customWidth="1"/>
    <col min="11" max="11" width="14.7265625" style="2" bestFit="1" customWidth="1"/>
    <col min="12" max="12" width="12.81640625" style="2" bestFit="1" customWidth="1"/>
    <col min="13" max="13" width="13.81640625" style="2" bestFit="1" customWidth="1"/>
    <col min="14" max="14" width="15" style="2" customWidth="1"/>
    <col min="15" max="15" width="15.81640625" style="2" bestFit="1" customWidth="1"/>
    <col min="16" max="16" width="13.81640625" style="2" bestFit="1" customWidth="1"/>
    <col min="17" max="17" width="5.1796875" style="2" customWidth="1"/>
    <col min="18" max="18" width="11.453125" style="2" hidden="1"/>
    <col min="19" max="24" width="3.7265625" style="2" hidden="1"/>
    <col min="25" max="25" width="11.453125" style="2" hidden="1"/>
    <col min="26" max="16382" width="3.7265625" style="2" hidden="1"/>
    <col min="16383" max="16384" width="2.81640625" style="2" hidden="1"/>
  </cols>
  <sheetData>
    <row r="1" spans="1:17" ht="15" customHeight="1" x14ac:dyDescent="0.35">
      <c r="A1" s="60"/>
      <c r="B1" s="61"/>
      <c r="C1" s="61"/>
      <c r="D1" s="61"/>
      <c r="E1" s="61"/>
      <c r="F1" s="61"/>
      <c r="G1" s="61"/>
      <c r="H1" s="61"/>
      <c r="I1" s="61"/>
      <c r="J1" s="61"/>
      <c r="K1" s="61"/>
      <c r="L1" s="61"/>
      <c r="M1" s="61"/>
      <c r="N1" s="61"/>
      <c r="O1" s="430" t="str">
        <f>Pantalla_Inicio!J1</f>
        <v>Código: PCV_FOR_006
Versión: V02
Fecha de actualización: 04/05/2026</v>
      </c>
      <c r="P1" s="431"/>
    </row>
    <row r="2" spans="1:17" ht="21.75" customHeight="1" x14ac:dyDescent="0.35">
      <c r="A2" s="63"/>
      <c r="E2" s="565" t="s">
        <v>2588</v>
      </c>
      <c r="F2" s="565"/>
      <c r="G2" s="565"/>
      <c r="H2" s="565"/>
      <c r="I2" s="565"/>
      <c r="J2" s="565"/>
      <c r="K2" s="565"/>
      <c r="L2" s="565"/>
      <c r="M2" s="565"/>
      <c r="N2" s="140"/>
      <c r="O2" s="432"/>
      <c r="P2" s="433"/>
    </row>
    <row r="3" spans="1:17" ht="16.5" customHeight="1" x14ac:dyDescent="0.35">
      <c r="A3" s="63"/>
      <c r="E3" s="565"/>
      <c r="F3" s="565"/>
      <c r="G3" s="565"/>
      <c r="H3" s="565"/>
      <c r="I3" s="565"/>
      <c r="J3" s="565"/>
      <c r="K3" s="565"/>
      <c r="L3" s="565"/>
      <c r="M3" s="565"/>
      <c r="N3" s="140"/>
      <c r="O3" s="432"/>
      <c r="P3" s="433"/>
    </row>
    <row r="4" spans="1:17" ht="15.75" customHeight="1" x14ac:dyDescent="0.45">
      <c r="A4" s="64"/>
      <c r="B4" s="97" t="s">
        <v>2589</v>
      </c>
      <c r="C4" s="65"/>
      <c r="D4" s="65"/>
      <c r="E4" s="66"/>
      <c r="F4" s="66"/>
      <c r="G4" s="66"/>
      <c r="H4" s="66"/>
      <c r="I4" s="66"/>
      <c r="J4" s="66"/>
      <c r="K4" s="66"/>
      <c r="L4" s="66"/>
      <c r="M4" s="66"/>
      <c r="N4" s="66"/>
      <c r="O4" s="434"/>
      <c r="P4" s="435"/>
    </row>
    <row r="5" spans="1:17" ht="18" customHeight="1" x14ac:dyDescent="0.35">
      <c r="B5" s="570" t="s">
        <v>2590</v>
      </c>
      <c r="C5" s="570"/>
      <c r="D5" s="570"/>
      <c r="E5" s="570"/>
      <c r="F5" s="570"/>
      <c r="G5" s="570"/>
      <c r="H5" s="570"/>
      <c r="I5" s="570"/>
      <c r="J5" s="570"/>
      <c r="K5" s="570"/>
      <c r="L5" s="570"/>
      <c r="M5" s="570"/>
      <c r="N5" s="570"/>
      <c r="O5" s="570"/>
      <c r="P5" s="570"/>
      <c r="Q5" s="139"/>
    </row>
    <row r="6" spans="1:17" ht="18" customHeight="1" x14ac:dyDescent="0.35">
      <c r="B6" s="571"/>
      <c r="C6" s="571"/>
      <c r="D6" s="571"/>
      <c r="E6" s="571"/>
      <c r="F6" s="571"/>
      <c r="G6" s="571"/>
      <c r="H6" s="571"/>
      <c r="I6" s="571"/>
      <c r="J6" s="571"/>
      <c r="K6" s="571"/>
      <c r="L6" s="571"/>
      <c r="M6" s="571"/>
      <c r="N6" s="571"/>
      <c r="O6" s="571"/>
      <c r="P6" s="571"/>
      <c r="Q6" s="139"/>
    </row>
    <row r="7" spans="1:17" ht="19.5" customHeight="1" x14ac:dyDescent="0.35">
      <c r="B7" s="571"/>
      <c r="C7" s="571"/>
      <c r="D7" s="571"/>
      <c r="E7" s="571"/>
      <c r="F7" s="571"/>
      <c r="G7" s="571"/>
      <c r="H7" s="571"/>
      <c r="I7" s="571"/>
      <c r="J7" s="571"/>
      <c r="K7" s="571"/>
      <c r="L7" s="571"/>
      <c r="M7" s="571"/>
      <c r="N7" s="571"/>
      <c r="O7" s="571"/>
      <c r="P7" s="571"/>
      <c r="Q7" s="139"/>
    </row>
    <row r="8" spans="1:17" ht="15.75" customHeight="1" x14ac:dyDescent="0.35">
      <c r="B8" s="571"/>
      <c r="C8" s="571"/>
      <c r="D8" s="571"/>
      <c r="E8" s="571"/>
      <c r="F8" s="571"/>
      <c r="G8" s="571"/>
      <c r="H8" s="571"/>
      <c r="I8" s="571"/>
      <c r="J8" s="571"/>
      <c r="K8" s="571"/>
      <c r="L8" s="571"/>
      <c r="M8" s="571"/>
      <c r="N8" s="571"/>
      <c r="O8" s="571"/>
      <c r="P8" s="571"/>
      <c r="Q8" s="139"/>
    </row>
    <row r="9" spans="1:17" ht="17.25" customHeight="1" x14ac:dyDescent="0.35">
      <c r="B9" s="571"/>
      <c r="C9" s="571"/>
      <c r="D9" s="571"/>
      <c r="E9" s="571"/>
      <c r="F9" s="571"/>
      <c r="G9" s="571"/>
      <c r="H9" s="571"/>
      <c r="I9" s="571"/>
      <c r="J9" s="571"/>
      <c r="K9" s="571"/>
      <c r="L9" s="571"/>
      <c r="M9" s="571"/>
      <c r="N9" s="571"/>
      <c r="O9" s="571"/>
      <c r="P9" s="571"/>
      <c r="Q9" s="139"/>
    </row>
    <row r="10" spans="1:17" ht="21.75" customHeight="1" x14ac:dyDescent="0.35">
      <c r="B10" s="571"/>
      <c r="C10" s="571"/>
      <c r="D10" s="571"/>
      <c r="E10" s="571"/>
      <c r="F10" s="571"/>
      <c r="G10" s="571"/>
      <c r="H10" s="571"/>
      <c r="I10" s="571"/>
      <c r="J10" s="571"/>
      <c r="K10" s="571"/>
      <c r="L10" s="571"/>
      <c r="M10" s="571"/>
      <c r="N10" s="571"/>
      <c r="O10" s="571"/>
      <c r="P10" s="571"/>
      <c r="Q10" s="139"/>
    </row>
    <row r="11" spans="1:17" ht="27" customHeight="1" x14ac:dyDescent="0.35">
      <c r="B11" s="571"/>
      <c r="C11" s="571"/>
      <c r="D11" s="571"/>
      <c r="E11" s="571"/>
      <c r="F11" s="571"/>
      <c r="G11" s="571"/>
      <c r="H11" s="571"/>
      <c r="I11" s="571"/>
      <c r="J11" s="571"/>
      <c r="K11" s="571"/>
      <c r="L11" s="571"/>
      <c r="M11" s="571"/>
      <c r="N11" s="571"/>
      <c r="O11" s="571"/>
      <c r="P11" s="571"/>
      <c r="Q11" s="139"/>
    </row>
    <row r="12" spans="1:17" ht="21.75" customHeight="1" x14ac:dyDescent="0.35">
      <c r="B12" s="571" t="s">
        <v>2591</v>
      </c>
      <c r="C12" s="571"/>
      <c r="D12" s="571"/>
      <c r="E12" s="571"/>
      <c r="F12" s="571"/>
      <c r="G12" s="571"/>
      <c r="H12" s="571"/>
      <c r="I12" s="571"/>
      <c r="J12" s="571"/>
      <c r="K12" s="571"/>
      <c r="L12" s="571"/>
      <c r="M12" s="571"/>
      <c r="N12" s="571"/>
      <c r="O12" s="571"/>
      <c r="P12" s="571"/>
      <c r="Q12" s="139"/>
    </row>
    <row r="13" spans="1:17" ht="22.5" customHeight="1" x14ac:dyDescent="0.35">
      <c r="B13" s="571"/>
      <c r="C13" s="571"/>
      <c r="D13" s="571"/>
      <c r="E13" s="571"/>
      <c r="F13" s="571"/>
      <c r="G13" s="571"/>
      <c r="H13" s="571"/>
      <c r="I13" s="571"/>
      <c r="J13" s="571"/>
      <c r="K13" s="571"/>
      <c r="L13" s="571"/>
      <c r="M13" s="571"/>
      <c r="N13" s="571"/>
      <c r="O13" s="571"/>
      <c r="P13" s="571"/>
      <c r="Q13" s="139"/>
    </row>
    <row r="14" spans="1:17" ht="16" customHeight="1" x14ac:dyDescent="0.35">
      <c r="B14" s="330" t="s">
        <v>2592</v>
      </c>
      <c r="C14" s="337" t="e">
        <f ca="1">SUM(M19:M378)</f>
        <v>#VALUE!</v>
      </c>
      <c r="D14" s="330" t="s">
        <v>2593</v>
      </c>
      <c r="E14" s="338" t="e">
        <f ca="1">EFFECT((IRR(M18:M378,0))*12,12)</f>
        <v>#VALUE!</v>
      </c>
      <c r="F14" s="139"/>
      <c r="G14" s="139"/>
      <c r="H14" s="139"/>
      <c r="I14" s="139"/>
      <c r="J14" s="139"/>
      <c r="K14" s="139"/>
      <c r="L14" s="139"/>
      <c r="M14" s="139"/>
      <c r="N14" s="139"/>
      <c r="O14" s="139"/>
      <c r="P14" s="139"/>
      <c r="Q14" s="139"/>
    </row>
    <row r="15" spans="1:17" ht="8.25" customHeight="1" x14ac:dyDescent="0.35">
      <c r="B15" s="5"/>
    </row>
    <row r="16" spans="1:17" ht="23" x14ac:dyDescent="0.35">
      <c r="B16" s="5"/>
      <c r="C16" s="566" t="s">
        <v>2594</v>
      </c>
      <c r="D16" s="567"/>
      <c r="E16" s="567"/>
      <c r="F16" s="568"/>
      <c r="G16" s="569" t="s">
        <v>2595</v>
      </c>
      <c r="H16" s="569"/>
      <c r="I16" s="569"/>
      <c r="J16" s="569"/>
      <c r="K16" s="569"/>
      <c r="L16" s="569"/>
      <c r="M16" s="569"/>
    </row>
    <row r="17" spans="2:14" ht="46.5" x14ac:dyDescent="0.35">
      <c r="B17" s="41" t="s">
        <v>2596</v>
      </c>
      <c r="C17" s="42" t="s">
        <v>2597</v>
      </c>
      <c r="D17" s="42" t="s">
        <v>2598</v>
      </c>
      <c r="E17" s="42" t="str">
        <f>IF('Crédito de Vivienda'!C22="Mi Casa Ya","Interés con Beneficio MCY", "Interés UVR")</f>
        <v>Interés UVR</v>
      </c>
      <c r="F17" s="323" t="s">
        <v>2599</v>
      </c>
      <c r="G17" s="312" t="s">
        <v>2600</v>
      </c>
      <c r="H17" s="42" t="s">
        <v>2601</v>
      </c>
      <c r="I17" s="42" t="s">
        <v>2602</v>
      </c>
      <c r="J17" s="42" t="s">
        <v>2603</v>
      </c>
      <c r="K17" s="42" t="s">
        <v>2604</v>
      </c>
      <c r="L17" s="42" t="s">
        <v>2605</v>
      </c>
      <c r="M17" s="42" t="s">
        <v>2606</v>
      </c>
    </row>
    <row r="18" spans="2:14" ht="15.5" x14ac:dyDescent="0.35">
      <c r="B18" s="34">
        <v>0</v>
      </c>
      <c r="C18" s="311">
        <f ca="1">'Crédito de Vivienda UVR'!C20</f>
        <v>0</v>
      </c>
      <c r="D18" s="35"/>
      <c r="E18" s="7"/>
      <c r="F18" s="321"/>
      <c r="G18" s="319"/>
      <c r="H18" s="36"/>
      <c r="I18" s="36"/>
      <c r="J18" s="36"/>
      <c r="K18" s="37"/>
      <c r="L18" s="37"/>
      <c r="M18" s="336">
        <f ca="1">(-C18*'Crédito de Vivienda UVR'!$C$19)</f>
        <v>0</v>
      </c>
    </row>
    <row r="19" spans="2:14" ht="15.5" x14ac:dyDescent="0.35">
      <c r="B19" s="6">
        <v>1</v>
      </c>
      <c r="C19" s="311" t="e">
        <f ca="1">C18-D19</f>
        <v>#VALUE!</v>
      </c>
      <c r="D19" s="311" t="e">
        <f t="shared" ref="D19:D30" ca="1" si="0">F19-E19</f>
        <v>#VALUE!</v>
      </c>
      <c r="E19" s="311" t="e">
        <f ca="1">C18*'Crédito de Vivienda UVR'!$E$17</f>
        <v>#VALUE!</v>
      </c>
      <c r="F19" s="322" t="e">
        <f ca="1">PMT('Crédito de Vivienda UVR'!$E$17,'Crédito de Vivienda UVR'!$C$18,-'Crédito de Vivienda UVR'!$C$20,,)</f>
        <v>#VALUE!</v>
      </c>
      <c r="G19" s="320" t="e">
        <f ca="1">C18*(VLOOKUP('Crédito de Vivienda UVR'!$C$24,Seguros_Oblig!$A$3:$B$55,2,FALSE))</f>
        <v>#N/A</v>
      </c>
      <c r="H19" s="313" t="e">
        <f ca="1">C18*(VLOOKUP('Crédito de Vivienda UVR'!$C$25,Seguros_Oblig!$A$3:$B$55,2,FALSE))</f>
        <v>#N/A</v>
      </c>
      <c r="I19" s="313" t="e">
        <f ca="1">C18*(VLOOKUP('Crédito de Vivienda UVR'!$C$26,Seguros_Oblig!$A$3:$B$55,2,FALSE))</f>
        <v>#N/A</v>
      </c>
      <c r="J19" s="313" t="e">
        <f ca="1">C18*(VLOOKUP('Crédito de Vivienda UVR'!$C$27,Seguros_Oblig!$A$3:$B$55,2,FALSE))</f>
        <v>#N/A</v>
      </c>
      <c r="K19" s="35">
        <f ca="1">_xlfn.AGGREGATE(9,6,G19:J19)*'Crédito de Vivienda UVR'!$C$19</f>
        <v>0</v>
      </c>
      <c r="L19" s="35">
        <f>(Seguros_Oblig!$K$2*('Crédito de Vivienda UVR'!$C$12*90%))</f>
        <v>0</v>
      </c>
      <c r="M19" s="35" t="e">
        <f ca="1">K19+L19+(F19*'Crédito de Vivienda UVR'!$C$19)</f>
        <v>#VALUE!</v>
      </c>
    </row>
    <row r="20" spans="2:14" ht="15.5" x14ac:dyDescent="0.35">
      <c r="B20" s="6" t="e">
        <f ca="1">IF(C19&gt;1,B19+1," ")</f>
        <v>#VALUE!</v>
      </c>
      <c r="C20" s="311" t="e">
        <f t="shared" ref="C20:C83" ca="1" si="1">C19-D20</f>
        <v>#VALUE!</v>
      </c>
      <c r="D20" s="311" t="e">
        <f t="shared" ca="1" si="0"/>
        <v>#VALUE!</v>
      </c>
      <c r="E20" s="311" t="e">
        <f ca="1">C19*'Crédito de Vivienda UVR'!$E$17</f>
        <v>#VALUE!</v>
      </c>
      <c r="F20" s="322" t="e">
        <f ca="1">PMT('Crédito de Vivienda UVR'!$E$17,'Crédito de Vivienda UVR'!$C$18,-'Crédito de Vivienda UVR'!$C$20,,)</f>
        <v>#VALUE!</v>
      </c>
      <c r="G20" s="320" t="e">
        <f ca="1">C19*(VLOOKUP('Crédito de Vivienda UVR'!$C$24,Seguros_Oblig!$A$3:$B$55,2,FALSE))</f>
        <v>#VALUE!</v>
      </c>
      <c r="H20" s="313" t="e">
        <f ca="1">C19*(VLOOKUP('Crédito de Vivienda UVR'!$C$25,Seguros_Oblig!$A$3:$B$55,2,FALSE))</f>
        <v>#VALUE!</v>
      </c>
      <c r="I20" s="313" t="e">
        <f ca="1">C19*(VLOOKUP('Crédito de Vivienda UVR'!$C$26,Seguros_Oblig!$A$3:$B$55,2,FALSE))</f>
        <v>#VALUE!</v>
      </c>
      <c r="J20" s="313" t="e">
        <f ca="1">C19*(VLOOKUP('Crédito de Vivienda UVR'!$C$27,Seguros_Oblig!$A$3:$B$55,2,FALSE))</f>
        <v>#VALUE!</v>
      </c>
      <c r="K20" s="35">
        <f ca="1">_xlfn.AGGREGATE(9,6,G20:J20)*'Crédito de Vivienda UVR'!$C$19</f>
        <v>0</v>
      </c>
      <c r="L20" s="35">
        <f>(Seguros_Oblig!$K$2*('Crédito de Vivienda UVR'!$C$12*90%))</f>
        <v>0</v>
      </c>
      <c r="M20" s="35" t="e">
        <f ca="1">K20+L20+(F20*'Crédito de Vivienda UVR'!$C$19)</f>
        <v>#VALUE!</v>
      </c>
      <c r="N20" s="316"/>
    </row>
    <row r="21" spans="2:14" ht="15.5" x14ac:dyDescent="0.35">
      <c r="B21" s="6" t="e">
        <f ca="1">IF(C20&gt;1,B20+1,"")</f>
        <v>#VALUE!</v>
      </c>
      <c r="C21" s="311" t="e">
        <f t="shared" ca="1" si="1"/>
        <v>#VALUE!</v>
      </c>
      <c r="D21" s="311" t="e">
        <f t="shared" ca="1" si="0"/>
        <v>#VALUE!</v>
      </c>
      <c r="E21" s="311" t="e">
        <f ca="1">C20*'Crédito de Vivienda UVR'!$E$17</f>
        <v>#VALUE!</v>
      </c>
      <c r="F21" s="322" t="e">
        <f ca="1">PMT('Crédito de Vivienda UVR'!$E$17,'Crédito de Vivienda UVR'!$C$18,-'Crédito de Vivienda UVR'!$C$20,,)</f>
        <v>#VALUE!</v>
      </c>
      <c r="G21" s="320" t="e">
        <f ca="1">C20*(VLOOKUP('Crédito de Vivienda UVR'!$C$24,Seguros_Oblig!$A$3:$B$55,2,FALSE))</f>
        <v>#VALUE!</v>
      </c>
      <c r="H21" s="313" t="e">
        <f ca="1">C20*(VLOOKUP('Crédito de Vivienda UVR'!$C$25,Seguros_Oblig!$A$3:$B$55,2,FALSE))</f>
        <v>#VALUE!</v>
      </c>
      <c r="I21" s="313" t="e">
        <f ca="1">C20*(VLOOKUP('Crédito de Vivienda UVR'!$C$26,Seguros_Oblig!$A$3:$B$55,2,FALSE))</f>
        <v>#VALUE!</v>
      </c>
      <c r="J21" s="313" t="e">
        <f ca="1">C20*(VLOOKUP('Crédito de Vivienda UVR'!$C$27,Seguros_Oblig!$A$3:$B$55,2,FALSE))</f>
        <v>#VALUE!</v>
      </c>
      <c r="K21" s="35">
        <f ca="1">_xlfn.AGGREGATE(9,6,G21:J21)*'Crédito de Vivienda UVR'!$C$19</f>
        <v>0</v>
      </c>
      <c r="L21" s="35">
        <f>(Seguros_Oblig!$K$2*('Crédito de Vivienda UVR'!$C$12*90%))</f>
        <v>0</v>
      </c>
      <c r="M21" s="35" t="e">
        <f ca="1">K21+L21+(F21*'Crédito de Vivienda UVR'!$C$19)</f>
        <v>#VALUE!</v>
      </c>
      <c r="N21" s="316"/>
    </row>
    <row r="22" spans="2:14" ht="15.5" x14ac:dyDescent="0.35">
      <c r="B22" s="6" t="e">
        <f ca="1">IF(C21&gt;1,B21+1," ")</f>
        <v>#VALUE!</v>
      </c>
      <c r="C22" s="311" t="e">
        <f t="shared" ca="1" si="1"/>
        <v>#VALUE!</v>
      </c>
      <c r="D22" s="311" t="e">
        <f t="shared" ca="1" si="0"/>
        <v>#VALUE!</v>
      </c>
      <c r="E22" s="311" t="e">
        <f ca="1">C21*'Crédito de Vivienda UVR'!$E$17</f>
        <v>#VALUE!</v>
      </c>
      <c r="F22" s="322" t="e">
        <f ca="1">PMT('Crédito de Vivienda UVR'!$E$17,'Crédito de Vivienda UVR'!$C$18,-'Crédito de Vivienda UVR'!$C$20,,)</f>
        <v>#VALUE!</v>
      </c>
      <c r="G22" s="320" t="e">
        <f ca="1">C21*(VLOOKUP('Crédito de Vivienda UVR'!$C$24,Seguros_Oblig!$A$3:$B$55,2,FALSE))</f>
        <v>#VALUE!</v>
      </c>
      <c r="H22" s="313" t="e">
        <f ca="1">C21*(VLOOKUP('Crédito de Vivienda UVR'!$C$25,Seguros_Oblig!$A$3:$B$55,2,FALSE))</f>
        <v>#VALUE!</v>
      </c>
      <c r="I22" s="313" t="e">
        <f ca="1">C21*(VLOOKUP('Crédito de Vivienda UVR'!$C$26,Seguros_Oblig!$A$3:$B$55,2,FALSE))</f>
        <v>#VALUE!</v>
      </c>
      <c r="J22" s="313" t="e">
        <f ca="1">C21*(VLOOKUP('Crédito de Vivienda UVR'!$C$27,Seguros_Oblig!$A$3:$B$55,2,FALSE))</f>
        <v>#VALUE!</v>
      </c>
      <c r="K22" s="35">
        <f ca="1">_xlfn.AGGREGATE(9,6,G22:J22)*'Crédito de Vivienda UVR'!$C$19</f>
        <v>0</v>
      </c>
      <c r="L22" s="35">
        <f>(Seguros_Oblig!$K$2*('Crédito de Vivienda UVR'!$C$12*90%))</f>
        <v>0</v>
      </c>
      <c r="M22" s="35" t="e">
        <f ca="1">K22+L22+(F22*'Crédito de Vivienda UVR'!$C$19)</f>
        <v>#VALUE!</v>
      </c>
      <c r="N22" s="316"/>
    </row>
    <row r="23" spans="2:14" ht="15.5" x14ac:dyDescent="0.35">
      <c r="B23" s="6" t="e">
        <f ca="1">IF(C22&gt;1,B22+1," ")</f>
        <v>#VALUE!</v>
      </c>
      <c r="C23" s="311" t="e">
        <f t="shared" ca="1" si="1"/>
        <v>#VALUE!</v>
      </c>
      <c r="D23" s="311" t="e">
        <f t="shared" ca="1" si="0"/>
        <v>#VALUE!</v>
      </c>
      <c r="E23" s="311" t="e">
        <f ca="1">C22*'Crédito de Vivienda UVR'!$E$17</f>
        <v>#VALUE!</v>
      </c>
      <c r="F23" s="322" t="e">
        <f ca="1">PMT('Crédito de Vivienda UVR'!$E$17,'Crédito de Vivienda UVR'!$C$18,-'Crédito de Vivienda UVR'!$C$20,,)</f>
        <v>#VALUE!</v>
      </c>
      <c r="G23" s="320" t="e">
        <f ca="1">C22*(VLOOKUP('Crédito de Vivienda UVR'!$C$24,Seguros_Oblig!$A$3:$B$55,2,FALSE))</f>
        <v>#VALUE!</v>
      </c>
      <c r="H23" s="313" t="e">
        <f ca="1">C22*(VLOOKUP('Crédito de Vivienda UVR'!$C$25,Seguros_Oblig!$A$3:$B$55,2,FALSE))</f>
        <v>#VALUE!</v>
      </c>
      <c r="I23" s="313" t="e">
        <f ca="1">C22*(VLOOKUP('Crédito de Vivienda UVR'!$C$26,Seguros_Oblig!$A$3:$B$55,2,FALSE))</f>
        <v>#VALUE!</v>
      </c>
      <c r="J23" s="313" t="e">
        <f ca="1">C22*(VLOOKUP('Crédito de Vivienda UVR'!$C$27,Seguros_Oblig!$A$3:$B$55,2,FALSE))</f>
        <v>#VALUE!</v>
      </c>
      <c r="K23" s="35">
        <f ca="1">_xlfn.AGGREGATE(9,6,G23:J23)*'Crédito de Vivienda UVR'!$C$19</f>
        <v>0</v>
      </c>
      <c r="L23" s="35">
        <f>(Seguros_Oblig!$K$2*('Crédito de Vivienda UVR'!$C$12*90%))</f>
        <v>0</v>
      </c>
      <c r="M23" s="35" t="e">
        <f ca="1">K23+L23+(F23*'Crédito de Vivienda UVR'!$C$19)</f>
        <v>#VALUE!</v>
      </c>
      <c r="N23" s="316"/>
    </row>
    <row r="24" spans="2:14" ht="15.5" x14ac:dyDescent="0.35">
      <c r="B24" s="6" t="e">
        <f ca="1">IF(C23&gt;1,B23+1," ")</f>
        <v>#VALUE!</v>
      </c>
      <c r="C24" s="311" t="e">
        <f t="shared" ca="1" si="1"/>
        <v>#VALUE!</v>
      </c>
      <c r="D24" s="311" t="e">
        <f t="shared" ca="1" si="0"/>
        <v>#VALUE!</v>
      </c>
      <c r="E24" s="311" t="e">
        <f ca="1">C23*'Crédito de Vivienda UVR'!$E$17</f>
        <v>#VALUE!</v>
      </c>
      <c r="F24" s="322" t="e">
        <f ca="1">PMT('Crédito de Vivienda UVR'!$E$17,'Crédito de Vivienda UVR'!$C$18,-'Crédito de Vivienda UVR'!$C$20,,)</f>
        <v>#VALUE!</v>
      </c>
      <c r="G24" s="320" t="e">
        <f ca="1">C23*(VLOOKUP('Crédito de Vivienda UVR'!$C$24,Seguros_Oblig!$A$3:$B$55,2,FALSE))</f>
        <v>#VALUE!</v>
      </c>
      <c r="H24" s="313" t="e">
        <f ca="1">C23*(VLOOKUP('Crédito de Vivienda UVR'!$C$25,Seguros_Oblig!$A$3:$B$55,2,FALSE))</f>
        <v>#VALUE!</v>
      </c>
      <c r="I24" s="313" t="e">
        <f ca="1">C23*(VLOOKUP('Crédito de Vivienda UVR'!$C$26,Seguros_Oblig!$A$3:$B$55,2,FALSE))</f>
        <v>#VALUE!</v>
      </c>
      <c r="J24" s="313" t="e">
        <f ca="1">C23*(VLOOKUP('Crédito de Vivienda UVR'!$C$27,Seguros_Oblig!$A$3:$B$55,2,FALSE))</f>
        <v>#VALUE!</v>
      </c>
      <c r="K24" s="35">
        <f ca="1">_xlfn.AGGREGATE(9,6,G24:J24)*'Crédito de Vivienda UVR'!$C$19</f>
        <v>0</v>
      </c>
      <c r="L24" s="35">
        <f>(Seguros_Oblig!$K$2*('Crédito de Vivienda UVR'!$C$12*90%))</f>
        <v>0</v>
      </c>
      <c r="M24" s="35" t="e">
        <f ca="1">K24+L24+(F24*'Crédito de Vivienda UVR'!$C$19)</f>
        <v>#VALUE!</v>
      </c>
      <c r="N24" s="316"/>
    </row>
    <row r="25" spans="2:14" ht="15.5" x14ac:dyDescent="0.35">
      <c r="B25" s="6" t="e">
        <f t="shared" ref="B25:B88" ca="1" si="2">IF(C24&gt;1,B24+1," ")</f>
        <v>#VALUE!</v>
      </c>
      <c r="C25" s="311" t="e">
        <f t="shared" ca="1" si="1"/>
        <v>#VALUE!</v>
      </c>
      <c r="D25" s="311" t="e">
        <f t="shared" ca="1" si="0"/>
        <v>#VALUE!</v>
      </c>
      <c r="E25" s="311" t="e">
        <f ca="1">C24*'Crédito de Vivienda UVR'!$E$17</f>
        <v>#VALUE!</v>
      </c>
      <c r="F25" s="322" t="e">
        <f ca="1">PMT('Crédito de Vivienda UVR'!$E$17,'Crédito de Vivienda UVR'!$C$18,-'Crédito de Vivienda UVR'!$C$20,,)</f>
        <v>#VALUE!</v>
      </c>
      <c r="G25" s="320" t="e">
        <f ca="1">C24*(VLOOKUP('Crédito de Vivienda UVR'!$C$24,Seguros_Oblig!$A$3:$B$55,2,FALSE))</f>
        <v>#VALUE!</v>
      </c>
      <c r="H25" s="313" t="e">
        <f ca="1">C24*(VLOOKUP('Crédito de Vivienda UVR'!$C$25,Seguros_Oblig!$A$3:$B$55,2,FALSE))</f>
        <v>#VALUE!</v>
      </c>
      <c r="I25" s="313" t="e">
        <f ca="1">C24*(VLOOKUP('Crédito de Vivienda UVR'!$C$26,Seguros_Oblig!$A$3:$B$55,2,FALSE))</f>
        <v>#VALUE!</v>
      </c>
      <c r="J25" s="313" t="e">
        <f ca="1">C24*(VLOOKUP('Crédito de Vivienda UVR'!$C$27,Seguros_Oblig!$A$3:$B$55,2,FALSE))</f>
        <v>#VALUE!</v>
      </c>
      <c r="K25" s="35">
        <f ca="1">_xlfn.AGGREGATE(9,6,G25:J25)*'Crédito de Vivienda UVR'!$C$19</f>
        <v>0</v>
      </c>
      <c r="L25" s="35">
        <f>(Seguros_Oblig!$K$2*('Crédito de Vivienda UVR'!$C$12*90%))</f>
        <v>0</v>
      </c>
      <c r="M25" s="35" t="e">
        <f ca="1">K25+L25+(F25*'Crédito de Vivienda UVR'!$C$19)</f>
        <v>#VALUE!</v>
      </c>
      <c r="N25" s="316"/>
    </row>
    <row r="26" spans="2:14" ht="15.5" x14ac:dyDescent="0.35">
      <c r="B26" s="6" t="e">
        <f t="shared" ca="1" si="2"/>
        <v>#VALUE!</v>
      </c>
      <c r="C26" s="311" t="e">
        <f t="shared" ca="1" si="1"/>
        <v>#VALUE!</v>
      </c>
      <c r="D26" s="311" t="e">
        <f t="shared" ca="1" si="0"/>
        <v>#VALUE!</v>
      </c>
      <c r="E26" s="311" t="e">
        <f ca="1">C25*'Crédito de Vivienda UVR'!$E$17</f>
        <v>#VALUE!</v>
      </c>
      <c r="F26" s="322" t="e">
        <f ca="1">PMT('Crédito de Vivienda UVR'!$E$17,'Crédito de Vivienda UVR'!$C$18,-'Crédito de Vivienda UVR'!$C$20,,)</f>
        <v>#VALUE!</v>
      </c>
      <c r="G26" s="320" t="e">
        <f ca="1">C25*(VLOOKUP('Crédito de Vivienda UVR'!$C$24,Seguros_Oblig!$A$3:$B$55,2,FALSE))</f>
        <v>#VALUE!</v>
      </c>
      <c r="H26" s="313" t="e">
        <f ca="1">C25*(VLOOKUP('Crédito de Vivienda UVR'!$C$25,Seguros_Oblig!$A$3:$B$55,2,FALSE))</f>
        <v>#VALUE!</v>
      </c>
      <c r="I26" s="313" t="e">
        <f ca="1">C25*(VLOOKUP('Crédito de Vivienda UVR'!$C$26,Seguros_Oblig!$A$3:$B$55,2,FALSE))</f>
        <v>#VALUE!</v>
      </c>
      <c r="J26" s="313" t="e">
        <f ca="1">C25*(VLOOKUP('Crédito de Vivienda UVR'!$C$27,Seguros_Oblig!$A$3:$B$55,2,FALSE))</f>
        <v>#VALUE!</v>
      </c>
      <c r="K26" s="35">
        <f ca="1">_xlfn.AGGREGATE(9,6,G26:J26)*'Crédito de Vivienda UVR'!$C$19</f>
        <v>0</v>
      </c>
      <c r="L26" s="35">
        <f>(Seguros_Oblig!$K$2*('Crédito de Vivienda UVR'!$C$12*90%))</f>
        <v>0</v>
      </c>
      <c r="M26" s="35" t="e">
        <f ca="1">K26+L26+(F26*'Crédito de Vivienda UVR'!$C$19)</f>
        <v>#VALUE!</v>
      </c>
      <c r="N26" s="316"/>
    </row>
    <row r="27" spans="2:14" ht="15.5" x14ac:dyDescent="0.35">
      <c r="B27" s="6" t="e">
        <f t="shared" ca="1" si="2"/>
        <v>#VALUE!</v>
      </c>
      <c r="C27" s="311" t="e">
        <f t="shared" ca="1" si="1"/>
        <v>#VALUE!</v>
      </c>
      <c r="D27" s="311" t="e">
        <f t="shared" ca="1" si="0"/>
        <v>#VALUE!</v>
      </c>
      <c r="E27" s="311" t="e">
        <f ca="1">C26*'Crédito de Vivienda UVR'!$E$17</f>
        <v>#VALUE!</v>
      </c>
      <c r="F27" s="322" t="e">
        <f ca="1">PMT('Crédito de Vivienda UVR'!$E$17,'Crédito de Vivienda UVR'!$C$18,-'Crédito de Vivienda UVR'!$C$20,,)</f>
        <v>#VALUE!</v>
      </c>
      <c r="G27" s="320" t="e">
        <f ca="1">C26*(VLOOKUP('Crédito de Vivienda UVR'!$C$24,Seguros_Oblig!$A$3:$B$55,2,FALSE))</f>
        <v>#VALUE!</v>
      </c>
      <c r="H27" s="313" t="e">
        <f ca="1">C26*(VLOOKUP('Crédito de Vivienda UVR'!$C$25,Seguros_Oblig!$A$3:$B$55,2,FALSE))</f>
        <v>#VALUE!</v>
      </c>
      <c r="I27" s="313" t="e">
        <f ca="1">C26*(VLOOKUP('Crédito de Vivienda UVR'!$C$26,Seguros_Oblig!$A$3:$B$55,2,FALSE))</f>
        <v>#VALUE!</v>
      </c>
      <c r="J27" s="313" t="e">
        <f ca="1">C26*(VLOOKUP('Crédito de Vivienda UVR'!$C$27,Seguros_Oblig!$A$3:$B$55,2,FALSE))</f>
        <v>#VALUE!</v>
      </c>
      <c r="K27" s="35">
        <f ca="1">_xlfn.AGGREGATE(9,6,G27:J27)*'Crédito de Vivienda UVR'!$C$19</f>
        <v>0</v>
      </c>
      <c r="L27" s="35">
        <f>(Seguros_Oblig!$K$2*('Crédito de Vivienda UVR'!$C$12*90%))</f>
        <v>0</v>
      </c>
      <c r="M27" s="35" t="e">
        <f ca="1">K27+L27+(F27*'Crédito de Vivienda UVR'!$C$19)</f>
        <v>#VALUE!</v>
      </c>
      <c r="N27" s="316"/>
    </row>
    <row r="28" spans="2:14" ht="15.5" x14ac:dyDescent="0.35">
      <c r="B28" s="6" t="e">
        <f t="shared" ca="1" si="2"/>
        <v>#VALUE!</v>
      </c>
      <c r="C28" s="311" t="e">
        <f t="shared" ca="1" si="1"/>
        <v>#VALUE!</v>
      </c>
      <c r="D28" s="311" t="e">
        <f t="shared" ca="1" si="0"/>
        <v>#VALUE!</v>
      </c>
      <c r="E28" s="311" t="e">
        <f ca="1">C27*'Crédito de Vivienda UVR'!$E$17</f>
        <v>#VALUE!</v>
      </c>
      <c r="F28" s="322" t="e">
        <f ca="1">PMT('Crédito de Vivienda UVR'!$E$17,'Crédito de Vivienda UVR'!$C$18,-'Crédito de Vivienda UVR'!$C$20,,)</f>
        <v>#VALUE!</v>
      </c>
      <c r="G28" s="320" t="e">
        <f ca="1">C27*(VLOOKUP('Crédito de Vivienda UVR'!$C$24,Seguros_Oblig!$A$3:$B$55,2,FALSE))</f>
        <v>#VALUE!</v>
      </c>
      <c r="H28" s="313" t="e">
        <f ca="1">C27*(VLOOKUP('Crédito de Vivienda UVR'!$C$25,Seguros_Oblig!$A$3:$B$55,2,FALSE))</f>
        <v>#VALUE!</v>
      </c>
      <c r="I28" s="313" t="e">
        <f ca="1">C27*(VLOOKUP('Crédito de Vivienda UVR'!$C$26,Seguros_Oblig!$A$3:$B$55,2,FALSE))</f>
        <v>#VALUE!</v>
      </c>
      <c r="J28" s="313" t="e">
        <f ca="1">C27*(VLOOKUP('Crédito de Vivienda UVR'!$C$27,Seguros_Oblig!$A$3:$B$55,2,FALSE))</f>
        <v>#VALUE!</v>
      </c>
      <c r="K28" s="35">
        <f ca="1">_xlfn.AGGREGATE(9,6,G28:J28)*'Crédito de Vivienda UVR'!$C$19</f>
        <v>0</v>
      </c>
      <c r="L28" s="35">
        <f>(Seguros_Oblig!$K$2*('Crédito de Vivienda UVR'!$C$12*90%))</f>
        <v>0</v>
      </c>
      <c r="M28" s="35" t="e">
        <f ca="1">K28+L28+(F28*'Crédito de Vivienda UVR'!$C$19)</f>
        <v>#VALUE!</v>
      </c>
      <c r="N28" s="316"/>
    </row>
    <row r="29" spans="2:14" ht="15.5" x14ac:dyDescent="0.35">
      <c r="B29" s="6" t="e">
        <f t="shared" ca="1" si="2"/>
        <v>#VALUE!</v>
      </c>
      <c r="C29" s="311" t="e">
        <f t="shared" ca="1" si="1"/>
        <v>#VALUE!</v>
      </c>
      <c r="D29" s="311" t="e">
        <f t="shared" ca="1" si="0"/>
        <v>#VALUE!</v>
      </c>
      <c r="E29" s="311" t="e">
        <f ca="1">C28*'Crédito de Vivienda UVR'!$E$17</f>
        <v>#VALUE!</v>
      </c>
      <c r="F29" s="322" t="e">
        <f ca="1">PMT('Crédito de Vivienda UVR'!$E$17,'Crédito de Vivienda UVR'!$C$18,-'Crédito de Vivienda UVR'!$C$20,,)</f>
        <v>#VALUE!</v>
      </c>
      <c r="G29" s="320" t="e">
        <f ca="1">C28*(VLOOKUP('Crédito de Vivienda UVR'!$C$24,Seguros_Oblig!$A$3:$B$55,2,FALSE))</f>
        <v>#VALUE!</v>
      </c>
      <c r="H29" s="313" t="e">
        <f ca="1">C28*(VLOOKUP('Crédito de Vivienda UVR'!$C$25,Seguros_Oblig!$A$3:$B$55,2,FALSE))</f>
        <v>#VALUE!</v>
      </c>
      <c r="I29" s="313" t="e">
        <f ca="1">C28*(VLOOKUP('Crédito de Vivienda UVR'!$C$26,Seguros_Oblig!$A$3:$B$55,2,FALSE))</f>
        <v>#VALUE!</v>
      </c>
      <c r="J29" s="313" t="e">
        <f ca="1">C28*(VLOOKUP('Crédito de Vivienda UVR'!$C$27,Seguros_Oblig!$A$3:$B$55,2,FALSE))</f>
        <v>#VALUE!</v>
      </c>
      <c r="K29" s="35">
        <f ca="1">_xlfn.AGGREGATE(9,6,G29:J29)*'Crédito de Vivienda UVR'!$C$19</f>
        <v>0</v>
      </c>
      <c r="L29" s="35">
        <f>(Seguros_Oblig!$K$2*('Crédito de Vivienda UVR'!$C$12*90%))</f>
        <v>0</v>
      </c>
      <c r="M29" s="35" t="e">
        <f ca="1">K29+L29+(F29*'Crédito de Vivienda UVR'!$C$19)</f>
        <v>#VALUE!</v>
      </c>
      <c r="N29" s="316"/>
    </row>
    <row r="30" spans="2:14" ht="15.5" x14ac:dyDescent="0.35">
      <c r="B30" s="6" t="e">
        <f t="shared" ca="1" si="2"/>
        <v>#VALUE!</v>
      </c>
      <c r="C30" s="311" t="e">
        <f t="shared" ca="1" si="1"/>
        <v>#VALUE!</v>
      </c>
      <c r="D30" s="311" t="e">
        <f t="shared" ca="1" si="0"/>
        <v>#VALUE!</v>
      </c>
      <c r="E30" s="311" t="e">
        <f ca="1">C29*'Crédito de Vivienda UVR'!$E$17</f>
        <v>#VALUE!</v>
      </c>
      <c r="F30" s="322" t="e">
        <f ca="1">PMT('Crédito de Vivienda UVR'!$E$17,'Crédito de Vivienda UVR'!$C$18,-'Crédito de Vivienda UVR'!$C$20,,)</f>
        <v>#VALUE!</v>
      </c>
      <c r="G30" s="320" t="e">
        <f ca="1">C29*(VLOOKUP('Crédito de Vivienda UVR'!$C$24,Seguros_Oblig!$A$3:$B$55,2,FALSE))</f>
        <v>#VALUE!</v>
      </c>
      <c r="H30" s="313" t="e">
        <f ca="1">C29*(VLOOKUP('Crédito de Vivienda UVR'!$C$25,Seguros_Oblig!$A$3:$B$55,2,FALSE))</f>
        <v>#VALUE!</v>
      </c>
      <c r="I30" s="313" t="e">
        <f ca="1">C29*(VLOOKUP('Crédito de Vivienda UVR'!$C$26,Seguros_Oblig!$A$3:$B$55,2,FALSE))</f>
        <v>#VALUE!</v>
      </c>
      <c r="J30" s="313" t="e">
        <f ca="1">C29*(VLOOKUP('Crédito de Vivienda UVR'!$C$27,Seguros_Oblig!$A$3:$B$55,2,FALSE))</f>
        <v>#VALUE!</v>
      </c>
      <c r="K30" s="35">
        <f ca="1">_xlfn.AGGREGATE(9,6,G30:J30)*'Crédito de Vivienda UVR'!$C$19</f>
        <v>0</v>
      </c>
      <c r="L30" s="35">
        <f>(Seguros_Oblig!$K$2*('Crédito de Vivienda UVR'!$C$12*90%))</f>
        <v>0</v>
      </c>
      <c r="M30" s="35" t="e">
        <f ca="1">K30+L30+(F30*'Crédito de Vivienda UVR'!$C$19)</f>
        <v>#VALUE!</v>
      </c>
      <c r="N30" s="316"/>
    </row>
    <row r="31" spans="2:14" ht="15.5" x14ac:dyDescent="0.35">
      <c r="B31" s="6" t="e">
        <f t="shared" ca="1" si="2"/>
        <v>#VALUE!</v>
      </c>
      <c r="C31" s="311" t="e">
        <f t="shared" ca="1" si="1"/>
        <v>#VALUE!</v>
      </c>
      <c r="D31" s="311" t="e">
        <f t="shared" ref="D31:D94" ca="1" si="3">IF(C30&lt;1,"0",F31-E31)</f>
        <v>#VALUE!</v>
      </c>
      <c r="E31" s="311" t="e">
        <f ca="1">C30*'Crédito de Vivienda UVR'!$E$17</f>
        <v>#VALUE!</v>
      </c>
      <c r="F31" s="322" t="e">
        <f ca="1">IF(B31=" ",0,PMT('Crédito de Vivienda UVR'!$E$17,'Crédito de Vivienda UVR'!$C$18,-'Crédito de Vivienda UVR'!$C$20,,))</f>
        <v>#VALUE!</v>
      </c>
      <c r="G31" s="320" t="e">
        <f ca="1">C30*(VLOOKUP('Crédito de Vivienda UVR'!$C$24,Seguros_Oblig!$A$3:$B$55,2,FALSE))</f>
        <v>#VALUE!</v>
      </c>
      <c r="H31" s="313" t="e">
        <f ca="1">C30*(VLOOKUP('Crédito de Vivienda UVR'!$C$25,Seguros_Oblig!$A$3:$B$55,2,FALSE))</f>
        <v>#VALUE!</v>
      </c>
      <c r="I31" s="313" t="e">
        <f ca="1">C30*(VLOOKUP('Crédito de Vivienda UVR'!$C$26,Seguros_Oblig!$A$3:$B$55,2,FALSE))</f>
        <v>#VALUE!</v>
      </c>
      <c r="J31" s="313" t="e">
        <f ca="1">C30*(VLOOKUP('Crédito de Vivienda UVR'!$C$27,Seguros_Oblig!$A$3:$B$55,2,FALSE))</f>
        <v>#VALUE!</v>
      </c>
      <c r="K31" s="35">
        <f ca="1">_xlfn.AGGREGATE(9,6,G31:J31)*'Crédito de Vivienda UVR'!$C$19</f>
        <v>0</v>
      </c>
      <c r="L31" s="35" t="e">
        <f ca="1">IF(C30&lt;1,"0",(Seguros_Oblig!$K$2*('Crédito de Vivienda UVR'!$C$12*90%)))</f>
        <v>#VALUE!</v>
      </c>
      <c r="M31" s="35" t="e">
        <f ca="1">K31+L31+(F31*'Crédito de Vivienda UVR'!$C$19)</f>
        <v>#VALUE!</v>
      </c>
      <c r="N31" s="316"/>
    </row>
    <row r="32" spans="2:14" ht="15.5" x14ac:dyDescent="0.35">
      <c r="B32" s="6" t="e">
        <f t="shared" ca="1" si="2"/>
        <v>#VALUE!</v>
      </c>
      <c r="C32" s="311" t="e">
        <f t="shared" ca="1" si="1"/>
        <v>#VALUE!</v>
      </c>
      <c r="D32" s="311" t="e">
        <f t="shared" ca="1" si="3"/>
        <v>#VALUE!</v>
      </c>
      <c r="E32" s="311" t="e">
        <f ca="1">C31*'Crédito de Vivienda UVR'!$E$17</f>
        <v>#VALUE!</v>
      </c>
      <c r="F32" s="322" t="e">
        <f ca="1">IF(B32=" ",0,PMT('Crédito de Vivienda UVR'!$E$17,'Crédito de Vivienda UVR'!$C$18,-'Crédito de Vivienda UVR'!$C$20,,))</f>
        <v>#VALUE!</v>
      </c>
      <c r="G32" s="320" t="e">
        <f ca="1">C31*(VLOOKUP('Crédito de Vivienda UVR'!$C$24,Seguros_Oblig!$A$3:$B$55,2,FALSE))</f>
        <v>#VALUE!</v>
      </c>
      <c r="H32" s="313" t="e">
        <f ca="1">C31*(VLOOKUP('Crédito de Vivienda UVR'!$C$25,Seguros_Oblig!$A$3:$B$55,2,FALSE))</f>
        <v>#VALUE!</v>
      </c>
      <c r="I32" s="313" t="e">
        <f ca="1">C31*(VLOOKUP('Crédito de Vivienda UVR'!$C$26,Seguros_Oblig!$A$3:$B$55,2,FALSE))</f>
        <v>#VALUE!</v>
      </c>
      <c r="J32" s="313" t="e">
        <f ca="1">C31*(VLOOKUP('Crédito de Vivienda UVR'!$C$27,Seguros_Oblig!$A$3:$B$55,2,FALSE))</f>
        <v>#VALUE!</v>
      </c>
      <c r="K32" s="35">
        <f ca="1">_xlfn.AGGREGATE(9,6,G32:J32)*'Crédito de Vivienda UVR'!$C$19</f>
        <v>0</v>
      </c>
      <c r="L32" s="7" t="e">
        <f ca="1">IF(C31&lt;1,"0",Seguros_Oblig!$K$2*('Crédito de Vivienda UVR'!$C$12*90%))</f>
        <v>#VALUE!</v>
      </c>
      <c r="M32" s="35" t="e">
        <f ca="1">K32+L32+(F32*'Crédito de Vivienda UVR'!$C$19)</f>
        <v>#VALUE!</v>
      </c>
      <c r="N32" s="316"/>
    </row>
    <row r="33" spans="2:14" ht="15.5" x14ac:dyDescent="0.35">
      <c r="B33" s="6" t="e">
        <f t="shared" ca="1" si="2"/>
        <v>#VALUE!</v>
      </c>
      <c r="C33" s="311" t="e">
        <f t="shared" ca="1" si="1"/>
        <v>#VALUE!</v>
      </c>
      <c r="D33" s="311" t="e">
        <f t="shared" ca="1" si="3"/>
        <v>#VALUE!</v>
      </c>
      <c r="E33" s="311" t="e">
        <f ca="1">C32*'Crédito de Vivienda UVR'!$E$17</f>
        <v>#VALUE!</v>
      </c>
      <c r="F33" s="322" t="e">
        <f ca="1">IF(B33=" ",0,PMT('Crédito de Vivienda UVR'!$E$17,'Crédito de Vivienda UVR'!$C$18,-'Crédito de Vivienda UVR'!$C$20,,))</f>
        <v>#VALUE!</v>
      </c>
      <c r="G33" s="320" t="e">
        <f ca="1">C32*(VLOOKUP('Crédito de Vivienda UVR'!$C$24,Seguros_Oblig!$A$3:$B$55,2,FALSE))</f>
        <v>#VALUE!</v>
      </c>
      <c r="H33" s="313" t="e">
        <f ca="1">C32*(VLOOKUP('Crédito de Vivienda UVR'!$C$25,Seguros_Oblig!$A$3:$B$55,2,FALSE))</f>
        <v>#VALUE!</v>
      </c>
      <c r="I33" s="313" t="e">
        <f ca="1">C32*(VLOOKUP('Crédito de Vivienda UVR'!$C$26,Seguros_Oblig!$A$3:$B$55,2,FALSE))</f>
        <v>#VALUE!</v>
      </c>
      <c r="J33" s="313" t="e">
        <f ca="1">C32*(VLOOKUP('Crédito de Vivienda UVR'!$C$27,Seguros_Oblig!$A$3:$B$55,2,FALSE))</f>
        <v>#VALUE!</v>
      </c>
      <c r="K33" s="35">
        <f ca="1">_xlfn.AGGREGATE(9,6,G33:J33)*'Crédito de Vivienda UVR'!$C$19</f>
        <v>0</v>
      </c>
      <c r="L33" s="7" t="e">
        <f ca="1">IF(C32&lt;1,"0",Seguros_Oblig!$K$2*('Crédito de Vivienda UVR'!$C$12*90%))</f>
        <v>#VALUE!</v>
      </c>
      <c r="M33" s="35" t="e">
        <f ca="1">K33+L33+(F33*'Crédito de Vivienda UVR'!$C$19)</f>
        <v>#VALUE!</v>
      </c>
      <c r="N33" s="316"/>
    </row>
    <row r="34" spans="2:14" ht="15.5" x14ac:dyDescent="0.35">
      <c r="B34" s="6" t="e">
        <f t="shared" ca="1" si="2"/>
        <v>#VALUE!</v>
      </c>
      <c r="C34" s="311" t="e">
        <f t="shared" ca="1" si="1"/>
        <v>#VALUE!</v>
      </c>
      <c r="D34" s="311" t="e">
        <f t="shared" ca="1" si="3"/>
        <v>#VALUE!</v>
      </c>
      <c r="E34" s="311" t="e">
        <f ca="1">C33*'Crédito de Vivienda UVR'!$E$17</f>
        <v>#VALUE!</v>
      </c>
      <c r="F34" s="322" t="e">
        <f ca="1">IF(B34=" ",0,PMT('Crédito de Vivienda UVR'!$E$17,'Crédito de Vivienda UVR'!$C$18,-'Crédito de Vivienda UVR'!$C$20,,))</f>
        <v>#VALUE!</v>
      </c>
      <c r="G34" s="320" t="e">
        <f ca="1">C33*(VLOOKUP('Crédito de Vivienda UVR'!$C$24,Seguros_Oblig!$A$3:$B$55,2,FALSE))</f>
        <v>#VALUE!</v>
      </c>
      <c r="H34" s="313" t="e">
        <f ca="1">C33*(VLOOKUP('Crédito de Vivienda UVR'!$C$25,Seguros_Oblig!$A$3:$B$55,2,FALSE))</f>
        <v>#VALUE!</v>
      </c>
      <c r="I34" s="313" t="e">
        <f ca="1">C33*(VLOOKUP('Crédito de Vivienda UVR'!$C$26,Seguros_Oblig!$A$3:$B$55,2,FALSE))</f>
        <v>#VALUE!</v>
      </c>
      <c r="J34" s="313" t="e">
        <f ca="1">C33*(VLOOKUP('Crédito de Vivienda UVR'!$C$27,Seguros_Oblig!$A$3:$B$55,2,FALSE))</f>
        <v>#VALUE!</v>
      </c>
      <c r="K34" s="35">
        <f ca="1">_xlfn.AGGREGATE(9,6,G34:J34)*'Crédito de Vivienda UVR'!$C$19</f>
        <v>0</v>
      </c>
      <c r="L34" s="7" t="e">
        <f ca="1">IF(C33&lt;1,"0",Seguros_Oblig!$K$2*('Crédito de Vivienda UVR'!$C$12*90%))</f>
        <v>#VALUE!</v>
      </c>
      <c r="M34" s="35" t="e">
        <f ca="1">K34+L34+(F34*'Crédito de Vivienda UVR'!$C$19)</f>
        <v>#VALUE!</v>
      </c>
      <c r="N34" s="316"/>
    </row>
    <row r="35" spans="2:14" ht="15.5" x14ac:dyDescent="0.35">
      <c r="B35" s="6" t="e">
        <f t="shared" ca="1" si="2"/>
        <v>#VALUE!</v>
      </c>
      <c r="C35" s="311" t="e">
        <f t="shared" ca="1" si="1"/>
        <v>#VALUE!</v>
      </c>
      <c r="D35" s="311" t="e">
        <f t="shared" ca="1" si="3"/>
        <v>#VALUE!</v>
      </c>
      <c r="E35" s="311" t="e">
        <f ca="1">C34*'Crédito de Vivienda UVR'!$E$17</f>
        <v>#VALUE!</v>
      </c>
      <c r="F35" s="322" t="e">
        <f ca="1">IF(B35=" ",0,PMT('Crédito de Vivienda UVR'!$E$17,'Crédito de Vivienda UVR'!$C$18,-'Crédito de Vivienda UVR'!$C$20,,))</f>
        <v>#VALUE!</v>
      </c>
      <c r="G35" s="320" t="e">
        <f ca="1">C34*(VLOOKUP('Crédito de Vivienda UVR'!$C$24,Seguros_Oblig!$A$3:$B$55,2,FALSE))</f>
        <v>#VALUE!</v>
      </c>
      <c r="H35" s="313" t="e">
        <f ca="1">C34*(VLOOKUP('Crédito de Vivienda UVR'!$C$25,Seguros_Oblig!$A$3:$B$55,2,FALSE))</f>
        <v>#VALUE!</v>
      </c>
      <c r="I35" s="313" t="e">
        <f ca="1">C34*(VLOOKUP('Crédito de Vivienda UVR'!$C$26,Seguros_Oblig!$A$3:$B$55,2,FALSE))</f>
        <v>#VALUE!</v>
      </c>
      <c r="J35" s="313" t="e">
        <f ca="1">C34*(VLOOKUP('Crédito de Vivienda UVR'!$C$27,Seguros_Oblig!$A$3:$B$55,2,FALSE))</f>
        <v>#VALUE!</v>
      </c>
      <c r="K35" s="35">
        <f ca="1">_xlfn.AGGREGATE(9,6,G35:J35)*'Crédito de Vivienda UVR'!$C$19</f>
        <v>0</v>
      </c>
      <c r="L35" s="7" t="e">
        <f ca="1">IF(C34&lt;1,"0",Seguros_Oblig!$K$2*('Crédito de Vivienda UVR'!$C$12*90%))</f>
        <v>#VALUE!</v>
      </c>
      <c r="M35" s="35" t="e">
        <f ca="1">K35+L35+(F35*'Crédito de Vivienda UVR'!$C$19)</f>
        <v>#VALUE!</v>
      </c>
      <c r="N35" s="316"/>
    </row>
    <row r="36" spans="2:14" ht="15.5" x14ac:dyDescent="0.35">
      <c r="B36" s="6" t="e">
        <f t="shared" ca="1" si="2"/>
        <v>#VALUE!</v>
      </c>
      <c r="C36" s="311" t="e">
        <f t="shared" ca="1" si="1"/>
        <v>#VALUE!</v>
      </c>
      <c r="D36" s="311" t="e">
        <f t="shared" ca="1" si="3"/>
        <v>#VALUE!</v>
      </c>
      <c r="E36" s="311" t="e">
        <f ca="1">C35*'Crédito de Vivienda UVR'!$E$17</f>
        <v>#VALUE!</v>
      </c>
      <c r="F36" s="322" t="e">
        <f ca="1">IF(B36=" ",0,PMT('Crédito de Vivienda UVR'!$E$17,'Crédito de Vivienda UVR'!$C$18,-'Crédito de Vivienda UVR'!$C$20,,))</f>
        <v>#VALUE!</v>
      </c>
      <c r="G36" s="320" t="e">
        <f ca="1">C35*(VLOOKUP('Crédito de Vivienda UVR'!$C$24,Seguros_Oblig!$A$3:$B$55,2,FALSE))</f>
        <v>#VALUE!</v>
      </c>
      <c r="H36" s="313" t="e">
        <f ca="1">C35*(VLOOKUP('Crédito de Vivienda UVR'!$C$25,Seguros_Oblig!$A$3:$B$55,2,FALSE))</f>
        <v>#VALUE!</v>
      </c>
      <c r="I36" s="313" t="e">
        <f ca="1">C35*(VLOOKUP('Crédito de Vivienda UVR'!$C$26,Seguros_Oblig!$A$3:$B$55,2,FALSE))</f>
        <v>#VALUE!</v>
      </c>
      <c r="J36" s="313" t="e">
        <f ca="1">C35*(VLOOKUP('Crédito de Vivienda UVR'!$C$27,Seguros_Oblig!$A$3:$B$55,2,FALSE))</f>
        <v>#VALUE!</v>
      </c>
      <c r="K36" s="35">
        <f ca="1">_xlfn.AGGREGATE(9,6,G36:J36)*'Crédito de Vivienda UVR'!$C$19</f>
        <v>0</v>
      </c>
      <c r="L36" s="7" t="e">
        <f ca="1">IF(C35&lt;1,"0",Seguros_Oblig!$K$2*('Crédito de Vivienda UVR'!$C$12*90%))</f>
        <v>#VALUE!</v>
      </c>
      <c r="M36" s="35" t="e">
        <f ca="1">K36+L36+(F36*'Crédito de Vivienda UVR'!$C$19)</f>
        <v>#VALUE!</v>
      </c>
      <c r="N36" s="316"/>
    </row>
    <row r="37" spans="2:14" ht="15.5" x14ac:dyDescent="0.35">
      <c r="B37" s="6" t="e">
        <f t="shared" ca="1" si="2"/>
        <v>#VALUE!</v>
      </c>
      <c r="C37" s="311" t="e">
        <f t="shared" ca="1" si="1"/>
        <v>#VALUE!</v>
      </c>
      <c r="D37" s="311" t="e">
        <f t="shared" ca="1" si="3"/>
        <v>#VALUE!</v>
      </c>
      <c r="E37" s="311" t="e">
        <f ca="1">C36*'Crédito de Vivienda UVR'!$E$17</f>
        <v>#VALUE!</v>
      </c>
      <c r="F37" s="322" t="e">
        <f ca="1">IF(B37=" ",0,PMT('Crédito de Vivienda UVR'!$E$17,'Crédito de Vivienda UVR'!$C$18,-'Crédito de Vivienda UVR'!$C$20,,))</f>
        <v>#VALUE!</v>
      </c>
      <c r="G37" s="320" t="e">
        <f ca="1">C36*(VLOOKUP('Crédito de Vivienda UVR'!$C$24,Seguros_Oblig!$A$3:$B$55,2,FALSE))</f>
        <v>#VALUE!</v>
      </c>
      <c r="H37" s="313" t="e">
        <f ca="1">C36*(VLOOKUP('Crédito de Vivienda UVR'!$C$25,Seguros_Oblig!$A$3:$B$55,2,FALSE))</f>
        <v>#VALUE!</v>
      </c>
      <c r="I37" s="313" t="e">
        <f ca="1">C36*(VLOOKUP('Crédito de Vivienda UVR'!$C$26,Seguros_Oblig!$A$3:$B$55,2,FALSE))</f>
        <v>#VALUE!</v>
      </c>
      <c r="J37" s="313" t="e">
        <f ca="1">C36*(VLOOKUP('Crédito de Vivienda UVR'!$C$27,Seguros_Oblig!$A$3:$B$55,2,FALSE))</f>
        <v>#VALUE!</v>
      </c>
      <c r="K37" s="35">
        <f ca="1">_xlfn.AGGREGATE(9,6,G37:J37)*'Crédito de Vivienda UVR'!$C$19</f>
        <v>0</v>
      </c>
      <c r="L37" s="7" t="e">
        <f ca="1">IF(C36&lt;1,"0",Seguros_Oblig!$K$2*('Crédito de Vivienda UVR'!$C$12*90%))</f>
        <v>#VALUE!</v>
      </c>
      <c r="M37" s="35" t="e">
        <f ca="1">K37+L37+(F37*'Crédito de Vivienda UVR'!$C$19)</f>
        <v>#VALUE!</v>
      </c>
      <c r="N37" s="316"/>
    </row>
    <row r="38" spans="2:14" ht="15.5" x14ac:dyDescent="0.35">
      <c r="B38" s="6" t="e">
        <f t="shared" ca="1" si="2"/>
        <v>#VALUE!</v>
      </c>
      <c r="C38" s="311" t="e">
        <f t="shared" ca="1" si="1"/>
        <v>#VALUE!</v>
      </c>
      <c r="D38" s="311" t="e">
        <f t="shared" ca="1" si="3"/>
        <v>#VALUE!</v>
      </c>
      <c r="E38" s="311" t="e">
        <f ca="1">C37*'Crédito de Vivienda UVR'!$E$17</f>
        <v>#VALUE!</v>
      </c>
      <c r="F38" s="322" t="e">
        <f ca="1">IF(B38=" ",0,PMT('Crédito de Vivienda UVR'!$E$17,'Crédito de Vivienda UVR'!$C$18,-'Crédito de Vivienda UVR'!$C$20,,))</f>
        <v>#VALUE!</v>
      </c>
      <c r="G38" s="320" t="e">
        <f ca="1">C37*(VLOOKUP('Crédito de Vivienda UVR'!$C$24,Seguros_Oblig!$A$3:$B$55,2,FALSE))</f>
        <v>#VALUE!</v>
      </c>
      <c r="H38" s="313" t="e">
        <f ca="1">C37*(VLOOKUP('Crédito de Vivienda UVR'!$C$25,Seguros_Oblig!$A$3:$B$55,2,FALSE))</f>
        <v>#VALUE!</v>
      </c>
      <c r="I38" s="313" t="e">
        <f ca="1">C37*(VLOOKUP('Crédito de Vivienda UVR'!$C$26,Seguros_Oblig!$A$3:$B$55,2,FALSE))</f>
        <v>#VALUE!</v>
      </c>
      <c r="J38" s="313" t="e">
        <f ca="1">C37*(VLOOKUP('Crédito de Vivienda UVR'!$C$27,Seguros_Oblig!$A$3:$B$55,2,FALSE))</f>
        <v>#VALUE!</v>
      </c>
      <c r="K38" s="35">
        <f ca="1">_xlfn.AGGREGATE(9,6,G38:J38)*'Crédito de Vivienda UVR'!$C$19</f>
        <v>0</v>
      </c>
      <c r="L38" s="7" t="e">
        <f ca="1">IF(C37&lt;1,"0",Seguros_Oblig!$K$2*('Crédito de Vivienda UVR'!$C$12*90%))</f>
        <v>#VALUE!</v>
      </c>
      <c r="M38" s="35" t="e">
        <f ca="1">K38+L38+(F38*'Crédito de Vivienda UVR'!$C$19)</f>
        <v>#VALUE!</v>
      </c>
      <c r="N38" s="316"/>
    </row>
    <row r="39" spans="2:14" ht="15.5" x14ac:dyDescent="0.35">
      <c r="B39" s="6" t="e">
        <f t="shared" ca="1" si="2"/>
        <v>#VALUE!</v>
      </c>
      <c r="C39" s="311" t="e">
        <f t="shared" ca="1" si="1"/>
        <v>#VALUE!</v>
      </c>
      <c r="D39" s="311" t="e">
        <f t="shared" ca="1" si="3"/>
        <v>#VALUE!</v>
      </c>
      <c r="E39" s="311" t="e">
        <f ca="1">C38*'Crédito de Vivienda UVR'!$E$17</f>
        <v>#VALUE!</v>
      </c>
      <c r="F39" s="322" t="e">
        <f ca="1">IF(B39=" ",0,PMT('Crédito de Vivienda UVR'!$E$17,'Crédito de Vivienda UVR'!$C$18,-'Crédito de Vivienda UVR'!$C$20,,))</f>
        <v>#VALUE!</v>
      </c>
      <c r="G39" s="320" t="e">
        <f ca="1">C38*(VLOOKUP('Crédito de Vivienda UVR'!$C$24,Seguros_Oblig!$A$3:$B$55,2,FALSE))</f>
        <v>#VALUE!</v>
      </c>
      <c r="H39" s="313" t="e">
        <f ca="1">C38*(VLOOKUP('Crédito de Vivienda UVR'!$C$25,Seguros_Oblig!$A$3:$B$55,2,FALSE))</f>
        <v>#VALUE!</v>
      </c>
      <c r="I39" s="313" t="e">
        <f ca="1">C38*(VLOOKUP('Crédito de Vivienda UVR'!$C$26,Seguros_Oblig!$A$3:$B$55,2,FALSE))</f>
        <v>#VALUE!</v>
      </c>
      <c r="J39" s="313" t="e">
        <f ca="1">C38*(VLOOKUP('Crédito de Vivienda UVR'!$C$27,Seguros_Oblig!$A$3:$B$55,2,FALSE))</f>
        <v>#VALUE!</v>
      </c>
      <c r="K39" s="35">
        <f ca="1">_xlfn.AGGREGATE(9,6,G39:J39)*'Crédito de Vivienda UVR'!$C$19</f>
        <v>0</v>
      </c>
      <c r="L39" s="7" t="e">
        <f ca="1">IF(C38&lt;1,"0",Seguros_Oblig!$K$2*('Crédito de Vivienda UVR'!$C$12*90%))</f>
        <v>#VALUE!</v>
      </c>
      <c r="M39" s="35" t="e">
        <f ca="1">K39+L39+(F39*'Crédito de Vivienda UVR'!$C$19)</f>
        <v>#VALUE!</v>
      </c>
      <c r="N39" s="316"/>
    </row>
    <row r="40" spans="2:14" ht="15.5" x14ac:dyDescent="0.35">
      <c r="B40" s="6" t="e">
        <f t="shared" ca="1" si="2"/>
        <v>#VALUE!</v>
      </c>
      <c r="C40" s="311" t="e">
        <f t="shared" ca="1" si="1"/>
        <v>#VALUE!</v>
      </c>
      <c r="D40" s="311" t="e">
        <f t="shared" ca="1" si="3"/>
        <v>#VALUE!</v>
      </c>
      <c r="E40" s="311" t="e">
        <f ca="1">C39*'Crédito de Vivienda UVR'!$E$17</f>
        <v>#VALUE!</v>
      </c>
      <c r="F40" s="322" t="e">
        <f ca="1">IF(B40=" ",0,PMT('Crédito de Vivienda UVR'!$E$17,'Crédito de Vivienda UVR'!$C$18,-'Crédito de Vivienda UVR'!$C$20,,))</f>
        <v>#VALUE!</v>
      </c>
      <c r="G40" s="320" t="e">
        <f ca="1">C39*(VLOOKUP('Crédito de Vivienda UVR'!$C$24,Seguros_Oblig!$A$3:$B$55,2,FALSE))</f>
        <v>#VALUE!</v>
      </c>
      <c r="H40" s="313" t="e">
        <f ca="1">C39*(VLOOKUP('Crédito de Vivienda UVR'!$C$25,Seguros_Oblig!$A$3:$B$55,2,FALSE))</f>
        <v>#VALUE!</v>
      </c>
      <c r="I40" s="313" t="e">
        <f ca="1">C39*(VLOOKUP('Crédito de Vivienda UVR'!$C$26,Seguros_Oblig!$A$3:$B$55,2,FALSE))</f>
        <v>#VALUE!</v>
      </c>
      <c r="J40" s="313" t="e">
        <f ca="1">C39*(VLOOKUP('Crédito de Vivienda UVR'!$C$27,Seguros_Oblig!$A$3:$B$55,2,FALSE))</f>
        <v>#VALUE!</v>
      </c>
      <c r="K40" s="35">
        <f ca="1">_xlfn.AGGREGATE(9,6,G40:J40)*'Crédito de Vivienda UVR'!$C$19</f>
        <v>0</v>
      </c>
      <c r="L40" s="7" t="e">
        <f ca="1">IF(C39&lt;1,"0",Seguros_Oblig!$K$2*('Crédito de Vivienda UVR'!$C$12*90%))</f>
        <v>#VALUE!</v>
      </c>
      <c r="M40" s="35" t="e">
        <f ca="1">K40+L40+(F40*'Crédito de Vivienda UVR'!$C$19)</f>
        <v>#VALUE!</v>
      </c>
      <c r="N40" s="316"/>
    </row>
    <row r="41" spans="2:14" ht="15.5" x14ac:dyDescent="0.35">
      <c r="B41" s="6" t="e">
        <f t="shared" ca="1" si="2"/>
        <v>#VALUE!</v>
      </c>
      <c r="C41" s="311" t="e">
        <f t="shared" ca="1" si="1"/>
        <v>#VALUE!</v>
      </c>
      <c r="D41" s="311" t="e">
        <f t="shared" ca="1" si="3"/>
        <v>#VALUE!</v>
      </c>
      <c r="E41" s="311" t="e">
        <f ca="1">C40*'Crédito de Vivienda UVR'!$E$17</f>
        <v>#VALUE!</v>
      </c>
      <c r="F41" s="322" t="e">
        <f ca="1">IF(B41=" ",0,PMT('Crédito de Vivienda UVR'!$E$17,'Crédito de Vivienda UVR'!$C$18,-'Crédito de Vivienda UVR'!$C$20,,))</f>
        <v>#VALUE!</v>
      </c>
      <c r="G41" s="320" t="e">
        <f ca="1">C40*(VLOOKUP('Crédito de Vivienda UVR'!$C$24,Seguros_Oblig!$A$3:$B$55,2,FALSE))</f>
        <v>#VALUE!</v>
      </c>
      <c r="H41" s="313" t="e">
        <f ca="1">C40*(VLOOKUP('Crédito de Vivienda UVR'!$C$25,Seguros_Oblig!$A$3:$B$55,2,FALSE))</f>
        <v>#VALUE!</v>
      </c>
      <c r="I41" s="313" t="e">
        <f ca="1">C40*(VLOOKUP('Crédito de Vivienda UVR'!$C$26,Seguros_Oblig!$A$3:$B$55,2,FALSE))</f>
        <v>#VALUE!</v>
      </c>
      <c r="J41" s="313" t="e">
        <f ca="1">C40*(VLOOKUP('Crédito de Vivienda UVR'!$C$27,Seguros_Oblig!$A$3:$B$55,2,FALSE))</f>
        <v>#VALUE!</v>
      </c>
      <c r="K41" s="35">
        <f ca="1">_xlfn.AGGREGATE(9,6,G41:J41)*'Crédito de Vivienda UVR'!$C$19</f>
        <v>0</v>
      </c>
      <c r="L41" s="7" t="e">
        <f ca="1">IF(C40&lt;1,"0",Seguros_Oblig!$K$2*('Crédito de Vivienda UVR'!$C$12*90%))</f>
        <v>#VALUE!</v>
      </c>
      <c r="M41" s="35" t="e">
        <f ca="1">K41+L41+(F41*'Crédito de Vivienda UVR'!$C$19)</f>
        <v>#VALUE!</v>
      </c>
      <c r="N41" s="316"/>
    </row>
    <row r="42" spans="2:14" ht="15.5" x14ac:dyDescent="0.35">
      <c r="B42" s="6" t="e">
        <f t="shared" ca="1" si="2"/>
        <v>#VALUE!</v>
      </c>
      <c r="C42" s="311" t="e">
        <f t="shared" ca="1" si="1"/>
        <v>#VALUE!</v>
      </c>
      <c r="D42" s="311" t="e">
        <f t="shared" ca="1" si="3"/>
        <v>#VALUE!</v>
      </c>
      <c r="E42" s="311" t="e">
        <f ca="1">C41*'Crédito de Vivienda UVR'!$E$17</f>
        <v>#VALUE!</v>
      </c>
      <c r="F42" s="322" t="e">
        <f ca="1">IF(B42=" ",0,PMT('Crédito de Vivienda UVR'!$E$17,'Crédito de Vivienda UVR'!$C$18,-'Crédito de Vivienda UVR'!$C$20,,))</f>
        <v>#VALUE!</v>
      </c>
      <c r="G42" s="320" t="e">
        <f ca="1">C41*(VLOOKUP('Crédito de Vivienda UVR'!$C$24,Seguros_Oblig!$A$3:$B$55,2,FALSE))</f>
        <v>#VALUE!</v>
      </c>
      <c r="H42" s="313" t="e">
        <f ca="1">C41*(VLOOKUP('Crédito de Vivienda UVR'!$C$25,Seguros_Oblig!$A$3:$B$55,2,FALSE))</f>
        <v>#VALUE!</v>
      </c>
      <c r="I42" s="313" t="e">
        <f ca="1">C41*(VLOOKUP('Crédito de Vivienda UVR'!$C$26,Seguros_Oblig!$A$3:$B$55,2,FALSE))</f>
        <v>#VALUE!</v>
      </c>
      <c r="J42" s="313" t="e">
        <f ca="1">C41*(VLOOKUP('Crédito de Vivienda UVR'!$C$27,Seguros_Oblig!$A$3:$B$55,2,FALSE))</f>
        <v>#VALUE!</v>
      </c>
      <c r="K42" s="35">
        <f ca="1">_xlfn.AGGREGATE(9,6,G42:J42)*'Crédito de Vivienda UVR'!$C$19</f>
        <v>0</v>
      </c>
      <c r="L42" s="7" t="e">
        <f ca="1">IF(C41&lt;1,"0",Seguros_Oblig!$K$2*('Crédito de Vivienda UVR'!$C$12*90%))</f>
        <v>#VALUE!</v>
      </c>
      <c r="M42" s="35" t="e">
        <f ca="1">K42+L42+(F42*'Crédito de Vivienda UVR'!$C$19)</f>
        <v>#VALUE!</v>
      </c>
      <c r="N42" s="316"/>
    </row>
    <row r="43" spans="2:14" ht="15.5" x14ac:dyDescent="0.35">
      <c r="B43" s="6" t="e">
        <f t="shared" ca="1" si="2"/>
        <v>#VALUE!</v>
      </c>
      <c r="C43" s="311" t="e">
        <f t="shared" ca="1" si="1"/>
        <v>#VALUE!</v>
      </c>
      <c r="D43" s="311" t="e">
        <f t="shared" ca="1" si="3"/>
        <v>#VALUE!</v>
      </c>
      <c r="E43" s="311" t="e">
        <f ca="1">C42*'Crédito de Vivienda UVR'!$E$17</f>
        <v>#VALUE!</v>
      </c>
      <c r="F43" s="322" t="e">
        <f ca="1">IF(B43=" ",0,PMT('Crédito de Vivienda UVR'!$E$17,'Crédito de Vivienda UVR'!$C$18,-'Crédito de Vivienda UVR'!$C$20,,))</f>
        <v>#VALUE!</v>
      </c>
      <c r="G43" s="320" t="e">
        <f ca="1">C42*(VLOOKUP('Crédito de Vivienda UVR'!$C$24,Seguros_Oblig!$A$3:$B$55,2,FALSE))</f>
        <v>#VALUE!</v>
      </c>
      <c r="H43" s="313" t="e">
        <f ca="1">C42*(VLOOKUP('Crédito de Vivienda UVR'!$C$25,Seguros_Oblig!$A$3:$B$55,2,FALSE))</f>
        <v>#VALUE!</v>
      </c>
      <c r="I43" s="313" t="e">
        <f ca="1">C42*(VLOOKUP('Crédito de Vivienda UVR'!$C$26,Seguros_Oblig!$A$3:$B$55,2,FALSE))</f>
        <v>#VALUE!</v>
      </c>
      <c r="J43" s="313" t="e">
        <f ca="1">C42*(VLOOKUP('Crédito de Vivienda UVR'!$C$27,Seguros_Oblig!$A$3:$B$55,2,FALSE))</f>
        <v>#VALUE!</v>
      </c>
      <c r="K43" s="35">
        <f ca="1">_xlfn.AGGREGATE(9,6,G43:J43)*'Crédito de Vivienda UVR'!$C$19</f>
        <v>0</v>
      </c>
      <c r="L43" s="7" t="e">
        <f ca="1">IF(C42&lt;1,"0",Seguros_Oblig!$K$2*('Crédito de Vivienda UVR'!$C$12*90%))</f>
        <v>#VALUE!</v>
      </c>
      <c r="M43" s="35" t="e">
        <f ca="1">K43+L43+(F43*'Crédito de Vivienda UVR'!$C$19)</f>
        <v>#VALUE!</v>
      </c>
      <c r="N43" s="316"/>
    </row>
    <row r="44" spans="2:14" ht="15.5" x14ac:dyDescent="0.35">
      <c r="B44" s="6" t="e">
        <f t="shared" ca="1" si="2"/>
        <v>#VALUE!</v>
      </c>
      <c r="C44" s="311" t="e">
        <f t="shared" ca="1" si="1"/>
        <v>#VALUE!</v>
      </c>
      <c r="D44" s="311" t="e">
        <f t="shared" ca="1" si="3"/>
        <v>#VALUE!</v>
      </c>
      <c r="E44" s="311" t="e">
        <f ca="1">C43*'Crédito de Vivienda UVR'!$E$17</f>
        <v>#VALUE!</v>
      </c>
      <c r="F44" s="322" t="e">
        <f ca="1">IF(B44=" ",0,PMT('Crédito de Vivienda UVR'!$E$17,'Crédito de Vivienda UVR'!$C$18,-'Crédito de Vivienda UVR'!$C$20,,))</f>
        <v>#VALUE!</v>
      </c>
      <c r="G44" s="320" t="e">
        <f ca="1">C43*(VLOOKUP('Crédito de Vivienda UVR'!$C$24,Seguros_Oblig!$A$3:$B$55,2,FALSE))</f>
        <v>#VALUE!</v>
      </c>
      <c r="H44" s="313" t="e">
        <f ca="1">C43*(VLOOKUP('Crédito de Vivienda UVR'!$C$25,Seguros_Oblig!$A$3:$B$55,2,FALSE))</f>
        <v>#VALUE!</v>
      </c>
      <c r="I44" s="313" t="e">
        <f ca="1">C43*(VLOOKUP('Crédito de Vivienda UVR'!$C$26,Seguros_Oblig!$A$3:$B$55,2,FALSE))</f>
        <v>#VALUE!</v>
      </c>
      <c r="J44" s="313" t="e">
        <f ca="1">C43*(VLOOKUP('Crédito de Vivienda UVR'!$C$27,Seguros_Oblig!$A$3:$B$55,2,FALSE))</f>
        <v>#VALUE!</v>
      </c>
      <c r="K44" s="35">
        <f ca="1">_xlfn.AGGREGATE(9,6,G44:J44)*'Crédito de Vivienda UVR'!$C$19</f>
        <v>0</v>
      </c>
      <c r="L44" s="7" t="e">
        <f ca="1">IF(C43&lt;1,"0",Seguros_Oblig!$K$2*('Crédito de Vivienda UVR'!$C$12*90%))</f>
        <v>#VALUE!</v>
      </c>
      <c r="M44" s="35" t="e">
        <f ca="1">K44+L44+(F44*'Crédito de Vivienda UVR'!$C$19)</f>
        <v>#VALUE!</v>
      </c>
      <c r="N44" s="316"/>
    </row>
    <row r="45" spans="2:14" ht="15.5" x14ac:dyDescent="0.35">
      <c r="B45" s="6" t="e">
        <f t="shared" ca="1" si="2"/>
        <v>#VALUE!</v>
      </c>
      <c r="C45" s="311" t="e">
        <f t="shared" ca="1" si="1"/>
        <v>#VALUE!</v>
      </c>
      <c r="D45" s="311" t="e">
        <f t="shared" ca="1" si="3"/>
        <v>#VALUE!</v>
      </c>
      <c r="E45" s="311" t="e">
        <f ca="1">C44*'Crédito de Vivienda UVR'!$E$17</f>
        <v>#VALUE!</v>
      </c>
      <c r="F45" s="322" t="e">
        <f ca="1">IF(B45=" ",0,PMT('Crédito de Vivienda UVR'!$E$17,'Crédito de Vivienda UVR'!$C$18,-'Crédito de Vivienda UVR'!$C$20,,))</f>
        <v>#VALUE!</v>
      </c>
      <c r="G45" s="320" t="e">
        <f ca="1">C44*(VLOOKUP('Crédito de Vivienda UVR'!$C$24,Seguros_Oblig!$A$3:$B$55,2,FALSE))</f>
        <v>#VALUE!</v>
      </c>
      <c r="H45" s="313" t="e">
        <f ca="1">C44*(VLOOKUP('Crédito de Vivienda UVR'!$C$25,Seguros_Oblig!$A$3:$B$55,2,FALSE))</f>
        <v>#VALUE!</v>
      </c>
      <c r="I45" s="313" t="e">
        <f ca="1">C44*(VLOOKUP('Crédito de Vivienda UVR'!$C$26,Seguros_Oblig!$A$3:$B$55,2,FALSE))</f>
        <v>#VALUE!</v>
      </c>
      <c r="J45" s="313" t="e">
        <f ca="1">C44*(VLOOKUP('Crédito de Vivienda UVR'!$C$27,Seguros_Oblig!$A$3:$B$55,2,FALSE))</f>
        <v>#VALUE!</v>
      </c>
      <c r="K45" s="35">
        <f ca="1">_xlfn.AGGREGATE(9,6,G45:J45)*'Crédito de Vivienda UVR'!$C$19</f>
        <v>0</v>
      </c>
      <c r="L45" s="7" t="e">
        <f ca="1">IF(C44&lt;1,"0",Seguros_Oblig!$K$2*('Crédito de Vivienda UVR'!$C$12*90%))</f>
        <v>#VALUE!</v>
      </c>
      <c r="M45" s="35" t="e">
        <f ca="1">K45+L45+(F45*'Crédito de Vivienda UVR'!$C$19)</f>
        <v>#VALUE!</v>
      </c>
      <c r="N45" s="316"/>
    </row>
    <row r="46" spans="2:14" ht="15.5" x14ac:dyDescent="0.35">
      <c r="B46" s="6" t="e">
        <f t="shared" ca="1" si="2"/>
        <v>#VALUE!</v>
      </c>
      <c r="C46" s="311" t="e">
        <f t="shared" ca="1" si="1"/>
        <v>#VALUE!</v>
      </c>
      <c r="D46" s="311" t="e">
        <f t="shared" ca="1" si="3"/>
        <v>#VALUE!</v>
      </c>
      <c r="E46" s="311" t="e">
        <f ca="1">C45*'Crédito de Vivienda UVR'!$E$17</f>
        <v>#VALUE!</v>
      </c>
      <c r="F46" s="322" t="e">
        <f ca="1">IF(B46=" ",0,PMT('Crédito de Vivienda UVR'!$E$17,'Crédito de Vivienda UVR'!$C$18,-'Crédito de Vivienda UVR'!$C$20,,))</f>
        <v>#VALUE!</v>
      </c>
      <c r="G46" s="320" t="e">
        <f ca="1">C45*(VLOOKUP('Crédito de Vivienda UVR'!$C$24,Seguros_Oblig!$A$3:$B$55,2,FALSE))</f>
        <v>#VALUE!</v>
      </c>
      <c r="H46" s="313" t="e">
        <f ca="1">C45*(VLOOKUP('Crédito de Vivienda UVR'!$C$25,Seguros_Oblig!$A$3:$B$55,2,FALSE))</f>
        <v>#VALUE!</v>
      </c>
      <c r="I46" s="313" t="e">
        <f ca="1">C45*(VLOOKUP('Crédito de Vivienda UVR'!$C$26,Seguros_Oblig!$A$3:$B$55,2,FALSE))</f>
        <v>#VALUE!</v>
      </c>
      <c r="J46" s="313" t="e">
        <f ca="1">C45*(VLOOKUP('Crédito de Vivienda UVR'!$C$27,Seguros_Oblig!$A$3:$B$55,2,FALSE))</f>
        <v>#VALUE!</v>
      </c>
      <c r="K46" s="35">
        <f ca="1">_xlfn.AGGREGATE(9,6,G46:J46)*'Crédito de Vivienda UVR'!$C$19</f>
        <v>0</v>
      </c>
      <c r="L46" s="7" t="e">
        <f ca="1">IF(C45&lt;1,"0",Seguros_Oblig!$K$2*('Crédito de Vivienda UVR'!$C$12*90%))</f>
        <v>#VALUE!</v>
      </c>
      <c r="M46" s="35" t="e">
        <f ca="1">K46+L46+(F46*'Crédito de Vivienda UVR'!$C$19)</f>
        <v>#VALUE!</v>
      </c>
      <c r="N46" s="316"/>
    </row>
    <row r="47" spans="2:14" ht="15.5" x14ac:dyDescent="0.35">
      <c r="B47" s="6" t="e">
        <f t="shared" ca="1" si="2"/>
        <v>#VALUE!</v>
      </c>
      <c r="C47" s="311" t="e">
        <f t="shared" ca="1" si="1"/>
        <v>#VALUE!</v>
      </c>
      <c r="D47" s="311" t="e">
        <f t="shared" ca="1" si="3"/>
        <v>#VALUE!</v>
      </c>
      <c r="E47" s="311" t="e">
        <f ca="1">C46*'Crédito de Vivienda UVR'!$E$17</f>
        <v>#VALUE!</v>
      </c>
      <c r="F47" s="322" t="e">
        <f ca="1">IF(B47=" ",0,PMT('Crédito de Vivienda UVR'!$E$17,'Crédito de Vivienda UVR'!$C$18,-'Crédito de Vivienda UVR'!$C$20,,))</f>
        <v>#VALUE!</v>
      </c>
      <c r="G47" s="320" t="e">
        <f ca="1">C46*(VLOOKUP('Crédito de Vivienda UVR'!$C$24,Seguros_Oblig!$A$3:$B$55,2,FALSE))</f>
        <v>#VALUE!</v>
      </c>
      <c r="H47" s="313" t="e">
        <f ca="1">C46*(VLOOKUP('Crédito de Vivienda UVR'!$C$25,Seguros_Oblig!$A$3:$B$55,2,FALSE))</f>
        <v>#VALUE!</v>
      </c>
      <c r="I47" s="313" t="e">
        <f ca="1">C46*(VLOOKUP('Crédito de Vivienda UVR'!$C$26,Seguros_Oblig!$A$3:$B$55,2,FALSE))</f>
        <v>#VALUE!</v>
      </c>
      <c r="J47" s="313" t="e">
        <f ca="1">C46*(VLOOKUP('Crédito de Vivienda UVR'!$C$27,Seguros_Oblig!$A$3:$B$55,2,FALSE))</f>
        <v>#VALUE!</v>
      </c>
      <c r="K47" s="35">
        <f ca="1">_xlfn.AGGREGATE(9,6,G47:J47)*'Crédito de Vivienda UVR'!$C$19</f>
        <v>0</v>
      </c>
      <c r="L47" s="7" t="e">
        <f ca="1">IF(C46&lt;1,"0",Seguros_Oblig!$K$2*('Crédito de Vivienda UVR'!$C$12*90%))</f>
        <v>#VALUE!</v>
      </c>
      <c r="M47" s="35" t="e">
        <f ca="1">K47+L47+(F47*'Crédito de Vivienda UVR'!$C$19)</f>
        <v>#VALUE!</v>
      </c>
      <c r="N47" s="316"/>
    </row>
    <row r="48" spans="2:14" ht="15.5" x14ac:dyDescent="0.35">
      <c r="B48" s="6" t="e">
        <f t="shared" ca="1" si="2"/>
        <v>#VALUE!</v>
      </c>
      <c r="C48" s="311" t="e">
        <f t="shared" ca="1" si="1"/>
        <v>#VALUE!</v>
      </c>
      <c r="D48" s="311" t="e">
        <f t="shared" ca="1" si="3"/>
        <v>#VALUE!</v>
      </c>
      <c r="E48" s="311" t="e">
        <f ca="1">C47*'Crédito de Vivienda UVR'!$E$17</f>
        <v>#VALUE!</v>
      </c>
      <c r="F48" s="322" t="e">
        <f ca="1">IF(B48=" ",0,PMT('Crédito de Vivienda UVR'!$E$17,'Crédito de Vivienda UVR'!$C$18,-'Crédito de Vivienda UVR'!$C$20,,))</f>
        <v>#VALUE!</v>
      </c>
      <c r="G48" s="320" t="e">
        <f ca="1">C47*(VLOOKUP('Crédito de Vivienda UVR'!$C$24,Seguros_Oblig!$A$3:$B$55,2,FALSE))</f>
        <v>#VALUE!</v>
      </c>
      <c r="H48" s="313" t="e">
        <f ca="1">C47*(VLOOKUP('Crédito de Vivienda UVR'!$C$25,Seguros_Oblig!$A$3:$B$55,2,FALSE))</f>
        <v>#VALUE!</v>
      </c>
      <c r="I48" s="313" t="e">
        <f ca="1">C47*(VLOOKUP('Crédito de Vivienda UVR'!$C$26,Seguros_Oblig!$A$3:$B$55,2,FALSE))</f>
        <v>#VALUE!</v>
      </c>
      <c r="J48" s="313" t="e">
        <f ca="1">C47*(VLOOKUP('Crédito de Vivienda UVR'!$C$27,Seguros_Oblig!$A$3:$B$55,2,FALSE))</f>
        <v>#VALUE!</v>
      </c>
      <c r="K48" s="35">
        <f ca="1">_xlfn.AGGREGATE(9,6,G48:J48)*'Crédito de Vivienda UVR'!$C$19</f>
        <v>0</v>
      </c>
      <c r="L48" s="7" t="e">
        <f ca="1">IF(C47&lt;1,"0",Seguros_Oblig!$K$2*('Crédito de Vivienda UVR'!$C$12*90%))</f>
        <v>#VALUE!</v>
      </c>
      <c r="M48" s="35" t="e">
        <f ca="1">K48+L48+(F48*'Crédito de Vivienda UVR'!$C$19)</f>
        <v>#VALUE!</v>
      </c>
      <c r="N48" s="316"/>
    </row>
    <row r="49" spans="2:14" ht="15.5" x14ac:dyDescent="0.35">
      <c r="B49" s="6" t="e">
        <f t="shared" ca="1" si="2"/>
        <v>#VALUE!</v>
      </c>
      <c r="C49" s="311" t="e">
        <f t="shared" ca="1" si="1"/>
        <v>#VALUE!</v>
      </c>
      <c r="D49" s="311" t="e">
        <f t="shared" ca="1" si="3"/>
        <v>#VALUE!</v>
      </c>
      <c r="E49" s="311" t="e">
        <f ca="1">C48*'Crédito de Vivienda UVR'!$E$17</f>
        <v>#VALUE!</v>
      </c>
      <c r="F49" s="322" t="e">
        <f ca="1">IF(B49=" ",0,PMT('Crédito de Vivienda UVR'!$E$17,'Crédito de Vivienda UVR'!$C$18,-'Crédito de Vivienda UVR'!$C$20,,))</f>
        <v>#VALUE!</v>
      </c>
      <c r="G49" s="320" t="e">
        <f ca="1">C48*(VLOOKUP('Crédito de Vivienda UVR'!$C$24,Seguros_Oblig!$A$3:$B$55,2,FALSE))</f>
        <v>#VALUE!</v>
      </c>
      <c r="H49" s="313" t="e">
        <f ca="1">C48*(VLOOKUP('Crédito de Vivienda UVR'!$C$25,Seguros_Oblig!$A$3:$B$55,2,FALSE))</f>
        <v>#VALUE!</v>
      </c>
      <c r="I49" s="313" t="e">
        <f ca="1">C48*(VLOOKUP('Crédito de Vivienda UVR'!$C$26,Seguros_Oblig!$A$3:$B$55,2,FALSE))</f>
        <v>#VALUE!</v>
      </c>
      <c r="J49" s="313" t="e">
        <f ca="1">C48*(VLOOKUP('Crédito de Vivienda UVR'!$C$27,Seguros_Oblig!$A$3:$B$55,2,FALSE))</f>
        <v>#VALUE!</v>
      </c>
      <c r="K49" s="35">
        <f ca="1">_xlfn.AGGREGATE(9,6,G49:J49)*'Crédito de Vivienda UVR'!$C$19</f>
        <v>0</v>
      </c>
      <c r="L49" s="7" t="e">
        <f ca="1">IF(C48&lt;1,"0",Seguros_Oblig!$K$2*('Crédito de Vivienda UVR'!$C$12*90%))</f>
        <v>#VALUE!</v>
      </c>
      <c r="M49" s="35" t="e">
        <f ca="1">K49+L49+(F49*'Crédito de Vivienda UVR'!$C$19)</f>
        <v>#VALUE!</v>
      </c>
      <c r="N49" s="316"/>
    </row>
    <row r="50" spans="2:14" ht="15.5" x14ac:dyDescent="0.35">
      <c r="B50" s="6" t="e">
        <f t="shared" ca="1" si="2"/>
        <v>#VALUE!</v>
      </c>
      <c r="C50" s="311" t="e">
        <f t="shared" ca="1" si="1"/>
        <v>#VALUE!</v>
      </c>
      <c r="D50" s="311" t="e">
        <f t="shared" ca="1" si="3"/>
        <v>#VALUE!</v>
      </c>
      <c r="E50" s="311" t="e">
        <f ca="1">C49*'Crédito de Vivienda UVR'!$E$17</f>
        <v>#VALUE!</v>
      </c>
      <c r="F50" s="322" t="e">
        <f ca="1">IF(B50=" ",0,PMT('Crédito de Vivienda UVR'!$E$17,'Crédito de Vivienda UVR'!$C$18,-'Crédito de Vivienda UVR'!$C$20,,))</f>
        <v>#VALUE!</v>
      </c>
      <c r="G50" s="320" t="e">
        <f ca="1">C49*(VLOOKUP('Crédito de Vivienda UVR'!$C$24,Seguros_Oblig!$A$3:$B$55,2,FALSE))</f>
        <v>#VALUE!</v>
      </c>
      <c r="H50" s="313" t="e">
        <f ca="1">C49*(VLOOKUP('Crédito de Vivienda UVR'!$C$25,Seguros_Oblig!$A$3:$B$55,2,FALSE))</f>
        <v>#VALUE!</v>
      </c>
      <c r="I50" s="313" t="e">
        <f ca="1">C49*(VLOOKUP('Crédito de Vivienda UVR'!$C$26,Seguros_Oblig!$A$3:$B$55,2,FALSE))</f>
        <v>#VALUE!</v>
      </c>
      <c r="J50" s="313" t="e">
        <f ca="1">C49*(VLOOKUP('Crédito de Vivienda UVR'!$C$27,Seguros_Oblig!$A$3:$B$55,2,FALSE))</f>
        <v>#VALUE!</v>
      </c>
      <c r="K50" s="35">
        <f ca="1">_xlfn.AGGREGATE(9,6,G50:J50)*'Crédito de Vivienda UVR'!$C$19</f>
        <v>0</v>
      </c>
      <c r="L50" s="7" t="e">
        <f ca="1">IF(C49&lt;1,"0",Seguros_Oblig!$K$2*('Crédito de Vivienda UVR'!$C$12*90%))</f>
        <v>#VALUE!</v>
      </c>
      <c r="M50" s="35" t="e">
        <f ca="1">K50+L50+(F50*'Crédito de Vivienda UVR'!$C$19)</f>
        <v>#VALUE!</v>
      </c>
      <c r="N50" s="316"/>
    </row>
    <row r="51" spans="2:14" ht="15.5" x14ac:dyDescent="0.35">
      <c r="B51" s="6" t="e">
        <f t="shared" ca="1" si="2"/>
        <v>#VALUE!</v>
      </c>
      <c r="C51" s="311" t="e">
        <f t="shared" ca="1" si="1"/>
        <v>#VALUE!</v>
      </c>
      <c r="D51" s="311" t="e">
        <f t="shared" ca="1" si="3"/>
        <v>#VALUE!</v>
      </c>
      <c r="E51" s="311" t="e">
        <f ca="1">C50*'Crédito de Vivienda UVR'!$E$17</f>
        <v>#VALUE!</v>
      </c>
      <c r="F51" s="322" t="e">
        <f ca="1">IF(B51=" ",0,PMT('Crédito de Vivienda UVR'!$E$17,'Crédito de Vivienda UVR'!$C$18,-'Crédito de Vivienda UVR'!$C$20,,))</f>
        <v>#VALUE!</v>
      </c>
      <c r="G51" s="320" t="e">
        <f ca="1">C50*(VLOOKUP('Crédito de Vivienda UVR'!$C$24,Seguros_Oblig!$A$3:$B$55,2,FALSE))</f>
        <v>#VALUE!</v>
      </c>
      <c r="H51" s="313" t="e">
        <f ca="1">C50*(VLOOKUP('Crédito de Vivienda UVR'!$C$25,Seguros_Oblig!$A$3:$B$55,2,FALSE))</f>
        <v>#VALUE!</v>
      </c>
      <c r="I51" s="313" t="e">
        <f ca="1">C50*(VLOOKUP('Crédito de Vivienda UVR'!$C$26,Seguros_Oblig!$A$3:$B$55,2,FALSE))</f>
        <v>#VALUE!</v>
      </c>
      <c r="J51" s="313" t="e">
        <f ca="1">C50*(VLOOKUP('Crédito de Vivienda UVR'!$C$27,Seguros_Oblig!$A$3:$B$55,2,FALSE))</f>
        <v>#VALUE!</v>
      </c>
      <c r="K51" s="35">
        <f ca="1">_xlfn.AGGREGATE(9,6,G51:J51)*'Crédito de Vivienda UVR'!$C$19</f>
        <v>0</v>
      </c>
      <c r="L51" s="7" t="e">
        <f ca="1">IF(C50&lt;1,"0",Seguros_Oblig!$K$2*('Crédito de Vivienda UVR'!$C$12*90%))</f>
        <v>#VALUE!</v>
      </c>
      <c r="M51" s="35" t="e">
        <f ca="1">K51+L51+(F51*'Crédito de Vivienda UVR'!$C$19)</f>
        <v>#VALUE!</v>
      </c>
      <c r="N51" s="316"/>
    </row>
    <row r="52" spans="2:14" ht="15.5" x14ac:dyDescent="0.35">
      <c r="B52" s="6" t="e">
        <f t="shared" ca="1" si="2"/>
        <v>#VALUE!</v>
      </c>
      <c r="C52" s="311" t="e">
        <f t="shared" ca="1" si="1"/>
        <v>#VALUE!</v>
      </c>
      <c r="D52" s="311" t="e">
        <f t="shared" ca="1" si="3"/>
        <v>#VALUE!</v>
      </c>
      <c r="E52" s="311" t="e">
        <f ca="1">C51*'Crédito de Vivienda UVR'!$E$17</f>
        <v>#VALUE!</v>
      </c>
      <c r="F52" s="322" t="e">
        <f ca="1">IF(B52=" ",0,PMT('Crédito de Vivienda UVR'!$E$17,'Crédito de Vivienda UVR'!$C$18,-'Crédito de Vivienda UVR'!$C$20,,))</f>
        <v>#VALUE!</v>
      </c>
      <c r="G52" s="320" t="e">
        <f ca="1">C51*(VLOOKUP('Crédito de Vivienda UVR'!$C$24,Seguros_Oblig!$A$3:$B$55,2,FALSE))</f>
        <v>#VALUE!</v>
      </c>
      <c r="H52" s="313" t="e">
        <f ca="1">C51*(VLOOKUP('Crédito de Vivienda UVR'!$C$25,Seguros_Oblig!$A$3:$B$55,2,FALSE))</f>
        <v>#VALUE!</v>
      </c>
      <c r="I52" s="313" t="e">
        <f ca="1">C51*(VLOOKUP('Crédito de Vivienda UVR'!$C$26,Seguros_Oblig!$A$3:$B$55,2,FALSE))</f>
        <v>#VALUE!</v>
      </c>
      <c r="J52" s="313" t="e">
        <f ca="1">C51*(VLOOKUP('Crédito de Vivienda UVR'!$C$27,Seguros_Oblig!$A$3:$B$55,2,FALSE))</f>
        <v>#VALUE!</v>
      </c>
      <c r="K52" s="35">
        <f ca="1">_xlfn.AGGREGATE(9,6,G52:J52)*'Crédito de Vivienda UVR'!$C$19</f>
        <v>0</v>
      </c>
      <c r="L52" s="7" t="e">
        <f ca="1">IF(C51&lt;1,"0",Seguros_Oblig!$K$2*('Crédito de Vivienda UVR'!$C$12*90%))</f>
        <v>#VALUE!</v>
      </c>
      <c r="M52" s="35" t="e">
        <f ca="1">K52+L52+(F52*'Crédito de Vivienda UVR'!$C$19)</f>
        <v>#VALUE!</v>
      </c>
      <c r="N52" s="316"/>
    </row>
    <row r="53" spans="2:14" ht="15.5" x14ac:dyDescent="0.35">
      <c r="B53" s="6" t="e">
        <f t="shared" ca="1" si="2"/>
        <v>#VALUE!</v>
      </c>
      <c r="C53" s="311" t="e">
        <f t="shared" ca="1" si="1"/>
        <v>#VALUE!</v>
      </c>
      <c r="D53" s="311" t="e">
        <f t="shared" ca="1" si="3"/>
        <v>#VALUE!</v>
      </c>
      <c r="E53" s="311" t="e">
        <f ca="1">C52*'Crédito de Vivienda UVR'!$E$17</f>
        <v>#VALUE!</v>
      </c>
      <c r="F53" s="322" t="e">
        <f ca="1">IF(B53=" ",0,PMT('Crédito de Vivienda UVR'!$E$17,'Crédito de Vivienda UVR'!$C$18,-'Crédito de Vivienda UVR'!$C$20,,))</f>
        <v>#VALUE!</v>
      </c>
      <c r="G53" s="320" t="e">
        <f ca="1">C52*(VLOOKUP('Crédito de Vivienda UVR'!$C$24,Seguros_Oblig!$A$3:$B$55,2,FALSE))</f>
        <v>#VALUE!</v>
      </c>
      <c r="H53" s="313" t="e">
        <f ca="1">C52*(VLOOKUP('Crédito de Vivienda UVR'!$C$25,Seguros_Oblig!$A$3:$B$55,2,FALSE))</f>
        <v>#VALUE!</v>
      </c>
      <c r="I53" s="313" t="e">
        <f ca="1">C52*(VLOOKUP('Crédito de Vivienda UVR'!$C$26,Seguros_Oblig!$A$3:$B$55,2,FALSE))</f>
        <v>#VALUE!</v>
      </c>
      <c r="J53" s="313" t="e">
        <f ca="1">C52*(VLOOKUP('Crédito de Vivienda UVR'!$C$27,Seguros_Oblig!$A$3:$B$55,2,FALSE))</f>
        <v>#VALUE!</v>
      </c>
      <c r="K53" s="35">
        <f ca="1">_xlfn.AGGREGATE(9,6,G53:J53)*'Crédito de Vivienda UVR'!$C$19</f>
        <v>0</v>
      </c>
      <c r="L53" s="7" t="e">
        <f ca="1">IF(C52&lt;1,"0",Seguros_Oblig!$K$2*('Crédito de Vivienda UVR'!$C$12*90%))</f>
        <v>#VALUE!</v>
      </c>
      <c r="M53" s="35" t="e">
        <f ca="1">K53+L53+(F53*'Crédito de Vivienda UVR'!$C$19)</f>
        <v>#VALUE!</v>
      </c>
      <c r="N53" s="316"/>
    </row>
    <row r="54" spans="2:14" ht="15.5" x14ac:dyDescent="0.35">
      <c r="B54" s="6" t="e">
        <f t="shared" ca="1" si="2"/>
        <v>#VALUE!</v>
      </c>
      <c r="C54" s="311" t="e">
        <f t="shared" ca="1" si="1"/>
        <v>#VALUE!</v>
      </c>
      <c r="D54" s="311" t="e">
        <f t="shared" ca="1" si="3"/>
        <v>#VALUE!</v>
      </c>
      <c r="E54" s="311" t="e">
        <f ca="1">C53*'Crédito de Vivienda UVR'!$E$17</f>
        <v>#VALUE!</v>
      </c>
      <c r="F54" s="322" t="e">
        <f ca="1">IF(B54=" ",0,PMT('Crédito de Vivienda UVR'!$E$17,'Crédito de Vivienda UVR'!$C$18,-'Crédito de Vivienda UVR'!$C$20,,))</f>
        <v>#VALUE!</v>
      </c>
      <c r="G54" s="320" t="e">
        <f ca="1">C53*(VLOOKUP('Crédito de Vivienda UVR'!$C$24,Seguros_Oblig!$A$3:$B$55,2,FALSE))</f>
        <v>#VALUE!</v>
      </c>
      <c r="H54" s="313" t="e">
        <f ca="1">C53*(VLOOKUP('Crédito de Vivienda UVR'!$C$25,Seguros_Oblig!$A$3:$B$55,2,FALSE))</f>
        <v>#VALUE!</v>
      </c>
      <c r="I54" s="313" t="e">
        <f ca="1">C53*(VLOOKUP('Crédito de Vivienda UVR'!$C$26,Seguros_Oblig!$A$3:$B$55,2,FALSE))</f>
        <v>#VALUE!</v>
      </c>
      <c r="J54" s="313" t="e">
        <f ca="1">C53*(VLOOKUP('Crédito de Vivienda UVR'!$C$27,Seguros_Oblig!$A$3:$B$55,2,FALSE))</f>
        <v>#VALUE!</v>
      </c>
      <c r="K54" s="35">
        <f ca="1">_xlfn.AGGREGATE(9,6,G54:J54)*'Crédito de Vivienda UVR'!$C$19</f>
        <v>0</v>
      </c>
      <c r="L54" s="7" t="e">
        <f ca="1">IF(C53&lt;1,"0",Seguros_Oblig!$K$2*('Crédito de Vivienda UVR'!$C$12*90%))</f>
        <v>#VALUE!</v>
      </c>
      <c r="M54" s="35" t="e">
        <f ca="1">K54+L54+(F54*'Crédito de Vivienda UVR'!$C$19)</f>
        <v>#VALUE!</v>
      </c>
      <c r="N54" s="316"/>
    </row>
    <row r="55" spans="2:14" ht="15.5" x14ac:dyDescent="0.35">
      <c r="B55" s="6" t="e">
        <f t="shared" ca="1" si="2"/>
        <v>#VALUE!</v>
      </c>
      <c r="C55" s="311" t="e">
        <f t="shared" ca="1" si="1"/>
        <v>#VALUE!</v>
      </c>
      <c r="D55" s="311" t="e">
        <f t="shared" ca="1" si="3"/>
        <v>#VALUE!</v>
      </c>
      <c r="E55" s="311" t="e">
        <f ca="1">C54*'Crédito de Vivienda UVR'!$E$17</f>
        <v>#VALUE!</v>
      </c>
      <c r="F55" s="322" t="e">
        <f ca="1">IF(B55=" ",0,PMT('Crédito de Vivienda UVR'!$E$17,'Crédito de Vivienda UVR'!$C$18,-'Crédito de Vivienda UVR'!$C$20,,))</f>
        <v>#VALUE!</v>
      </c>
      <c r="G55" s="320" t="e">
        <f ca="1">C54*(VLOOKUP('Crédito de Vivienda UVR'!$C$24,Seguros_Oblig!$A$3:$B$55,2,FALSE))</f>
        <v>#VALUE!</v>
      </c>
      <c r="H55" s="313" t="e">
        <f ca="1">C54*(VLOOKUP('Crédito de Vivienda UVR'!$C$25,Seguros_Oblig!$A$3:$B$55,2,FALSE))</f>
        <v>#VALUE!</v>
      </c>
      <c r="I55" s="313" t="e">
        <f ca="1">C54*(VLOOKUP('Crédito de Vivienda UVR'!$C$26,Seguros_Oblig!$A$3:$B$55,2,FALSE))</f>
        <v>#VALUE!</v>
      </c>
      <c r="J55" s="313" t="e">
        <f ca="1">C54*(VLOOKUP('Crédito de Vivienda UVR'!$C$27,Seguros_Oblig!$A$3:$B$55,2,FALSE))</f>
        <v>#VALUE!</v>
      </c>
      <c r="K55" s="35">
        <f ca="1">_xlfn.AGGREGATE(9,6,G55:J55)*'Crédito de Vivienda UVR'!$C$19</f>
        <v>0</v>
      </c>
      <c r="L55" s="7" t="e">
        <f ca="1">IF(C54&lt;1,"0",Seguros_Oblig!$K$2*('Crédito de Vivienda UVR'!$C$12*90%))</f>
        <v>#VALUE!</v>
      </c>
      <c r="M55" s="35" t="e">
        <f ca="1">K55+L55+(F55*'Crédito de Vivienda UVR'!$C$19)</f>
        <v>#VALUE!</v>
      </c>
      <c r="N55" s="316"/>
    </row>
    <row r="56" spans="2:14" ht="15.5" x14ac:dyDescent="0.35">
      <c r="B56" s="6" t="e">
        <f t="shared" ca="1" si="2"/>
        <v>#VALUE!</v>
      </c>
      <c r="C56" s="311" t="e">
        <f t="shared" ca="1" si="1"/>
        <v>#VALUE!</v>
      </c>
      <c r="D56" s="311" t="e">
        <f t="shared" ca="1" si="3"/>
        <v>#VALUE!</v>
      </c>
      <c r="E56" s="311" t="e">
        <f ca="1">C55*'Crédito de Vivienda UVR'!$E$17</f>
        <v>#VALUE!</v>
      </c>
      <c r="F56" s="322" t="e">
        <f ca="1">IF(B56=" ",0,PMT('Crédito de Vivienda UVR'!$E$17,'Crédito de Vivienda UVR'!$C$18,-'Crédito de Vivienda UVR'!$C$20,,))</f>
        <v>#VALUE!</v>
      </c>
      <c r="G56" s="320" t="e">
        <f ca="1">C55*(VLOOKUP('Crédito de Vivienda UVR'!$C$24,Seguros_Oblig!$A$3:$B$55,2,FALSE))</f>
        <v>#VALUE!</v>
      </c>
      <c r="H56" s="313" t="e">
        <f ca="1">C55*(VLOOKUP('Crédito de Vivienda UVR'!$C$25,Seguros_Oblig!$A$3:$B$55,2,FALSE))</f>
        <v>#VALUE!</v>
      </c>
      <c r="I56" s="313" t="e">
        <f ca="1">C55*(VLOOKUP('Crédito de Vivienda UVR'!$C$26,Seguros_Oblig!$A$3:$B$55,2,FALSE))</f>
        <v>#VALUE!</v>
      </c>
      <c r="J56" s="313" t="e">
        <f ca="1">C55*(VLOOKUP('Crédito de Vivienda UVR'!$C$27,Seguros_Oblig!$A$3:$B$55,2,FALSE))</f>
        <v>#VALUE!</v>
      </c>
      <c r="K56" s="35">
        <f ca="1">_xlfn.AGGREGATE(9,6,G56:J56)*'Crédito de Vivienda UVR'!$C$19</f>
        <v>0</v>
      </c>
      <c r="L56" s="7" t="e">
        <f ca="1">IF(C55&lt;1,"0",Seguros_Oblig!$K$2*('Crédito de Vivienda UVR'!$C$12*90%))</f>
        <v>#VALUE!</v>
      </c>
      <c r="M56" s="35" t="e">
        <f ca="1">K56+L56+(F56*'Crédito de Vivienda UVR'!$C$19)</f>
        <v>#VALUE!</v>
      </c>
      <c r="N56" s="316"/>
    </row>
    <row r="57" spans="2:14" ht="15.5" x14ac:dyDescent="0.35">
      <c r="B57" s="6" t="e">
        <f t="shared" ca="1" si="2"/>
        <v>#VALUE!</v>
      </c>
      <c r="C57" s="311" t="e">
        <f t="shared" ca="1" si="1"/>
        <v>#VALUE!</v>
      </c>
      <c r="D57" s="311" t="e">
        <f t="shared" ca="1" si="3"/>
        <v>#VALUE!</v>
      </c>
      <c r="E57" s="311" t="e">
        <f ca="1">C56*'Crédito de Vivienda UVR'!$E$17</f>
        <v>#VALUE!</v>
      </c>
      <c r="F57" s="322" t="e">
        <f ca="1">IF(B57=" ",0,PMT('Crédito de Vivienda UVR'!$E$17,'Crédito de Vivienda UVR'!$C$18,-'Crédito de Vivienda UVR'!$C$20,,))</f>
        <v>#VALUE!</v>
      </c>
      <c r="G57" s="320" t="e">
        <f ca="1">C56*(VLOOKUP('Crédito de Vivienda UVR'!$C$24,Seguros_Oblig!$A$3:$B$55,2,FALSE))</f>
        <v>#VALUE!</v>
      </c>
      <c r="H57" s="313" t="e">
        <f ca="1">C56*(VLOOKUP('Crédito de Vivienda UVR'!$C$25,Seguros_Oblig!$A$3:$B$55,2,FALSE))</f>
        <v>#VALUE!</v>
      </c>
      <c r="I57" s="313" t="e">
        <f ca="1">C56*(VLOOKUP('Crédito de Vivienda UVR'!$C$26,Seguros_Oblig!$A$3:$B$55,2,FALSE))</f>
        <v>#VALUE!</v>
      </c>
      <c r="J57" s="313" t="e">
        <f ca="1">C56*(VLOOKUP('Crédito de Vivienda UVR'!$C$27,Seguros_Oblig!$A$3:$B$55,2,FALSE))</f>
        <v>#VALUE!</v>
      </c>
      <c r="K57" s="35">
        <f ca="1">_xlfn.AGGREGATE(9,6,G57:J57)*'Crédito de Vivienda UVR'!$C$19</f>
        <v>0</v>
      </c>
      <c r="L57" s="7" t="e">
        <f ca="1">IF(C56&lt;1,"0",Seguros_Oblig!$K$2*('Crédito de Vivienda UVR'!$C$12*90%))</f>
        <v>#VALUE!</v>
      </c>
      <c r="M57" s="35" t="e">
        <f ca="1">K57+L57+(F57*'Crédito de Vivienda UVR'!$C$19)</f>
        <v>#VALUE!</v>
      </c>
      <c r="N57" s="316"/>
    </row>
    <row r="58" spans="2:14" ht="15.5" x14ac:dyDescent="0.35">
      <c r="B58" s="6" t="e">
        <f t="shared" ca="1" si="2"/>
        <v>#VALUE!</v>
      </c>
      <c r="C58" s="311" t="e">
        <f t="shared" ca="1" si="1"/>
        <v>#VALUE!</v>
      </c>
      <c r="D58" s="311" t="e">
        <f t="shared" ca="1" si="3"/>
        <v>#VALUE!</v>
      </c>
      <c r="E58" s="311" t="e">
        <f ca="1">C57*'Crédito de Vivienda UVR'!$E$17</f>
        <v>#VALUE!</v>
      </c>
      <c r="F58" s="322" t="e">
        <f ca="1">IF(B58=" ",0,PMT('Crédito de Vivienda UVR'!$E$17,'Crédito de Vivienda UVR'!$C$18,-'Crédito de Vivienda UVR'!$C$20,,))</f>
        <v>#VALUE!</v>
      </c>
      <c r="G58" s="320" t="e">
        <f ca="1">C57*(VLOOKUP('Crédito de Vivienda UVR'!$C$24,Seguros_Oblig!$A$3:$B$55,2,FALSE))</f>
        <v>#VALUE!</v>
      </c>
      <c r="H58" s="313" t="e">
        <f ca="1">C57*(VLOOKUP('Crédito de Vivienda UVR'!$C$25,Seguros_Oblig!$A$3:$B$55,2,FALSE))</f>
        <v>#VALUE!</v>
      </c>
      <c r="I58" s="313" t="e">
        <f ca="1">C57*(VLOOKUP('Crédito de Vivienda UVR'!$C$26,Seguros_Oblig!$A$3:$B$55,2,FALSE))</f>
        <v>#VALUE!</v>
      </c>
      <c r="J58" s="313" t="e">
        <f ca="1">C57*(VLOOKUP('Crédito de Vivienda UVR'!$C$27,Seguros_Oblig!$A$3:$B$55,2,FALSE))</f>
        <v>#VALUE!</v>
      </c>
      <c r="K58" s="35">
        <f ca="1">_xlfn.AGGREGATE(9,6,G58:J58)*'Crédito de Vivienda UVR'!$C$19</f>
        <v>0</v>
      </c>
      <c r="L58" s="7" t="e">
        <f ca="1">IF(C57&lt;1,"0",Seguros_Oblig!$K$2*('Crédito de Vivienda UVR'!$C$12*90%))</f>
        <v>#VALUE!</v>
      </c>
      <c r="M58" s="35" t="e">
        <f ca="1">K58+L58+(F58*'Crédito de Vivienda UVR'!$C$19)</f>
        <v>#VALUE!</v>
      </c>
      <c r="N58" s="316"/>
    </row>
    <row r="59" spans="2:14" ht="15.5" x14ac:dyDescent="0.35">
      <c r="B59" s="6" t="e">
        <f t="shared" ca="1" si="2"/>
        <v>#VALUE!</v>
      </c>
      <c r="C59" s="311" t="e">
        <f t="shared" ca="1" si="1"/>
        <v>#VALUE!</v>
      </c>
      <c r="D59" s="311" t="e">
        <f t="shared" ca="1" si="3"/>
        <v>#VALUE!</v>
      </c>
      <c r="E59" s="311" t="e">
        <f ca="1">C58*'Crédito de Vivienda UVR'!$E$17</f>
        <v>#VALUE!</v>
      </c>
      <c r="F59" s="322" t="e">
        <f ca="1">IF(B59=" ",0,PMT('Crédito de Vivienda UVR'!$E$17,'Crédito de Vivienda UVR'!$C$18,-'Crédito de Vivienda UVR'!$C$20,,))</f>
        <v>#VALUE!</v>
      </c>
      <c r="G59" s="320" t="e">
        <f ca="1">C58*(VLOOKUP('Crédito de Vivienda UVR'!$C$24,Seguros_Oblig!$A$3:$B$55,2,FALSE))</f>
        <v>#VALUE!</v>
      </c>
      <c r="H59" s="313" t="e">
        <f ca="1">C58*(VLOOKUP('Crédito de Vivienda UVR'!$C$25,Seguros_Oblig!$A$3:$B$55,2,FALSE))</f>
        <v>#VALUE!</v>
      </c>
      <c r="I59" s="313" t="e">
        <f ca="1">C58*(VLOOKUP('Crédito de Vivienda UVR'!$C$26,Seguros_Oblig!$A$3:$B$55,2,FALSE))</f>
        <v>#VALUE!</v>
      </c>
      <c r="J59" s="313" t="e">
        <f ca="1">C58*(VLOOKUP('Crédito de Vivienda UVR'!$C$27,Seguros_Oblig!$A$3:$B$55,2,FALSE))</f>
        <v>#VALUE!</v>
      </c>
      <c r="K59" s="35">
        <f ca="1">_xlfn.AGGREGATE(9,6,G59:J59)*'Crédito de Vivienda UVR'!$C$19</f>
        <v>0</v>
      </c>
      <c r="L59" s="7" t="e">
        <f ca="1">IF(C58&lt;1,"0",Seguros_Oblig!$K$2*('Crédito de Vivienda UVR'!$C$12*90%))</f>
        <v>#VALUE!</v>
      </c>
      <c r="M59" s="35" t="e">
        <f ca="1">K59+L59+(F59*'Crédito de Vivienda UVR'!$C$19)</f>
        <v>#VALUE!</v>
      </c>
      <c r="N59" s="316"/>
    </row>
    <row r="60" spans="2:14" ht="15.5" x14ac:dyDescent="0.35">
      <c r="B60" s="6" t="e">
        <f t="shared" ca="1" si="2"/>
        <v>#VALUE!</v>
      </c>
      <c r="C60" s="311" t="e">
        <f t="shared" ca="1" si="1"/>
        <v>#VALUE!</v>
      </c>
      <c r="D60" s="311" t="e">
        <f t="shared" ca="1" si="3"/>
        <v>#VALUE!</v>
      </c>
      <c r="E60" s="311" t="e">
        <f ca="1">C59*'Crédito de Vivienda UVR'!$E$17</f>
        <v>#VALUE!</v>
      </c>
      <c r="F60" s="322" t="e">
        <f ca="1">IF(B60=" ",0,PMT('Crédito de Vivienda UVR'!$E$17,'Crédito de Vivienda UVR'!$C$18,-'Crédito de Vivienda UVR'!$C$20,,))</f>
        <v>#VALUE!</v>
      </c>
      <c r="G60" s="320" t="e">
        <f ca="1">C59*(VLOOKUP('Crédito de Vivienda UVR'!$C$24,Seguros_Oblig!$A$3:$B$55,2,FALSE))</f>
        <v>#VALUE!</v>
      </c>
      <c r="H60" s="313" t="e">
        <f ca="1">C59*(VLOOKUP('Crédito de Vivienda UVR'!$C$25,Seguros_Oblig!$A$3:$B$55,2,FALSE))</f>
        <v>#VALUE!</v>
      </c>
      <c r="I60" s="313" t="e">
        <f ca="1">C59*(VLOOKUP('Crédito de Vivienda UVR'!$C$26,Seguros_Oblig!$A$3:$B$55,2,FALSE))</f>
        <v>#VALUE!</v>
      </c>
      <c r="J60" s="313" t="e">
        <f ca="1">C59*(VLOOKUP('Crédito de Vivienda UVR'!$C$27,Seguros_Oblig!$A$3:$B$55,2,FALSE))</f>
        <v>#VALUE!</v>
      </c>
      <c r="K60" s="35">
        <f ca="1">_xlfn.AGGREGATE(9,6,G60:J60)*'Crédito de Vivienda UVR'!$C$19</f>
        <v>0</v>
      </c>
      <c r="L60" s="7" t="e">
        <f ca="1">IF(C59&lt;1,"0",Seguros_Oblig!$K$2*('Crédito de Vivienda UVR'!$C$12*90%))</f>
        <v>#VALUE!</v>
      </c>
      <c r="M60" s="35" t="e">
        <f ca="1">K60+L60+(F60*'Crédito de Vivienda UVR'!$C$19)</f>
        <v>#VALUE!</v>
      </c>
      <c r="N60" s="316"/>
    </row>
    <row r="61" spans="2:14" ht="15.5" x14ac:dyDescent="0.35">
      <c r="B61" s="6" t="e">
        <f t="shared" ca="1" si="2"/>
        <v>#VALUE!</v>
      </c>
      <c r="C61" s="311" t="e">
        <f t="shared" ca="1" si="1"/>
        <v>#VALUE!</v>
      </c>
      <c r="D61" s="311" t="e">
        <f t="shared" ca="1" si="3"/>
        <v>#VALUE!</v>
      </c>
      <c r="E61" s="311" t="e">
        <f ca="1">C60*'Crédito de Vivienda UVR'!$E$17</f>
        <v>#VALUE!</v>
      </c>
      <c r="F61" s="322" t="e">
        <f ca="1">IF(B61=" ",0,PMT('Crédito de Vivienda UVR'!$E$17,'Crédito de Vivienda UVR'!$C$18,-'Crédito de Vivienda UVR'!$C$20,,))</f>
        <v>#VALUE!</v>
      </c>
      <c r="G61" s="320" t="e">
        <f ca="1">C60*(VLOOKUP('Crédito de Vivienda UVR'!$C$24,Seguros_Oblig!$A$3:$B$55,2,FALSE))</f>
        <v>#VALUE!</v>
      </c>
      <c r="H61" s="313" t="e">
        <f ca="1">C60*(VLOOKUP('Crédito de Vivienda UVR'!$C$25,Seguros_Oblig!$A$3:$B$55,2,FALSE))</f>
        <v>#VALUE!</v>
      </c>
      <c r="I61" s="313" t="e">
        <f ca="1">C60*(VLOOKUP('Crédito de Vivienda UVR'!$C$26,Seguros_Oblig!$A$3:$B$55,2,FALSE))</f>
        <v>#VALUE!</v>
      </c>
      <c r="J61" s="313" t="e">
        <f ca="1">C60*(VLOOKUP('Crédito de Vivienda UVR'!$C$27,Seguros_Oblig!$A$3:$B$55,2,FALSE))</f>
        <v>#VALUE!</v>
      </c>
      <c r="K61" s="35">
        <f ca="1">_xlfn.AGGREGATE(9,6,G61:J61)*'Crédito de Vivienda UVR'!$C$19</f>
        <v>0</v>
      </c>
      <c r="L61" s="7" t="e">
        <f ca="1">IF(C60&lt;1,"0",Seguros_Oblig!$K$2*('Crédito de Vivienda UVR'!$C$12*90%))</f>
        <v>#VALUE!</v>
      </c>
      <c r="M61" s="35" t="e">
        <f ca="1">K61+L61+(F61*'Crédito de Vivienda UVR'!$C$19)</f>
        <v>#VALUE!</v>
      </c>
      <c r="N61" s="316"/>
    </row>
    <row r="62" spans="2:14" ht="15.5" x14ac:dyDescent="0.35">
      <c r="B62" s="6" t="e">
        <f t="shared" ca="1" si="2"/>
        <v>#VALUE!</v>
      </c>
      <c r="C62" s="311" t="e">
        <f t="shared" ca="1" si="1"/>
        <v>#VALUE!</v>
      </c>
      <c r="D62" s="311" t="e">
        <f t="shared" ca="1" si="3"/>
        <v>#VALUE!</v>
      </c>
      <c r="E62" s="311" t="e">
        <f ca="1">C61*'Crédito de Vivienda UVR'!$E$17</f>
        <v>#VALUE!</v>
      </c>
      <c r="F62" s="322" t="e">
        <f ca="1">IF(B62=" ",0,PMT('Crédito de Vivienda UVR'!$E$17,'Crédito de Vivienda UVR'!$C$18,-'Crédito de Vivienda UVR'!$C$20,,))</f>
        <v>#VALUE!</v>
      </c>
      <c r="G62" s="320" t="e">
        <f ca="1">C61*(VLOOKUP('Crédito de Vivienda UVR'!$C$24,Seguros_Oblig!$A$3:$B$55,2,FALSE))</f>
        <v>#VALUE!</v>
      </c>
      <c r="H62" s="313" t="e">
        <f ca="1">C61*(VLOOKUP('Crédito de Vivienda UVR'!$C$25,Seguros_Oblig!$A$3:$B$55,2,FALSE))</f>
        <v>#VALUE!</v>
      </c>
      <c r="I62" s="313" t="e">
        <f ca="1">C61*(VLOOKUP('Crédito de Vivienda UVR'!$C$26,Seguros_Oblig!$A$3:$B$55,2,FALSE))</f>
        <v>#VALUE!</v>
      </c>
      <c r="J62" s="313" t="e">
        <f ca="1">C61*(VLOOKUP('Crédito de Vivienda UVR'!$C$27,Seguros_Oblig!$A$3:$B$55,2,FALSE))</f>
        <v>#VALUE!</v>
      </c>
      <c r="K62" s="35">
        <f ca="1">_xlfn.AGGREGATE(9,6,G62:J62)*'Crédito de Vivienda UVR'!$C$19</f>
        <v>0</v>
      </c>
      <c r="L62" s="7" t="e">
        <f ca="1">IF(C61&lt;1,"0",Seguros_Oblig!$K$2*('Crédito de Vivienda UVR'!$C$12*90%))</f>
        <v>#VALUE!</v>
      </c>
      <c r="M62" s="35" t="e">
        <f ca="1">K62+L62+(F62*'Crédito de Vivienda UVR'!$C$19)</f>
        <v>#VALUE!</v>
      </c>
      <c r="N62" s="316"/>
    </row>
    <row r="63" spans="2:14" ht="15.5" x14ac:dyDescent="0.35">
      <c r="B63" s="6" t="e">
        <f t="shared" ca="1" si="2"/>
        <v>#VALUE!</v>
      </c>
      <c r="C63" s="311" t="e">
        <f t="shared" ca="1" si="1"/>
        <v>#VALUE!</v>
      </c>
      <c r="D63" s="311" t="e">
        <f t="shared" ca="1" si="3"/>
        <v>#VALUE!</v>
      </c>
      <c r="E63" s="311" t="e">
        <f ca="1">C62*'Crédito de Vivienda UVR'!$E$17</f>
        <v>#VALUE!</v>
      </c>
      <c r="F63" s="322" t="e">
        <f ca="1">IF(B63=" ",0,PMT('Crédito de Vivienda UVR'!$E$17,'Crédito de Vivienda UVR'!$C$18,-'Crédito de Vivienda UVR'!$C$20,,))</f>
        <v>#VALUE!</v>
      </c>
      <c r="G63" s="320" t="e">
        <f ca="1">C62*(VLOOKUP('Crédito de Vivienda UVR'!$C$24,Seguros_Oblig!$A$3:$B$55,2,FALSE))</f>
        <v>#VALUE!</v>
      </c>
      <c r="H63" s="313" t="e">
        <f ca="1">C62*(VLOOKUP('Crédito de Vivienda UVR'!$C$25,Seguros_Oblig!$A$3:$B$55,2,FALSE))</f>
        <v>#VALUE!</v>
      </c>
      <c r="I63" s="313" t="e">
        <f ca="1">C62*(VLOOKUP('Crédito de Vivienda UVR'!$C$26,Seguros_Oblig!$A$3:$B$55,2,FALSE))</f>
        <v>#VALUE!</v>
      </c>
      <c r="J63" s="313" t="e">
        <f ca="1">C62*(VLOOKUP('Crédito de Vivienda UVR'!$C$27,Seguros_Oblig!$A$3:$B$55,2,FALSE))</f>
        <v>#VALUE!</v>
      </c>
      <c r="K63" s="35">
        <f ca="1">_xlfn.AGGREGATE(9,6,G63:J63)*'Crédito de Vivienda UVR'!$C$19</f>
        <v>0</v>
      </c>
      <c r="L63" s="7" t="e">
        <f ca="1">IF(C62&lt;1,"0",Seguros_Oblig!$K$2*('Crédito de Vivienda UVR'!$C$12*90%))</f>
        <v>#VALUE!</v>
      </c>
      <c r="M63" s="35" t="e">
        <f ca="1">K63+L63+(F63*'Crédito de Vivienda UVR'!$C$19)</f>
        <v>#VALUE!</v>
      </c>
      <c r="N63" s="316"/>
    </row>
    <row r="64" spans="2:14" ht="15.5" x14ac:dyDescent="0.35">
      <c r="B64" s="6" t="e">
        <f t="shared" ca="1" si="2"/>
        <v>#VALUE!</v>
      </c>
      <c r="C64" s="311" t="e">
        <f t="shared" ca="1" si="1"/>
        <v>#VALUE!</v>
      </c>
      <c r="D64" s="311" t="e">
        <f t="shared" ca="1" si="3"/>
        <v>#VALUE!</v>
      </c>
      <c r="E64" s="311" t="e">
        <f ca="1">C63*'Crédito de Vivienda UVR'!$E$17</f>
        <v>#VALUE!</v>
      </c>
      <c r="F64" s="322" t="e">
        <f ca="1">IF(B64=" ",0,PMT('Crédito de Vivienda UVR'!$E$17,'Crédito de Vivienda UVR'!$C$18,-'Crédito de Vivienda UVR'!$C$20,,))</f>
        <v>#VALUE!</v>
      </c>
      <c r="G64" s="320" t="e">
        <f ca="1">C63*(VLOOKUP('Crédito de Vivienda UVR'!$C$24,Seguros_Oblig!$A$3:$B$55,2,FALSE))</f>
        <v>#VALUE!</v>
      </c>
      <c r="H64" s="313" t="e">
        <f ca="1">C63*(VLOOKUP('Crédito de Vivienda UVR'!$C$25,Seguros_Oblig!$A$3:$B$55,2,FALSE))</f>
        <v>#VALUE!</v>
      </c>
      <c r="I64" s="313" t="e">
        <f ca="1">C63*(VLOOKUP('Crédito de Vivienda UVR'!$C$26,Seguros_Oblig!$A$3:$B$55,2,FALSE))</f>
        <v>#VALUE!</v>
      </c>
      <c r="J64" s="313" t="e">
        <f ca="1">C63*(VLOOKUP('Crédito de Vivienda UVR'!$C$27,Seguros_Oblig!$A$3:$B$55,2,FALSE))</f>
        <v>#VALUE!</v>
      </c>
      <c r="K64" s="35">
        <f ca="1">_xlfn.AGGREGATE(9,6,G64:J64)*'Crédito de Vivienda UVR'!$C$19</f>
        <v>0</v>
      </c>
      <c r="L64" s="7" t="e">
        <f ca="1">IF(C63&lt;1,"0",Seguros_Oblig!$K$2*('Crédito de Vivienda UVR'!$C$12*90%))</f>
        <v>#VALUE!</v>
      </c>
      <c r="M64" s="35" t="e">
        <f ca="1">K64+L64+(F64*'Crédito de Vivienda UVR'!$C$19)</f>
        <v>#VALUE!</v>
      </c>
      <c r="N64" s="316"/>
    </row>
    <row r="65" spans="2:14" ht="15.5" x14ac:dyDescent="0.35">
      <c r="B65" s="6" t="e">
        <f t="shared" ca="1" si="2"/>
        <v>#VALUE!</v>
      </c>
      <c r="C65" s="311" t="e">
        <f t="shared" ca="1" si="1"/>
        <v>#VALUE!</v>
      </c>
      <c r="D65" s="311" t="e">
        <f t="shared" ca="1" si="3"/>
        <v>#VALUE!</v>
      </c>
      <c r="E65" s="311" t="e">
        <f ca="1">C64*'Crédito de Vivienda UVR'!$E$17</f>
        <v>#VALUE!</v>
      </c>
      <c r="F65" s="322" t="e">
        <f ca="1">IF(B65=" ",0,PMT('Crédito de Vivienda UVR'!$E$17,'Crédito de Vivienda UVR'!$C$18,-'Crédito de Vivienda UVR'!$C$20,,))</f>
        <v>#VALUE!</v>
      </c>
      <c r="G65" s="320" t="e">
        <f ca="1">C64*(VLOOKUP('Crédito de Vivienda UVR'!$C$24,Seguros_Oblig!$A$3:$B$55,2,FALSE))</f>
        <v>#VALUE!</v>
      </c>
      <c r="H65" s="313" t="e">
        <f ca="1">C64*(VLOOKUP('Crédito de Vivienda UVR'!$C$25,Seguros_Oblig!$A$3:$B$55,2,FALSE))</f>
        <v>#VALUE!</v>
      </c>
      <c r="I65" s="313" t="e">
        <f ca="1">C64*(VLOOKUP('Crédito de Vivienda UVR'!$C$26,Seguros_Oblig!$A$3:$B$55,2,FALSE))</f>
        <v>#VALUE!</v>
      </c>
      <c r="J65" s="313" t="e">
        <f ca="1">C64*(VLOOKUP('Crédito de Vivienda UVR'!$C$27,Seguros_Oblig!$A$3:$B$55,2,FALSE))</f>
        <v>#VALUE!</v>
      </c>
      <c r="K65" s="35">
        <f ca="1">_xlfn.AGGREGATE(9,6,G65:J65)*'Crédito de Vivienda UVR'!$C$19</f>
        <v>0</v>
      </c>
      <c r="L65" s="7" t="e">
        <f ca="1">IF(C64&lt;1,"0",Seguros_Oblig!$K$2*('Crédito de Vivienda UVR'!$C$12*90%))</f>
        <v>#VALUE!</v>
      </c>
      <c r="M65" s="35" t="e">
        <f ca="1">K65+L65+(F65*'Crédito de Vivienda UVR'!$C$19)</f>
        <v>#VALUE!</v>
      </c>
      <c r="N65" s="316"/>
    </row>
    <row r="66" spans="2:14" ht="15.5" x14ac:dyDescent="0.35">
      <c r="B66" s="6" t="e">
        <f t="shared" ca="1" si="2"/>
        <v>#VALUE!</v>
      </c>
      <c r="C66" s="311" t="e">
        <f t="shared" ca="1" si="1"/>
        <v>#VALUE!</v>
      </c>
      <c r="D66" s="311" t="e">
        <f t="shared" ca="1" si="3"/>
        <v>#VALUE!</v>
      </c>
      <c r="E66" s="311" t="e">
        <f ca="1">C65*'Crédito de Vivienda UVR'!$E$17</f>
        <v>#VALUE!</v>
      </c>
      <c r="F66" s="322" t="e">
        <f ca="1">IF(B66=" ",0,PMT('Crédito de Vivienda UVR'!$E$17,'Crédito de Vivienda UVR'!$C$18,-'Crédito de Vivienda UVR'!$C$20,,))</f>
        <v>#VALUE!</v>
      </c>
      <c r="G66" s="320" t="e">
        <f ca="1">C65*(VLOOKUP('Crédito de Vivienda UVR'!$C$24,Seguros_Oblig!$A$3:$B$55,2,FALSE))</f>
        <v>#VALUE!</v>
      </c>
      <c r="H66" s="313" t="e">
        <f ca="1">C65*(VLOOKUP('Crédito de Vivienda UVR'!$C$25,Seguros_Oblig!$A$3:$B$55,2,FALSE))</f>
        <v>#VALUE!</v>
      </c>
      <c r="I66" s="313" t="e">
        <f ca="1">C65*(VLOOKUP('Crédito de Vivienda UVR'!$C$26,Seguros_Oblig!$A$3:$B$55,2,FALSE))</f>
        <v>#VALUE!</v>
      </c>
      <c r="J66" s="313" t="e">
        <f ca="1">C65*(VLOOKUP('Crédito de Vivienda UVR'!$C$27,Seguros_Oblig!$A$3:$B$55,2,FALSE))</f>
        <v>#VALUE!</v>
      </c>
      <c r="K66" s="35">
        <f ca="1">_xlfn.AGGREGATE(9,6,G66:J66)*'Crédito de Vivienda UVR'!$C$19</f>
        <v>0</v>
      </c>
      <c r="L66" s="7" t="e">
        <f ca="1">IF(C65&lt;1,"0",Seguros_Oblig!$K$2*('Crédito de Vivienda UVR'!$C$12*90%))</f>
        <v>#VALUE!</v>
      </c>
      <c r="M66" s="35" t="e">
        <f ca="1">K66+L66+(F66*'Crédito de Vivienda UVR'!$C$19)</f>
        <v>#VALUE!</v>
      </c>
      <c r="N66" s="316"/>
    </row>
    <row r="67" spans="2:14" ht="15.5" x14ac:dyDescent="0.35">
      <c r="B67" s="6" t="e">
        <f t="shared" ca="1" si="2"/>
        <v>#VALUE!</v>
      </c>
      <c r="C67" s="311" t="e">
        <f t="shared" ca="1" si="1"/>
        <v>#VALUE!</v>
      </c>
      <c r="D67" s="311" t="e">
        <f t="shared" ca="1" si="3"/>
        <v>#VALUE!</v>
      </c>
      <c r="E67" s="311" t="e">
        <f ca="1">C66*'Crédito de Vivienda UVR'!$E$17</f>
        <v>#VALUE!</v>
      </c>
      <c r="F67" s="322" t="e">
        <f ca="1">IF(B67=" ",0,PMT('Crédito de Vivienda UVR'!$E$17,'Crédito de Vivienda UVR'!$C$18,-'Crédito de Vivienda UVR'!$C$20,,))</f>
        <v>#VALUE!</v>
      </c>
      <c r="G67" s="320" t="e">
        <f ca="1">C66*(VLOOKUP('Crédito de Vivienda UVR'!$C$24,Seguros_Oblig!$A$3:$B$55,2,FALSE))</f>
        <v>#VALUE!</v>
      </c>
      <c r="H67" s="313" t="e">
        <f ca="1">C66*(VLOOKUP('Crédito de Vivienda UVR'!$C$25,Seguros_Oblig!$A$3:$B$55,2,FALSE))</f>
        <v>#VALUE!</v>
      </c>
      <c r="I67" s="313" t="e">
        <f ca="1">C66*(VLOOKUP('Crédito de Vivienda UVR'!$C$26,Seguros_Oblig!$A$3:$B$55,2,FALSE))</f>
        <v>#VALUE!</v>
      </c>
      <c r="J67" s="313" t="e">
        <f ca="1">C66*(VLOOKUP('Crédito de Vivienda UVR'!$C$27,Seguros_Oblig!$A$3:$B$55,2,FALSE))</f>
        <v>#VALUE!</v>
      </c>
      <c r="K67" s="35">
        <f ca="1">_xlfn.AGGREGATE(9,6,G67:J67)*'Crédito de Vivienda UVR'!$C$19</f>
        <v>0</v>
      </c>
      <c r="L67" s="7" t="e">
        <f ca="1">IF(C66&lt;1,"0",Seguros_Oblig!$K$2*('Crédito de Vivienda UVR'!$C$12*90%))</f>
        <v>#VALUE!</v>
      </c>
      <c r="M67" s="35" t="e">
        <f ca="1">K67+L67+(F67*'Crédito de Vivienda UVR'!$C$19)</f>
        <v>#VALUE!</v>
      </c>
      <c r="N67" s="316"/>
    </row>
    <row r="68" spans="2:14" ht="15.5" x14ac:dyDescent="0.35">
      <c r="B68" s="6" t="e">
        <f t="shared" ca="1" si="2"/>
        <v>#VALUE!</v>
      </c>
      <c r="C68" s="311" t="e">
        <f t="shared" ca="1" si="1"/>
        <v>#VALUE!</v>
      </c>
      <c r="D68" s="311" t="e">
        <f t="shared" ca="1" si="3"/>
        <v>#VALUE!</v>
      </c>
      <c r="E68" s="311" t="e">
        <f ca="1">C67*'Crédito de Vivienda UVR'!$E$17</f>
        <v>#VALUE!</v>
      </c>
      <c r="F68" s="322" t="e">
        <f ca="1">IF(B68=" ",0,PMT('Crédito de Vivienda UVR'!$E$17,'Crédito de Vivienda UVR'!$C$18,-'Crédito de Vivienda UVR'!$C$20,,))</f>
        <v>#VALUE!</v>
      </c>
      <c r="G68" s="320" t="e">
        <f ca="1">C67*(VLOOKUP('Crédito de Vivienda UVR'!$C$24,Seguros_Oblig!$A$3:$B$55,2,FALSE))</f>
        <v>#VALUE!</v>
      </c>
      <c r="H68" s="313" t="e">
        <f ca="1">C67*(VLOOKUP('Crédito de Vivienda UVR'!$C$25,Seguros_Oblig!$A$3:$B$55,2,FALSE))</f>
        <v>#VALUE!</v>
      </c>
      <c r="I68" s="313" t="e">
        <f ca="1">C67*(VLOOKUP('Crédito de Vivienda UVR'!$C$26,Seguros_Oblig!$A$3:$B$55,2,FALSE))</f>
        <v>#VALUE!</v>
      </c>
      <c r="J68" s="313" t="e">
        <f ca="1">C67*(VLOOKUP('Crédito de Vivienda UVR'!$C$27,Seguros_Oblig!$A$3:$B$55,2,FALSE))</f>
        <v>#VALUE!</v>
      </c>
      <c r="K68" s="35">
        <f ca="1">_xlfn.AGGREGATE(9,6,G68:J68)*'Crédito de Vivienda UVR'!$C$19</f>
        <v>0</v>
      </c>
      <c r="L68" s="7" t="e">
        <f ca="1">IF(C67&lt;1,"0",Seguros_Oblig!$K$2*('Crédito de Vivienda UVR'!$C$12*90%))</f>
        <v>#VALUE!</v>
      </c>
      <c r="M68" s="35" t="e">
        <f ca="1">K68+L68+(F68*'Crédito de Vivienda UVR'!$C$19)</f>
        <v>#VALUE!</v>
      </c>
      <c r="N68" s="316"/>
    </row>
    <row r="69" spans="2:14" ht="15.5" x14ac:dyDescent="0.35">
      <c r="B69" s="6" t="e">
        <f t="shared" ca="1" si="2"/>
        <v>#VALUE!</v>
      </c>
      <c r="C69" s="311" t="e">
        <f t="shared" ca="1" si="1"/>
        <v>#VALUE!</v>
      </c>
      <c r="D69" s="311" t="e">
        <f t="shared" ca="1" si="3"/>
        <v>#VALUE!</v>
      </c>
      <c r="E69" s="311" t="e">
        <f ca="1">C68*'Crédito de Vivienda UVR'!$E$17</f>
        <v>#VALUE!</v>
      </c>
      <c r="F69" s="322" t="e">
        <f ca="1">IF(B69=" ",0,PMT('Crédito de Vivienda UVR'!$E$17,'Crédito de Vivienda UVR'!$C$18,-'Crédito de Vivienda UVR'!$C$20,,))</f>
        <v>#VALUE!</v>
      </c>
      <c r="G69" s="320" t="e">
        <f ca="1">C68*(VLOOKUP('Crédito de Vivienda UVR'!$C$24,Seguros_Oblig!$A$3:$B$55,2,FALSE))</f>
        <v>#VALUE!</v>
      </c>
      <c r="H69" s="313" t="e">
        <f ca="1">C68*(VLOOKUP('Crédito de Vivienda UVR'!$C$25,Seguros_Oblig!$A$3:$B$55,2,FALSE))</f>
        <v>#VALUE!</v>
      </c>
      <c r="I69" s="313" t="e">
        <f ca="1">C68*(VLOOKUP('Crédito de Vivienda UVR'!$C$26,Seguros_Oblig!$A$3:$B$55,2,FALSE))</f>
        <v>#VALUE!</v>
      </c>
      <c r="J69" s="313" t="e">
        <f ca="1">C68*(VLOOKUP('Crédito de Vivienda UVR'!$C$27,Seguros_Oblig!$A$3:$B$55,2,FALSE))</f>
        <v>#VALUE!</v>
      </c>
      <c r="K69" s="35">
        <f ca="1">_xlfn.AGGREGATE(9,6,G69:J69)*'Crédito de Vivienda UVR'!$C$19</f>
        <v>0</v>
      </c>
      <c r="L69" s="7" t="e">
        <f ca="1">IF(C68&lt;1,"0",Seguros_Oblig!$K$2*('Crédito de Vivienda UVR'!$C$12*90%))</f>
        <v>#VALUE!</v>
      </c>
      <c r="M69" s="35" t="e">
        <f ca="1">K69+L69+(F69*'Crédito de Vivienda UVR'!$C$19)</f>
        <v>#VALUE!</v>
      </c>
      <c r="N69" s="316"/>
    </row>
    <row r="70" spans="2:14" ht="15.5" x14ac:dyDescent="0.35">
      <c r="B70" s="6" t="e">
        <f t="shared" ca="1" si="2"/>
        <v>#VALUE!</v>
      </c>
      <c r="C70" s="311" t="e">
        <f t="shared" ca="1" si="1"/>
        <v>#VALUE!</v>
      </c>
      <c r="D70" s="311" t="e">
        <f t="shared" ca="1" si="3"/>
        <v>#VALUE!</v>
      </c>
      <c r="E70" s="311" t="e">
        <f ca="1">C69*'Crédito de Vivienda UVR'!$E$17</f>
        <v>#VALUE!</v>
      </c>
      <c r="F70" s="322" t="e">
        <f ca="1">IF(B70=" ",0,PMT('Crédito de Vivienda UVR'!$E$17,'Crédito de Vivienda UVR'!$C$18,-'Crédito de Vivienda UVR'!$C$20,,))</f>
        <v>#VALUE!</v>
      </c>
      <c r="G70" s="320" t="e">
        <f ca="1">C69*(VLOOKUP('Crédito de Vivienda UVR'!$C$24,Seguros_Oblig!$A$3:$B$55,2,FALSE))</f>
        <v>#VALUE!</v>
      </c>
      <c r="H70" s="313" t="e">
        <f ca="1">C69*(VLOOKUP('Crédito de Vivienda UVR'!$C$25,Seguros_Oblig!$A$3:$B$55,2,FALSE))</f>
        <v>#VALUE!</v>
      </c>
      <c r="I70" s="313" t="e">
        <f ca="1">C69*(VLOOKUP('Crédito de Vivienda UVR'!$C$26,Seguros_Oblig!$A$3:$B$55,2,FALSE))</f>
        <v>#VALUE!</v>
      </c>
      <c r="J70" s="313" t="e">
        <f ca="1">C69*(VLOOKUP('Crédito de Vivienda UVR'!$C$27,Seguros_Oblig!$A$3:$B$55,2,FALSE))</f>
        <v>#VALUE!</v>
      </c>
      <c r="K70" s="35">
        <f ca="1">_xlfn.AGGREGATE(9,6,G70:J70)*'Crédito de Vivienda UVR'!$C$19</f>
        <v>0</v>
      </c>
      <c r="L70" s="7" t="e">
        <f ca="1">IF(C69&lt;1,"0",Seguros_Oblig!$K$2*('Crédito de Vivienda UVR'!$C$12*90%))</f>
        <v>#VALUE!</v>
      </c>
      <c r="M70" s="35" t="e">
        <f ca="1">K70+L70+(F70*'Crédito de Vivienda UVR'!$C$19)</f>
        <v>#VALUE!</v>
      </c>
      <c r="N70" s="316"/>
    </row>
    <row r="71" spans="2:14" ht="15.5" x14ac:dyDescent="0.35">
      <c r="B71" s="6" t="e">
        <f t="shared" ca="1" si="2"/>
        <v>#VALUE!</v>
      </c>
      <c r="C71" s="311" t="e">
        <f t="shared" ca="1" si="1"/>
        <v>#VALUE!</v>
      </c>
      <c r="D71" s="311" t="e">
        <f t="shared" ca="1" si="3"/>
        <v>#VALUE!</v>
      </c>
      <c r="E71" s="311" t="e">
        <f ca="1">C70*'Crédito de Vivienda UVR'!$E$17</f>
        <v>#VALUE!</v>
      </c>
      <c r="F71" s="322" t="e">
        <f ca="1">IF(B71=" ",0,PMT('Crédito de Vivienda UVR'!$E$17,'Crédito de Vivienda UVR'!$C$18,-'Crédito de Vivienda UVR'!$C$20,,))</f>
        <v>#VALUE!</v>
      </c>
      <c r="G71" s="320" t="e">
        <f ca="1">C70*(VLOOKUP('Crédito de Vivienda UVR'!$C$24,Seguros_Oblig!$A$3:$B$55,2,FALSE))</f>
        <v>#VALUE!</v>
      </c>
      <c r="H71" s="313" t="e">
        <f ca="1">C70*(VLOOKUP('Crédito de Vivienda UVR'!$C$25,Seguros_Oblig!$A$3:$B$55,2,FALSE))</f>
        <v>#VALUE!</v>
      </c>
      <c r="I71" s="313" t="e">
        <f ca="1">C70*(VLOOKUP('Crédito de Vivienda UVR'!$C$26,Seguros_Oblig!$A$3:$B$55,2,FALSE))</f>
        <v>#VALUE!</v>
      </c>
      <c r="J71" s="313" t="e">
        <f ca="1">C70*(VLOOKUP('Crédito de Vivienda UVR'!$C$27,Seguros_Oblig!$A$3:$B$55,2,FALSE))</f>
        <v>#VALUE!</v>
      </c>
      <c r="K71" s="35">
        <f ca="1">_xlfn.AGGREGATE(9,6,G71:J71)*'Crédito de Vivienda UVR'!$C$19</f>
        <v>0</v>
      </c>
      <c r="L71" s="7" t="e">
        <f ca="1">IF(C70&lt;1,"0",Seguros_Oblig!$K$2*('Crédito de Vivienda UVR'!$C$12*90%))</f>
        <v>#VALUE!</v>
      </c>
      <c r="M71" s="35" t="e">
        <f ca="1">K71+L71+(F71*'Crédito de Vivienda UVR'!$C$19)</f>
        <v>#VALUE!</v>
      </c>
      <c r="N71" s="316"/>
    </row>
    <row r="72" spans="2:14" ht="15.5" x14ac:dyDescent="0.35">
      <c r="B72" s="6" t="e">
        <f t="shared" ca="1" si="2"/>
        <v>#VALUE!</v>
      </c>
      <c r="C72" s="311" t="e">
        <f t="shared" ca="1" si="1"/>
        <v>#VALUE!</v>
      </c>
      <c r="D72" s="311" t="e">
        <f t="shared" ca="1" si="3"/>
        <v>#VALUE!</v>
      </c>
      <c r="E72" s="311" t="e">
        <f ca="1">C71*'Crédito de Vivienda UVR'!$E$17</f>
        <v>#VALUE!</v>
      </c>
      <c r="F72" s="322" t="e">
        <f ca="1">IF(B72=" ",0,PMT('Crédito de Vivienda UVR'!$E$17,'Crédito de Vivienda UVR'!$C$18,-'Crédito de Vivienda UVR'!$C$20,,))</f>
        <v>#VALUE!</v>
      </c>
      <c r="G72" s="320" t="e">
        <f ca="1">C71*(VLOOKUP('Crédito de Vivienda UVR'!$C$24,Seguros_Oblig!$A$3:$B$55,2,FALSE))</f>
        <v>#VALUE!</v>
      </c>
      <c r="H72" s="313" t="e">
        <f ca="1">C71*(VLOOKUP('Crédito de Vivienda UVR'!$C$25,Seguros_Oblig!$A$3:$B$55,2,FALSE))</f>
        <v>#VALUE!</v>
      </c>
      <c r="I72" s="313" t="e">
        <f ca="1">C71*(VLOOKUP('Crédito de Vivienda UVR'!$C$26,Seguros_Oblig!$A$3:$B$55,2,FALSE))</f>
        <v>#VALUE!</v>
      </c>
      <c r="J72" s="313" t="e">
        <f ca="1">C71*(VLOOKUP('Crédito de Vivienda UVR'!$C$27,Seguros_Oblig!$A$3:$B$55,2,FALSE))</f>
        <v>#VALUE!</v>
      </c>
      <c r="K72" s="35">
        <f ca="1">_xlfn.AGGREGATE(9,6,G72:J72)*'Crédito de Vivienda UVR'!$C$19</f>
        <v>0</v>
      </c>
      <c r="L72" s="7" t="e">
        <f ca="1">IF(C71&lt;1,"0",Seguros_Oblig!$K$2*('Crédito de Vivienda UVR'!$C$12*90%))</f>
        <v>#VALUE!</v>
      </c>
      <c r="M72" s="35" t="e">
        <f ca="1">K72+L72+(F72*'Crédito de Vivienda UVR'!$C$19)</f>
        <v>#VALUE!</v>
      </c>
      <c r="N72" s="316"/>
    </row>
    <row r="73" spans="2:14" ht="15.5" x14ac:dyDescent="0.35">
      <c r="B73" s="6" t="e">
        <f t="shared" ca="1" si="2"/>
        <v>#VALUE!</v>
      </c>
      <c r="C73" s="311" t="e">
        <f t="shared" ca="1" si="1"/>
        <v>#VALUE!</v>
      </c>
      <c r="D73" s="311" t="e">
        <f t="shared" ca="1" si="3"/>
        <v>#VALUE!</v>
      </c>
      <c r="E73" s="311" t="e">
        <f ca="1">C72*'Crédito de Vivienda UVR'!$E$17</f>
        <v>#VALUE!</v>
      </c>
      <c r="F73" s="322" t="e">
        <f ca="1">IF(B73=" ",0,PMT('Crédito de Vivienda UVR'!$E$17,'Crédito de Vivienda UVR'!$C$18,-'Crédito de Vivienda UVR'!$C$20,,))</f>
        <v>#VALUE!</v>
      </c>
      <c r="G73" s="320" t="e">
        <f ca="1">C72*(VLOOKUP('Crédito de Vivienda UVR'!$C$24,Seguros_Oblig!$A$3:$B$55,2,FALSE))</f>
        <v>#VALUE!</v>
      </c>
      <c r="H73" s="313" t="e">
        <f ca="1">C72*(VLOOKUP('Crédito de Vivienda UVR'!$C$25,Seguros_Oblig!$A$3:$B$55,2,FALSE))</f>
        <v>#VALUE!</v>
      </c>
      <c r="I73" s="313" t="e">
        <f ca="1">C72*(VLOOKUP('Crédito de Vivienda UVR'!$C$26,Seguros_Oblig!$A$3:$B$55,2,FALSE))</f>
        <v>#VALUE!</v>
      </c>
      <c r="J73" s="313" t="e">
        <f ca="1">C72*(VLOOKUP('Crédito de Vivienda UVR'!$C$27,Seguros_Oblig!$A$3:$B$55,2,FALSE))</f>
        <v>#VALUE!</v>
      </c>
      <c r="K73" s="35">
        <f ca="1">_xlfn.AGGREGATE(9,6,G73:J73)*'Crédito de Vivienda UVR'!$C$19</f>
        <v>0</v>
      </c>
      <c r="L73" s="7" t="e">
        <f ca="1">IF(C72&lt;1,"0",Seguros_Oblig!$K$2*('Crédito de Vivienda UVR'!$C$12*90%))</f>
        <v>#VALUE!</v>
      </c>
      <c r="M73" s="35" t="e">
        <f ca="1">K73+L73+(F73*'Crédito de Vivienda UVR'!$C$19)</f>
        <v>#VALUE!</v>
      </c>
      <c r="N73" s="316"/>
    </row>
    <row r="74" spans="2:14" ht="15.5" x14ac:dyDescent="0.35">
      <c r="B74" s="6" t="e">
        <f t="shared" ca="1" si="2"/>
        <v>#VALUE!</v>
      </c>
      <c r="C74" s="311" t="e">
        <f t="shared" ca="1" si="1"/>
        <v>#VALUE!</v>
      </c>
      <c r="D74" s="311" t="e">
        <f t="shared" ca="1" si="3"/>
        <v>#VALUE!</v>
      </c>
      <c r="E74" s="311" t="e">
        <f ca="1">C73*'Crédito de Vivienda UVR'!$E$17</f>
        <v>#VALUE!</v>
      </c>
      <c r="F74" s="322" t="e">
        <f ca="1">IF(B74=" ",0,PMT('Crédito de Vivienda UVR'!$E$17,'Crédito de Vivienda UVR'!$C$18,-'Crédito de Vivienda UVR'!$C$20,,))</f>
        <v>#VALUE!</v>
      </c>
      <c r="G74" s="320" t="e">
        <f ca="1">C73*(VLOOKUP('Crédito de Vivienda UVR'!$C$24,Seguros_Oblig!$A$3:$B$55,2,FALSE))</f>
        <v>#VALUE!</v>
      </c>
      <c r="H74" s="313" t="e">
        <f ca="1">C73*(VLOOKUP('Crédito de Vivienda UVR'!$C$25,Seguros_Oblig!$A$3:$B$55,2,FALSE))</f>
        <v>#VALUE!</v>
      </c>
      <c r="I74" s="313" t="e">
        <f ca="1">C73*(VLOOKUP('Crédito de Vivienda UVR'!$C$26,Seguros_Oblig!$A$3:$B$55,2,FALSE))</f>
        <v>#VALUE!</v>
      </c>
      <c r="J74" s="313" t="e">
        <f ca="1">C73*(VLOOKUP('Crédito de Vivienda UVR'!$C$27,Seguros_Oblig!$A$3:$B$55,2,FALSE))</f>
        <v>#VALUE!</v>
      </c>
      <c r="K74" s="35">
        <f ca="1">_xlfn.AGGREGATE(9,6,G74:J74)*'Crédito de Vivienda UVR'!$C$19</f>
        <v>0</v>
      </c>
      <c r="L74" s="7" t="e">
        <f ca="1">IF(C73&lt;1,"0",Seguros_Oblig!$K$2*('Crédito de Vivienda UVR'!$C$12*90%))</f>
        <v>#VALUE!</v>
      </c>
      <c r="M74" s="35" t="e">
        <f ca="1">K74+L74+(F74*'Crédito de Vivienda UVR'!$C$19)</f>
        <v>#VALUE!</v>
      </c>
      <c r="N74" s="316"/>
    </row>
    <row r="75" spans="2:14" ht="15.5" x14ac:dyDescent="0.35">
      <c r="B75" s="6" t="e">
        <f t="shared" ca="1" si="2"/>
        <v>#VALUE!</v>
      </c>
      <c r="C75" s="311" t="e">
        <f t="shared" ca="1" si="1"/>
        <v>#VALUE!</v>
      </c>
      <c r="D75" s="311" t="e">
        <f t="shared" ca="1" si="3"/>
        <v>#VALUE!</v>
      </c>
      <c r="E75" s="311" t="e">
        <f ca="1">C74*'Crédito de Vivienda UVR'!$E$17</f>
        <v>#VALUE!</v>
      </c>
      <c r="F75" s="322" t="e">
        <f ca="1">IF(B75=" ",0,PMT('Crédito de Vivienda UVR'!$E$17,'Crédito de Vivienda UVR'!$C$18,-'Crédito de Vivienda UVR'!$C$20,,))</f>
        <v>#VALUE!</v>
      </c>
      <c r="G75" s="320" t="e">
        <f ca="1">C74*(VLOOKUP('Crédito de Vivienda UVR'!$C$24,Seguros_Oblig!$A$3:$B$55,2,FALSE))</f>
        <v>#VALUE!</v>
      </c>
      <c r="H75" s="313" t="e">
        <f ca="1">C74*(VLOOKUP('Crédito de Vivienda UVR'!$C$25,Seguros_Oblig!$A$3:$B$55,2,FALSE))</f>
        <v>#VALUE!</v>
      </c>
      <c r="I75" s="313" t="e">
        <f ca="1">C74*(VLOOKUP('Crédito de Vivienda UVR'!$C$26,Seguros_Oblig!$A$3:$B$55,2,FALSE))</f>
        <v>#VALUE!</v>
      </c>
      <c r="J75" s="313" t="e">
        <f ca="1">C74*(VLOOKUP('Crédito de Vivienda UVR'!$C$27,Seguros_Oblig!$A$3:$B$55,2,FALSE))</f>
        <v>#VALUE!</v>
      </c>
      <c r="K75" s="35">
        <f ca="1">_xlfn.AGGREGATE(9,6,G75:J75)*'Crédito de Vivienda UVR'!$C$19</f>
        <v>0</v>
      </c>
      <c r="L75" s="7" t="e">
        <f ca="1">IF(C74&lt;1,"0",Seguros_Oblig!$K$2*('Crédito de Vivienda UVR'!$C$12*90%))</f>
        <v>#VALUE!</v>
      </c>
      <c r="M75" s="35" t="e">
        <f ca="1">K75+L75+(F75*'Crédito de Vivienda UVR'!$C$19)</f>
        <v>#VALUE!</v>
      </c>
      <c r="N75" s="316"/>
    </row>
    <row r="76" spans="2:14" ht="15.5" x14ac:dyDescent="0.35">
      <c r="B76" s="6" t="e">
        <f t="shared" ca="1" si="2"/>
        <v>#VALUE!</v>
      </c>
      <c r="C76" s="311" t="e">
        <f t="shared" ca="1" si="1"/>
        <v>#VALUE!</v>
      </c>
      <c r="D76" s="311" t="e">
        <f t="shared" ca="1" si="3"/>
        <v>#VALUE!</v>
      </c>
      <c r="E76" s="311" t="e">
        <f ca="1">C75*'Crédito de Vivienda UVR'!$E$17</f>
        <v>#VALUE!</v>
      </c>
      <c r="F76" s="322" t="e">
        <f ca="1">IF(B76=" ",0,PMT('Crédito de Vivienda UVR'!$E$17,'Crédito de Vivienda UVR'!$C$18,-'Crédito de Vivienda UVR'!$C$20,,))</f>
        <v>#VALUE!</v>
      </c>
      <c r="G76" s="320" t="e">
        <f ca="1">C75*(VLOOKUP('Crédito de Vivienda UVR'!$C$24,Seguros_Oblig!$A$3:$B$55,2,FALSE))</f>
        <v>#VALUE!</v>
      </c>
      <c r="H76" s="313" t="e">
        <f ca="1">C75*(VLOOKUP('Crédito de Vivienda UVR'!$C$25,Seguros_Oblig!$A$3:$B$55,2,FALSE))</f>
        <v>#VALUE!</v>
      </c>
      <c r="I76" s="313" t="e">
        <f ca="1">C75*(VLOOKUP('Crédito de Vivienda UVR'!$C$26,Seguros_Oblig!$A$3:$B$55,2,FALSE))</f>
        <v>#VALUE!</v>
      </c>
      <c r="J76" s="313" t="e">
        <f ca="1">C75*(VLOOKUP('Crédito de Vivienda UVR'!$C$27,Seguros_Oblig!$A$3:$B$55,2,FALSE))</f>
        <v>#VALUE!</v>
      </c>
      <c r="K76" s="35">
        <f ca="1">_xlfn.AGGREGATE(9,6,G76:J76)*'Crédito de Vivienda UVR'!$C$19</f>
        <v>0</v>
      </c>
      <c r="L76" s="7" t="e">
        <f ca="1">IF(C75&lt;1,"0",Seguros_Oblig!$K$2*('Crédito de Vivienda UVR'!$C$12*90%))</f>
        <v>#VALUE!</v>
      </c>
      <c r="M76" s="35" t="e">
        <f ca="1">K76+L76+(F76*'Crédito de Vivienda UVR'!$C$19)</f>
        <v>#VALUE!</v>
      </c>
      <c r="N76" s="316"/>
    </row>
    <row r="77" spans="2:14" ht="15.5" x14ac:dyDescent="0.35">
      <c r="B77" s="6" t="e">
        <f t="shared" ca="1" si="2"/>
        <v>#VALUE!</v>
      </c>
      <c r="C77" s="311" t="e">
        <f t="shared" ca="1" si="1"/>
        <v>#VALUE!</v>
      </c>
      <c r="D77" s="311" t="e">
        <f t="shared" ca="1" si="3"/>
        <v>#VALUE!</v>
      </c>
      <c r="E77" s="311" t="e">
        <f ca="1">C76*'Crédito de Vivienda UVR'!$E$17</f>
        <v>#VALUE!</v>
      </c>
      <c r="F77" s="322" t="e">
        <f ca="1">IF(B77=" ",0,PMT('Crédito de Vivienda UVR'!$E$17,'Crédito de Vivienda UVR'!$C$18,-'Crédito de Vivienda UVR'!$C$20,,))</f>
        <v>#VALUE!</v>
      </c>
      <c r="G77" s="320" t="e">
        <f ca="1">C76*(VLOOKUP('Crédito de Vivienda UVR'!$C$24,Seguros_Oblig!$A$3:$B$55,2,FALSE))</f>
        <v>#VALUE!</v>
      </c>
      <c r="H77" s="313" t="e">
        <f ca="1">C76*(VLOOKUP('Crédito de Vivienda UVR'!$C$25,Seguros_Oblig!$A$3:$B$55,2,FALSE))</f>
        <v>#VALUE!</v>
      </c>
      <c r="I77" s="313" t="e">
        <f ca="1">C76*(VLOOKUP('Crédito de Vivienda UVR'!$C$26,Seguros_Oblig!$A$3:$B$55,2,FALSE))</f>
        <v>#VALUE!</v>
      </c>
      <c r="J77" s="313" t="e">
        <f ca="1">C76*(VLOOKUP('Crédito de Vivienda UVR'!$C$27,Seguros_Oblig!$A$3:$B$55,2,FALSE))</f>
        <v>#VALUE!</v>
      </c>
      <c r="K77" s="35">
        <f ca="1">_xlfn.AGGREGATE(9,6,G77:J77)*'Crédito de Vivienda UVR'!$C$19</f>
        <v>0</v>
      </c>
      <c r="L77" s="7" t="e">
        <f ca="1">IF(C76&lt;1,"0",Seguros_Oblig!$K$2*('Crédito de Vivienda UVR'!$C$12*90%))</f>
        <v>#VALUE!</v>
      </c>
      <c r="M77" s="35" t="e">
        <f ca="1">K77+L77+(F77*'Crédito de Vivienda UVR'!$C$19)</f>
        <v>#VALUE!</v>
      </c>
      <c r="N77" s="316"/>
    </row>
    <row r="78" spans="2:14" ht="15.5" x14ac:dyDescent="0.35">
      <c r="B78" s="6" t="e">
        <f t="shared" ca="1" si="2"/>
        <v>#VALUE!</v>
      </c>
      <c r="C78" s="311" t="e">
        <f t="shared" ca="1" si="1"/>
        <v>#VALUE!</v>
      </c>
      <c r="D78" s="311" t="e">
        <f t="shared" ca="1" si="3"/>
        <v>#VALUE!</v>
      </c>
      <c r="E78" s="311" t="e">
        <f ca="1">C77*'Crédito de Vivienda UVR'!$E$17</f>
        <v>#VALUE!</v>
      </c>
      <c r="F78" s="322" t="e">
        <f ca="1">IF(B78=" ",0,PMT('Crédito de Vivienda UVR'!$E$17,'Crédito de Vivienda UVR'!$C$18,-'Crédito de Vivienda UVR'!$C$20,,))</f>
        <v>#VALUE!</v>
      </c>
      <c r="G78" s="320" t="e">
        <f ca="1">C77*(VLOOKUP('Crédito de Vivienda UVR'!$C$24,Seguros_Oblig!$A$3:$B$55,2,FALSE))</f>
        <v>#VALUE!</v>
      </c>
      <c r="H78" s="313" t="e">
        <f ca="1">C77*(VLOOKUP('Crédito de Vivienda UVR'!$C$25,Seguros_Oblig!$A$3:$B$55,2,FALSE))</f>
        <v>#VALUE!</v>
      </c>
      <c r="I78" s="313" t="e">
        <f ca="1">C77*(VLOOKUP('Crédito de Vivienda UVR'!$C$26,Seguros_Oblig!$A$3:$B$55,2,FALSE))</f>
        <v>#VALUE!</v>
      </c>
      <c r="J78" s="313" t="e">
        <f ca="1">C77*(VLOOKUP('Crédito de Vivienda UVR'!$C$27,Seguros_Oblig!$A$3:$B$55,2,FALSE))</f>
        <v>#VALUE!</v>
      </c>
      <c r="K78" s="35">
        <f ca="1">_xlfn.AGGREGATE(9,6,G78:J78)*'Crédito de Vivienda UVR'!$C$19</f>
        <v>0</v>
      </c>
      <c r="L78" s="7" t="e">
        <f ca="1">IF(C77&lt;1,"0",Seguros_Oblig!$K$2*('Crédito de Vivienda UVR'!$C$12*90%))</f>
        <v>#VALUE!</v>
      </c>
      <c r="M78" s="35" t="e">
        <f ca="1">K78+L78+(F78*'Crédito de Vivienda UVR'!$C$19)</f>
        <v>#VALUE!</v>
      </c>
      <c r="N78" s="316"/>
    </row>
    <row r="79" spans="2:14" ht="15.5" x14ac:dyDescent="0.35">
      <c r="B79" s="6" t="e">
        <f t="shared" ca="1" si="2"/>
        <v>#VALUE!</v>
      </c>
      <c r="C79" s="311" t="e">
        <f t="shared" ca="1" si="1"/>
        <v>#VALUE!</v>
      </c>
      <c r="D79" s="311" t="e">
        <f t="shared" ca="1" si="3"/>
        <v>#VALUE!</v>
      </c>
      <c r="E79" s="311" t="e">
        <f ca="1">C78*'Crédito de Vivienda UVR'!$E$17</f>
        <v>#VALUE!</v>
      </c>
      <c r="F79" s="322" t="e">
        <f ca="1">IF(B79=" ",0,PMT('Crédito de Vivienda UVR'!$E$17,'Crédito de Vivienda UVR'!$C$18,-'Crédito de Vivienda UVR'!$C$20,,))</f>
        <v>#VALUE!</v>
      </c>
      <c r="G79" s="320" t="e">
        <f ca="1">C78*(VLOOKUP('Crédito de Vivienda UVR'!$C$24,Seguros_Oblig!$A$3:$B$55,2,FALSE))</f>
        <v>#VALUE!</v>
      </c>
      <c r="H79" s="313" t="e">
        <f ca="1">C78*(VLOOKUP('Crédito de Vivienda UVR'!$C$25,Seguros_Oblig!$A$3:$B$55,2,FALSE))</f>
        <v>#VALUE!</v>
      </c>
      <c r="I79" s="313" t="e">
        <f ca="1">C78*(VLOOKUP('Crédito de Vivienda UVR'!$C$26,Seguros_Oblig!$A$3:$B$55,2,FALSE))</f>
        <v>#VALUE!</v>
      </c>
      <c r="J79" s="313" t="e">
        <f ca="1">C78*(VLOOKUP('Crédito de Vivienda UVR'!$C$27,Seguros_Oblig!$A$3:$B$55,2,FALSE))</f>
        <v>#VALUE!</v>
      </c>
      <c r="K79" s="35">
        <f ca="1">_xlfn.AGGREGATE(9,6,G79:J79)*'Crédito de Vivienda UVR'!$C$19</f>
        <v>0</v>
      </c>
      <c r="L79" s="7" t="e">
        <f ca="1">IF(C78&lt;1,"0",Seguros_Oblig!$K$2*('Crédito de Vivienda UVR'!$C$12*90%))</f>
        <v>#VALUE!</v>
      </c>
      <c r="M79" s="35" t="e">
        <f ca="1">K79+L79+(F79*'Crédito de Vivienda UVR'!$C$19)</f>
        <v>#VALUE!</v>
      </c>
      <c r="N79" s="316"/>
    </row>
    <row r="80" spans="2:14" ht="15.5" x14ac:dyDescent="0.35">
      <c r="B80" s="6" t="e">
        <f t="shared" ca="1" si="2"/>
        <v>#VALUE!</v>
      </c>
      <c r="C80" s="311" t="e">
        <f t="shared" ca="1" si="1"/>
        <v>#VALUE!</v>
      </c>
      <c r="D80" s="311" t="e">
        <f t="shared" ca="1" si="3"/>
        <v>#VALUE!</v>
      </c>
      <c r="E80" s="311" t="e">
        <f ca="1">C79*'Crédito de Vivienda UVR'!$E$17</f>
        <v>#VALUE!</v>
      </c>
      <c r="F80" s="322" t="e">
        <f ca="1">IF(B80=" ",0,PMT('Crédito de Vivienda UVR'!$E$17,'Crédito de Vivienda UVR'!$C$18,-'Crédito de Vivienda UVR'!$C$20,,))</f>
        <v>#VALUE!</v>
      </c>
      <c r="G80" s="320" t="e">
        <f ca="1">C79*(VLOOKUP('Crédito de Vivienda UVR'!$C$24,Seguros_Oblig!$A$3:$B$55,2,FALSE))</f>
        <v>#VALUE!</v>
      </c>
      <c r="H80" s="313" t="e">
        <f ca="1">C79*(VLOOKUP('Crédito de Vivienda UVR'!$C$25,Seguros_Oblig!$A$3:$B$55,2,FALSE))</f>
        <v>#VALUE!</v>
      </c>
      <c r="I80" s="313" t="e">
        <f ca="1">C79*(VLOOKUP('Crédito de Vivienda UVR'!$C$26,Seguros_Oblig!$A$3:$B$55,2,FALSE))</f>
        <v>#VALUE!</v>
      </c>
      <c r="J80" s="313" t="e">
        <f ca="1">C79*(VLOOKUP('Crédito de Vivienda UVR'!$C$27,Seguros_Oblig!$A$3:$B$55,2,FALSE))</f>
        <v>#VALUE!</v>
      </c>
      <c r="K80" s="35">
        <f ca="1">_xlfn.AGGREGATE(9,6,G80:J80)*'Crédito de Vivienda UVR'!$C$19</f>
        <v>0</v>
      </c>
      <c r="L80" s="7" t="e">
        <f ca="1">IF(C79&lt;1,"0",Seguros_Oblig!$K$2*('Crédito de Vivienda UVR'!$C$12*90%))</f>
        <v>#VALUE!</v>
      </c>
      <c r="M80" s="35" t="e">
        <f ca="1">K80+L80+(F80*'Crédito de Vivienda UVR'!$C$19)</f>
        <v>#VALUE!</v>
      </c>
      <c r="N80" s="316"/>
    </row>
    <row r="81" spans="2:14" ht="15.5" x14ac:dyDescent="0.35">
      <c r="B81" s="6" t="e">
        <f t="shared" ca="1" si="2"/>
        <v>#VALUE!</v>
      </c>
      <c r="C81" s="311" t="e">
        <f t="shared" ca="1" si="1"/>
        <v>#VALUE!</v>
      </c>
      <c r="D81" s="311" t="e">
        <f t="shared" ca="1" si="3"/>
        <v>#VALUE!</v>
      </c>
      <c r="E81" s="311" t="e">
        <f ca="1">C80*'Crédito de Vivienda UVR'!$E$17</f>
        <v>#VALUE!</v>
      </c>
      <c r="F81" s="322" t="e">
        <f ca="1">IF(B81=" ",0,PMT('Crédito de Vivienda UVR'!$E$17,'Crédito de Vivienda UVR'!$C$18,-'Crédito de Vivienda UVR'!$C$20,,))</f>
        <v>#VALUE!</v>
      </c>
      <c r="G81" s="320" t="e">
        <f ca="1">C80*(VLOOKUP('Crédito de Vivienda UVR'!$C$24,Seguros_Oblig!$A$3:$B$55,2,FALSE))</f>
        <v>#VALUE!</v>
      </c>
      <c r="H81" s="313" t="e">
        <f ca="1">C80*(VLOOKUP('Crédito de Vivienda UVR'!$C$25,Seguros_Oblig!$A$3:$B$55,2,FALSE))</f>
        <v>#VALUE!</v>
      </c>
      <c r="I81" s="313" t="e">
        <f ca="1">C80*(VLOOKUP('Crédito de Vivienda UVR'!$C$26,Seguros_Oblig!$A$3:$B$55,2,FALSE))</f>
        <v>#VALUE!</v>
      </c>
      <c r="J81" s="313" t="e">
        <f ca="1">C80*(VLOOKUP('Crédito de Vivienda UVR'!$C$27,Seguros_Oblig!$A$3:$B$55,2,FALSE))</f>
        <v>#VALUE!</v>
      </c>
      <c r="K81" s="35">
        <f ca="1">_xlfn.AGGREGATE(9,6,G81:J81)*'Crédito de Vivienda UVR'!$C$19</f>
        <v>0</v>
      </c>
      <c r="L81" s="7" t="e">
        <f ca="1">IF(C80&lt;1,"0",Seguros_Oblig!$K$2*('Crédito de Vivienda UVR'!$C$12*90%))</f>
        <v>#VALUE!</v>
      </c>
      <c r="M81" s="35" t="e">
        <f ca="1">K81+L81+(F81*'Crédito de Vivienda UVR'!$C$19)</f>
        <v>#VALUE!</v>
      </c>
      <c r="N81" s="316"/>
    </row>
    <row r="82" spans="2:14" ht="15.5" x14ac:dyDescent="0.35">
      <c r="B82" s="6" t="e">
        <f t="shared" ca="1" si="2"/>
        <v>#VALUE!</v>
      </c>
      <c r="C82" s="311" t="e">
        <f t="shared" ca="1" si="1"/>
        <v>#VALUE!</v>
      </c>
      <c r="D82" s="311" t="e">
        <f t="shared" ca="1" si="3"/>
        <v>#VALUE!</v>
      </c>
      <c r="E82" s="311" t="e">
        <f ca="1">C81*'Crédito de Vivienda UVR'!$E$17</f>
        <v>#VALUE!</v>
      </c>
      <c r="F82" s="322" t="e">
        <f ca="1">IF(B82=" ",0,PMT('Crédito de Vivienda UVR'!$E$17,'Crédito de Vivienda UVR'!$C$18,-'Crédito de Vivienda UVR'!$C$20,,))</f>
        <v>#VALUE!</v>
      </c>
      <c r="G82" s="320" t="e">
        <f ca="1">C81*(VLOOKUP('Crédito de Vivienda UVR'!$C$24,Seguros_Oblig!$A$3:$B$55,2,FALSE))</f>
        <v>#VALUE!</v>
      </c>
      <c r="H82" s="313" t="e">
        <f ca="1">C81*(VLOOKUP('Crédito de Vivienda UVR'!$C$25,Seguros_Oblig!$A$3:$B$55,2,FALSE))</f>
        <v>#VALUE!</v>
      </c>
      <c r="I82" s="313" t="e">
        <f ca="1">C81*(VLOOKUP('Crédito de Vivienda UVR'!$C$26,Seguros_Oblig!$A$3:$B$55,2,FALSE))</f>
        <v>#VALUE!</v>
      </c>
      <c r="J82" s="313" t="e">
        <f ca="1">C81*(VLOOKUP('Crédito de Vivienda UVR'!$C$27,Seguros_Oblig!$A$3:$B$55,2,FALSE))</f>
        <v>#VALUE!</v>
      </c>
      <c r="K82" s="35">
        <f ca="1">_xlfn.AGGREGATE(9,6,G82:J82)*'Crédito de Vivienda UVR'!$C$19</f>
        <v>0</v>
      </c>
      <c r="L82" s="7" t="e">
        <f ca="1">IF(C81&lt;1,"0",Seguros_Oblig!$K$2*('Crédito de Vivienda UVR'!$C$12*90%))</f>
        <v>#VALUE!</v>
      </c>
      <c r="M82" s="35" t="e">
        <f ca="1">K82+L82+(F82*'Crédito de Vivienda UVR'!$C$19)</f>
        <v>#VALUE!</v>
      </c>
      <c r="N82" s="316"/>
    </row>
    <row r="83" spans="2:14" ht="15.5" x14ac:dyDescent="0.35">
      <c r="B83" s="6" t="e">
        <f t="shared" ca="1" si="2"/>
        <v>#VALUE!</v>
      </c>
      <c r="C83" s="311" t="e">
        <f t="shared" ca="1" si="1"/>
        <v>#VALUE!</v>
      </c>
      <c r="D83" s="311" t="e">
        <f t="shared" ca="1" si="3"/>
        <v>#VALUE!</v>
      </c>
      <c r="E83" s="311" t="e">
        <f ca="1">C82*'Crédito de Vivienda UVR'!$E$17</f>
        <v>#VALUE!</v>
      </c>
      <c r="F83" s="322" t="e">
        <f ca="1">IF(B83=" ",0,PMT('Crédito de Vivienda UVR'!$E$17,'Crédito de Vivienda UVR'!$C$18,-'Crédito de Vivienda UVR'!$C$20,,))</f>
        <v>#VALUE!</v>
      </c>
      <c r="G83" s="320" t="e">
        <f ca="1">C82*(VLOOKUP('Crédito de Vivienda UVR'!$C$24,Seguros_Oblig!$A$3:$B$55,2,FALSE))</f>
        <v>#VALUE!</v>
      </c>
      <c r="H83" s="313" t="e">
        <f ca="1">C82*(VLOOKUP('Crédito de Vivienda UVR'!$C$25,Seguros_Oblig!$A$3:$B$55,2,FALSE))</f>
        <v>#VALUE!</v>
      </c>
      <c r="I83" s="313" t="e">
        <f ca="1">C82*(VLOOKUP('Crédito de Vivienda UVR'!$C$26,Seguros_Oblig!$A$3:$B$55,2,FALSE))</f>
        <v>#VALUE!</v>
      </c>
      <c r="J83" s="313" t="e">
        <f ca="1">C82*(VLOOKUP('Crédito de Vivienda UVR'!$C$27,Seguros_Oblig!$A$3:$B$55,2,FALSE))</f>
        <v>#VALUE!</v>
      </c>
      <c r="K83" s="35">
        <f ca="1">_xlfn.AGGREGATE(9,6,G83:J83)*'Crédito de Vivienda UVR'!$C$19</f>
        <v>0</v>
      </c>
      <c r="L83" s="7" t="e">
        <f ca="1">IF(C82&lt;1,"0",Seguros_Oblig!$K$2*('Crédito de Vivienda UVR'!$C$12*90%))</f>
        <v>#VALUE!</v>
      </c>
      <c r="M83" s="35" t="e">
        <f ca="1">K83+L83+(F83*'Crédito de Vivienda UVR'!$C$19)</f>
        <v>#VALUE!</v>
      </c>
      <c r="N83" s="316"/>
    </row>
    <row r="84" spans="2:14" ht="15.5" x14ac:dyDescent="0.35">
      <c r="B84" s="6" t="e">
        <f t="shared" ca="1" si="2"/>
        <v>#VALUE!</v>
      </c>
      <c r="C84" s="311" t="e">
        <f t="shared" ref="C84:C147" ca="1" si="4">C83-D84</f>
        <v>#VALUE!</v>
      </c>
      <c r="D84" s="311" t="e">
        <f t="shared" ca="1" si="3"/>
        <v>#VALUE!</v>
      </c>
      <c r="E84" s="311" t="e">
        <f ca="1">C83*'Crédito de Vivienda UVR'!$E$17</f>
        <v>#VALUE!</v>
      </c>
      <c r="F84" s="322" t="e">
        <f ca="1">IF(B84=" ",0,PMT('Crédito de Vivienda UVR'!$E$17,'Crédito de Vivienda UVR'!$C$18,-'Crédito de Vivienda UVR'!$C$20,,))</f>
        <v>#VALUE!</v>
      </c>
      <c r="G84" s="320" t="e">
        <f ca="1">C83*(VLOOKUP('Crédito de Vivienda UVR'!$C$24,Seguros_Oblig!$A$3:$B$55,2,FALSE))</f>
        <v>#VALUE!</v>
      </c>
      <c r="H84" s="313" t="e">
        <f ca="1">C83*(VLOOKUP('Crédito de Vivienda UVR'!$C$25,Seguros_Oblig!$A$3:$B$55,2,FALSE))</f>
        <v>#VALUE!</v>
      </c>
      <c r="I84" s="313" t="e">
        <f ca="1">C83*(VLOOKUP('Crédito de Vivienda UVR'!$C$26,Seguros_Oblig!$A$3:$B$55,2,FALSE))</f>
        <v>#VALUE!</v>
      </c>
      <c r="J84" s="313" t="e">
        <f ca="1">C83*(VLOOKUP('Crédito de Vivienda UVR'!$C$27,Seguros_Oblig!$A$3:$B$55,2,FALSE))</f>
        <v>#VALUE!</v>
      </c>
      <c r="K84" s="35">
        <f ca="1">_xlfn.AGGREGATE(9,6,G84:J84)*'Crédito de Vivienda UVR'!$C$19</f>
        <v>0</v>
      </c>
      <c r="L84" s="7" t="e">
        <f ca="1">IF(C83&lt;1,"0",Seguros_Oblig!$K$2*('Crédito de Vivienda UVR'!$C$12*90%))</f>
        <v>#VALUE!</v>
      </c>
      <c r="M84" s="35" t="e">
        <f ca="1">K84+L84+(F84*'Crédito de Vivienda UVR'!$C$19)</f>
        <v>#VALUE!</v>
      </c>
      <c r="N84" s="316"/>
    </row>
    <row r="85" spans="2:14" ht="15.5" x14ac:dyDescent="0.35">
      <c r="B85" s="6" t="e">
        <f t="shared" ca="1" si="2"/>
        <v>#VALUE!</v>
      </c>
      <c r="C85" s="311" t="e">
        <f t="shared" ca="1" si="4"/>
        <v>#VALUE!</v>
      </c>
      <c r="D85" s="311" t="e">
        <f t="shared" ca="1" si="3"/>
        <v>#VALUE!</v>
      </c>
      <c r="E85" s="311" t="e">
        <f ca="1">C84*'Crédito de Vivienda UVR'!$E$17</f>
        <v>#VALUE!</v>
      </c>
      <c r="F85" s="322" t="e">
        <f ca="1">IF(B85=" ",0,PMT('Crédito de Vivienda UVR'!$E$17,'Crédito de Vivienda UVR'!$C$18,-'Crédito de Vivienda UVR'!$C$20,,))</f>
        <v>#VALUE!</v>
      </c>
      <c r="G85" s="320" t="e">
        <f ca="1">C84*(VLOOKUP('Crédito de Vivienda UVR'!$C$24,Seguros_Oblig!$A$3:$B$55,2,FALSE))</f>
        <v>#VALUE!</v>
      </c>
      <c r="H85" s="313" t="e">
        <f ca="1">C84*(VLOOKUP('Crédito de Vivienda UVR'!$C$25,Seguros_Oblig!$A$3:$B$55,2,FALSE))</f>
        <v>#VALUE!</v>
      </c>
      <c r="I85" s="313" t="e">
        <f ca="1">C84*(VLOOKUP('Crédito de Vivienda UVR'!$C$26,Seguros_Oblig!$A$3:$B$55,2,FALSE))</f>
        <v>#VALUE!</v>
      </c>
      <c r="J85" s="313" t="e">
        <f ca="1">C84*(VLOOKUP('Crédito de Vivienda UVR'!$C$27,Seguros_Oblig!$A$3:$B$55,2,FALSE))</f>
        <v>#VALUE!</v>
      </c>
      <c r="K85" s="35">
        <f ca="1">_xlfn.AGGREGATE(9,6,G85:J85)*'Crédito de Vivienda UVR'!$C$19</f>
        <v>0</v>
      </c>
      <c r="L85" s="7" t="e">
        <f ca="1">IF(C84&lt;1,"0",Seguros_Oblig!$K$2*('Crédito de Vivienda UVR'!$C$12*90%))</f>
        <v>#VALUE!</v>
      </c>
      <c r="M85" s="35" t="e">
        <f ca="1">K85+L85+(F85*'Crédito de Vivienda UVR'!$C$19)</f>
        <v>#VALUE!</v>
      </c>
      <c r="N85" s="316"/>
    </row>
    <row r="86" spans="2:14" ht="15.5" x14ac:dyDescent="0.35">
      <c r="B86" s="6" t="e">
        <f t="shared" ca="1" si="2"/>
        <v>#VALUE!</v>
      </c>
      <c r="C86" s="311" t="e">
        <f t="shared" ca="1" si="4"/>
        <v>#VALUE!</v>
      </c>
      <c r="D86" s="311" t="e">
        <f t="shared" ca="1" si="3"/>
        <v>#VALUE!</v>
      </c>
      <c r="E86" s="311" t="e">
        <f ca="1">C85*'Crédito de Vivienda UVR'!$E$17</f>
        <v>#VALUE!</v>
      </c>
      <c r="F86" s="322" t="e">
        <f ca="1">IF(B86=" ",0,PMT('Crédito de Vivienda UVR'!$E$17,'Crédito de Vivienda UVR'!$C$18,-'Crédito de Vivienda UVR'!$C$20,,))</f>
        <v>#VALUE!</v>
      </c>
      <c r="G86" s="320" t="e">
        <f ca="1">C85*(VLOOKUP('Crédito de Vivienda UVR'!$C$24,Seguros_Oblig!$A$3:$B$55,2,FALSE))</f>
        <v>#VALUE!</v>
      </c>
      <c r="H86" s="313" t="e">
        <f ca="1">C85*(VLOOKUP('Crédito de Vivienda UVR'!$C$25,Seguros_Oblig!$A$3:$B$55,2,FALSE))</f>
        <v>#VALUE!</v>
      </c>
      <c r="I86" s="313" t="e">
        <f ca="1">C85*(VLOOKUP('Crédito de Vivienda UVR'!$C$26,Seguros_Oblig!$A$3:$B$55,2,FALSE))</f>
        <v>#VALUE!</v>
      </c>
      <c r="J86" s="313" t="e">
        <f ca="1">C85*(VLOOKUP('Crédito de Vivienda UVR'!$C$27,Seguros_Oblig!$A$3:$B$55,2,FALSE))</f>
        <v>#VALUE!</v>
      </c>
      <c r="K86" s="35">
        <f ca="1">_xlfn.AGGREGATE(9,6,G86:J86)*'Crédito de Vivienda UVR'!$C$19</f>
        <v>0</v>
      </c>
      <c r="L86" s="7" t="e">
        <f ca="1">IF(C85&lt;1,"0",Seguros_Oblig!$K$2*('Crédito de Vivienda UVR'!$C$12*90%))</f>
        <v>#VALUE!</v>
      </c>
      <c r="M86" s="35" t="e">
        <f ca="1">K86+L86+(F86*'Crédito de Vivienda UVR'!$C$19)</f>
        <v>#VALUE!</v>
      </c>
      <c r="N86" s="316"/>
    </row>
    <row r="87" spans="2:14" ht="15.5" x14ac:dyDescent="0.35">
      <c r="B87" s="6" t="e">
        <f t="shared" ca="1" si="2"/>
        <v>#VALUE!</v>
      </c>
      <c r="C87" s="311" t="e">
        <f t="shared" ca="1" si="4"/>
        <v>#VALUE!</v>
      </c>
      <c r="D87" s="311" t="e">
        <f t="shared" ca="1" si="3"/>
        <v>#VALUE!</v>
      </c>
      <c r="E87" s="311" t="e">
        <f ca="1">C86*'Crédito de Vivienda UVR'!$E$17</f>
        <v>#VALUE!</v>
      </c>
      <c r="F87" s="322" t="e">
        <f ca="1">IF(B87=" ",0,PMT('Crédito de Vivienda UVR'!$E$17,'Crédito de Vivienda UVR'!$C$18,-'Crédito de Vivienda UVR'!$C$20,,))</f>
        <v>#VALUE!</v>
      </c>
      <c r="G87" s="320" t="e">
        <f ca="1">C86*(VLOOKUP('Crédito de Vivienda UVR'!$C$24,Seguros_Oblig!$A$3:$B$55,2,FALSE))</f>
        <v>#VALUE!</v>
      </c>
      <c r="H87" s="313" t="e">
        <f ca="1">C86*(VLOOKUP('Crédito de Vivienda UVR'!$C$25,Seguros_Oblig!$A$3:$B$55,2,FALSE))</f>
        <v>#VALUE!</v>
      </c>
      <c r="I87" s="313" t="e">
        <f ca="1">C86*(VLOOKUP('Crédito de Vivienda UVR'!$C$26,Seguros_Oblig!$A$3:$B$55,2,FALSE))</f>
        <v>#VALUE!</v>
      </c>
      <c r="J87" s="313" t="e">
        <f ca="1">C86*(VLOOKUP('Crédito de Vivienda UVR'!$C$27,Seguros_Oblig!$A$3:$B$55,2,FALSE))</f>
        <v>#VALUE!</v>
      </c>
      <c r="K87" s="35">
        <f ca="1">_xlfn.AGGREGATE(9,6,G87:J87)*'Crédito de Vivienda UVR'!$C$19</f>
        <v>0</v>
      </c>
      <c r="L87" s="7" t="e">
        <f ca="1">IF(C86&lt;1,"0",Seguros_Oblig!$K$2*('Crédito de Vivienda UVR'!$C$12*90%))</f>
        <v>#VALUE!</v>
      </c>
      <c r="M87" s="35" t="e">
        <f ca="1">K87+L87+(F87*'Crédito de Vivienda UVR'!$C$19)</f>
        <v>#VALUE!</v>
      </c>
      <c r="N87" s="316"/>
    </row>
    <row r="88" spans="2:14" ht="15.5" x14ac:dyDescent="0.35">
      <c r="B88" s="6" t="e">
        <f t="shared" ca="1" si="2"/>
        <v>#VALUE!</v>
      </c>
      <c r="C88" s="311" t="e">
        <f t="shared" ca="1" si="4"/>
        <v>#VALUE!</v>
      </c>
      <c r="D88" s="311" t="e">
        <f t="shared" ca="1" si="3"/>
        <v>#VALUE!</v>
      </c>
      <c r="E88" s="311" t="e">
        <f ca="1">C87*'Crédito de Vivienda UVR'!$E$17</f>
        <v>#VALUE!</v>
      </c>
      <c r="F88" s="322" t="e">
        <f ca="1">IF(B88=" ",0,PMT('Crédito de Vivienda UVR'!$E$17,'Crédito de Vivienda UVR'!$C$18,-'Crédito de Vivienda UVR'!$C$20,,))</f>
        <v>#VALUE!</v>
      </c>
      <c r="G88" s="320" t="e">
        <f ca="1">C87*(VLOOKUP('Crédito de Vivienda UVR'!$C$24,Seguros_Oblig!$A$3:$B$55,2,FALSE))</f>
        <v>#VALUE!</v>
      </c>
      <c r="H88" s="313" t="e">
        <f ca="1">C87*(VLOOKUP('Crédito de Vivienda UVR'!$C$25,Seguros_Oblig!$A$3:$B$55,2,FALSE))</f>
        <v>#VALUE!</v>
      </c>
      <c r="I88" s="313" t="e">
        <f ca="1">C87*(VLOOKUP('Crédito de Vivienda UVR'!$C$26,Seguros_Oblig!$A$3:$B$55,2,FALSE))</f>
        <v>#VALUE!</v>
      </c>
      <c r="J88" s="313" t="e">
        <f ca="1">C87*(VLOOKUP('Crédito de Vivienda UVR'!$C$27,Seguros_Oblig!$A$3:$B$55,2,FALSE))</f>
        <v>#VALUE!</v>
      </c>
      <c r="K88" s="35">
        <f ca="1">_xlfn.AGGREGATE(9,6,G88:J88)*'Crédito de Vivienda UVR'!$C$19</f>
        <v>0</v>
      </c>
      <c r="L88" s="7" t="e">
        <f ca="1">IF(C87&lt;1,"0",Seguros_Oblig!$K$2*('Crédito de Vivienda UVR'!$C$12*90%))</f>
        <v>#VALUE!</v>
      </c>
      <c r="M88" s="35" t="e">
        <f ca="1">K88+L88+(F88*'Crédito de Vivienda UVR'!$C$19)</f>
        <v>#VALUE!</v>
      </c>
      <c r="N88" s="316"/>
    </row>
    <row r="89" spans="2:14" ht="15.5" x14ac:dyDescent="0.35">
      <c r="B89" s="6" t="e">
        <f t="shared" ref="B89:B152" ca="1" si="5">IF(C88&gt;1,B88+1," ")</f>
        <v>#VALUE!</v>
      </c>
      <c r="C89" s="311" t="e">
        <f t="shared" ca="1" si="4"/>
        <v>#VALUE!</v>
      </c>
      <c r="D89" s="311" t="e">
        <f t="shared" ca="1" si="3"/>
        <v>#VALUE!</v>
      </c>
      <c r="E89" s="311" t="e">
        <f ca="1">C88*'Crédito de Vivienda UVR'!$E$17</f>
        <v>#VALUE!</v>
      </c>
      <c r="F89" s="322" t="e">
        <f ca="1">IF(B89=" ",0,PMT('Crédito de Vivienda UVR'!$E$17,'Crédito de Vivienda UVR'!$C$18,-'Crédito de Vivienda UVR'!$C$20,,))</f>
        <v>#VALUE!</v>
      </c>
      <c r="G89" s="320" t="e">
        <f ca="1">C88*(VLOOKUP('Crédito de Vivienda UVR'!$C$24,Seguros_Oblig!$A$3:$B$55,2,FALSE))</f>
        <v>#VALUE!</v>
      </c>
      <c r="H89" s="313" t="e">
        <f ca="1">C88*(VLOOKUP('Crédito de Vivienda UVR'!$C$25,Seguros_Oblig!$A$3:$B$55,2,FALSE))</f>
        <v>#VALUE!</v>
      </c>
      <c r="I89" s="313" t="e">
        <f ca="1">C88*(VLOOKUP('Crédito de Vivienda UVR'!$C$26,Seguros_Oblig!$A$3:$B$55,2,FALSE))</f>
        <v>#VALUE!</v>
      </c>
      <c r="J89" s="313" t="e">
        <f ca="1">C88*(VLOOKUP('Crédito de Vivienda UVR'!$C$27,Seguros_Oblig!$A$3:$B$55,2,FALSE))</f>
        <v>#VALUE!</v>
      </c>
      <c r="K89" s="35">
        <f ca="1">_xlfn.AGGREGATE(9,6,G89:J89)*'Crédito de Vivienda UVR'!$C$19</f>
        <v>0</v>
      </c>
      <c r="L89" s="7" t="e">
        <f ca="1">IF(C88&lt;1,"0",Seguros_Oblig!$K$2*('Crédito de Vivienda UVR'!$C$12*90%))</f>
        <v>#VALUE!</v>
      </c>
      <c r="M89" s="35" t="e">
        <f ca="1">K89+L89+(F89*'Crédito de Vivienda UVR'!$C$19)</f>
        <v>#VALUE!</v>
      </c>
      <c r="N89" s="316"/>
    </row>
    <row r="90" spans="2:14" ht="15.5" x14ac:dyDescent="0.35">
      <c r="B90" s="6" t="e">
        <f t="shared" ca="1" si="5"/>
        <v>#VALUE!</v>
      </c>
      <c r="C90" s="311" t="e">
        <f t="shared" ca="1" si="4"/>
        <v>#VALUE!</v>
      </c>
      <c r="D90" s="311" t="e">
        <f t="shared" ca="1" si="3"/>
        <v>#VALUE!</v>
      </c>
      <c r="E90" s="311" t="e">
        <f ca="1">C89*'Crédito de Vivienda UVR'!$E$17</f>
        <v>#VALUE!</v>
      </c>
      <c r="F90" s="322" t="e">
        <f ca="1">IF(B90=" ",0,PMT('Crédito de Vivienda UVR'!$E$17,'Crédito de Vivienda UVR'!$C$18,-'Crédito de Vivienda UVR'!$C$20,,))</f>
        <v>#VALUE!</v>
      </c>
      <c r="G90" s="320" t="e">
        <f ca="1">C89*(VLOOKUP('Crédito de Vivienda UVR'!$C$24,Seguros_Oblig!$A$3:$B$55,2,FALSE))</f>
        <v>#VALUE!</v>
      </c>
      <c r="H90" s="313" t="e">
        <f ca="1">C89*(VLOOKUP('Crédito de Vivienda UVR'!$C$25,Seguros_Oblig!$A$3:$B$55,2,FALSE))</f>
        <v>#VALUE!</v>
      </c>
      <c r="I90" s="313" t="e">
        <f ca="1">C89*(VLOOKUP('Crédito de Vivienda UVR'!$C$26,Seguros_Oblig!$A$3:$B$55,2,FALSE))</f>
        <v>#VALUE!</v>
      </c>
      <c r="J90" s="313" t="e">
        <f ca="1">C89*(VLOOKUP('Crédito de Vivienda UVR'!$C$27,Seguros_Oblig!$A$3:$B$55,2,FALSE))</f>
        <v>#VALUE!</v>
      </c>
      <c r="K90" s="35">
        <f ca="1">_xlfn.AGGREGATE(9,6,G90:J90)*'Crédito de Vivienda UVR'!$C$19</f>
        <v>0</v>
      </c>
      <c r="L90" s="7" t="e">
        <f ca="1">IF(C89&lt;1,"0",Seguros_Oblig!$K$2*('Crédito de Vivienda UVR'!$C$12*90%))</f>
        <v>#VALUE!</v>
      </c>
      <c r="M90" s="35" t="e">
        <f ca="1">K90+L90+(F90*'Crédito de Vivienda UVR'!$C$19)</f>
        <v>#VALUE!</v>
      </c>
      <c r="N90" s="316"/>
    </row>
    <row r="91" spans="2:14" ht="15.5" x14ac:dyDescent="0.35">
      <c r="B91" s="6" t="e">
        <f t="shared" ca="1" si="5"/>
        <v>#VALUE!</v>
      </c>
      <c r="C91" s="311" t="e">
        <f t="shared" ca="1" si="4"/>
        <v>#VALUE!</v>
      </c>
      <c r="D91" s="311" t="e">
        <f t="shared" ca="1" si="3"/>
        <v>#VALUE!</v>
      </c>
      <c r="E91" s="311" t="e">
        <f ca="1">C90*'Crédito de Vivienda UVR'!$E$17</f>
        <v>#VALUE!</v>
      </c>
      <c r="F91" s="322" t="e">
        <f ca="1">IF(B91=" ",0,PMT('Crédito de Vivienda UVR'!$E$17,'Crédito de Vivienda UVR'!$C$18,-'Crédito de Vivienda UVR'!$C$20,,))</f>
        <v>#VALUE!</v>
      </c>
      <c r="G91" s="320" t="e">
        <f ca="1">C90*(VLOOKUP('Crédito de Vivienda UVR'!$C$24,Seguros_Oblig!$A$3:$B$55,2,FALSE))</f>
        <v>#VALUE!</v>
      </c>
      <c r="H91" s="313" t="e">
        <f ca="1">C90*(VLOOKUP('Crédito de Vivienda UVR'!$C$25,Seguros_Oblig!$A$3:$B$55,2,FALSE))</f>
        <v>#VALUE!</v>
      </c>
      <c r="I91" s="313" t="e">
        <f ca="1">C90*(VLOOKUP('Crédito de Vivienda UVR'!$C$26,Seguros_Oblig!$A$3:$B$55,2,FALSE))</f>
        <v>#VALUE!</v>
      </c>
      <c r="J91" s="313" t="e">
        <f ca="1">C90*(VLOOKUP('Crédito de Vivienda UVR'!$C$27,Seguros_Oblig!$A$3:$B$55,2,FALSE))</f>
        <v>#VALUE!</v>
      </c>
      <c r="K91" s="35">
        <f ca="1">_xlfn.AGGREGATE(9,6,G91:J91)*'Crédito de Vivienda UVR'!$C$19</f>
        <v>0</v>
      </c>
      <c r="L91" s="7" t="e">
        <f ca="1">IF(C90&lt;1,"0",Seguros_Oblig!$K$2*('Crédito de Vivienda UVR'!$C$12*90%))</f>
        <v>#VALUE!</v>
      </c>
      <c r="M91" s="35" t="e">
        <f ca="1">K91+L91+(F91*'Crédito de Vivienda UVR'!$C$19)</f>
        <v>#VALUE!</v>
      </c>
      <c r="N91" s="316"/>
    </row>
    <row r="92" spans="2:14" ht="15.5" x14ac:dyDescent="0.35">
      <c r="B92" s="6" t="e">
        <f t="shared" ca="1" si="5"/>
        <v>#VALUE!</v>
      </c>
      <c r="C92" s="311" t="e">
        <f t="shared" ca="1" si="4"/>
        <v>#VALUE!</v>
      </c>
      <c r="D92" s="311" t="e">
        <f t="shared" ca="1" si="3"/>
        <v>#VALUE!</v>
      </c>
      <c r="E92" s="311" t="e">
        <f ca="1">C91*'Crédito de Vivienda UVR'!$E$17</f>
        <v>#VALUE!</v>
      </c>
      <c r="F92" s="322" t="e">
        <f ca="1">IF(B92=" ",0,PMT('Crédito de Vivienda UVR'!$E$17,'Crédito de Vivienda UVR'!$C$18,-'Crédito de Vivienda UVR'!$C$20,,))</f>
        <v>#VALUE!</v>
      </c>
      <c r="G92" s="320" t="e">
        <f ca="1">C91*(VLOOKUP('Crédito de Vivienda UVR'!$C$24,Seguros_Oblig!$A$3:$B$55,2,FALSE))</f>
        <v>#VALUE!</v>
      </c>
      <c r="H92" s="313" t="e">
        <f ca="1">C91*(VLOOKUP('Crédito de Vivienda UVR'!$C$25,Seguros_Oblig!$A$3:$B$55,2,FALSE))</f>
        <v>#VALUE!</v>
      </c>
      <c r="I92" s="313" t="e">
        <f ca="1">C91*(VLOOKUP('Crédito de Vivienda UVR'!$C$26,Seguros_Oblig!$A$3:$B$55,2,FALSE))</f>
        <v>#VALUE!</v>
      </c>
      <c r="J92" s="313" t="e">
        <f ca="1">C91*(VLOOKUP('Crédito de Vivienda UVR'!$C$27,Seguros_Oblig!$A$3:$B$55,2,FALSE))</f>
        <v>#VALUE!</v>
      </c>
      <c r="K92" s="35">
        <f ca="1">_xlfn.AGGREGATE(9,6,G92:J92)*'Crédito de Vivienda UVR'!$C$19</f>
        <v>0</v>
      </c>
      <c r="L92" s="7" t="e">
        <f ca="1">IF(C91&lt;1,"0",Seguros_Oblig!$K$2*('Crédito de Vivienda UVR'!$C$12*90%))</f>
        <v>#VALUE!</v>
      </c>
      <c r="M92" s="35" t="e">
        <f ca="1">K92+L92+(F92*'Crédito de Vivienda UVR'!$C$19)</f>
        <v>#VALUE!</v>
      </c>
      <c r="N92" s="316"/>
    </row>
    <row r="93" spans="2:14" ht="15.5" x14ac:dyDescent="0.35">
      <c r="B93" s="6" t="e">
        <f t="shared" ca="1" si="5"/>
        <v>#VALUE!</v>
      </c>
      <c r="C93" s="311" t="e">
        <f t="shared" ca="1" si="4"/>
        <v>#VALUE!</v>
      </c>
      <c r="D93" s="311" t="e">
        <f t="shared" ca="1" si="3"/>
        <v>#VALUE!</v>
      </c>
      <c r="E93" s="311" t="e">
        <f ca="1">C92*'Crédito de Vivienda UVR'!$E$17</f>
        <v>#VALUE!</v>
      </c>
      <c r="F93" s="322" t="e">
        <f ca="1">IF(B93=" ",0,PMT('Crédito de Vivienda UVR'!$E$17,'Crédito de Vivienda UVR'!$C$18,-'Crédito de Vivienda UVR'!$C$20,,))</f>
        <v>#VALUE!</v>
      </c>
      <c r="G93" s="320" t="e">
        <f ca="1">C92*(VLOOKUP('Crédito de Vivienda UVR'!$C$24,Seguros_Oblig!$A$3:$B$55,2,FALSE))</f>
        <v>#VALUE!</v>
      </c>
      <c r="H93" s="313" t="e">
        <f ca="1">C92*(VLOOKUP('Crédito de Vivienda UVR'!$C$25,Seguros_Oblig!$A$3:$B$55,2,FALSE))</f>
        <v>#VALUE!</v>
      </c>
      <c r="I93" s="313" t="e">
        <f ca="1">C92*(VLOOKUP('Crédito de Vivienda UVR'!$C$26,Seguros_Oblig!$A$3:$B$55,2,FALSE))</f>
        <v>#VALUE!</v>
      </c>
      <c r="J93" s="313" t="e">
        <f ca="1">C92*(VLOOKUP('Crédito de Vivienda UVR'!$C$27,Seguros_Oblig!$A$3:$B$55,2,FALSE))</f>
        <v>#VALUE!</v>
      </c>
      <c r="K93" s="35">
        <f ca="1">_xlfn.AGGREGATE(9,6,G93:J93)*'Crédito de Vivienda UVR'!$C$19</f>
        <v>0</v>
      </c>
      <c r="L93" s="7" t="e">
        <f ca="1">IF(C92&lt;1,"0",Seguros_Oblig!$K$2*('Crédito de Vivienda UVR'!$C$12*90%))</f>
        <v>#VALUE!</v>
      </c>
      <c r="M93" s="35" t="e">
        <f ca="1">K93+L93+(F93*'Crédito de Vivienda UVR'!$C$19)</f>
        <v>#VALUE!</v>
      </c>
      <c r="N93" s="316"/>
    </row>
    <row r="94" spans="2:14" ht="15.5" x14ac:dyDescent="0.35">
      <c r="B94" s="6" t="e">
        <f t="shared" ca="1" si="5"/>
        <v>#VALUE!</v>
      </c>
      <c r="C94" s="311" t="e">
        <f t="shared" ca="1" si="4"/>
        <v>#VALUE!</v>
      </c>
      <c r="D94" s="311" t="e">
        <f t="shared" ca="1" si="3"/>
        <v>#VALUE!</v>
      </c>
      <c r="E94" s="311" t="e">
        <f ca="1">C93*'Crédito de Vivienda UVR'!$E$17</f>
        <v>#VALUE!</v>
      </c>
      <c r="F94" s="322" t="e">
        <f ca="1">IF(B94=" ",0,PMT('Crédito de Vivienda UVR'!$E$17,'Crédito de Vivienda UVR'!$C$18,-'Crédito de Vivienda UVR'!$C$20,,))</f>
        <v>#VALUE!</v>
      </c>
      <c r="G94" s="320" t="e">
        <f ca="1">C93*(VLOOKUP('Crédito de Vivienda UVR'!$C$24,Seguros_Oblig!$A$3:$B$55,2,FALSE))</f>
        <v>#VALUE!</v>
      </c>
      <c r="H94" s="313" t="e">
        <f ca="1">C93*(VLOOKUP('Crédito de Vivienda UVR'!$C$25,Seguros_Oblig!$A$3:$B$55,2,FALSE))</f>
        <v>#VALUE!</v>
      </c>
      <c r="I94" s="313" t="e">
        <f ca="1">C93*(VLOOKUP('Crédito de Vivienda UVR'!$C$26,Seguros_Oblig!$A$3:$B$55,2,FALSE))</f>
        <v>#VALUE!</v>
      </c>
      <c r="J94" s="313" t="e">
        <f ca="1">C93*(VLOOKUP('Crédito de Vivienda UVR'!$C$27,Seguros_Oblig!$A$3:$B$55,2,FALSE))</f>
        <v>#VALUE!</v>
      </c>
      <c r="K94" s="35">
        <f ca="1">_xlfn.AGGREGATE(9,6,G94:J94)*'Crédito de Vivienda UVR'!$C$19</f>
        <v>0</v>
      </c>
      <c r="L94" s="7" t="e">
        <f ca="1">IF(C93&lt;1,"0",Seguros_Oblig!$K$2*('Crédito de Vivienda UVR'!$C$12*90%))</f>
        <v>#VALUE!</v>
      </c>
      <c r="M94" s="35" t="e">
        <f ca="1">K94+L94+(F94*'Crédito de Vivienda UVR'!$C$19)</f>
        <v>#VALUE!</v>
      </c>
      <c r="N94" s="316"/>
    </row>
    <row r="95" spans="2:14" ht="15.5" x14ac:dyDescent="0.35">
      <c r="B95" s="6" t="e">
        <f t="shared" ca="1" si="5"/>
        <v>#VALUE!</v>
      </c>
      <c r="C95" s="311" t="e">
        <f t="shared" ca="1" si="4"/>
        <v>#VALUE!</v>
      </c>
      <c r="D95" s="311" t="e">
        <f t="shared" ref="D95:D158" ca="1" si="6">IF(C94&lt;1,"0",F95-E95)</f>
        <v>#VALUE!</v>
      </c>
      <c r="E95" s="311" t="e">
        <f ca="1">C94*'Crédito de Vivienda UVR'!$E$17</f>
        <v>#VALUE!</v>
      </c>
      <c r="F95" s="322" t="e">
        <f ca="1">IF(B95=" ",0,PMT('Crédito de Vivienda UVR'!$E$17,'Crédito de Vivienda UVR'!$C$18,-'Crédito de Vivienda UVR'!$C$20,,))</f>
        <v>#VALUE!</v>
      </c>
      <c r="G95" s="320" t="e">
        <f ca="1">C94*(VLOOKUP('Crédito de Vivienda UVR'!$C$24,Seguros_Oblig!$A$3:$B$55,2,FALSE))</f>
        <v>#VALUE!</v>
      </c>
      <c r="H95" s="313" t="e">
        <f ca="1">C94*(VLOOKUP('Crédito de Vivienda UVR'!$C$25,Seguros_Oblig!$A$3:$B$55,2,FALSE))</f>
        <v>#VALUE!</v>
      </c>
      <c r="I95" s="313" t="e">
        <f ca="1">C94*(VLOOKUP('Crédito de Vivienda UVR'!$C$26,Seguros_Oblig!$A$3:$B$55,2,FALSE))</f>
        <v>#VALUE!</v>
      </c>
      <c r="J95" s="313" t="e">
        <f ca="1">C94*(VLOOKUP('Crédito de Vivienda UVR'!$C$27,Seguros_Oblig!$A$3:$B$55,2,FALSE))</f>
        <v>#VALUE!</v>
      </c>
      <c r="K95" s="35">
        <f ca="1">_xlfn.AGGREGATE(9,6,G95:J95)*'Crédito de Vivienda UVR'!$C$19</f>
        <v>0</v>
      </c>
      <c r="L95" s="7" t="e">
        <f ca="1">IF(C94&lt;1,"0",Seguros_Oblig!$K$2*('Crédito de Vivienda UVR'!$C$12*90%))</f>
        <v>#VALUE!</v>
      </c>
      <c r="M95" s="35" t="e">
        <f ca="1">K95+L95+(F95*'Crédito de Vivienda UVR'!$C$19)</f>
        <v>#VALUE!</v>
      </c>
      <c r="N95" s="316"/>
    </row>
    <row r="96" spans="2:14" ht="15.5" x14ac:dyDescent="0.35">
      <c r="B96" s="6" t="e">
        <f t="shared" ca="1" si="5"/>
        <v>#VALUE!</v>
      </c>
      <c r="C96" s="311" t="e">
        <f t="shared" ca="1" si="4"/>
        <v>#VALUE!</v>
      </c>
      <c r="D96" s="311" t="e">
        <f t="shared" ca="1" si="6"/>
        <v>#VALUE!</v>
      </c>
      <c r="E96" s="311" t="e">
        <f ca="1">C95*'Crédito de Vivienda UVR'!$E$17</f>
        <v>#VALUE!</v>
      </c>
      <c r="F96" s="322" t="e">
        <f ca="1">IF(B96=" ",0,PMT('Crédito de Vivienda UVR'!$E$17,'Crédito de Vivienda UVR'!$C$18,-'Crédito de Vivienda UVR'!$C$20,,))</f>
        <v>#VALUE!</v>
      </c>
      <c r="G96" s="320" t="e">
        <f ca="1">C95*(VLOOKUP('Crédito de Vivienda UVR'!$C$24,Seguros_Oblig!$A$3:$B$55,2,FALSE))</f>
        <v>#VALUE!</v>
      </c>
      <c r="H96" s="313" t="e">
        <f ca="1">C95*(VLOOKUP('Crédito de Vivienda UVR'!$C$25,Seguros_Oblig!$A$3:$B$55,2,FALSE))</f>
        <v>#VALUE!</v>
      </c>
      <c r="I96" s="313" t="e">
        <f ca="1">C95*(VLOOKUP('Crédito de Vivienda UVR'!$C$26,Seguros_Oblig!$A$3:$B$55,2,FALSE))</f>
        <v>#VALUE!</v>
      </c>
      <c r="J96" s="313" t="e">
        <f ca="1">C95*(VLOOKUP('Crédito de Vivienda UVR'!$C$27,Seguros_Oblig!$A$3:$B$55,2,FALSE))</f>
        <v>#VALUE!</v>
      </c>
      <c r="K96" s="35">
        <f ca="1">_xlfn.AGGREGATE(9,6,G96:J96)*'Crédito de Vivienda UVR'!$C$19</f>
        <v>0</v>
      </c>
      <c r="L96" s="7" t="e">
        <f ca="1">IF(C95&lt;1,"0",Seguros_Oblig!$K$2*('Crédito de Vivienda UVR'!$C$12*90%))</f>
        <v>#VALUE!</v>
      </c>
      <c r="M96" s="35" t="e">
        <f ca="1">K96+L96+(F96*'Crédito de Vivienda UVR'!$C$19)</f>
        <v>#VALUE!</v>
      </c>
      <c r="N96" s="316"/>
    </row>
    <row r="97" spans="2:14" ht="15.5" x14ac:dyDescent="0.35">
      <c r="B97" s="6" t="e">
        <f t="shared" ca="1" si="5"/>
        <v>#VALUE!</v>
      </c>
      <c r="C97" s="311" t="e">
        <f t="shared" ca="1" si="4"/>
        <v>#VALUE!</v>
      </c>
      <c r="D97" s="311" t="e">
        <f t="shared" ca="1" si="6"/>
        <v>#VALUE!</v>
      </c>
      <c r="E97" s="311" t="e">
        <f ca="1">C96*'Crédito de Vivienda UVR'!$E$17</f>
        <v>#VALUE!</v>
      </c>
      <c r="F97" s="322" t="e">
        <f ca="1">IF(B97=" ",0,PMT('Crédito de Vivienda UVR'!$E$17,'Crédito de Vivienda UVR'!$C$18,-'Crédito de Vivienda UVR'!$C$20,,))</f>
        <v>#VALUE!</v>
      </c>
      <c r="G97" s="320" t="e">
        <f ca="1">C96*(VLOOKUP('Crédito de Vivienda UVR'!$C$24,Seguros_Oblig!$A$3:$B$55,2,FALSE))</f>
        <v>#VALUE!</v>
      </c>
      <c r="H97" s="313" t="e">
        <f ca="1">C96*(VLOOKUP('Crédito de Vivienda UVR'!$C$25,Seguros_Oblig!$A$3:$B$55,2,FALSE))</f>
        <v>#VALUE!</v>
      </c>
      <c r="I97" s="313" t="e">
        <f ca="1">C96*(VLOOKUP('Crédito de Vivienda UVR'!$C$26,Seguros_Oblig!$A$3:$B$55,2,FALSE))</f>
        <v>#VALUE!</v>
      </c>
      <c r="J97" s="313" t="e">
        <f ca="1">C96*(VLOOKUP('Crédito de Vivienda UVR'!$C$27,Seguros_Oblig!$A$3:$B$55,2,FALSE))</f>
        <v>#VALUE!</v>
      </c>
      <c r="K97" s="35">
        <f ca="1">_xlfn.AGGREGATE(9,6,G97:J97)*'Crédito de Vivienda UVR'!$C$19</f>
        <v>0</v>
      </c>
      <c r="L97" s="7" t="e">
        <f ca="1">IF(C96&lt;1,"0",Seguros_Oblig!$K$2*('Crédito de Vivienda UVR'!$C$12*90%))</f>
        <v>#VALUE!</v>
      </c>
      <c r="M97" s="35" t="e">
        <f ca="1">K97+L97+(F97*'Crédito de Vivienda UVR'!$C$19)</f>
        <v>#VALUE!</v>
      </c>
      <c r="N97" s="316"/>
    </row>
    <row r="98" spans="2:14" ht="15.5" x14ac:dyDescent="0.35">
      <c r="B98" s="6" t="e">
        <f t="shared" ca="1" si="5"/>
        <v>#VALUE!</v>
      </c>
      <c r="C98" s="311" t="e">
        <f t="shared" ca="1" si="4"/>
        <v>#VALUE!</v>
      </c>
      <c r="D98" s="311" t="e">
        <f t="shared" ca="1" si="6"/>
        <v>#VALUE!</v>
      </c>
      <c r="E98" s="311" t="e">
        <f ca="1">C97*'Crédito de Vivienda UVR'!$E$17</f>
        <v>#VALUE!</v>
      </c>
      <c r="F98" s="322" t="e">
        <f ca="1">IF(B98=" ",0,PMT('Crédito de Vivienda UVR'!$E$17,'Crédito de Vivienda UVR'!$C$18,-'Crédito de Vivienda UVR'!$C$20,,))</f>
        <v>#VALUE!</v>
      </c>
      <c r="G98" s="320" t="e">
        <f ca="1">C97*(VLOOKUP('Crédito de Vivienda UVR'!$C$24,Seguros_Oblig!$A$3:$B$55,2,FALSE))</f>
        <v>#VALUE!</v>
      </c>
      <c r="H98" s="313" t="e">
        <f ca="1">C97*(VLOOKUP('Crédito de Vivienda UVR'!$C$25,Seguros_Oblig!$A$3:$B$55,2,FALSE))</f>
        <v>#VALUE!</v>
      </c>
      <c r="I98" s="313" t="e">
        <f ca="1">C97*(VLOOKUP('Crédito de Vivienda UVR'!$C$26,Seguros_Oblig!$A$3:$B$55,2,FALSE))</f>
        <v>#VALUE!</v>
      </c>
      <c r="J98" s="313" t="e">
        <f ca="1">C97*(VLOOKUP('Crédito de Vivienda UVR'!$C$27,Seguros_Oblig!$A$3:$B$55,2,FALSE))</f>
        <v>#VALUE!</v>
      </c>
      <c r="K98" s="35">
        <f ca="1">_xlfn.AGGREGATE(9,6,G98:J98)*'Crédito de Vivienda UVR'!$C$19</f>
        <v>0</v>
      </c>
      <c r="L98" s="7" t="e">
        <f ca="1">IF(C97&lt;1,"0",Seguros_Oblig!$K$2*('Crédito de Vivienda UVR'!$C$12*90%))</f>
        <v>#VALUE!</v>
      </c>
      <c r="M98" s="35" t="e">
        <f ca="1">K98+L98+(F98*'Crédito de Vivienda UVR'!$C$19)</f>
        <v>#VALUE!</v>
      </c>
      <c r="N98" s="316"/>
    </row>
    <row r="99" spans="2:14" ht="15.5" x14ac:dyDescent="0.35">
      <c r="B99" s="6" t="e">
        <f t="shared" ca="1" si="5"/>
        <v>#VALUE!</v>
      </c>
      <c r="C99" s="311" t="e">
        <f t="shared" ca="1" si="4"/>
        <v>#VALUE!</v>
      </c>
      <c r="D99" s="311" t="e">
        <f t="shared" ca="1" si="6"/>
        <v>#VALUE!</v>
      </c>
      <c r="E99" s="311" t="e">
        <f ca="1">C98*'Crédito de Vivienda UVR'!$E$17</f>
        <v>#VALUE!</v>
      </c>
      <c r="F99" s="322" t="e">
        <f ca="1">IF(B99=" ",0,PMT('Crédito de Vivienda UVR'!$E$17,'Crédito de Vivienda UVR'!$C$18,-'Crédito de Vivienda UVR'!$C$20,,))</f>
        <v>#VALUE!</v>
      </c>
      <c r="G99" s="320" t="e">
        <f ca="1">C98*(VLOOKUP('Crédito de Vivienda UVR'!$C$24,Seguros_Oblig!$A$3:$B$55,2,FALSE))</f>
        <v>#VALUE!</v>
      </c>
      <c r="H99" s="313" t="e">
        <f ca="1">C98*(VLOOKUP('Crédito de Vivienda UVR'!$C$25,Seguros_Oblig!$A$3:$B$55,2,FALSE))</f>
        <v>#VALUE!</v>
      </c>
      <c r="I99" s="313" t="e">
        <f ca="1">C98*(VLOOKUP('Crédito de Vivienda UVR'!$C$26,Seguros_Oblig!$A$3:$B$55,2,FALSE))</f>
        <v>#VALUE!</v>
      </c>
      <c r="J99" s="313" t="e">
        <f ca="1">C98*(VLOOKUP('Crédito de Vivienda UVR'!$C$27,Seguros_Oblig!$A$3:$B$55,2,FALSE))</f>
        <v>#VALUE!</v>
      </c>
      <c r="K99" s="35">
        <f ca="1">_xlfn.AGGREGATE(9,6,G99:J99)*'Crédito de Vivienda UVR'!$C$19</f>
        <v>0</v>
      </c>
      <c r="L99" s="7" t="e">
        <f ca="1">IF(C98&lt;1,"0",Seguros_Oblig!$K$2*('Crédito de Vivienda UVR'!$C$12*90%))</f>
        <v>#VALUE!</v>
      </c>
      <c r="M99" s="35" t="e">
        <f ca="1">K99+L99+(F99*'Crédito de Vivienda UVR'!$C$19)</f>
        <v>#VALUE!</v>
      </c>
      <c r="N99" s="316"/>
    </row>
    <row r="100" spans="2:14" ht="15.5" x14ac:dyDescent="0.35">
      <c r="B100" s="6" t="e">
        <f t="shared" ca="1" si="5"/>
        <v>#VALUE!</v>
      </c>
      <c r="C100" s="311" t="e">
        <f t="shared" ca="1" si="4"/>
        <v>#VALUE!</v>
      </c>
      <c r="D100" s="311" t="e">
        <f t="shared" ca="1" si="6"/>
        <v>#VALUE!</v>
      </c>
      <c r="E100" s="311" t="e">
        <f ca="1">C99*'Crédito de Vivienda UVR'!$E$17</f>
        <v>#VALUE!</v>
      </c>
      <c r="F100" s="322" t="e">
        <f ca="1">IF(B100=" ",0,PMT('Crédito de Vivienda UVR'!$E$17,'Crédito de Vivienda UVR'!$C$18,-'Crédito de Vivienda UVR'!$C$20,,))</f>
        <v>#VALUE!</v>
      </c>
      <c r="G100" s="320" t="e">
        <f ca="1">C99*(VLOOKUP('Crédito de Vivienda UVR'!$C$24,Seguros_Oblig!$A$3:$B$55,2,FALSE))</f>
        <v>#VALUE!</v>
      </c>
      <c r="H100" s="313" t="e">
        <f ca="1">C99*(VLOOKUP('Crédito de Vivienda UVR'!$C$25,Seguros_Oblig!$A$3:$B$55,2,FALSE))</f>
        <v>#VALUE!</v>
      </c>
      <c r="I100" s="313" t="e">
        <f ca="1">C99*(VLOOKUP('Crédito de Vivienda UVR'!$C$26,Seguros_Oblig!$A$3:$B$55,2,FALSE))</f>
        <v>#VALUE!</v>
      </c>
      <c r="J100" s="313" t="e">
        <f ca="1">C99*(VLOOKUP('Crédito de Vivienda UVR'!$C$27,Seguros_Oblig!$A$3:$B$55,2,FALSE))</f>
        <v>#VALUE!</v>
      </c>
      <c r="K100" s="35">
        <f ca="1">_xlfn.AGGREGATE(9,6,G100:J100)*'Crédito de Vivienda UVR'!$C$19</f>
        <v>0</v>
      </c>
      <c r="L100" s="7" t="e">
        <f ca="1">IF(C99&lt;1,"0",Seguros_Oblig!$K$2*('Crédito de Vivienda UVR'!$C$12*90%))</f>
        <v>#VALUE!</v>
      </c>
      <c r="M100" s="35" t="e">
        <f ca="1">K100+L100+(F100*'Crédito de Vivienda UVR'!$C$19)</f>
        <v>#VALUE!</v>
      </c>
      <c r="N100" s="316"/>
    </row>
    <row r="101" spans="2:14" ht="15.5" x14ac:dyDescent="0.35">
      <c r="B101" s="6" t="e">
        <f t="shared" ca="1" si="5"/>
        <v>#VALUE!</v>
      </c>
      <c r="C101" s="311" t="e">
        <f t="shared" ca="1" si="4"/>
        <v>#VALUE!</v>
      </c>
      <c r="D101" s="311" t="e">
        <f t="shared" ca="1" si="6"/>
        <v>#VALUE!</v>
      </c>
      <c r="E101" s="311" t="e">
        <f ca="1">C100*'Crédito de Vivienda UVR'!$E$17</f>
        <v>#VALUE!</v>
      </c>
      <c r="F101" s="322" t="e">
        <f ca="1">IF(B101=" ",0,PMT('Crédito de Vivienda UVR'!$E$17,'Crédito de Vivienda UVR'!$C$18,-'Crédito de Vivienda UVR'!$C$20,,))</f>
        <v>#VALUE!</v>
      </c>
      <c r="G101" s="320" t="e">
        <f ca="1">C100*(VLOOKUP('Crédito de Vivienda UVR'!$C$24,Seguros_Oblig!$A$3:$B$55,2,FALSE))</f>
        <v>#VALUE!</v>
      </c>
      <c r="H101" s="313" t="e">
        <f ca="1">C100*(VLOOKUP('Crédito de Vivienda UVR'!$C$25,Seguros_Oblig!$A$3:$B$55,2,FALSE))</f>
        <v>#VALUE!</v>
      </c>
      <c r="I101" s="313" t="e">
        <f ca="1">C100*(VLOOKUP('Crédito de Vivienda UVR'!$C$26,Seguros_Oblig!$A$3:$B$55,2,FALSE))</f>
        <v>#VALUE!</v>
      </c>
      <c r="J101" s="313" t="e">
        <f ca="1">C100*(VLOOKUP('Crédito de Vivienda UVR'!$C$27,Seguros_Oblig!$A$3:$B$55,2,FALSE))</f>
        <v>#VALUE!</v>
      </c>
      <c r="K101" s="35">
        <f ca="1">_xlfn.AGGREGATE(9,6,G101:J101)*'Crédito de Vivienda UVR'!$C$19</f>
        <v>0</v>
      </c>
      <c r="L101" s="7" t="e">
        <f ca="1">IF(C100&lt;1,"0",Seguros_Oblig!$K$2*('Crédito de Vivienda UVR'!$C$12*90%))</f>
        <v>#VALUE!</v>
      </c>
      <c r="M101" s="35" t="e">
        <f ca="1">K101+L101+(F101*'Crédito de Vivienda UVR'!$C$19)</f>
        <v>#VALUE!</v>
      </c>
      <c r="N101" s="316"/>
    </row>
    <row r="102" spans="2:14" ht="15.5" x14ac:dyDescent="0.35">
      <c r="B102" s="6" t="e">
        <f t="shared" ca="1" si="5"/>
        <v>#VALUE!</v>
      </c>
      <c r="C102" s="311" t="e">
        <f t="shared" ca="1" si="4"/>
        <v>#VALUE!</v>
      </c>
      <c r="D102" s="311" t="e">
        <f t="shared" ca="1" si="6"/>
        <v>#VALUE!</v>
      </c>
      <c r="E102" s="311" t="e">
        <f ca="1">C101*'Crédito de Vivienda UVR'!$E$17</f>
        <v>#VALUE!</v>
      </c>
      <c r="F102" s="322" t="e">
        <f ca="1">IF(B102=" ",0,PMT('Crédito de Vivienda UVR'!$E$17,'Crédito de Vivienda UVR'!$C$18,-'Crédito de Vivienda UVR'!$C$20,,))</f>
        <v>#VALUE!</v>
      </c>
      <c r="G102" s="320" t="e">
        <f ca="1">C101*(VLOOKUP('Crédito de Vivienda UVR'!$C$24,Seguros_Oblig!$A$3:$B$55,2,FALSE))</f>
        <v>#VALUE!</v>
      </c>
      <c r="H102" s="313" t="e">
        <f ca="1">C101*(VLOOKUP('Crédito de Vivienda UVR'!$C$25,Seguros_Oblig!$A$3:$B$55,2,FALSE))</f>
        <v>#VALUE!</v>
      </c>
      <c r="I102" s="313" t="e">
        <f ca="1">C101*(VLOOKUP('Crédito de Vivienda UVR'!$C$26,Seguros_Oblig!$A$3:$B$55,2,FALSE))</f>
        <v>#VALUE!</v>
      </c>
      <c r="J102" s="313" t="e">
        <f ca="1">C101*(VLOOKUP('Crédito de Vivienda UVR'!$C$27,Seguros_Oblig!$A$3:$B$55,2,FALSE))</f>
        <v>#VALUE!</v>
      </c>
      <c r="K102" s="35">
        <f ca="1">_xlfn.AGGREGATE(9,6,G102:J102)*'Crédito de Vivienda UVR'!$C$19</f>
        <v>0</v>
      </c>
      <c r="L102" s="7" t="e">
        <f ca="1">IF(C101&lt;1,"0",Seguros_Oblig!$K$2*('Crédito de Vivienda UVR'!$C$12*90%))</f>
        <v>#VALUE!</v>
      </c>
      <c r="M102" s="35" t="e">
        <f ca="1">K102+L102+(F102*'Crédito de Vivienda UVR'!$C$19)</f>
        <v>#VALUE!</v>
      </c>
      <c r="N102" s="316"/>
    </row>
    <row r="103" spans="2:14" ht="15.5" x14ac:dyDescent="0.35">
      <c r="B103" s="6" t="e">
        <f t="shared" ca="1" si="5"/>
        <v>#VALUE!</v>
      </c>
      <c r="C103" s="311" t="e">
        <f t="shared" ca="1" si="4"/>
        <v>#VALUE!</v>
      </c>
      <c r="D103" s="311" t="e">
        <f t="shared" ca="1" si="6"/>
        <v>#VALUE!</v>
      </c>
      <c r="E103" s="311" t="e">
        <f ca="1">C102*'Crédito de Vivienda UVR'!$E$17</f>
        <v>#VALUE!</v>
      </c>
      <c r="F103" s="322" t="e">
        <f ca="1">IF(B103=" ",0,PMT('Crédito de Vivienda UVR'!$E$17,'Crédito de Vivienda UVR'!$C$18,-'Crédito de Vivienda UVR'!$C$20,,))</f>
        <v>#VALUE!</v>
      </c>
      <c r="G103" s="320" t="e">
        <f ca="1">C102*(VLOOKUP('Crédito de Vivienda UVR'!$C$24,Seguros_Oblig!$A$3:$B$55,2,FALSE))</f>
        <v>#VALUE!</v>
      </c>
      <c r="H103" s="313" t="e">
        <f ca="1">C102*(VLOOKUP('Crédito de Vivienda UVR'!$C$25,Seguros_Oblig!$A$3:$B$55,2,FALSE))</f>
        <v>#VALUE!</v>
      </c>
      <c r="I103" s="313" t="e">
        <f ca="1">C102*(VLOOKUP('Crédito de Vivienda UVR'!$C$26,Seguros_Oblig!$A$3:$B$55,2,FALSE))</f>
        <v>#VALUE!</v>
      </c>
      <c r="J103" s="313" t="e">
        <f ca="1">C102*(VLOOKUP('Crédito de Vivienda UVR'!$C$27,Seguros_Oblig!$A$3:$B$55,2,FALSE))</f>
        <v>#VALUE!</v>
      </c>
      <c r="K103" s="35">
        <f ca="1">_xlfn.AGGREGATE(9,6,G103:J103)*'Crédito de Vivienda UVR'!$C$19</f>
        <v>0</v>
      </c>
      <c r="L103" s="7" t="e">
        <f ca="1">IF(C102&lt;1,"0",Seguros_Oblig!$K$2*('Crédito de Vivienda UVR'!$C$12*90%))</f>
        <v>#VALUE!</v>
      </c>
      <c r="M103" s="35" t="e">
        <f ca="1">K103+L103+(F103*'Crédito de Vivienda UVR'!$C$19)</f>
        <v>#VALUE!</v>
      </c>
      <c r="N103" s="316"/>
    </row>
    <row r="104" spans="2:14" ht="15.5" x14ac:dyDescent="0.35">
      <c r="B104" s="6" t="e">
        <f t="shared" ca="1" si="5"/>
        <v>#VALUE!</v>
      </c>
      <c r="C104" s="311" t="e">
        <f t="shared" ca="1" si="4"/>
        <v>#VALUE!</v>
      </c>
      <c r="D104" s="311" t="e">
        <f t="shared" ca="1" si="6"/>
        <v>#VALUE!</v>
      </c>
      <c r="E104" s="311" t="e">
        <f ca="1">C103*'Crédito de Vivienda UVR'!$E$17</f>
        <v>#VALUE!</v>
      </c>
      <c r="F104" s="322" t="e">
        <f ca="1">IF(B104=" ",0,PMT('Crédito de Vivienda UVR'!$E$17,'Crédito de Vivienda UVR'!$C$18,-'Crédito de Vivienda UVR'!$C$20,,))</f>
        <v>#VALUE!</v>
      </c>
      <c r="G104" s="320" t="e">
        <f ca="1">C103*(VLOOKUP('Crédito de Vivienda UVR'!$C$24,Seguros_Oblig!$A$3:$B$55,2,FALSE))</f>
        <v>#VALUE!</v>
      </c>
      <c r="H104" s="313" t="e">
        <f ca="1">C103*(VLOOKUP('Crédito de Vivienda UVR'!$C$25,Seguros_Oblig!$A$3:$B$55,2,FALSE))</f>
        <v>#VALUE!</v>
      </c>
      <c r="I104" s="313" t="e">
        <f ca="1">C103*(VLOOKUP('Crédito de Vivienda UVR'!$C$26,Seguros_Oblig!$A$3:$B$55,2,FALSE))</f>
        <v>#VALUE!</v>
      </c>
      <c r="J104" s="313" t="e">
        <f ca="1">C103*(VLOOKUP('Crédito de Vivienda UVR'!$C$27,Seguros_Oblig!$A$3:$B$55,2,FALSE))</f>
        <v>#VALUE!</v>
      </c>
      <c r="K104" s="35">
        <f ca="1">_xlfn.AGGREGATE(9,6,G104:J104)*'Crédito de Vivienda UVR'!$C$19</f>
        <v>0</v>
      </c>
      <c r="L104" s="7" t="e">
        <f ca="1">IF(C103&lt;1,"0",Seguros_Oblig!$K$2*('Crédito de Vivienda UVR'!$C$12*90%))</f>
        <v>#VALUE!</v>
      </c>
      <c r="M104" s="35" t="e">
        <f ca="1">K104+L104+(F104*'Crédito de Vivienda UVR'!$C$19)</f>
        <v>#VALUE!</v>
      </c>
      <c r="N104" s="316"/>
    </row>
    <row r="105" spans="2:14" ht="15.5" x14ac:dyDescent="0.35">
      <c r="B105" s="6" t="e">
        <f t="shared" ca="1" si="5"/>
        <v>#VALUE!</v>
      </c>
      <c r="C105" s="311" t="e">
        <f t="shared" ca="1" si="4"/>
        <v>#VALUE!</v>
      </c>
      <c r="D105" s="311" t="e">
        <f t="shared" ca="1" si="6"/>
        <v>#VALUE!</v>
      </c>
      <c r="E105" s="311" t="e">
        <f ca="1">C104*'Crédito de Vivienda UVR'!$E$17</f>
        <v>#VALUE!</v>
      </c>
      <c r="F105" s="322" t="e">
        <f ca="1">IF(B105=" ",0,PMT('Crédito de Vivienda UVR'!$E$17,'Crédito de Vivienda UVR'!$C$18,-'Crédito de Vivienda UVR'!$C$20,,))</f>
        <v>#VALUE!</v>
      </c>
      <c r="G105" s="320" t="e">
        <f ca="1">C104*(VLOOKUP('Crédito de Vivienda UVR'!$C$24,Seguros_Oblig!$A$3:$B$55,2,FALSE))</f>
        <v>#VALUE!</v>
      </c>
      <c r="H105" s="313" t="e">
        <f ca="1">C104*(VLOOKUP('Crédito de Vivienda UVR'!$C$25,Seguros_Oblig!$A$3:$B$55,2,FALSE))</f>
        <v>#VALUE!</v>
      </c>
      <c r="I105" s="313" t="e">
        <f ca="1">C104*(VLOOKUP('Crédito de Vivienda UVR'!$C$26,Seguros_Oblig!$A$3:$B$55,2,FALSE))</f>
        <v>#VALUE!</v>
      </c>
      <c r="J105" s="313" t="e">
        <f ca="1">C104*(VLOOKUP('Crédito de Vivienda UVR'!$C$27,Seguros_Oblig!$A$3:$B$55,2,FALSE))</f>
        <v>#VALUE!</v>
      </c>
      <c r="K105" s="35">
        <f ca="1">_xlfn.AGGREGATE(9,6,G105:J105)*'Crédito de Vivienda UVR'!$C$19</f>
        <v>0</v>
      </c>
      <c r="L105" s="7" t="e">
        <f ca="1">IF(C104&lt;1,"0",Seguros_Oblig!$K$2*('Crédito de Vivienda UVR'!$C$12*90%))</f>
        <v>#VALUE!</v>
      </c>
      <c r="M105" s="35" t="e">
        <f ca="1">K105+L105+(F105*'Crédito de Vivienda UVR'!$C$19)</f>
        <v>#VALUE!</v>
      </c>
      <c r="N105" s="316"/>
    </row>
    <row r="106" spans="2:14" ht="15.5" x14ac:dyDescent="0.35">
      <c r="B106" s="6" t="e">
        <f t="shared" ca="1" si="5"/>
        <v>#VALUE!</v>
      </c>
      <c r="C106" s="311" t="e">
        <f t="shared" ca="1" si="4"/>
        <v>#VALUE!</v>
      </c>
      <c r="D106" s="311" t="e">
        <f t="shared" ca="1" si="6"/>
        <v>#VALUE!</v>
      </c>
      <c r="E106" s="311" t="e">
        <f ca="1">C105*'Crédito de Vivienda UVR'!$E$17</f>
        <v>#VALUE!</v>
      </c>
      <c r="F106" s="322" t="e">
        <f ca="1">IF(B106=" ",0,PMT('Crédito de Vivienda UVR'!$E$17,'Crédito de Vivienda UVR'!$C$18,-'Crédito de Vivienda UVR'!$C$20,,))</f>
        <v>#VALUE!</v>
      </c>
      <c r="G106" s="320" t="e">
        <f ca="1">C105*(VLOOKUP('Crédito de Vivienda UVR'!$C$24,Seguros_Oblig!$A$3:$B$55,2,FALSE))</f>
        <v>#VALUE!</v>
      </c>
      <c r="H106" s="313" t="e">
        <f ca="1">C105*(VLOOKUP('Crédito de Vivienda UVR'!$C$25,Seguros_Oblig!$A$3:$B$55,2,FALSE))</f>
        <v>#VALUE!</v>
      </c>
      <c r="I106" s="313" t="e">
        <f ca="1">C105*(VLOOKUP('Crédito de Vivienda UVR'!$C$26,Seguros_Oblig!$A$3:$B$55,2,FALSE))</f>
        <v>#VALUE!</v>
      </c>
      <c r="J106" s="313" t="e">
        <f ca="1">C105*(VLOOKUP('Crédito de Vivienda UVR'!$C$27,Seguros_Oblig!$A$3:$B$55,2,FALSE))</f>
        <v>#VALUE!</v>
      </c>
      <c r="K106" s="35">
        <f ca="1">_xlfn.AGGREGATE(9,6,G106:J106)*'Crédito de Vivienda UVR'!$C$19</f>
        <v>0</v>
      </c>
      <c r="L106" s="7" t="e">
        <f ca="1">IF(C105&lt;1,"0",Seguros_Oblig!$K$2*('Crédito de Vivienda UVR'!$C$12*90%))</f>
        <v>#VALUE!</v>
      </c>
      <c r="M106" s="35" t="e">
        <f ca="1">K106+L106+(F106*'Crédito de Vivienda UVR'!$C$19)</f>
        <v>#VALUE!</v>
      </c>
      <c r="N106" s="316"/>
    </row>
    <row r="107" spans="2:14" ht="15.5" x14ac:dyDescent="0.35">
      <c r="B107" s="6" t="e">
        <f t="shared" ca="1" si="5"/>
        <v>#VALUE!</v>
      </c>
      <c r="C107" s="311" t="e">
        <f t="shared" ca="1" si="4"/>
        <v>#VALUE!</v>
      </c>
      <c r="D107" s="311" t="e">
        <f t="shared" ca="1" si="6"/>
        <v>#VALUE!</v>
      </c>
      <c r="E107" s="311" t="e">
        <f ca="1">C106*'Crédito de Vivienda UVR'!$E$17</f>
        <v>#VALUE!</v>
      </c>
      <c r="F107" s="322" t="e">
        <f ca="1">IF(B107=" ",0,PMT('Crédito de Vivienda UVR'!$E$17,'Crédito de Vivienda UVR'!$C$18,-'Crédito de Vivienda UVR'!$C$20,,))</f>
        <v>#VALUE!</v>
      </c>
      <c r="G107" s="320" t="e">
        <f ca="1">C106*(VLOOKUP('Crédito de Vivienda UVR'!$C$24,Seguros_Oblig!$A$3:$B$55,2,FALSE))</f>
        <v>#VALUE!</v>
      </c>
      <c r="H107" s="313" t="e">
        <f ca="1">C106*(VLOOKUP('Crédito de Vivienda UVR'!$C$25,Seguros_Oblig!$A$3:$B$55,2,FALSE))</f>
        <v>#VALUE!</v>
      </c>
      <c r="I107" s="313" t="e">
        <f ca="1">C106*(VLOOKUP('Crédito de Vivienda UVR'!$C$26,Seguros_Oblig!$A$3:$B$55,2,FALSE))</f>
        <v>#VALUE!</v>
      </c>
      <c r="J107" s="313" t="e">
        <f ca="1">C106*(VLOOKUP('Crédito de Vivienda UVR'!$C$27,Seguros_Oblig!$A$3:$B$55,2,FALSE))</f>
        <v>#VALUE!</v>
      </c>
      <c r="K107" s="35">
        <f ca="1">_xlfn.AGGREGATE(9,6,G107:J107)*'Crédito de Vivienda UVR'!$C$19</f>
        <v>0</v>
      </c>
      <c r="L107" s="7" t="e">
        <f ca="1">IF(C106&lt;1,"0",Seguros_Oblig!$K$2*('Crédito de Vivienda UVR'!$C$12*90%))</f>
        <v>#VALUE!</v>
      </c>
      <c r="M107" s="35" t="e">
        <f ca="1">K107+L107+(F107*'Crédito de Vivienda UVR'!$C$19)</f>
        <v>#VALUE!</v>
      </c>
      <c r="N107" s="316"/>
    </row>
    <row r="108" spans="2:14" ht="15.5" x14ac:dyDescent="0.35">
      <c r="B108" s="6" t="e">
        <f t="shared" ca="1" si="5"/>
        <v>#VALUE!</v>
      </c>
      <c r="C108" s="311" t="e">
        <f t="shared" ca="1" si="4"/>
        <v>#VALUE!</v>
      </c>
      <c r="D108" s="311" t="e">
        <f t="shared" ca="1" si="6"/>
        <v>#VALUE!</v>
      </c>
      <c r="E108" s="311" t="e">
        <f ca="1">C107*'Crédito de Vivienda UVR'!$E$17</f>
        <v>#VALUE!</v>
      </c>
      <c r="F108" s="322" t="e">
        <f ca="1">IF(B108=" ",0,PMT('Crédito de Vivienda UVR'!$E$17,'Crédito de Vivienda UVR'!$C$18,-'Crédito de Vivienda UVR'!$C$20,,))</f>
        <v>#VALUE!</v>
      </c>
      <c r="G108" s="320" t="e">
        <f ca="1">C107*(VLOOKUP('Crédito de Vivienda UVR'!$C$24,Seguros_Oblig!$A$3:$B$55,2,FALSE))</f>
        <v>#VALUE!</v>
      </c>
      <c r="H108" s="313" t="e">
        <f ca="1">C107*(VLOOKUP('Crédito de Vivienda UVR'!$C$25,Seguros_Oblig!$A$3:$B$55,2,FALSE))</f>
        <v>#VALUE!</v>
      </c>
      <c r="I108" s="313" t="e">
        <f ca="1">C107*(VLOOKUP('Crédito de Vivienda UVR'!$C$26,Seguros_Oblig!$A$3:$B$55,2,FALSE))</f>
        <v>#VALUE!</v>
      </c>
      <c r="J108" s="313" t="e">
        <f ca="1">C107*(VLOOKUP('Crédito de Vivienda UVR'!$C$27,Seguros_Oblig!$A$3:$B$55,2,FALSE))</f>
        <v>#VALUE!</v>
      </c>
      <c r="K108" s="35">
        <f ca="1">_xlfn.AGGREGATE(9,6,G108:J108)*'Crédito de Vivienda UVR'!$C$19</f>
        <v>0</v>
      </c>
      <c r="L108" s="7" t="e">
        <f ca="1">IF(C107&lt;1,"0",Seguros_Oblig!$K$2*('Crédito de Vivienda UVR'!$C$12*90%))</f>
        <v>#VALUE!</v>
      </c>
      <c r="M108" s="35" t="e">
        <f ca="1">K108+L108+(F108*'Crédito de Vivienda UVR'!$C$19)</f>
        <v>#VALUE!</v>
      </c>
      <c r="N108" s="316"/>
    </row>
    <row r="109" spans="2:14" ht="15.5" x14ac:dyDescent="0.35">
      <c r="B109" s="6" t="e">
        <f t="shared" ca="1" si="5"/>
        <v>#VALUE!</v>
      </c>
      <c r="C109" s="311" t="e">
        <f t="shared" ca="1" si="4"/>
        <v>#VALUE!</v>
      </c>
      <c r="D109" s="311" t="e">
        <f t="shared" ca="1" si="6"/>
        <v>#VALUE!</v>
      </c>
      <c r="E109" s="311" t="e">
        <f ca="1">C108*'Crédito de Vivienda UVR'!$E$17</f>
        <v>#VALUE!</v>
      </c>
      <c r="F109" s="322" t="e">
        <f ca="1">IF(B109=" ",0,PMT('Crédito de Vivienda UVR'!$E$17,'Crédito de Vivienda UVR'!$C$18,-'Crédito de Vivienda UVR'!$C$20,,))</f>
        <v>#VALUE!</v>
      </c>
      <c r="G109" s="320" t="e">
        <f ca="1">C108*(VLOOKUP('Crédito de Vivienda UVR'!$C$24,Seguros_Oblig!$A$3:$B$55,2,FALSE))</f>
        <v>#VALUE!</v>
      </c>
      <c r="H109" s="313" t="e">
        <f ca="1">C108*(VLOOKUP('Crédito de Vivienda UVR'!$C$25,Seguros_Oblig!$A$3:$B$55,2,FALSE))</f>
        <v>#VALUE!</v>
      </c>
      <c r="I109" s="313" t="e">
        <f ca="1">C108*(VLOOKUP('Crédito de Vivienda UVR'!$C$26,Seguros_Oblig!$A$3:$B$55,2,FALSE))</f>
        <v>#VALUE!</v>
      </c>
      <c r="J109" s="313" t="e">
        <f ca="1">C108*(VLOOKUP('Crédito de Vivienda UVR'!$C$27,Seguros_Oblig!$A$3:$B$55,2,FALSE))</f>
        <v>#VALUE!</v>
      </c>
      <c r="K109" s="35">
        <f ca="1">_xlfn.AGGREGATE(9,6,G109:J109)*'Crédito de Vivienda UVR'!$C$19</f>
        <v>0</v>
      </c>
      <c r="L109" s="7" t="e">
        <f ca="1">IF(C108&lt;1,"0",Seguros_Oblig!$K$2*('Crédito de Vivienda UVR'!$C$12*90%))</f>
        <v>#VALUE!</v>
      </c>
      <c r="M109" s="35" t="e">
        <f ca="1">K109+L109+(F109*'Crédito de Vivienda UVR'!$C$19)</f>
        <v>#VALUE!</v>
      </c>
      <c r="N109" s="316"/>
    </row>
    <row r="110" spans="2:14" ht="15.5" x14ac:dyDescent="0.35">
      <c r="B110" s="6" t="e">
        <f t="shared" ca="1" si="5"/>
        <v>#VALUE!</v>
      </c>
      <c r="C110" s="311" t="e">
        <f t="shared" ca="1" si="4"/>
        <v>#VALUE!</v>
      </c>
      <c r="D110" s="311" t="e">
        <f t="shared" ca="1" si="6"/>
        <v>#VALUE!</v>
      </c>
      <c r="E110" s="311" t="e">
        <f ca="1">C109*'Crédito de Vivienda UVR'!$E$17</f>
        <v>#VALUE!</v>
      </c>
      <c r="F110" s="322" t="e">
        <f ca="1">IF(B110=" ",0,PMT('Crédito de Vivienda UVR'!$E$17,'Crédito de Vivienda UVR'!$C$18,-'Crédito de Vivienda UVR'!$C$20,,))</f>
        <v>#VALUE!</v>
      </c>
      <c r="G110" s="320" t="e">
        <f ca="1">C109*(VLOOKUP('Crédito de Vivienda UVR'!$C$24,Seguros_Oblig!$A$3:$B$55,2,FALSE))</f>
        <v>#VALUE!</v>
      </c>
      <c r="H110" s="313" t="e">
        <f ca="1">C109*(VLOOKUP('Crédito de Vivienda UVR'!$C$25,Seguros_Oblig!$A$3:$B$55,2,FALSE))</f>
        <v>#VALUE!</v>
      </c>
      <c r="I110" s="313" t="e">
        <f ca="1">C109*(VLOOKUP('Crédito de Vivienda UVR'!$C$26,Seguros_Oblig!$A$3:$B$55,2,FALSE))</f>
        <v>#VALUE!</v>
      </c>
      <c r="J110" s="313" t="e">
        <f ca="1">C109*(VLOOKUP('Crédito de Vivienda UVR'!$C$27,Seguros_Oblig!$A$3:$B$55,2,FALSE))</f>
        <v>#VALUE!</v>
      </c>
      <c r="K110" s="35">
        <f ca="1">_xlfn.AGGREGATE(9,6,G110:J110)*'Crédito de Vivienda UVR'!$C$19</f>
        <v>0</v>
      </c>
      <c r="L110" s="7" t="e">
        <f ca="1">IF(C109&lt;1,"0",Seguros_Oblig!$K$2*('Crédito de Vivienda UVR'!$C$12*90%))</f>
        <v>#VALUE!</v>
      </c>
      <c r="M110" s="35" t="e">
        <f ca="1">K110+L110+(F110*'Crédito de Vivienda UVR'!$C$19)</f>
        <v>#VALUE!</v>
      </c>
      <c r="N110" s="316"/>
    </row>
    <row r="111" spans="2:14" ht="15.5" x14ac:dyDescent="0.35">
      <c r="B111" s="6" t="e">
        <f t="shared" ca="1" si="5"/>
        <v>#VALUE!</v>
      </c>
      <c r="C111" s="311" t="e">
        <f t="shared" ca="1" si="4"/>
        <v>#VALUE!</v>
      </c>
      <c r="D111" s="311" t="e">
        <f t="shared" ca="1" si="6"/>
        <v>#VALUE!</v>
      </c>
      <c r="E111" s="311" t="e">
        <f ca="1">C110*'Crédito de Vivienda UVR'!$E$17</f>
        <v>#VALUE!</v>
      </c>
      <c r="F111" s="322" t="e">
        <f ca="1">IF(B111=" ",0,PMT('Crédito de Vivienda UVR'!$E$17,'Crédito de Vivienda UVR'!$C$18,-'Crédito de Vivienda UVR'!$C$20,,))</f>
        <v>#VALUE!</v>
      </c>
      <c r="G111" s="320" t="e">
        <f ca="1">C110*(VLOOKUP('Crédito de Vivienda UVR'!$C$24,Seguros_Oblig!$A$3:$B$55,2,FALSE))</f>
        <v>#VALUE!</v>
      </c>
      <c r="H111" s="313" t="e">
        <f ca="1">C110*(VLOOKUP('Crédito de Vivienda UVR'!$C$25,Seguros_Oblig!$A$3:$B$55,2,FALSE))</f>
        <v>#VALUE!</v>
      </c>
      <c r="I111" s="313" t="e">
        <f ca="1">C110*(VLOOKUP('Crédito de Vivienda UVR'!$C$26,Seguros_Oblig!$A$3:$B$55,2,FALSE))</f>
        <v>#VALUE!</v>
      </c>
      <c r="J111" s="313" t="e">
        <f ca="1">C110*(VLOOKUP('Crédito de Vivienda UVR'!$C$27,Seguros_Oblig!$A$3:$B$55,2,FALSE))</f>
        <v>#VALUE!</v>
      </c>
      <c r="K111" s="35">
        <f ca="1">_xlfn.AGGREGATE(9,6,G111:J111)*'Crédito de Vivienda UVR'!$C$19</f>
        <v>0</v>
      </c>
      <c r="L111" s="7" t="e">
        <f ca="1">IF(C110&lt;1,"0",Seguros_Oblig!$K$2*('Crédito de Vivienda UVR'!$C$12*90%))</f>
        <v>#VALUE!</v>
      </c>
      <c r="M111" s="35" t="e">
        <f ca="1">K111+L111+(F111*'Crédito de Vivienda UVR'!$C$19)</f>
        <v>#VALUE!</v>
      </c>
      <c r="N111" s="316"/>
    </row>
    <row r="112" spans="2:14" ht="15.5" x14ac:dyDescent="0.35">
      <c r="B112" s="6" t="e">
        <f t="shared" ca="1" si="5"/>
        <v>#VALUE!</v>
      </c>
      <c r="C112" s="311" t="e">
        <f t="shared" ca="1" si="4"/>
        <v>#VALUE!</v>
      </c>
      <c r="D112" s="311" t="e">
        <f t="shared" ca="1" si="6"/>
        <v>#VALUE!</v>
      </c>
      <c r="E112" s="311" t="e">
        <f ca="1">C111*'Crédito de Vivienda UVR'!$E$17</f>
        <v>#VALUE!</v>
      </c>
      <c r="F112" s="322" t="e">
        <f ca="1">IF(B112=" ",0,PMT('Crédito de Vivienda UVR'!$E$17,'Crédito de Vivienda UVR'!$C$18,-'Crédito de Vivienda UVR'!$C$20,,))</f>
        <v>#VALUE!</v>
      </c>
      <c r="G112" s="320" t="e">
        <f ca="1">C111*(VLOOKUP('Crédito de Vivienda UVR'!$C$24,Seguros_Oblig!$A$3:$B$55,2,FALSE))</f>
        <v>#VALUE!</v>
      </c>
      <c r="H112" s="313" t="e">
        <f ca="1">C111*(VLOOKUP('Crédito de Vivienda UVR'!$C$25,Seguros_Oblig!$A$3:$B$55,2,FALSE))</f>
        <v>#VALUE!</v>
      </c>
      <c r="I112" s="313" t="e">
        <f ca="1">C111*(VLOOKUP('Crédito de Vivienda UVR'!$C$26,Seguros_Oblig!$A$3:$B$55,2,FALSE))</f>
        <v>#VALUE!</v>
      </c>
      <c r="J112" s="313" t="e">
        <f ca="1">C111*(VLOOKUP('Crédito de Vivienda UVR'!$C$27,Seguros_Oblig!$A$3:$B$55,2,FALSE))</f>
        <v>#VALUE!</v>
      </c>
      <c r="K112" s="35">
        <f ca="1">_xlfn.AGGREGATE(9,6,G112:J112)*'Crédito de Vivienda UVR'!$C$19</f>
        <v>0</v>
      </c>
      <c r="L112" s="7" t="e">
        <f ca="1">IF(C111&lt;1,"0",Seguros_Oblig!$K$2*('Crédito de Vivienda UVR'!$C$12*90%))</f>
        <v>#VALUE!</v>
      </c>
      <c r="M112" s="35" t="e">
        <f ca="1">K112+L112+(F112*'Crédito de Vivienda UVR'!$C$19)</f>
        <v>#VALUE!</v>
      </c>
      <c r="N112" s="316"/>
    </row>
    <row r="113" spans="2:14" ht="15.5" x14ac:dyDescent="0.35">
      <c r="B113" s="6" t="e">
        <f t="shared" ca="1" si="5"/>
        <v>#VALUE!</v>
      </c>
      <c r="C113" s="311" t="e">
        <f t="shared" ca="1" si="4"/>
        <v>#VALUE!</v>
      </c>
      <c r="D113" s="311" t="e">
        <f t="shared" ca="1" si="6"/>
        <v>#VALUE!</v>
      </c>
      <c r="E113" s="311" t="e">
        <f ca="1">C112*'Crédito de Vivienda UVR'!$E$17</f>
        <v>#VALUE!</v>
      </c>
      <c r="F113" s="322" t="e">
        <f ca="1">IF(B113=" ",0,PMT('Crédito de Vivienda UVR'!$E$17,'Crédito de Vivienda UVR'!$C$18,-'Crédito de Vivienda UVR'!$C$20,,))</f>
        <v>#VALUE!</v>
      </c>
      <c r="G113" s="320" t="e">
        <f ca="1">C112*(VLOOKUP('Crédito de Vivienda UVR'!$C$24,Seguros_Oblig!$A$3:$B$55,2,FALSE))</f>
        <v>#VALUE!</v>
      </c>
      <c r="H113" s="313" t="e">
        <f ca="1">C112*(VLOOKUP('Crédito de Vivienda UVR'!$C$25,Seguros_Oblig!$A$3:$B$55,2,FALSE))</f>
        <v>#VALUE!</v>
      </c>
      <c r="I113" s="313" t="e">
        <f ca="1">C112*(VLOOKUP('Crédito de Vivienda UVR'!$C$26,Seguros_Oblig!$A$3:$B$55,2,FALSE))</f>
        <v>#VALUE!</v>
      </c>
      <c r="J113" s="313" t="e">
        <f ca="1">C112*(VLOOKUP('Crédito de Vivienda UVR'!$C$27,Seguros_Oblig!$A$3:$B$55,2,FALSE))</f>
        <v>#VALUE!</v>
      </c>
      <c r="K113" s="35">
        <f ca="1">_xlfn.AGGREGATE(9,6,G113:J113)*'Crédito de Vivienda UVR'!$C$19</f>
        <v>0</v>
      </c>
      <c r="L113" s="7" t="e">
        <f ca="1">IF(C112&lt;1,"0",Seguros_Oblig!$K$2*('Crédito de Vivienda UVR'!$C$12*90%))</f>
        <v>#VALUE!</v>
      </c>
      <c r="M113" s="35" t="e">
        <f ca="1">K113+L113+(F113*'Crédito de Vivienda UVR'!$C$19)</f>
        <v>#VALUE!</v>
      </c>
      <c r="N113" s="316"/>
    </row>
    <row r="114" spans="2:14" ht="15.5" x14ac:dyDescent="0.35">
      <c r="B114" s="6" t="e">
        <f t="shared" ca="1" si="5"/>
        <v>#VALUE!</v>
      </c>
      <c r="C114" s="311" t="e">
        <f t="shared" ca="1" si="4"/>
        <v>#VALUE!</v>
      </c>
      <c r="D114" s="311" t="e">
        <f t="shared" ca="1" si="6"/>
        <v>#VALUE!</v>
      </c>
      <c r="E114" s="311" t="e">
        <f ca="1">C113*'Crédito de Vivienda UVR'!$E$17</f>
        <v>#VALUE!</v>
      </c>
      <c r="F114" s="322" t="e">
        <f ca="1">IF(B114=" ",0,PMT('Crédito de Vivienda UVR'!$E$17,'Crédito de Vivienda UVR'!$C$18,-'Crédito de Vivienda UVR'!$C$20,,))</f>
        <v>#VALUE!</v>
      </c>
      <c r="G114" s="320" t="e">
        <f ca="1">C113*(VLOOKUP('Crédito de Vivienda UVR'!$C$24,Seguros_Oblig!$A$3:$B$55,2,FALSE))</f>
        <v>#VALUE!</v>
      </c>
      <c r="H114" s="313" t="e">
        <f ca="1">C113*(VLOOKUP('Crédito de Vivienda UVR'!$C$25,Seguros_Oblig!$A$3:$B$55,2,FALSE))</f>
        <v>#VALUE!</v>
      </c>
      <c r="I114" s="313" t="e">
        <f ca="1">C113*(VLOOKUP('Crédito de Vivienda UVR'!$C$26,Seguros_Oblig!$A$3:$B$55,2,FALSE))</f>
        <v>#VALUE!</v>
      </c>
      <c r="J114" s="313" t="e">
        <f ca="1">C113*(VLOOKUP('Crédito de Vivienda UVR'!$C$27,Seguros_Oblig!$A$3:$B$55,2,FALSE))</f>
        <v>#VALUE!</v>
      </c>
      <c r="K114" s="35">
        <f ca="1">_xlfn.AGGREGATE(9,6,G114:J114)*'Crédito de Vivienda UVR'!$C$19</f>
        <v>0</v>
      </c>
      <c r="L114" s="7" t="e">
        <f ca="1">IF(C113&lt;1,"0",Seguros_Oblig!$K$2*('Crédito de Vivienda UVR'!$C$12*90%))</f>
        <v>#VALUE!</v>
      </c>
      <c r="M114" s="35" t="e">
        <f ca="1">K114+L114+(F114*'Crédito de Vivienda UVR'!$C$19)</f>
        <v>#VALUE!</v>
      </c>
      <c r="N114" s="316"/>
    </row>
    <row r="115" spans="2:14" ht="15.5" x14ac:dyDescent="0.35">
      <c r="B115" s="6" t="e">
        <f t="shared" ca="1" si="5"/>
        <v>#VALUE!</v>
      </c>
      <c r="C115" s="311" t="e">
        <f t="shared" ca="1" si="4"/>
        <v>#VALUE!</v>
      </c>
      <c r="D115" s="311" t="e">
        <f t="shared" ca="1" si="6"/>
        <v>#VALUE!</v>
      </c>
      <c r="E115" s="311" t="e">
        <f ca="1">C114*'Crédito de Vivienda UVR'!$E$17</f>
        <v>#VALUE!</v>
      </c>
      <c r="F115" s="322" t="e">
        <f ca="1">IF(B115=" ",0,PMT('Crédito de Vivienda UVR'!$E$17,'Crédito de Vivienda UVR'!$C$18,-'Crédito de Vivienda UVR'!$C$20,,))</f>
        <v>#VALUE!</v>
      </c>
      <c r="G115" s="320" t="e">
        <f ca="1">C114*(VLOOKUP('Crédito de Vivienda UVR'!$C$24,Seguros_Oblig!$A$3:$B$55,2,FALSE))</f>
        <v>#VALUE!</v>
      </c>
      <c r="H115" s="313" t="e">
        <f ca="1">C114*(VLOOKUP('Crédito de Vivienda UVR'!$C$25,Seguros_Oblig!$A$3:$B$55,2,FALSE))</f>
        <v>#VALUE!</v>
      </c>
      <c r="I115" s="313" t="e">
        <f ca="1">C114*(VLOOKUP('Crédito de Vivienda UVR'!$C$26,Seguros_Oblig!$A$3:$B$55,2,FALSE))</f>
        <v>#VALUE!</v>
      </c>
      <c r="J115" s="313" t="e">
        <f ca="1">C114*(VLOOKUP('Crédito de Vivienda UVR'!$C$27,Seguros_Oblig!$A$3:$B$55,2,FALSE))</f>
        <v>#VALUE!</v>
      </c>
      <c r="K115" s="35">
        <f ca="1">_xlfn.AGGREGATE(9,6,G115:J115)*'Crédito de Vivienda UVR'!$C$19</f>
        <v>0</v>
      </c>
      <c r="L115" s="7" t="e">
        <f ca="1">IF(C114&lt;1,"0",Seguros_Oblig!$K$2*('Crédito de Vivienda UVR'!$C$12*90%))</f>
        <v>#VALUE!</v>
      </c>
      <c r="M115" s="35" t="e">
        <f ca="1">K115+L115+(F115*'Crédito de Vivienda UVR'!$C$19)</f>
        <v>#VALUE!</v>
      </c>
      <c r="N115" s="316"/>
    </row>
    <row r="116" spans="2:14" ht="15.5" x14ac:dyDescent="0.35">
      <c r="B116" s="6" t="e">
        <f t="shared" ca="1" si="5"/>
        <v>#VALUE!</v>
      </c>
      <c r="C116" s="311" t="e">
        <f t="shared" ca="1" si="4"/>
        <v>#VALUE!</v>
      </c>
      <c r="D116" s="311" t="e">
        <f t="shared" ca="1" si="6"/>
        <v>#VALUE!</v>
      </c>
      <c r="E116" s="311" t="e">
        <f ca="1">C115*'Crédito de Vivienda UVR'!$E$17</f>
        <v>#VALUE!</v>
      </c>
      <c r="F116" s="322" t="e">
        <f ca="1">IF(B116=" ",0,PMT('Crédito de Vivienda UVR'!$E$17,'Crédito de Vivienda UVR'!$C$18,-'Crédito de Vivienda UVR'!$C$20,,))</f>
        <v>#VALUE!</v>
      </c>
      <c r="G116" s="320" t="e">
        <f ca="1">C115*(VLOOKUP('Crédito de Vivienda UVR'!$C$24,Seguros_Oblig!$A$3:$B$55,2,FALSE))</f>
        <v>#VALUE!</v>
      </c>
      <c r="H116" s="313" t="e">
        <f ca="1">C115*(VLOOKUP('Crédito de Vivienda UVR'!$C$25,Seguros_Oblig!$A$3:$B$55,2,FALSE))</f>
        <v>#VALUE!</v>
      </c>
      <c r="I116" s="313" t="e">
        <f ca="1">C115*(VLOOKUP('Crédito de Vivienda UVR'!$C$26,Seguros_Oblig!$A$3:$B$55,2,FALSE))</f>
        <v>#VALUE!</v>
      </c>
      <c r="J116" s="313" t="e">
        <f ca="1">C115*(VLOOKUP('Crédito de Vivienda UVR'!$C$27,Seguros_Oblig!$A$3:$B$55,2,FALSE))</f>
        <v>#VALUE!</v>
      </c>
      <c r="K116" s="35">
        <f ca="1">_xlfn.AGGREGATE(9,6,G116:J116)*'Crédito de Vivienda UVR'!$C$19</f>
        <v>0</v>
      </c>
      <c r="L116" s="7" t="e">
        <f ca="1">IF(C115&lt;1,"0",Seguros_Oblig!$K$2*('Crédito de Vivienda UVR'!$C$12*90%))</f>
        <v>#VALUE!</v>
      </c>
      <c r="M116" s="35" t="e">
        <f ca="1">K116+L116+(F116*'Crédito de Vivienda UVR'!$C$19)</f>
        <v>#VALUE!</v>
      </c>
      <c r="N116" s="316"/>
    </row>
    <row r="117" spans="2:14" ht="15.5" x14ac:dyDescent="0.35">
      <c r="B117" s="6" t="e">
        <f t="shared" ca="1" si="5"/>
        <v>#VALUE!</v>
      </c>
      <c r="C117" s="311" t="e">
        <f t="shared" ca="1" si="4"/>
        <v>#VALUE!</v>
      </c>
      <c r="D117" s="311" t="e">
        <f t="shared" ca="1" si="6"/>
        <v>#VALUE!</v>
      </c>
      <c r="E117" s="311" t="e">
        <f ca="1">C116*'Crédito de Vivienda UVR'!$E$17</f>
        <v>#VALUE!</v>
      </c>
      <c r="F117" s="322" t="e">
        <f ca="1">IF(B117=" ",0,PMT('Crédito de Vivienda UVR'!$E$17,'Crédito de Vivienda UVR'!$C$18,-'Crédito de Vivienda UVR'!$C$20,,))</f>
        <v>#VALUE!</v>
      </c>
      <c r="G117" s="320" t="e">
        <f ca="1">C116*(VLOOKUP('Crédito de Vivienda UVR'!$C$24,Seguros_Oblig!$A$3:$B$55,2,FALSE))</f>
        <v>#VALUE!</v>
      </c>
      <c r="H117" s="313" t="e">
        <f ca="1">C116*(VLOOKUP('Crédito de Vivienda UVR'!$C$25,Seguros_Oblig!$A$3:$B$55,2,FALSE))</f>
        <v>#VALUE!</v>
      </c>
      <c r="I117" s="313" t="e">
        <f ca="1">C116*(VLOOKUP('Crédito de Vivienda UVR'!$C$26,Seguros_Oblig!$A$3:$B$55,2,FALSE))</f>
        <v>#VALUE!</v>
      </c>
      <c r="J117" s="313" t="e">
        <f ca="1">C116*(VLOOKUP('Crédito de Vivienda UVR'!$C$27,Seguros_Oblig!$A$3:$B$55,2,FALSE))</f>
        <v>#VALUE!</v>
      </c>
      <c r="K117" s="35">
        <f ca="1">_xlfn.AGGREGATE(9,6,G117:J117)*'Crédito de Vivienda UVR'!$C$19</f>
        <v>0</v>
      </c>
      <c r="L117" s="7" t="e">
        <f ca="1">IF(C116&lt;1,"0",Seguros_Oblig!$K$2*('Crédito de Vivienda UVR'!$C$12*90%))</f>
        <v>#VALUE!</v>
      </c>
      <c r="M117" s="35" t="e">
        <f ca="1">K117+L117+(F117*'Crédito de Vivienda UVR'!$C$19)</f>
        <v>#VALUE!</v>
      </c>
      <c r="N117" s="316"/>
    </row>
    <row r="118" spans="2:14" ht="15.5" x14ac:dyDescent="0.35">
      <c r="B118" s="6" t="e">
        <f t="shared" ca="1" si="5"/>
        <v>#VALUE!</v>
      </c>
      <c r="C118" s="311" t="e">
        <f t="shared" ca="1" si="4"/>
        <v>#VALUE!</v>
      </c>
      <c r="D118" s="311" t="e">
        <f t="shared" ca="1" si="6"/>
        <v>#VALUE!</v>
      </c>
      <c r="E118" s="311" t="e">
        <f ca="1">C117*'Crédito de Vivienda UVR'!$E$17</f>
        <v>#VALUE!</v>
      </c>
      <c r="F118" s="322" t="e">
        <f ca="1">IF(B118=" ",0,PMT('Crédito de Vivienda UVR'!$E$17,'Crédito de Vivienda UVR'!$C$18,-'Crédito de Vivienda UVR'!$C$20,,))</f>
        <v>#VALUE!</v>
      </c>
      <c r="G118" s="320" t="e">
        <f ca="1">C117*(VLOOKUP('Crédito de Vivienda UVR'!$C$24,Seguros_Oblig!$A$3:$B$55,2,FALSE))</f>
        <v>#VALUE!</v>
      </c>
      <c r="H118" s="313" t="e">
        <f ca="1">C117*(VLOOKUP('Crédito de Vivienda UVR'!$C$25,Seguros_Oblig!$A$3:$B$55,2,FALSE))</f>
        <v>#VALUE!</v>
      </c>
      <c r="I118" s="313" t="e">
        <f ca="1">C117*(VLOOKUP('Crédito de Vivienda UVR'!$C$26,Seguros_Oblig!$A$3:$B$55,2,FALSE))</f>
        <v>#VALUE!</v>
      </c>
      <c r="J118" s="313" t="e">
        <f ca="1">C117*(VLOOKUP('Crédito de Vivienda UVR'!$C$27,Seguros_Oblig!$A$3:$B$55,2,FALSE))</f>
        <v>#VALUE!</v>
      </c>
      <c r="K118" s="35">
        <f ca="1">_xlfn.AGGREGATE(9,6,G118:J118)*'Crédito de Vivienda UVR'!$C$19</f>
        <v>0</v>
      </c>
      <c r="L118" s="7" t="e">
        <f ca="1">IF(C117&lt;1,"0",Seguros_Oblig!$K$2*('Crédito de Vivienda UVR'!$C$12*90%))</f>
        <v>#VALUE!</v>
      </c>
      <c r="M118" s="35" t="e">
        <f ca="1">K118+L118+(F118*'Crédito de Vivienda UVR'!$C$19)</f>
        <v>#VALUE!</v>
      </c>
      <c r="N118" s="316"/>
    </row>
    <row r="119" spans="2:14" ht="15.5" x14ac:dyDescent="0.35">
      <c r="B119" s="6" t="e">
        <f t="shared" ca="1" si="5"/>
        <v>#VALUE!</v>
      </c>
      <c r="C119" s="311" t="e">
        <f t="shared" ca="1" si="4"/>
        <v>#VALUE!</v>
      </c>
      <c r="D119" s="311" t="e">
        <f t="shared" ca="1" si="6"/>
        <v>#VALUE!</v>
      </c>
      <c r="E119" s="311" t="e">
        <f ca="1">C118*'Crédito de Vivienda UVR'!$E$17</f>
        <v>#VALUE!</v>
      </c>
      <c r="F119" s="322" t="e">
        <f ca="1">IF(B119=" ",0,PMT('Crédito de Vivienda UVR'!$E$17,'Crédito de Vivienda UVR'!$C$18,-'Crédito de Vivienda UVR'!$C$20,,))</f>
        <v>#VALUE!</v>
      </c>
      <c r="G119" s="320" t="e">
        <f ca="1">C118*(VLOOKUP('Crédito de Vivienda UVR'!$C$24,Seguros_Oblig!$A$3:$B$55,2,FALSE))</f>
        <v>#VALUE!</v>
      </c>
      <c r="H119" s="313" t="e">
        <f ca="1">C118*(VLOOKUP('Crédito de Vivienda UVR'!$C$25,Seguros_Oblig!$A$3:$B$55,2,FALSE))</f>
        <v>#VALUE!</v>
      </c>
      <c r="I119" s="313" t="e">
        <f ca="1">C118*(VLOOKUP('Crédito de Vivienda UVR'!$C$26,Seguros_Oblig!$A$3:$B$55,2,FALSE))</f>
        <v>#VALUE!</v>
      </c>
      <c r="J119" s="313" t="e">
        <f ca="1">C118*(VLOOKUP('Crédito de Vivienda UVR'!$C$27,Seguros_Oblig!$A$3:$B$55,2,FALSE))</f>
        <v>#VALUE!</v>
      </c>
      <c r="K119" s="35">
        <f ca="1">_xlfn.AGGREGATE(9,6,G119:J119)*'Crédito de Vivienda UVR'!$C$19</f>
        <v>0</v>
      </c>
      <c r="L119" s="7" t="e">
        <f ca="1">IF(C118&lt;1,"0",Seguros_Oblig!$K$2*('Crédito de Vivienda UVR'!$C$12*90%))</f>
        <v>#VALUE!</v>
      </c>
      <c r="M119" s="35" t="e">
        <f ca="1">K119+L119+(F119*'Crédito de Vivienda UVR'!$C$19)</f>
        <v>#VALUE!</v>
      </c>
      <c r="N119" s="316"/>
    </row>
    <row r="120" spans="2:14" ht="15.5" x14ac:dyDescent="0.35">
      <c r="B120" s="6" t="e">
        <f t="shared" ca="1" si="5"/>
        <v>#VALUE!</v>
      </c>
      <c r="C120" s="311" t="e">
        <f t="shared" ca="1" si="4"/>
        <v>#VALUE!</v>
      </c>
      <c r="D120" s="311" t="e">
        <f t="shared" ca="1" si="6"/>
        <v>#VALUE!</v>
      </c>
      <c r="E120" s="311" t="e">
        <f ca="1">C119*'Crédito de Vivienda UVR'!$E$17</f>
        <v>#VALUE!</v>
      </c>
      <c r="F120" s="322" t="e">
        <f ca="1">IF(B120=" ",0,PMT('Crédito de Vivienda UVR'!$E$17,'Crédito de Vivienda UVR'!$C$18,-'Crédito de Vivienda UVR'!$C$20,,))</f>
        <v>#VALUE!</v>
      </c>
      <c r="G120" s="320" t="e">
        <f ca="1">C119*(VLOOKUP('Crédito de Vivienda UVR'!$C$24,Seguros_Oblig!$A$3:$B$55,2,FALSE))</f>
        <v>#VALUE!</v>
      </c>
      <c r="H120" s="313" t="e">
        <f ca="1">C119*(VLOOKUP('Crédito de Vivienda UVR'!$C$25,Seguros_Oblig!$A$3:$B$55,2,FALSE))</f>
        <v>#VALUE!</v>
      </c>
      <c r="I120" s="313" t="e">
        <f ca="1">C119*(VLOOKUP('Crédito de Vivienda UVR'!$C$26,Seguros_Oblig!$A$3:$B$55,2,FALSE))</f>
        <v>#VALUE!</v>
      </c>
      <c r="J120" s="313" t="e">
        <f ca="1">C119*(VLOOKUP('Crédito de Vivienda UVR'!$C$27,Seguros_Oblig!$A$3:$B$55,2,FALSE))</f>
        <v>#VALUE!</v>
      </c>
      <c r="K120" s="35">
        <f ca="1">_xlfn.AGGREGATE(9,6,G120:J120)*'Crédito de Vivienda UVR'!$C$19</f>
        <v>0</v>
      </c>
      <c r="L120" s="7" t="e">
        <f ca="1">IF(C119&lt;1,"0",Seguros_Oblig!$K$2*('Crédito de Vivienda UVR'!$C$12*90%))</f>
        <v>#VALUE!</v>
      </c>
      <c r="M120" s="35" t="e">
        <f ca="1">K120+L120+(F120*'Crédito de Vivienda UVR'!$C$19)</f>
        <v>#VALUE!</v>
      </c>
      <c r="N120" s="316"/>
    </row>
    <row r="121" spans="2:14" ht="15.5" x14ac:dyDescent="0.35">
      <c r="B121" s="6" t="e">
        <f t="shared" ca="1" si="5"/>
        <v>#VALUE!</v>
      </c>
      <c r="C121" s="311" t="e">
        <f t="shared" ca="1" si="4"/>
        <v>#VALUE!</v>
      </c>
      <c r="D121" s="311" t="e">
        <f t="shared" ca="1" si="6"/>
        <v>#VALUE!</v>
      </c>
      <c r="E121" s="311" t="e">
        <f ca="1">C120*'Crédito de Vivienda UVR'!$E$17</f>
        <v>#VALUE!</v>
      </c>
      <c r="F121" s="322" t="e">
        <f ca="1">IF(B121=" ",0,PMT('Crédito de Vivienda UVR'!$E$17,'Crédito de Vivienda UVR'!$C$18,-'Crédito de Vivienda UVR'!$C$20,,))</f>
        <v>#VALUE!</v>
      </c>
      <c r="G121" s="320" t="e">
        <f ca="1">C120*(VLOOKUP('Crédito de Vivienda UVR'!$C$24,Seguros_Oblig!$A$3:$B$55,2,FALSE))</f>
        <v>#VALUE!</v>
      </c>
      <c r="H121" s="313" t="e">
        <f ca="1">C120*(VLOOKUP('Crédito de Vivienda UVR'!$C$25,Seguros_Oblig!$A$3:$B$55,2,FALSE))</f>
        <v>#VALUE!</v>
      </c>
      <c r="I121" s="313" t="e">
        <f ca="1">C120*(VLOOKUP('Crédito de Vivienda UVR'!$C$26,Seguros_Oblig!$A$3:$B$55,2,FALSE))</f>
        <v>#VALUE!</v>
      </c>
      <c r="J121" s="313" t="e">
        <f ca="1">C120*(VLOOKUP('Crédito de Vivienda UVR'!$C$27,Seguros_Oblig!$A$3:$B$55,2,FALSE))</f>
        <v>#VALUE!</v>
      </c>
      <c r="K121" s="35">
        <f ca="1">_xlfn.AGGREGATE(9,6,G121:J121)*'Crédito de Vivienda UVR'!$C$19</f>
        <v>0</v>
      </c>
      <c r="L121" s="7" t="e">
        <f ca="1">IF(C120&lt;1,"0",Seguros_Oblig!$K$2*('Crédito de Vivienda UVR'!$C$12*90%))</f>
        <v>#VALUE!</v>
      </c>
      <c r="M121" s="35" t="e">
        <f ca="1">K121+L121+(F121*'Crédito de Vivienda UVR'!$C$19)</f>
        <v>#VALUE!</v>
      </c>
      <c r="N121" s="316"/>
    </row>
    <row r="122" spans="2:14" ht="15.5" x14ac:dyDescent="0.35">
      <c r="B122" s="6" t="e">
        <f t="shared" ca="1" si="5"/>
        <v>#VALUE!</v>
      </c>
      <c r="C122" s="311" t="e">
        <f t="shared" ca="1" si="4"/>
        <v>#VALUE!</v>
      </c>
      <c r="D122" s="311" t="e">
        <f t="shared" ca="1" si="6"/>
        <v>#VALUE!</v>
      </c>
      <c r="E122" s="311" t="e">
        <f ca="1">C121*'Crédito de Vivienda UVR'!$E$17</f>
        <v>#VALUE!</v>
      </c>
      <c r="F122" s="322" t="e">
        <f ca="1">IF(B122=" ",0,PMT('Crédito de Vivienda UVR'!$E$17,'Crédito de Vivienda UVR'!$C$18,-'Crédito de Vivienda UVR'!$C$20,,))</f>
        <v>#VALUE!</v>
      </c>
      <c r="G122" s="320" t="e">
        <f ca="1">C121*(VLOOKUP('Crédito de Vivienda UVR'!$C$24,Seguros_Oblig!$A$3:$B$55,2,FALSE))</f>
        <v>#VALUE!</v>
      </c>
      <c r="H122" s="313" t="e">
        <f ca="1">C121*(VLOOKUP('Crédito de Vivienda UVR'!$C$25,Seguros_Oblig!$A$3:$B$55,2,FALSE))</f>
        <v>#VALUE!</v>
      </c>
      <c r="I122" s="313" t="e">
        <f ca="1">C121*(VLOOKUP('Crédito de Vivienda UVR'!$C$26,Seguros_Oblig!$A$3:$B$55,2,FALSE))</f>
        <v>#VALUE!</v>
      </c>
      <c r="J122" s="313" t="e">
        <f ca="1">C121*(VLOOKUP('Crédito de Vivienda UVR'!$C$27,Seguros_Oblig!$A$3:$B$55,2,FALSE))</f>
        <v>#VALUE!</v>
      </c>
      <c r="K122" s="35">
        <f ca="1">_xlfn.AGGREGATE(9,6,G122:J122)*'Crédito de Vivienda UVR'!$C$19</f>
        <v>0</v>
      </c>
      <c r="L122" s="7" t="e">
        <f ca="1">IF(C121&lt;1,"0",Seguros_Oblig!$K$2*('Crédito de Vivienda UVR'!$C$12*90%))</f>
        <v>#VALUE!</v>
      </c>
      <c r="M122" s="35" t="e">
        <f ca="1">K122+L122+(F122*'Crédito de Vivienda UVR'!$C$19)</f>
        <v>#VALUE!</v>
      </c>
      <c r="N122" s="316"/>
    </row>
    <row r="123" spans="2:14" ht="15.5" x14ac:dyDescent="0.35">
      <c r="B123" s="6" t="e">
        <f t="shared" ca="1" si="5"/>
        <v>#VALUE!</v>
      </c>
      <c r="C123" s="311" t="e">
        <f t="shared" ca="1" si="4"/>
        <v>#VALUE!</v>
      </c>
      <c r="D123" s="311" t="e">
        <f t="shared" ca="1" si="6"/>
        <v>#VALUE!</v>
      </c>
      <c r="E123" s="311" t="e">
        <f ca="1">C122*'Crédito de Vivienda UVR'!$E$17</f>
        <v>#VALUE!</v>
      </c>
      <c r="F123" s="322" t="e">
        <f ca="1">IF(B123=" ",0,PMT('Crédito de Vivienda UVR'!$E$17,'Crédito de Vivienda UVR'!$C$18,-'Crédito de Vivienda UVR'!$C$20,,))</f>
        <v>#VALUE!</v>
      </c>
      <c r="G123" s="320" t="e">
        <f ca="1">C122*(VLOOKUP('Crédito de Vivienda UVR'!$C$24,Seguros_Oblig!$A$3:$B$55,2,FALSE))</f>
        <v>#VALUE!</v>
      </c>
      <c r="H123" s="313" t="e">
        <f ca="1">C122*(VLOOKUP('Crédito de Vivienda UVR'!$C$25,Seguros_Oblig!$A$3:$B$55,2,FALSE))</f>
        <v>#VALUE!</v>
      </c>
      <c r="I123" s="313" t="e">
        <f ca="1">C122*(VLOOKUP('Crédito de Vivienda UVR'!$C$26,Seguros_Oblig!$A$3:$B$55,2,FALSE))</f>
        <v>#VALUE!</v>
      </c>
      <c r="J123" s="313" t="e">
        <f ca="1">C122*(VLOOKUP('Crédito de Vivienda UVR'!$C$27,Seguros_Oblig!$A$3:$B$55,2,FALSE))</f>
        <v>#VALUE!</v>
      </c>
      <c r="K123" s="35">
        <f ca="1">_xlfn.AGGREGATE(9,6,G123:J123)*'Crédito de Vivienda UVR'!$C$19</f>
        <v>0</v>
      </c>
      <c r="L123" s="7" t="e">
        <f ca="1">IF(C122&lt;1,"0",Seguros_Oblig!$K$2*('Crédito de Vivienda UVR'!$C$12*90%))</f>
        <v>#VALUE!</v>
      </c>
      <c r="M123" s="35" t="e">
        <f ca="1">K123+L123+(F123*'Crédito de Vivienda UVR'!$C$19)</f>
        <v>#VALUE!</v>
      </c>
      <c r="N123" s="316"/>
    </row>
    <row r="124" spans="2:14" ht="15.5" x14ac:dyDescent="0.35">
      <c r="B124" s="6" t="e">
        <f t="shared" ca="1" si="5"/>
        <v>#VALUE!</v>
      </c>
      <c r="C124" s="311" t="e">
        <f t="shared" ca="1" si="4"/>
        <v>#VALUE!</v>
      </c>
      <c r="D124" s="311" t="e">
        <f t="shared" ca="1" si="6"/>
        <v>#VALUE!</v>
      </c>
      <c r="E124" s="311" t="e">
        <f ca="1">C123*'Crédito de Vivienda UVR'!$E$17</f>
        <v>#VALUE!</v>
      </c>
      <c r="F124" s="322" t="e">
        <f ca="1">IF(B124=" ",0,PMT('Crédito de Vivienda UVR'!$E$17,'Crédito de Vivienda UVR'!$C$18,-'Crédito de Vivienda UVR'!$C$20,,))</f>
        <v>#VALUE!</v>
      </c>
      <c r="G124" s="320" t="e">
        <f ca="1">C123*(VLOOKUP('Crédito de Vivienda UVR'!$C$24,Seguros_Oblig!$A$3:$B$55,2,FALSE))</f>
        <v>#VALUE!</v>
      </c>
      <c r="H124" s="313" t="e">
        <f ca="1">C123*(VLOOKUP('Crédito de Vivienda UVR'!$C$25,Seguros_Oblig!$A$3:$B$55,2,FALSE))</f>
        <v>#VALUE!</v>
      </c>
      <c r="I124" s="313" t="e">
        <f ca="1">C123*(VLOOKUP('Crédito de Vivienda UVR'!$C$26,Seguros_Oblig!$A$3:$B$55,2,FALSE))</f>
        <v>#VALUE!</v>
      </c>
      <c r="J124" s="313" t="e">
        <f ca="1">C123*(VLOOKUP('Crédito de Vivienda UVR'!$C$27,Seguros_Oblig!$A$3:$B$55,2,FALSE))</f>
        <v>#VALUE!</v>
      </c>
      <c r="K124" s="35">
        <f ca="1">_xlfn.AGGREGATE(9,6,G124:J124)*'Crédito de Vivienda UVR'!$C$19</f>
        <v>0</v>
      </c>
      <c r="L124" s="7" t="e">
        <f ca="1">IF(C123&lt;1,"0",Seguros_Oblig!$K$2*('Crédito de Vivienda UVR'!$C$12*90%))</f>
        <v>#VALUE!</v>
      </c>
      <c r="M124" s="35" t="e">
        <f ca="1">K124+L124+(F124*'Crédito de Vivienda UVR'!$C$19)</f>
        <v>#VALUE!</v>
      </c>
      <c r="N124" s="316"/>
    </row>
    <row r="125" spans="2:14" ht="15.5" x14ac:dyDescent="0.35">
      <c r="B125" s="6" t="e">
        <f t="shared" ca="1" si="5"/>
        <v>#VALUE!</v>
      </c>
      <c r="C125" s="311" t="e">
        <f t="shared" ca="1" si="4"/>
        <v>#VALUE!</v>
      </c>
      <c r="D125" s="311" t="e">
        <f t="shared" ca="1" si="6"/>
        <v>#VALUE!</v>
      </c>
      <c r="E125" s="311" t="e">
        <f ca="1">C124*'Crédito de Vivienda UVR'!$E$17</f>
        <v>#VALUE!</v>
      </c>
      <c r="F125" s="322" t="e">
        <f ca="1">IF(B125=" ",0,PMT('Crédito de Vivienda UVR'!$E$17,'Crédito de Vivienda UVR'!$C$18,-'Crédito de Vivienda UVR'!$C$20,,))</f>
        <v>#VALUE!</v>
      </c>
      <c r="G125" s="320" t="e">
        <f ca="1">C124*(VLOOKUP('Crédito de Vivienda UVR'!$C$24,Seguros_Oblig!$A$3:$B$55,2,FALSE))</f>
        <v>#VALUE!</v>
      </c>
      <c r="H125" s="313" t="e">
        <f ca="1">C124*(VLOOKUP('Crédito de Vivienda UVR'!$C$25,Seguros_Oblig!$A$3:$B$55,2,FALSE))</f>
        <v>#VALUE!</v>
      </c>
      <c r="I125" s="313" t="e">
        <f ca="1">C124*(VLOOKUP('Crédito de Vivienda UVR'!$C$26,Seguros_Oblig!$A$3:$B$55,2,FALSE))</f>
        <v>#VALUE!</v>
      </c>
      <c r="J125" s="313" t="e">
        <f ca="1">C124*(VLOOKUP('Crédito de Vivienda UVR'!$C$27,Seguros_Oblig!$A$3:$B$55,2,FALSE))</f>
        <v>#VALUE!</v>
      </c>
      <c r="K125" s="35">
        <f ca="1">_xlfn.AGGREGATE(9,6,G125:J125)*'Crédito de Vivienda UVR'!$C$19</f>
        <v>0</v>
      </c>
      <c r="L125" s="7" t="e">
        <f ca="1">IF(C124&lt;1,"0",Seguros_Oblig!$K$2*('Crédito de Vivienda UVR'!$C$12*90%))</f>
        <v>#VALUE!</v>
      </c>
      <c r="M125" s="35" t="e">
        <f ca="1">K125+L125+(F125*'Crédito de Vivienda UVR'!$C$19)</f>
        <v>#VALUE!</v>
      </c>
      <c r="N125" s="316"/>
    </row>
    <row r="126" spans="2:14" ht="15.5" x14ac:dyDescent="0.35">
      <c r="B126" s="6" t="e">
        <f t="shared" ca="1" si="5"/>
        <v>#VALUE!</v>
      </c>
      <c r="C126" s="311" t="e">
        <f t="shared" ca="1" si="4"/>
        <v>#VALUE!</v>
      </c>
      <c r="D126" s="311" t="e">
        <f t="shared" ca="1" si="6"/>
        <v>#VALUE!</v>
      </c>
      <c r="E126" s="311" t="e">
        <f ca="1">C125*'Crédito de Vivienda UVR'!$E$17</f>
        <v>#VALUE!</v>
      </c>
      <c r="F126" s="322" t="e">
        <f ca="1">IF(B126=" ",0,PMT('Crédito de Vivienda UVR'!$E$17,'Crédito de Vivienda UVR'!$C$18,-'Crédito de Vivienda UVR'!$C$20,,))</f>
        <v>#VALUE!</v>
      </c>
      <c r="G126" s="320" t="e">
        <f ca="1">C125*(VLOOKUP('Crédito de Vivienda UVR'!$C$24,Seguros_Oblig!$A$3:$B$55,2,FALSE))</f>
        <v>#VALUE!</v>
      </c>
      <c r="H126" s="313" t="e">
        <f ca="1">C125*(VLOOKUP('Crédito de Vivienda UVR'!$C$25,Seguros_Oblig!$A$3:$B$55,2,FALSE))</f>
        <v>#VALUE!</v>
      </c>
      <c r="I126" s="313" t="e">
        <f ca="1">C125*(VLOOKUP('Crédito de Vivienda UVR'!$C$26,Seguros_Oblig!$A$3:$B$55,2,FALSE))</f>
        <v>#VALUE!</v>
      </c>
      <c r="J126" s="313" t="e">
        <f ca="1">C125*(VLOOKUP('Crédito de Vivienda UVR'!$C$27,Seguros_Oblig!$A$3:$B$55,2,FALSE))</f>
        <v>#VALUE!</v>
      </c>
      <c r="K126" s="35">
        <f ca="1">_xlfn.AGGREGATE(9,6,G126:J126)*'Crédito de Vivienda UVR'!$C$19</f>
        <v>0</v>
      </c>
      <c r="L126" s="7" t="e">
        <f ca="1">IF(C125&lt;1,"0",Seguros_Oblig!$K$2*('Crédito de Vivienda UVR'!$C$12*90%))</f>
        <v>#VALUE!</v>
      </c>
      <c r="M126" s="35" t="e">
        <f ca="1">K126+L126+(F126*'Crédito de Vivienda UVR'!$C$19)</f>
        <v>#VALUE!</v>
      </c>
      <c r="N126" s="316"/>
    </row>
    <row r="127" spans="2:14" ht="15.5" x14ac:dyDescent="0.35">
      <c r="B127" s="6" t="e">
        <f t="shared" ca="1" si="5"/>
        <v>#VALUE!</v>
      </c>
      <c r="C127" s="311" t="e">
        <f t="shared" ca="1" si="4"/>
        <v>#VALUE!</v>
      </c>
      <c r="D127" s="311" t="e">
        <f t="shared" ca="1" si="6"/>
        <v>#VALUE!</v>
      </c>
      <c r="E127" s="311" t="e">
        <f ca="1">C126*'Crédito de Vivienda UVR'!$E$17</f>
        <v>#VALUE!</v>
      </c>
      <c r="F127" s="322" t="e">
        <f ca="1">IF(B127=" ",0,PMT('Crédito de Vivienda UVR'!$E$17,'Crédito de Vivienda UVR'!$C$18,-'Crédito de Vivienda UVR'!$C$20,,))</f>
        <v>#VALUE!</v>
      </c>
      <c r="G127" s="320" t="e">
        <f ca="1">C126*(VLOOKUP('Crédito de Vivienda UVR'!$C$24,Seguros_Oblig!$A$3:$B$55,2,FALSE))</f>
        <v>#VALUE!</v>
      </c>
      <c r="H127" s="313" t="e">
        <f ca="1">C126*(VLOOKUP('Crédito de Vivienda UVR'!$C$25,Seguros_Oblig!$A$3:$B$55,2,FALSE))</f>
        <v>#VALUE!</v>
      </c>
      <c r="I127" s="313" t="e">
        <f ca="1">C126*(VLOOKUP('Crédito de Vivienda UVR'!$C$26,Seguros_Oblig!$A$3:$B$55,2,FALSE))</f>
        <v>#VALUE!</v>
      </c>
      <c r="J127" s="313" t="e">
        <f ca="1">C126*(VLOOKUP('Crédito de Vivienda UVR'!$C$27,Seguros_Oblig!$A$3:$B$55,2,FALSE))</f>
        <v>#VALUE!</v>
      </c>
      <c r="K127" s="35">
        <f ca="1">_xlfn.AGGREGATE(9,6,G127:J127)*'Crédito de Vivienda UVR'!$C$19</f>
        <v>0</v>
      </c>
      <c r="L127" s="7" t="e">
        <f ca="1">IF(C126&lt;1,"0",Seguros_Oblig!$K$2*('Crédito de Vivienda UVR'!$C$12*90%))</f>
        <v>#VALUE!</v>
      </c>
      <c r="M127" s="35" t="e">
        <f ca="1">K127+L127+(F127*'Crédito de Vivienda UVR'!$C$19)</f>
        <v>#VALUE!</v>
      </c>
      <c r="N127" s="316"/>
    </row>
    <row r="128" spans="2:14" ht="15.5" x14ac:dyDescent="0.35">
      <c r="B128" s="6" t="e">
        <f t="shared" ca="1" si="5"/>
        <v>#VALUE!</v>
      </c>
      <c r="C128" s="311" t="e">
        <f t="shared" ca="1" si="4"/>
        <v>#VALUE!</v>
      </c>
      <c r="D128" s="311" t="e">
        <f t="shared" ca="1" si="6"/>
        <v>#VALUE!</v>
      </c>
      <c r="E128" s="311" t="e">
        <f ca="1">C127*'Crédito de Vivienda UVR'!$E$17</f>
        <v>#VALUE!</v>
      </c>
      <c r="F128" s="322" t="e">
        <f ca="1">IF(B128=" ",0,PMT('Crédito de Vivienda UVR'!$E$17,'Crédito de Vivienda UVR'!$C$18,-'Crédito de Vivienda UVR'!$C$20,,))</f>
        <v>#VALUE!</v>
      </c>
      <c r="G128" s="320" t="e">
        <f ca="1">C127*(VLOOKUP('Crédito de Vivienda UVR'!$C$24,Seguros_Oblig!$A$3:$B$55,2,FALSE))</f>
        <v>#VALUE!</v>
      </c>
      <c r="H128" s="313" t="e">
        <f ca="1">C127*(VLOOKUP('Crédito de Vivienda UVR'!$C$25,Seguros_Oblig!$A$3:$B$55,2,FALSE))</f>
        <v>#VALUE!</v>
      </c>
      <c r="I128" s="313" t="e">
        <f ca="1">C127*(VLOOKUP('Crédito de Vivienda UVR'!$C$26,Seguros_Oblig!$A$3:$B$55,2,FALSE))</f>
        <v>#VALUE!</v>
      </c>
      <c r="J128" s="313" t="e">
        <f ca="1">C127*(VLOOKUP('Crédito de Vivienda UVR'!$C$27,Seguros_Oblig!$A$3:$B$55,2,FALSE))</f>
        <v>#VALUE!</v>
      </c>
      <c r="K128" s="35">
        <f ca="1">_xlfn.AGGREGATE(9,6,G128:J128)*'Crédito de Vivienda UVR'!$C$19</f>
        <v>0</v>
      </c>
      <c r="L128" s="7" t="e">
        <f ca="1">IF(C127&lt;1,"0",Seguros_Oblig!$K$2*('Crédito de Vivienda UVR'!$C$12*90%))</f>
        <v>#VALUE!</v>
      </c>
      <c r="M128" s="35" t="e">
        <f ca="1">K128+L128+(F128*'Crédito de Vivienda UVR'!$C$19)</f>
        <v>#VALUE!</v>
      </c>
      <c r="N128" s="316"/>
    </row>
    <row r="129" spans="2:14" ht="15.5" x14ac:dyDescent="0.35">
      <c r="B129" s="6" t="e">
        <f t="shared" ca="1" si="5"/>
        <v>#VALUE!</v>
      </c>
      <c r="C129" s="311" t="e">
        <f t="shared" ca="1" si="4"/>
        <v>#VALUE!</v>
      </c>
      <c r="D129" s="311" t="e">
        <f t="shared" ca="1" si="6"/>
        <v>#VALUE!</v>
      </c>
      <c r="E129" s="311" t="e">
        <f ca="1">C128*'Crédito de Vivienda UVR'!$E$17</f>
        <v>#VALUE!</v>
      </c>
      <c r="F129" s="322" t="e">
        <f ca="1">IF(B129=" ",0,PMT('Crédito de Vivienda UVR'!$E$17,'Crédito de Vivienda UVR'!$C$18,-'Crédito de Vivienda UVR'!$C$20,,))</f>
        <v>#VALUE!</v>
      </c>
      <c r="G129" s="320" t="e">
        <f ca="1">C128*(VLOOKUP('Crédito de Vivienda UVR'!$C$24,Seguros_Oblig!$A$3:$B$55,2,FALSE))</f>
        <v>#VALUE!</v>
      </c>
      <c r="H129" s="313" t="e">
        <f ca="1">C128*(VLOOKUP('Crédito de Vivienda UVR'!$C$25,Seguros_Oblig!$A$3:$B$55,2,FALSE))</f>
        <v>#VALUE!</v>
      </c>
      <c r="I129" s="313" t="e">
        <f ca="1">C128*(VLOOKUP('Crédito de Vivienda UVR'!$C$26,Seguros_Oblig!$A$3:$B$55,2,FALSE))</f>
        <v>#VALUE!</v>
      </c>
      <c r="J129" s="313" t="e">
        <f ca="1">C128*(VLOOKUP('Crédito de Vivienda UVR'!$C$27,Seguros_Oblig!$A$3:$B$55,2,FALSE))</f>
        <v>#VALUE!</v>
      </c>
      <c r="K129" s="35">
        <f ca="1">_xlfn.AGGREGATE(9,6,G129:J129)*'Crédito de Vivienda UVR'!$C$19</f>
        <v>0</v>
      </c>
      <c r="L129" s="7" t="e">
        <f ca="1">IF(C128&lt;1,"0",Seguros_Oblig!$K$2*('Crédito de Vivienda UVR'!$C$12*90%))</f>
        <v>#VALUE!</v>
      </c>
      <c r="M129" s="35" t="e">
        <f ca="1">K129+L129+(F129*'Crédito de Vivienda UVR'!$C$19)</f>
        <v>#VALUE!</v>
      </c>
      <c r="N129" s="316"/>
    </row>
    <row r="130" spans="2:14" ht="15.5" x14ac:dyDescent="0.35">
      <c r="B130" s="6" t="e">
        <f t="shared" ca="1" si="5"/>
        <v>#VALUE!</v>
      </c>
      <c r="C130" s="311" t="e">
        <f t="shared" ca="1" si="4"/>
        <v>#VALUE!</v>
      </c>
      <c r="D130" s="311" t="e">
        <f t="shared" ca="1" si="6"/>
        <v>#VALUE!</v>
      </c>
      <c r="E130" s="311" t="e">
        <f ca="1">C129*'Crédito de Vivienda UVR'!$E$17</f>
        <v>#VALUE!</v>
      </c>
      <c r="F130" s="322" t="e">
        <f ca="1">IF(B130=" ",0,PMT('Crédito de Vivienda UVR'!$E$17,'Crédito de Vivienda UVR'!$C$18,-'Crédito de Vivienda UVR'!$C$20,,))</f>
        <v>#VALUE!</v>
      </c>
      <c r="G130" s="320" t="e">
        <f ca="1">C129*(VLOOKUP('Crédito de Vivienda UVR'!$C$24,Seguros_Oblig!$A$3:$B$55,2,FALSE))</f>
        <v>#VALUE!</v>
      </c>
      <c r="H130" s="313" t="e">
        <f ca="1">C129*(VLOOKUP('Crédito de Vivienda UVR'!$C$25,Seguros_Oblig!$A$3:$B$55,2,FALSE))</f>
        <v>#VALUE!</v>
      </c>
      <c r="I130" s="313" t="e">
        <f ca="1">C129*(VLOOKUP('Crédito de Vivienda UVR'!$C$26,Seguros_Oblig!$A$3:$B$55,2,FALSE))</f>
        <v>#VALUE!</v>
      </c>
      <c r="J130" s="313" t="e">
        <f ca="1">C129*(VLOOKUP('Crédito de Vivienda UVR'!$C$27,Seguros_Oblig!$A$3:$B$55,2,FALSE))</f>
        <v>#VALUE!</v>
      </c>
      <c r="K130" s="35">
        <f ca="1">_xlfn.AGGREGATE(9,6,G130:J130)*'Crédito de Vivienda UVR'!$C$19</f>
        <v>0</v>
      </c>
      <c r="L130" s="7" t="e">
        <f ca="1">IF(C129&lt;1,"0",Seguros_Oblig!$K$2*('Crédito de Vivienda UVR'!$C$12*90%))</f>
        <v>#VALUE!</v>
      </c>
      <c r="M130" s="35" t="e">
        <f ca="1">K130+L130+(F130*'Crédito de Vivienda UVR'!$C$19)</f>
        <v>#VALUE!</v>
      </c>
      <c r="N130" s="316"/>
    </row>
    <row r="131" spans="2:14" ht="15.5" x14ac:dyDescent="0.35">
      <c r="B131" s="6" t="e">
        <f t="shared" ca="1" si="5"/>
        <v>#VALUE!</v>
      </c>
      <c r="C131" s="311" t="e">
        <f t="shared" ca="1" si="4"/>
        <v>#VALUE!</v>
      </c>
      <c r="D131" s="311" t="e">
        <f t="shared" ca="1" si="6"/>
        <v>#VALUE!</v>
      </c>
      <c r="E131" s="311" t="e">
        <f ca="1">C130*'Crédito de Vivienda UVR'!$E$17</f>
        <v>#VALUE!</v>
      </c>
      <c r="F131" s="322" t="e">
        <f ca="1">IF(B131=" ",0,PMT('Crédito de Vivienda UVR'!$E$17,'Crédito de Vivienda UVR'!$C$18,-'Crédito de Vivienda UVR'!$C$20,,))</f>
        <v>#VALUE!</v>
      </c>
      <c r="G131" s="320" t="e">
        <f ca="1">C130*(VLOOKUP('Crédito de Vivienda UVR'!$C$24,Seguros_Oblig!$A$3:$B$55,2,FALSE))</f>
        <v>#VALUE!</v>
      </c>
      <c r="H131" s="313" t="e">
        <f ca="1">C130*(VLOOKUP('Crédito de Vivienda UVR'!$C$25,Seguros_Oblig!$A$3:$B$55,2,FALSE))</f>
        <v>#VALUE!</v>
      </c>
      <c r="I131" s="313" t="e">
        <f ca="1">C130*(VLOOKUP('Crédito de Vivienda UVR'!$C$26,Seguros_Oblig!$A$3:$B$55,2,FALSE))</f>
        <v>#VALUE!</v>
      </c>
      <c r="J131" s="313" t="e">
        <f ca="1">C130*(VLOOKUP('Crédito de Vivienda UVR'!$C$27,Seguros_Oblig!$A$3:$B$55,2,FALSE))</f>
        <v>#VALUE!</v>
      </c>
      <c r="K131" s="35">
        <f ca="1">_xlfn.AGGREGATE(9,6,G131:J131)*'Crédito de Vivienda UVR'!$C$19</f>
        <v>0</v>
      </c>
      <c r="L131" s="7" t="e">
        <f ca="1">IF(C130&lt;1,"0",Seguros_Oblig!$K$2*('Crédito de Vivienda UVR'!$C$12*90%))</f>
        <v>#VALUE!</v>
      </c>
      <c r="M131" s="35" t="e">
        <f ca="1">K131+L131+(F131*'Crédito de Vivienda UVR'!$C$19)</f>
        <v>#VALUE!</v>
      </c>
      <c r="N131" s="316"/>
    </row>
    <row r="132" spans="2:14" ht="15.5" x14ac:dyDescent="0.35">
      <c r="B132" s="6" t="e">
        <f t="shared" ca="1" si="5"/>
        <v>#VALUE!</v>
      </c>
      <c r="C132" s="311" t="e">
        <f t="shared" ca="1" si="4"/>
        <v>#VALUE!</v>
      </c>
      <c r="D132" s="311" t="e">
        <f t="shared" ca="1" si="6"/>
        <v>#VALUE!</v>
      </c>
      <c r="E132" s="311" t="e">
        <f ca="1">C131*'Crédito de Vivienda UVR'!$E$17</f>
        <v>#VALUE!</v>
      </c>
      <c r="F132" s="322" t="e">
        <f ca="1">IF(B132=" ",0,PMT('Crédito de Vivienda UVR'!$E$17,'Crédito de Vivienda UVR'!$C$18,-'Crédito de Vivienda UVR'!$C$20,,))</f>
        <v>#VALUE!</v>
      </c>
      <c r="G132" s="320" t="e">
        <f ca="1">C131*(VLOOKUP('Crédito de Vivienda UVR'!$C$24,Seguros_Oblig!$A$3:$B$55,2,FALSE))</f>
        <v>#VALUE!</v>
      </c>
      <c r="H132" s="313" t="e">
        <f ca="1">C131*(VLOOKUP('Crédito de Vivienda UVR'!$C$25,Seguros_Oblig!$A$3:$B$55,2,FALSE))</f>
        <v>#VALUE!</v>
      </c>
      <c r="I132" s="313" t="e">
        <f ca="1">C131*(VLOOKUP('Crédito de Vivienda UVR'!$C$26,Seguros_Oblig!$A$3:$B$55,2,FALSE))</f>
        <v>#VALUE!</v>
      </c>
      <c r="J132" s="313" t="e">
        <f ca="1">C131*(VLOOKUP('Crédito de Vivienda UVR'!$C$27,Seguros_Oblig!$A$3:$B$55,2,FALSE))</f>
        <v>#VALUE!</v>
      </c>
      <c r="K132" s="35">
        <f ca="1">_xlfn.AGGREGATE(9,6,G132:J132)*'Crédito de Vivienda UVR'!$C$19</f>
        <v>0</v>
      </c>
      <c r="L132" s="7" t="e">
        <f ca="1">IF(C131&lt;1,"0",Seguros_Oblig!$K$2*('Crédito de Vivienda UVR'!$C$12*90%))</f>
        <v>#VALUE!</v>
      </c>
      <c r="M132" s="35" t="e">
        <f ca="1">K132+L132+(F132*'Crédito de Vivienda UVR'!$C$19)</f>
        <v>#VALUE!</v>
      </c>
      <c r="N132" s="316"/>
    </row>
    <row r="133" spans="2:14" ht="15.5" x14ac:dyDescent="0.35">
      <c r="B133" s="6" t="e">
        <f t="shared" ca="1" si="5"/>
        <v>#VALUE!</v>
      </c>
      <c r="C133" s="311" t="e">
        <f t="shared" ca="1" si="4"/>
        <v>#VALUE!</v>
      </c>
      <c r="D133" s="311" t="e">
        <f t="shared" ca="1" si="6"/>
        <v>#VALUE!</v>
      </c>
      <c r="E133" s="311" t="e">
        <f ca="1">C132*'Crédito de Vivienda UVR'!$E$17</f>
        <v>#VALUE!</v>
      </c>
      <c r="F133" s="322" t="e">
        <f ca="1">IF(B133=" ",0,PMT('Crédito de Vivienda UVR'!$E$17,'Crédito de Vivienda UVR'!$C$18,-'Crédito de Vivienda UVR'!$C$20,,))</f>
        <v>#VALUE!</v>
      </c>
      <c r="G133" s="320" t="e">
        <f ca="1">C132*(VLOOKUP('Crédito de Vivienda UVR'!$C$24,Seguros_Oblig!$A$3:$B$55,2,FALSE))</f>
        <v>#VALUE!</v>
      </c>
      <c r="H133" s="313" t="e">
        <f ca="1">C132*(VLOOKUP('Crédito de Vivienda UVR'!$C$25,Seguros_Oblig!$A$3:$B$55,2,FALSE))</f>
        <v>#VALUE!</v>
      </c>
      <c r="I133" s="313" t="e">
        <f ca="1">C132*(VLOOKUP('Crédito de Vivienda UVR'!$C$26,Seguros_Oblig!$A$3:$B$55,2,FALSE))</f>
        <v>#VALUE!</v>
      </c>
      <c r="J133" s="313" t="e">
        <f ca="1">C132*(VLOOKUP('Crédito de Vivienda UVR'!$C$27,Seguros_Oblig!$A$3:$B$55,2,FALSE))</f>
        <v>#VALUE!</v>
      </c>
      <c r="K133" s="35">
        <f ca="1">_xlfn.AGGREGATE(9,6,G133:J133)*'Crédito de Vivienda UVR'!$C$19</f>
        <v>0</v>
      </c>
      <c r="L133" s="7" t="e">
        <f ca="1">IF(C132&lt;1,"0",Seguros_Oblig!$K$2*('Crédito de Vivienda UVR'!$C$12*90%))</f>
        <v>#VALUE!</v>
      </c>
      <c r="M133" s="35" t="e">
        <f ca="1">K133+L133+(F133*'Crédito de Vivienda UVR'!$C$19)</f>
        <v>#VALUE!</v>
      </c>
      <c r="N133" s="316"/>
    </row>
    <row r="134" spans="2:14" ht="15.5" x14ac:dyDescent="0.35">
      <c r="B134" s="6" t="e">
        <f t="shared" ca="1" si="5"/>
        <v>#VALUE!</v>
      </c>
      <c r="C134" s="311" t="e">
        <f t="shared" ca="1" si="4"/>
        <v>#VALUE!</v>
      </c>
      <c r="D134" s="311" t="e">
        <f t="shared" ca="1" si="6"/>
        <v>#VALUE!</v>
      </c>
      <c r="E134" s="311" t="e">
        <f ca="1">C133*'Crédito de Vivienda UVR'!$E$17</f>
        <v>#VALUE!</v>
      </c>
      <c r="F134" s="322" t="e">
        <f ca="1">IF(B134=" ",0,PMT('Crédito de Vivienda UVR'!$E$17,'Crédito de Vivienda UVR'!$C$18,-'Crédito de Vivienda UVR'!$C$20,,))</f>
        <v>#VALUE!</v>
      </c>
      <c r="G134" s="320" t="e">
        <f ca="1">C133*(VLOOKUP('Crédito de Vivienda UVR'!$C$24,Seguros_Oblig!$A$3:$B$55,2,FALSE))</f>
        <v>#VALUE!</v>
      </c>
      <c r="H134" s="313" t="e">
        <f ca="1">C133*(VLOOKUP('Crédito de Vivienda UVR'!$C$25,Seguros_Oblig!$A$3:$B$55,2,FALSE))</f>
        <v>#VALUE!</v>
      </c>
      <c r="I134" s="313" t="e">
        <f ca="1">C133*(VLOOKUP('Crédito de Vivienda UVR'!$C$26,Seguros_Oblig!$A$3:$B$55,2,FALSE))</f>
        <v>#VALUE!</v>
      </c>
      <c r="J134" s="313" t="e">
        <f ca="1">C133*(VLOOKUP('Crédito de Vivienda UVR'!$C$27,Seguros_Oblig!$A$3:$B$55,2,FALSE))</f>
        <v>#VALUE!</v>
      </c>
      <c r="K134" s="35">
        <f ca="1">_xlfn.AGGREGATE(9,6,G134:J134)*'Crédito de Vivienda UVR'!$C$19</f>
        <v>0</v>
      </c>
      <c r="L134" s="7" t="e">
        <f ca="1">IF(C133&lt;1,"0",Seguros_Oblig!$K$2*('Crédito de Vivienda UVR'!$C$12*90%))</f>
        <v>#VALUE!</v>
      </c>
      <c r="M134" s="35" t="e">
        <f ca="1">K134+L134+(F134*'Crédito de Vivienda UVR'!$C$19)</f>
        <v>#VALUE!</v>
      </c>
      <c r="N134" s="316"/>
    </row>
    <row r="135" spans="2:14" ht="15.5" x14ac:dyDescent="0.35">
      <c r="B135" s="6" t="e">
        <f t="shared" ca="1" si="5"/>
        <v>#VALUE!</v>
      </c>
      <c r="C135" s="311" t="e">
        <f t="shared" ca="1" si="4"/>
        <v>#VALUE!</v>
      </c>
      <c r="D135" s="311" t="e">
        <f t="shared" ca="1" si="6"/>
        <v>#VALUE!</v>
      </c>
      <c r="E135" s="311" t="e">
        <f ca="1">C134*'Crédito de Vivienda UVR'!$E$17</f>
        <v>#VALUE!</v>
      </c>
      <c r="F135" s="322" t="e">
        <f ca="1">IF(B135=" ",0,PMT('Crédito de Vivienda UVR'!$E$17,'Crédito de Vivienda UVR'!$C$18,-'Crédito de Vivienda UVR'!$C$20,,))</f>
        <v>#VALUE!</v>
      </c>
      <c r="G135" s="320" t="e">
        <f ca="1">C134*(VLOOKUP('Crédito de Vivienda UVR'!$C$24,Seguros_Oblig!$A$3:$B$55,2,FALSE))</f>
        <v>#VALUE!</v>
      </c>
      <c r="H135" s="313" t="e">
        <f ca="1">C134*(VLOOKUP('Crédito de Vivienda UVR'!$C$25,Seguros_Oblig!$A$3:$B$55,2,FALSE))</f>
        <v>#VALUE!</v>
      </c>
      <c r="I135" s="313" t="e">
        <f ca="1">C134*(VLOOKUP('Crédito de Vivienda UVR'!$C$26,Seguros_Oblig!$A$3:$B$55,2,FALSE))</f>
        <v>#VALUE!</v>
      </c>
      <c r="J135" s="313" t="e">
        <f ca="1">C134*(VLOOKUP('Crédito de Vivienda UVR'!$C$27,Seguros_Oblig!$A$3:$B$55,2,FALSE))</f>
        <v>#VALUE!</v>
      </c>
      <c r="K135" s="35">
        <f ca="1">_xlfn.AGGREGATE(9,6,G135:J135)*'Crédito de Vivienda UVR'!$C$19</f>
        <v>0</v>
      </c>
      <c r="L135" s="7" t="e">
        <f ca="1">IF(C134&lt;1,"0",Seguros_Oblig!$K$2*('Crédito de Vivienda UVR'!$C$12*90%))</f>
        <v>#VALUE!</v>
      </c>
      <c r="M135" s="35" t="e">
        <f ca="1">K135+L135+(F135*'Crédito de Vivienda UVR'!$C$19)</f>
        <v>#VALUE!</v>
      </c>
      <c r="N135" s="316"/>
    </row>
    <row r="136" spans="2:14" ht="15.5" x14ac:dyDescent="0.35">
      <c r="B136" s="6" t="e">
        <f t="shared" ca="1" si="5"/>
        <v>#VALUE!</v>
      </c>
      <c r="C136" s="311" t="e">
        <f t="shared" ca="1" si="4"/>
        <v>#VALUE!</v>
      </c>
      <c r="D136" s="311" t="e">
        <f t="shared" ca="1" si="6"/>
        <v>#VALUE!</v>
      </c>
      <c r="E136" s="311" t="e">
        <f ca="1">C135*'Crédito de Vivienda UVR'!$E$17</f>
        <v>#VALUE!</v>
      </c>
      <c r="F136" s="322" t="e">
        <f ca="1">IF(B136=" ",0,PMT('Crédito de Vivienda UVR'!$E$17,'Crédito de Vivienda UVR'!$C$18,-'Crédito de Vivienda UVR'!$C$20,,))</f>
        <v>#VALUE!</v>
      </c>
      <c r="G136" s="320" t="e">
        <f ca="1">C135*(VLOOKUP('Crédito de Vivienda UVR'!$C$24,Seguros_Oblig!$A$3:$B$55,2,FALSE))</f>
        <v>#VALUE!</v>
      </c>
      <c r="H136" s="313" t="e">
        <f ca="1">C135*(VLOOKUP('Crédito de Vivienda UVR'!$C$25,Seguros_Oblig!$A$3:$B$55,2,FALSE))</f>
        <v>#VALUE!</v>
      </c>
      <c r="I136" s="313" t="e">
        <f ca="1">C135*(VLOOKUP('Crédito de Vivienda UVR'!$C$26,Seguros_Oblig!$A$3:$B$55,2,FALSE))</f>
        <v>#VALUE!</v>
      </c>
      <c r="J136" s="313" t="e">
        <f ca="1">C135*(VLOOKUP('Crédito de Vivienda UVR'!$C$27,Seguros_Oblig!$A$3:$B$55,2,FALSE))</f>
        <v>#VALUE!</v>
      </c>
      <c r="K136" s="35">
        <f ca="1">_xlfn.AGGREGATE(9,6,G136:J136)*'Crédito de Vivienda UVR'!$C$19</f>
        <v>0</v>
      </c>
      <c r="L136" s="7" t="e">
        <f ca="1">IF(C135&lt;1,"0",Seguros_Oblig!$K$2*('Crédito de Vivienda UVR'!$C$12*90%))</f>
        <v>#VALUE!</v>
      </c>
      <c r="M136" s="35" t="e">
        <f ca="1">K136+L136+(F136*'Crédito de Vivienda UVR'!$C$19)</f>
        <v>#VALUE!</v>
      </c>
      <c r="N136" s="316"/>
    </row>
    <row r="137" spans="2:14" ht="15.5" x14ac:dyDescent="0.35">
      <c r="B137" s="6" t="e">
        <f t="shared" ca="1" si="5"/>
        <v>#VALUE!</v>
      </c>
      <c r="C137" s="311" t="e">
        <f t="shared" ca="1" si="4"/>
        <v>#VALUE!</v>
      </c>
      <c r="D137" s="311" t="e">
        <f t="shared" ca="1" si="6"/>
        <v>#VALUE!</v>
      </c>
      <c r="E137" s="311" t="e">
        <f ca="1">C136*'Crédito de Vivienda UVR'!$E$17</f>
        <v>#VALUE!</v>
      </c>
      <c r="F137" s="322" t="e">
        <f ca="1">IF(B137=" ",0,PMT('Crédito de Vivienda UVR'!$E$17,'Crédito de Vivienda UVR'!$C$18,-'Crédito de Vivienda UVR'!$C$20,,))</f>
        <v>#VALUE!</v>
      </c>
      <c r="G137" s="320" t="e">
        <f ca="1">C136*(VLOOKUP('Crédito de Vivienda UVR'!$C$24,Seguros_Oblig!$A$3:$B$55,2,FALSE))</f>
        <v>#VALUE!</v>
      </c>
      <c r="H137" s="313" t="e">
        <f ca="1">C136*(VLOOKUP('Crédito de Vivienda UVR'!$C$25,Seguros_Oblig!$A$3:$B$55,2,FALSE))</f>
        <v>#VALUE!</v>
      </c>
      <c r="I137" s="313" t="e">
        <f ca="1">C136*(VLOOKUP('Crédito de Vivienda UVR'!$C$26,Seguros_Oblig!$A$3:$B$55,2,FALSE))</f>
        <v>#VALUE!</v>
      </c>
      <c r="J137" s="313" t="e">
        <f ca="1">C136*(VLOOKUP('Crédito de Vivienda UVR'!$C$27,Seguros_Oblig!$A$3:$B$55,2,FALSE))</f>
        <v>#VALUE!</v>
      </c>
      <c r="K137" s="35">
        <f ca="1">_xlfn.AGGREGATE(9,6,G137:J137)*'Crédito de Vivienda UVR'!$C$19</f>
        <v>0</v>
      </c>
      <c r="L137" s="7" t="e">
        <f ca="1">IF(C136&lt;1,"0",Seguros_Oblig!$K$2*('Crédito de Vivienda UVR'!$C$12*90%))</f>
        <v>#VALUE!</v>
      </c>
      <c r="M137" s="35" t="e">
        <f ca="1">K137+L137+(F137*'Crédito de Vivienda UVR'!$C$19)</f>
        <v>#VALUE!</v>
      </c>
      <c r="N137" s="316"/>
    </row>
    <row r="138" spans="2:14" ht="15.5" x14ac:dyDescent="0.35">
      <c r="B138" s="6" t="e">
        <f t="shared" ca="1" si="5"/>
        <v>#VALUE!</v>
      </c>
      <c r="C138" s="311" t="e">
        <f t="shared" ca="1" si="4"/>
        <v>#VALUE!</v>
      </c>
      <c r="D138" s="311" t="e">
        <f t="shared" ca="1" si="6"/>
        <v>#VALUE!</v>
      </c>
      <c r="E138" s="311" t="e">
        <f ca="1">C137*'Crédito de Vivienda UVR'!$E$17</f>
        <v>#VALUE!</v>
      </c>
      <c r="F138" s="322" t="e">
        <f ca="1">IF(B138=" ",0,PMT('Crédito de Vivienda UVR'!$E$17,'Crédito de Vivienda UVR'!$C$18,-'Crédito de Vivienda UVR'!$C$20,,))</f>
        <v>#VALUE!</v>
      </c>
      <c r="G138" s="320" t="e">
        <f ca="1">C137*(VLOOKUP('Crédito de Vivienda UVR'!$C$24,Seguros_Oblig!$A$3:$B$55,2,FALSE))</f>
        <v>#VALUE!</v>
      </c>
      <c r="H138" s="313" t="e">
        <f ca="1">C137*(VLOOKUP('Crédito de Vivienda UVR'!$C$25,Seguros_Oblig!$A$3:$B$55,2,FALSE))</f>
        <v>#VALUE!</v>
      </c>
      <c r="I138" s="313" t="e">
        <f ca="1">C137*(VLOOKUP('Crédito de Vivienda UVR'!$C$26,Seguros_Oblig!$A$3:$B$55,2,FALSE))</f>
        <v>#VALUE!</v>
      </c>
      <c r="J138" s="313" t="e">
        <f ca="1">C137*(VLOOKUP('Crédito de Vivienda UVR'!$C$27,Seguros_Oblig!$A$3:$B$55,2,FALSE))</f>
        <v>#VALUE!</v>
      </c>
      <c r="K138" s="35">
        <f ca="1">_xlfn.AGGREGATE(9,6,G138:J138)*'Crédito de Vivienda UVR'!$C$19</f>
        <v>0</v>
      </c>
      <c r="L138" s="7" t="e">
        <f ca="1">IF(C137&lt;1,"0",Seguros_Oblig!$K$2*('Crédito de Vivienda UVR'!$C$12*90%))</f>
        <v>#VALUE!</v>
      </c>
      <c r="M138" s="35" t="e">
        <f ca="1">K138+L138+(F138*'Crédito de Vivienda UVR'!$C$19)</f>
        <v>#VALUE!</v>
      </c>
      <c r="N138" s="316"/>
    </row>
    <row r="139" spans="2:14" ht="15.5" x14ac:dyDescent="0.35">
      <c r="B139" s="6" t="e">
        <f t="shared" ca="1" si="5"/>
        <v>#VALUE!</v>
      </c>
      <c r="C139" s="311" t="e">
        <f t="shared" ca="1" si="4"/>
        <v>#VALUE!</v>
      </c>
      <c r="D139" s="311" t="e">
        <f t="shared" ca="1" si="6"/>
        <v>#VALUE!</v>
      </c>
      <c r="E139" s="311" t="e">
        <f ca="1">C138*'Crédito de Vivienda UVR'!$E$17</f>
        <v>#VALUE!</v>
      </c>
      <c r="F139" s="322" t="e">
        <f ca="1">IF(B139=" ",0,PMT('Crédito de Vivienda UVR'!$E$17,'Crédito de Vivienda UVR'!$C$18,-'Crédito de Vivienda UVR'!$C$20,,))</f>
        <v>#VALUE!</v>
      </c>
      <c r="G139" s="320" t="e">
        <f ca="1">C138*(VLOOKUP('Crédito de Vivienda UVR'!$C$24,Seguros_Oblig!$A$3:$B$55,2,FALSE))</f>
        <v>#VALUE!</v>
      </c>
      <c r="H139" s="313" t="e">
        <f ca="1">C138*(VLOOKUP('Crédito de Vivienda UVR'!$C$25,Seguros_Oblig!$A$3:$B$55,2,FALSE))</f>
        <v>#VALUE!</v>
      </c>
      <c r="I139" s="313" t="e">
        <f ca="1">C138*(VLOOKUP('Crédito de Vivienda UVR'!$C$26,Seguros_Oblig!$A$3:$B$55,2,FALSE))</f>
        <v>#VALUE!</v>
      </c>
      <c r="J139" s="313" t="e">
        <f ca="1">C138*(VLOOKUP('Crédito de Vivienda UVR'!$C$27,Seguros_Oblig!$A$3:$B$55,2,FALSE))</f>
        <v>#VALUE!</v>
      </c>
      <c r="K139" s="35">
        <f ca="1">_xlfn.AGGREGATE(9,6,G139:J139)*'Crédito de Vivienda UVR'!$C$19</f>
        <v>0</v>
      </c>
      <c r="L139" s="7" t="e">
        <f ca="1">IF(C138&lt;1,"0",Seguros_Oblig!$K$2*('Crédito de Vivienda UVR'!$C$12*90%))</f>
        <v>#VALUE!</v>
      </c>
      <c r="M139" s="35" t="e">
        <f ca="1">K139+L139+(F139*'Crédito de Vivienda UVR'!$C$19)</f>
        <v>#VALUE!</v>
      </c>
      <c r="N139" s="316"/>
    </row>
    <row r="140" spans="2:14" ht="15.5" x14ac:dyDescent="0.35">
      <c r="B140" s="6" t="e">
        <f t="shared" ca="1" si="5"/>
        <v>#VALUE!</v>
      </c>
      <c r="C140" s="311" t="e">
        <f t="shared" ca="1" si="4"/>
        <v>#VALUE!</v>
      </c>
      <c r="D140" s="311" t="e">
        <f t="shared" ca="1" si="6"/>
        <v>#VALUE!</v>
      </c>
      <c r="E140" s="311" t="e">
        <f ca="1">C139*'Crédito de Vivienda UVR'!$E$17</f>
        <v>#VALUE!</v>
      </c>
      <c r="F140" s="322" t="e">
        <f ca="1">IF(B140=" ",0,PMT('Crédito de Vivienda UVR'!$E$17,'Crédito de Vivienda UVR'!$C$18,-'Crédito de Vivienda UVR'!$C$20,,))</f>
        <v>#VALUE!</v>
      </c>
      <c r="G140" s="320" t="e">
        <f ca="1">C139*(VLOOKUP('Crédito de Vivienda UVR'!$C$24,Seguros_Oblig!$A$3:$B$55,2,FALSE))</f>
        <v>#VALUE!</v>
      </c>
      <c r="H140" s="313" t="e">
        <f ca="1">C139*(VLOOKUP('Crédito de Vivienda UVR'!$C$25,Seguros_Oblig!$A$3:$B$55,2,FALSE))</f>
        <v>#VALUE!</v>
      </c>
      <c r="I140" s="313" t="e">
        <f ca="1">C139*(VLOOKUP('Crédito de Vivienda UVR'!$C$26,Seguros_Oblig!$A$3:$B$55,2,FALSE))</f>
        <v>#VALUE!</v>
      </c>
      <c r="J140" s="313" t="e">
        <f ca="1">C139*(VLOOKUP('Crédito de Vivienda UVR'!$C$27,Seguros_Oblig!$A$3:$B$55,2,FALSE))</f>
        <v>#VALUE!</v>
      </c>
      <c r="K140" s="35">
        <f ca="1">_xlfn.AGGREGATE(9,6,G140:J140)*'Crédito de Vivienda UVR'!$C$19</f>
        <v>0</v>
      </c>
      <c r="L140" s="7" t="e">
        <f ca="1">IF(C139&lt;1,"0",Seguros_Oblig!$K$2*('Crédito de Vivienda UVR'!$C$12*90%))</f>
        <v>#VALUE!</v>
      </c>
      <c r="M140" s="35" t="e">
        <f ca="1">K140+L140+(F140*'Crédito de Vivienda UVR'!$C$19)</f>
        <v>#VALUE!</v>
      </c>
      <c r="N140" s="316"/>
    </row>
    <row r="141" spans="2:14" ht="15.5" x14ac:dyDescent="0.35">
      <c r="B141" s="6" t="e">
        <f t="shared" ca="1" si="5"/>
        <v>#VALUE!</v>
      </c>
      <c r="C141" s="311" t="e">
        <f t="shared" ca="1" si="4"/>
        <v>#VALUE!</v>
      </c>
      <c r="D141" s="311" t="e">
        <f t="shared" ca="1" si="6"/>
        <v>#VALUE!</v>
      </c>
      <c r="E141" s="311" t="e">
        <f ca="1">C140*'Crédito de Vivienda UVR'!$E$17</f>
        <v>#VALUE!</v>
      </c>
      <c r="F141" s="322" t="e">
        <f ca="1">IF(B141=" ",0,PMT('Crédito de Vivienda UVR'!$E$17,'Crédito de Vivienda UVR'!$C$18,-'Crédito de Vivienda UVR'!$C$20,,))</f>
        <v>#VALUE!</v>
      </c>
      <c r="G141" s="320" t="e">
        <f ca="1">C140*(VLOOKUP('Crédito de Vivienda UVR'!$C$24,Seguros_Oblig!$A$3:$B$55,2,FALSE))</f>
        <v>#VALUE!</v>
      </c>
      <c r="H141" s="313" t="e">
        <f ca="1">C140*(VLOOKUP('Crédito de Vivienda UVR'!$C$25,Seguros_Oblig!$A$3:$B$55,2,FALSE))</f>
        <v>#VALUE!</v>
      </c>
      <c r="I141" s="313" t="e">
        <f ca="1">C140*(VLOOKUP('Crédito de Vivienda UVR'!$C$26,Seguros_Oblig!$A$3:$B$55,2,FALSE))</f>
        <v>#VALUE!</v>
      </c>
      <c r="J141" s="313" t="e">
        <f ca="1">C140*(VLOOKUP('Crédito de Vivienda UVR'!$C$27,Seguros_Oblig!$A$3:$B$55,2,FALSE))</f>
        <v>#VALUE!</v>
      </c>
      <c r="K141" s="35">
        <f ca="1">_xlfn.AGGREGATE(9,6,G141:J141)*'Crédito de Vivienda UVR'!$C$19</f>
        <v>0</v>
      </c>
      <c r="L141" s="7" t="e">
        <f ca="1">IF(C140&lt;1,"0",Seguros_Oblig!$K$2*('Crédito de Vivienda UVR'!$C$12*90%))</f>
        <v>#VALUE!</v>
      </c>
      <c r="M141" s="35" t="e">
        <f ca="1">K141+L141+(F141*'Crédito de Vivienda UVR'!$C$19)</f>
        <v>#VALUE!</v>
      </c>
      <c r="N141" s="316"/>
    </row>
    <row r="142" spans="2:14" ht="15.5" x14ac:dyDescent="0.35">
      <c r="B142" s="6" t="e">
        <f t="shared" ca="1" si="5"/>
        <v>#VALUE!</v>
      </c>
      <c r="C142" s="311" t="e">
        <f t="shared" ca="1" si="4"/>
        <v>#VALUE!</v>
      </c>
      <c r="D142" s="311" t="e">
        <f t="shared" ca="1" si="6"/>
        <v>#VALUE!</v>
      </c>
      <c r="E142" s="311" t="e">
        <f ca="1">C141*'Crédito de Vivienda UVR'!$E$17</f>
        <v>#VALUE!</v>
      </c>
      <c r="F142" s="322" t="e">
        <f ca="1">IF(B142=" ",0,PMT('Crédito de Vivienda UVR'!$E$17,'Crédito de Vivienda UVR'!$C$18,-'Crédito de Vivienda UVR'!$C$20,,))</f>
        <v>#VALUE!</v>
      </c>
      <c r="G142" s="320" t="e">
        <f ca="1">C141*(VLOOKUP('Crédito de Vivienda UVR'!$C$24,Seguros_Oblig!$A$3:$B$55,2,FALSE))</f>
        <v>#VALUE!</v>
      </c>
      <c r="H142" s="313" t="e">
        <f ca="1">C141*(VLOOKUP('Crédito de Vivienda UVR'!$C$25,Seguros_Oblig!$A$3:$B$55,2,FALSE))</f>
        <v>#VALUE!</v>
      </c>
      <c r="I142" s="313" t="e">
        <f ca="1">C141*(VLOOKUP('Crédito de Vivienda UVR'!$C$26,Seguros_Oblig!$A$3:$B$55,2,FALSE))</f>
        <v>#VALUE!</v>
      </c>
      <c r="J142" s="313" t="e">
        <f ca="1">C141*(VLOOKUP('Crédito de Vivienda UVR'!$C$27,Seguros_Oblig!$A$3:$B$55,2,FALSE))</f>
        <v>#VALUE!</v>
      </c>
      <c r="K142" s="35">
        <f ca="1">_xlfn.AGGREGATE(9,6,G142:J142)*'Crédito de Vivienda UVR'!$C$19</f>
        <v>0</v>
      </c>
      <c r="L142" s="7" t="e">
        <f ca="1">IF(C141&lt;1,"0",Seguros_Oblig!$K$2*('Crédito de Vivienda UVR'!$C$12*90%))</f>
        <v>#VALUE!</v>
      </c>
      <c r="M142" s="35" t="e">
        <f ca="1">K142+L142+(F142*'Crédito de Vivienda UVR'!$C$19)</f>
        <v>#VALUE!</v>
      </c>
      <c r="N142" s="316"/>
    </row>
    <row r="143" spans="2:14" ht="15.5" x14ac:dyDescent="0.35">
      <c r="B143" s="6" t="e">
        <f t="shared" ca="1" si="5"/>
        <v>#VALUE!</v>
      </c>
      <c r="C143" s="311" t="e">
        <f t="shared" ca="1" si="4"/>
        <v>#VALUE!</v>
      </c>
      <c r="D143" s="311" t="e">
        <f t="shared" ca="1" si="6"/>
        <v>#VALUE!</v>
      </c>
      <c r="E143" s="311" t="e">
        <f ca="1">C142*'Crédito de Vivienda UVR'!$E$17</f>
        <v>#VALUE!</v>
      </c>
      <c r="F143" s="322" t="e">
        <f ca="1">IF(B143=" ",0,PMT('Crédito de Vivienda UVR'!$E$17,'Crédito de Vivienda UVR'!$C$18,-'Crédito de Vivienda UVR'!$C$20,,))</f>
        <v>#VALUE!</v>
      </c>
      <c r="G143" s="320" t="e">
        <f ca="1">C142*(VLOOKUP('Crédito de Vivienda UVR'!$C$24,Seguros_Oblig!$A$3:$B$55,2,FALSE))</f>
        <v>#VALUE!</v>
      </c>
      <c r="H143" s="313" t="e">
        <f ca="1">C142*(VLOOKUP('Crédito de Vivienda UVR'!$C$25,Seguros_Oblig!$A$3:$B$55,2,FALSE))</f>
        <v>#VALUE!</v>
      </c>
      <c r="I143" s="313" t="e">
        <f ca="1">C142*(VLOOKUP('Crédito de Vivienda UVR'!$C$26,Seguros_Oblig!$A$3:$B$55,2,FALSE))</f>
        <v>#VALUE!</v>
      </c>
      <c r="J143" s="313" t="e">
        <f ca="1">C142*(VLOOKUP('Crédito de Vivienda UVR'!$C$27,Seguros_Oblig!$A$3:$B$55,2,FALSE))</f>
        <v>#VALUE!</v>
      </c>
      <c r="K143" s="35">
        <f ca="1">_xlfn.AGGREGATE(9,6,G143:J143)*'Crédito de Vivienda UVR'!$C$19</f>
        <v>0</v>
      </c>
      <c r="L143" s="7" t="e">
        <f ca="1">IF(C142&lt;1,"0",Seguros_Oblig!$K$2*('Crédito de Vivienda UVR'!$C$12*90%))</f>
        <v>#VALUE!</v>
      </c>
      <c r="M143" s="35" t="e">
        <f ca="1">K143+L143+(F143*'Crédito de Vivienda UVR'!$C$19)</f>
        <v>#VALUE!</v>
      </c>
      <c r="N143" s="316"/>
    </row>
    <row r="144" spans="2:14" ht="15.5" x14ac:dyDescent="0.35">
      <c r="B144" s="6" t="e">
        <f t="shared" ca="1" si="5"/>
        <v>#VALUE!</v>
      </c>
      <c r="C144" s="311" t="e">
        <f t="shared" ca="1" si="4"/>
        <v>#VALUE!</v>
      </c>
      <c r="D144" s="311" t="e">
        <f t="shared" ca="1" si="6"/>
        <v>#VALUE!</v>
      </c>
      <c r="E144" s="311" t="e">
        <f ca="1">C143*'Crédito de Vivienda UVR'!$E$17</f>
        <v>#VALUE!</v>
      </c>
      <c r="F144" s="322" t="e">
        <f ca="1">IF(B144=" ",0,PMT('Crédito de Vivienda UVR'!$E$17,'Crédito de Vivienda UVR'!$C$18,-'Crédito de Vivienda UVR'!$C$20,,))</f>
        <v>#VALUE!</v>
      </c>
      <c r="G144" s="320" t="e">
        <f ca="1">C143*(VLOOKUP('Crédito de Vivienda UVR'!$C$24,Seguros_Oblig!$A$3:$B$55,2,FALSE))</f>
        <v>#VALUE!</v>
      </c>
      <c r="H144" s="313" t="e">
        <f ca="1">C143*(VLOOKUP('Crédito de Vivienda UVR'!$C$25,Seguros_Oblig!$A$3:$B$55,2,FALSE))</f>
        <v>#VALUE!</v>
      </c>
      <c r="I144" s="313" t="e">
        <f ca="1">C143*(VLOOKUP('Crédito de Vivienda UVR'!$C$26,Seguros_Oblig!$A$3:$B$55,2,FALSE))</f>
        <v>#VALUE!</v>
      </c>
      <c r="J144" s="313" t="e">
        <f ca="1">C143*(VLOOKUP('Crédito de Vivienda UVR'!$C$27,Seguros_Oblig!$A$3:$B$55,2,FALSE))</f>
        <v>#VALUE!</v>
      </c>
      <c r="K144" s="35">
        <f ca="1">_xlfn.AGGREGATE(9,6,G144:J144)*'Crédito de Vivienda UVR'!$C$19</f>
        <v>0</v>
      </c>
      <c r="L144" s="7" t="e">
        <f ca="1">IF(C143&lt;1,"0",Seguros_Oblig!$K$2*('Crédito de Vivienda UVR'!$C$12*90%))</f>
        <v>#VALUE!</v>
      </c>
      <c r="M144" s="35" t="e">
        <f ca="1">K144+L144+(F144*'Crédito de Vivienda UVR'!$C$19)</f>
        <v>#VALUE!</v>
      </c>
      <c r="N144" s="316"/>
    </row>
    <row r="145" spans="2:14" ht="15.5" x14ac:dyDescent="0.35">
      <c r="B145" s="6" t="e">
        <f t="shared" ca="1" si="5"/>
        <v>#VALUE!</v>
      </c>
      <c r="C145" s="311" t="e">
        <f t="shared" ca="1" si="4"/>
        <v>#VALUE!</v>
      </c>
      <c r="D145" s="311" t="e">
        <f t="shared" ca="1" si="6"/>
        <v>#VALUE!</v>
      </c>
      <c r="E145" s="311" t="e">
        <f ca="1">C144*'Crédito de Vivienda UVR'!$E$17</f>
        <v>#VALUE!</v>
      </c>
      <c r="F145" s="322" t="e">
        <f ca="1">IF(B145=" ",0,PMT('Crédito de Vivienda UVR'!$E$17,'Crédito de Vivienda UVR'!$C$18,-'Crédito de Vivienda UVR'!$C$20,,))</f>
        <v>#VALUE!</v>
      </c>
      <c r="G145" s="320" t="e">
        <f ca="1">C144*(VLOOKUP('Crédito de Vivienda UVR'!$C$24,Seguros_Oblig!$A$3:$B$55,2,FALSE))</f>
        <v>#VALUE!</v>
      </c>
      <c r="H145" s="313" t="e">
        <f ca="1">C144*(VLOOKUP('Crédito de Vivienda UVR'!$C$25,Seguros_Oblig!$A$3:$B$55,2,FALSE))</f>
        <v>#VALUE!</v>
      </c>
      <c r="I145" s="313" t="e">
        <f ca="1">C144*(VLOOKUP('Crédito de Vivienda UVR'!$C$26,Seguros_Oblig!$A$3:$B$55,2,FALSE))</f>
        <v>#VALUE!</v>
      </c>
      <c r="J145" s="313" t="e">
        <f ca="1">C144*(VLOOKUP('Crédito de Vivienda UVR'!$C$27,Seguros_Oblig!$A$3:$B$55,2,FALSE))</f>
        <v>#VALUE!</v>
      </c>
      <c r="K145" s="35">
        <f ca="1">_xlfn.AGGREGATE(9,6,G145:J145)*'Crédito de Vivienda UVR'!$C$19</f>
        <v>0</v>
      </c>
      <c r="L145" s="7" t="e">
        <f ca="1">IF(C144&lt;1,"0",Seguros_Oblig!$K$2*('Crédito de Vivienda UVR'!$C$12*90%))</f>
        <v>#VALUE!</v>
      </c>
      <c r="M145" s="35" t="e">
        <f ca="1">K145+L145+(F145*'Crédito de Vivienda UVR'!$C$19)</f>
        <v>#VALUE!</v>
      </c>
      <c r="N145" s="316"/>
    </row>
    <row r="146" spans="2:14" ht="15.5" x14ac:dyDescent="0.35">
      <c r="B146" s="6" t="e">
        <f t="shared" ca="1" si="5"/>
        <v>#VALUE!</v>
      </c>
      <c r="C146" s="311" t="e">
        <f t="shared" ca="1" si="4"/>
        <v>#VALUE!</v>
      </c>
      <c r="D146" s="311" t="e">
        <f t="shared" ca="1" si="6"/>
        <v>#VALUE!</v>
      </c>
      <c r="E146" s="311" t="e">
        <f ca="1">C145*'Crédito de Vivienda UVR'!$E$17</f>
        <v>#VALUE!</v>
      </c>
      <c r="F146" s="322" t="e">
        <f ca="1">IF(B146=" ",0,PMT('Crédito de Vivienda UVR'!$E$17,'Crédito de Vivienda UVR'!$C$18,-'Crédito de Vivienda UVR'!$C$20,,))</f>
        <v>#VALUE!</v>
      </c>
      <c r="G146" s="320" t="e">
        <f ca="1">C145*(VLOOKUP('Crédito de Vivienda UVR'!$C$24,Seguros_Oblig!$A$3:$B$55,2,FALSE))</f>
        <v>#VALUE!</v>
      </c>
      <c r="H146" s="313" t="e">
        <f ca="1">C145*(VLOOKUP('Crédito de Vivienda UVR'!$C$25,Seguros_Oblig!$A$3:$B$55,2,FALSE))</f>
        <v>#VALUE!</v>
      </c>
      <c r="I146" s="313" t="e">
        <f ca="1">C145*(VLOOKUP('Crédito de Vivienda UVR'!$C$26,Seguros_Oblig!$A$3:$B$55,2,FALSE))</f>
        <v>#VALUE!</v>
      </c>
      <c r="J146" s="313" t="e">
        <f ca="1">C145*(VLOOKUP('Crédito de Vivienda UVR'!$C$27,Seguros_Oblig!$A$3:$B$55,2,FALSE))</f>
        <v>#VALUE!</v>
      </c>
      <c r="K146" s="35">
        <f ca="1">_xlfn.AGGREGATE(9,6,G146:J146)*'Crédito de Vivienda UVR'!$C$19</f>
        <v>0</v>
      </c>
      <c r="L146" s="7" t="e">
        <f ca="1">IF(C145&lt;1,"0",Seguros_Oblig!$K$2*('Crédito de Vivienda UVR'!$C$12*90%))</f>
        <v>#VALUE!</v>
      </c>
      <c r="M146" s="35" t="e">
        <f ca="1">K146+L146+(F146*'Crédito de Vivienda UVR'!$C$19)</f>
        <v>#VALUE!</v>
      </c>
      <c r="N146" s="316"/>
    </row>
    <row r="147" spans="2:14" ht="15.5" x14ac:dyDescent="0.35">
      <c r="B147" s="6" t="e">
        <f t="shared" ca="1" si="5"/>
        <v>#VALUE!</v>
      </c>
      <c r="C147" s="311" t="e">
        <f t="shared" ca="1" si="4"/>
        <v>#VALUE!</v>
      </c>
      <c r="D147" s="311" t="e">
        <f t="shared" ca="1" si="6"/>
        <v>#VALUE!</v>
      </c>
      <c r="E147" s="311" t="e">
        <f ca="1">C146*'Crédito de Vivienda UVR'!$E$17</f>
        <v>#VALUE!</v>
      </c>
      <c r="F147" s="322" t="e">
        <f ca="1">IF(B147=" ",0,PMT('Crédito de Vivienda UVR'!$E$17,'Crédito de Vivienda UVR'!$C$18,-'Crédito de Vivienda UVR'!$C$20,,))</f>
        <v>#VALUE!</v>
      </c>
      <c r="G147" s="320" t="e">
        <f ca="1">C146*(VLOOKUP('Crédito de Vivienda UVR'!$C$24,Seguros_Oblig!$A$3:$B$55,2,FALSE))</f>
        <v>#VALUE!</v>
      </c>
      <c r="H147" s="313" t="e">
        <f ca="1">C146*(VLOOKUP('Crédito de Vivienda UVR'!$C$25,Seguros_Oblig!$A$3:$B$55,2,FALSE))</f>
        <v>#VALUE!</v>
      </c>
      <c r="I147" s="313" t="e">
        <f ca="1">C146*(VLOOKUP('Crédito de Vivienda UVR'!$C$26,Seguros_Oblig!$A$3:$B$55,2,FALSE))</f>
        <v>#VALUE!</v>
      </c>
      <c r="J147" s="313" t="e">
        <f ca="1">C146*(VLOOKUP('Crédito de Vivienda UVR'!$C$27,Seguros_Oblig!$A$3:$B$55,2,FALSE))</f>
        <v>#VALUE!</v>
      </c>
      <c r="K147" s="35">
        <f ca="1">_xlfn.AGGREGATE(9,6,G147:J147)*'Crédito de Vivienda UVR'!$C$19</f>
        <v>0</v>
      </c>
      <c r="L147" s="7" t="e">
        <f ca="1">IF(C146&lt;1,"0",Seguros_Oblig!$K$2*('Crédito de Vivienda UVR'!$C$12*90%))</f>
        <v>#VALUE!</v>
      </c>
      <c r="M147" s="35" t="e">
        <f ca="1">K147+L147+(F147*'Crédito de Vivienda UVR'!$C$19)</f>
        <v>#VALUE!</v>
      </c>
      <c r="N147" s="316"/>
    </row>
    <row r="148" spans="2:14" ht="15.5" x14ac:dyDescent="0.35">
      <c r="B148" s="6" t="e">
        <f t="shared" ca="1" si="5"/>
        <v>#VALUE!</v>
      </c>
      <c r="C148" s="311" t="e">
        <f t="shared" ref="C148:C211" ca="1" si="7">C147-D148</f>
        <v>#VALUE!</v>
      </c>
      <c r="D148" s="311" t="e">
        <f t="shared" ca="1" si="6"/>
        <v>#VALUE!</v>
      </c>
      <c r="E148" s="311" t="e">
        <f ca="1">C147*'Crédito de Vivienda UVR'!$E$17</f>
        <v>#VALUE!</v>
      </c>
      <c r="F148" s="322" t="e">
        <f ca="1">IF(B148=" ",0,PMT('Crédito de Vivienda UVR'!$E$17,'Crédito de Vivienda UVR'!$C$18,-'Crédito de Vivienda UVR'!$C$20,,))</f>
        <v>#VALUE!</v>
      </c>
      <c r="G148" s="320" t="e">
        <f ca="1">C147*(VLOOKUP('Crédito de Vivienda UVR'!$C$24,Seguros_Oblig!$A$3:$B$55,2,FALSE))</f>
        <v>#VALUE!</v>
      </c>
      <c r="H148" s="313" t="e">
        <f ca="1">C147*(VLOOKUP('Crédito de Vivienda UVR'!$C$25,Seguros_Oblig!$A$3:$B$55,2,FALSE))</f>
        <v>#VALUE!</v>
      </c>
      <c r="I148" s="313" t="e">
        <f ca="1">C147*(VLOOKUP('Crédito de Vivienda UVR'!$C$26,Seguros_Oblig!$A$3:$B$55,2,FALSE))</f>
        <v>#VALUE!</v>
      </c>
      <c r="J148" s="313" t="e">
        <f ca="1">C147*(VLOOKUP('Crédito de Vivienda UVR'!$C$27,Seguros_Oblig!$A$3:$B$55,2,FALSE))</f>
        <v>#VALUE!</v>
      </c>
      <c r="K148" s="35">
        <f ca="1">_xlfn.AGGREGATE(9,6,G148:J148)*'Crédito de Vivienda UVR'!$C$19</f>
        <v>0</v>
      </c>
      <c r="L148" s="7" t="e">
        <f ca="1">IF(C147&lt;1,"0",Seguros_Oblig!$K$2*('Crédito de Vivienda UVR'!$C$12*90%))</f>
        <v>#VALUE!</v>
      </c>
      <c r="M148" s="35" t="e">
        <f ca="1">K148+L148+(F148*'Crédito de Vivienda UVR'!$C$19)</f>
        <v>#VALUE!</v>
      </c>
      <c r="N148" s="316"/>
    </row>
    <row r="149" spans="2:14" ht="15.5" x14ac:dyDescent="0.35">
      <c r="B149" s="6" t="e">
        <f t="shared" ca="1" si="5"/>
        <v>#VALUE!</v>
      </c>
      <c r="C149" s="311" t="e">
        <f t="shared" ca="1" si="7"/>
        <v>#VALUE!</v>
      </c>
      <c r="D149" s="311" t="e">
        <f t="shared" ca="1" si="6"/>
        <v>#VALUE!</v>
      </c>
      <c r="E149" s="311" t="e">
        <f ca="1">C148*'Crédito de Vivienda UVR'!$E$17</f>
        <v>#VALUE!</v>
      </c>
      <c r="F149" s="322" t="e">
        <f ca="1">IF(B149=" ",0,PMT('Crédito de Vivienda UVR'!$E$17,'Crédito de Vivienda UVR'!$C$18,-'Crédito de Vivienda UVR'!$C$20,,))</f>
        <v>#VALUE!</v>
      </c>
      <c r="G149" s="320" t="e">
        <f ca="1">C148*(VLOOKUP('Crédito de Vivienda UVR'!$C$24,Seguros_Oblig!$A$3:$B$55,2,FALSE))</f>
        <v>#VALUE!</v>
      </c>
      <c r="H149" s="313" t="e">
        <f ca="1">C148*(VLOOKUP('Crédito de Vivienda UVR'!$C$25,Seguros_Oblig!$A$3:$B$55,2,FALSE))</f>
        <v>#VALUE!</v>
      </c>
      <c r="I149" s="313" t="e">
        <f ca="1">C148*(VLOOKUP('Crédito de Vivienda UVR'!$C$26,Seguros_Oblig!$A$3:$B$55,2,FALSE))</f>
        <v>#VALUE!</v>
      </c>
      <c r="J149" s="313" t="e">
        <f ca="1">C148*(VLOOKUP('Crédito de Vivienda UVR'!$C$27,Seguros_Oblig!$A$3:$B$55,2,FALSE))</f>
        <v>#VALUE!</v>
      </c>
      <c r="K149" s="35">
        <f ca="1">_xlfn.AGGREGATE(9,6,G149:J149)*'Crédito de Vivienda UVR'!$C$19</f>
        <v>0</v>
      </c>
      <c r="L149" s="7" t="e">
        <f ca="1">IF(C148&lt;1,"0",Seguros_Oblig!$K$2*('Crédito de Vivienda UVR'!$C$12*90%))</f>
        <v>#VALUE!</v>
      </c>
      <c r="M149" s="35" t="e">
        <f ca="1">K149+L149+(F149*'Crédito de Vivienda UVR'!$C$19)</f>
        <v>#VALUE!</v>
      </c>
      <c r="N149" s="316"/>
    </row>
    <row r="150" spans="2:14" ht="15.5" x14ac:dyDescent="0.35">
      <c r="B150" s="6" t="e">
        <f t="shared" ca="1" si="5"/>
        <v>#VALUE!</v>
      </c>
      <c r="C150" s="311" t="e">
        <f t="shared" ca="1" si="7"/>
        <v>#VALUE!</v>
      </c>
      <c r="D150" s="311" t="e">
        <f t="shared" ca="1" si="6"/>
        <v>#VALUE!</v>
      </c>
      <c r="E150" s="311" t="e">
        <f ca="1">C149*'Crédito de Vivienda UVR'!$E$17</f>
        <v>#VALUE!</v>
      </c>
      <c r="F150" s="322" t="e">
        <f ca="1">IF(B150=" ",0,PMT('Crédito de Vivienda UVR'!$E$17,'Crédito de Vivienda UVR'!$C$18,-'Crédito de Vivienda UVR'!$C$20,,))</f>
        <v>#VALUE!</v>
      </c>
      <c r="G150" s="320" t="e">
        <f ca="1">C149*(VLOOKUP('Crédito de Vivienda UVR'!$C$24,Seguros_Oblig!$A$3:$B$55,2,FALSE))</f>
        <v>#VALUE!</v>
      </c>
      <c r="H150" s="313" t="e">
        <f ca="1">C149*(VLOOKUP('Crédito de Vivienda UVR'!$C$25,Seguros_Oblig!$A$3:$B$55,2,FALSE))</f>
        <v>#VALUE!</v>
      </c>
      <c r="I150" s="313" t="e">
        <f ca="1">C149*(VLOOKUP('Crédito de Vivienda UVR'!$C$26,Seguros_Oblig!$A$3:$B$55,2,FALSE))</f>
        <v>#VALUE!</v>
      </c>
      <c r="J150" s="313" t="e">
        <f ca="1">C149*(VLOOKUP('Crédito de Vivienda UVR'!$C$27,Seguros_Oblig!$A$3:$B$55,2,FALSE))</f>
        <v>#VALUE!</v>
      </c>
      <c r="K150" s="35">
        <f ca="1">_xlfn.AGGREGATE(9,6,G150:J150)*'Crédito de Vivienda UVR'!$C$19</f>
        <v>0</v>
      </c>
      <c r="L150" s="7" t="e">
        <f ca="1">IF(C149&lt;1,"0",Seguros_Oblig!$K$2*('Crédito de Vivienda UVR'!$C$12*90%))</f>
        <v>#VALUE!</v>
      </c>
      <c r="M150" s="35" t="e">
        <f ca="1">K150+L150+(F150*'Crédito de Vivienda UVR'!$C$19)</f>
        <v>#VALUE!</v>
      </c>
      <c r="N150" s="316"/>
    </row>
    <row r="151" spans="2:14" ht="15.5" x14ac:dyDescent="0.35">
      <c r="B151" s="6" t="e">
        <f t="shared" ca="1" si="5"/>
        <v>#VALUE!</v>
      </c>
      <c r="C151" s="311" t="e">
        <f t="shared" ca="1" si="7"/>
        <v>#VALUE!</v>
      </c>
      <c r="D151" s="311" t="e">
        <f t="shared" ca="1" si="6"/>
        <v>#VALUE!</v>
      </c>
      <c r="E151" s="311" t="e">
        <f ca="1">C150*'Crédito de Vivienda UVR'!$E$17</f>
        <v>#VALUE!</v>
      </c>
      <c r="F151" s="322" t="e">
        <f ca="1">IF(B151=" ",0,PMT('Crédito de Vivienda UVR'!$E$17,'Crédito de Vivienda UVR'!$C$18,-'Crédito de Vivienda UVR'!$C$20,,))</f>
        <v>#VALUE!</v>
      </c>
      <c r="G151" s="320" t="e">
        <f ca="1">C150*(VLOOKUP('Crédito de Vivienda UVR'!$C$24,Seguros_Oblig!$A$3:$B$55,2,FALSE))</f>
        <v>#VALUE!</v>
      </c>
      <c r="H151" s="313" t="e">
        <f ca="1">C150*(VLOOKUP('Crédito de Vivienda UVR'!$C$25,Seguros_Oblig!$A$3:$B$55,2,FALSE))</f>
        <v>#VALUE!</v>
      </c>
      <c r="I151" s="313" t="e">
        <f ca="1">C150*(VLOOKUP('Crédito de Vivienda UVR'!$C$26,Seguros_Oblig!$A$3:$B$55,2,FALSE))</f>
        <v>#VALUE!</v>
      </c>
      <c r="J151" s="313" t="e">
        <f ca="1">C150*(VLOOKUP('Crédito de Vivienda UVR'!$C$27,Seguros_Oblig!$A$3:$B$55,2,FALSE))</f>
        <v>#VALUE!</v>
      </c>
      <c r="K151" s="35">
        <f ca="1">_xlfn.AGGREGATE(9,6,G151:J151)*'Crédito de Vivienda UVR'!$C$19</f>
        <v>0</v>
      </c>
      <c r="L151" s="7" t="e">
        <f ca="1">IF(C150&lt;1,"0",Seguros_Oblig!$K$2*('Crédito de Vivienda UVR'!$C$12*90%))</f>
        <v>#VALUE!</v>
      </c>
      <c r="M151" s="35" t="e">
        <f ca="1">K151+L151+(F151*'Crédito de Vivienda UVR'!$C$19)</f>
        <v>#VALUE!</v>
      </c>
      <c r="N151" s="316"/>
    </row>
    <row r="152" spans="2:14" ht="15.5" x14ac:dyDescent="0.35">
      <c r="B152" s="6" t="e">
        <f t="shared" ca="1" si="5"/>
        <v>#VALUE!</v>
      </c>
      <c r="C152" s="311" t="e">
        <f t="shared" ca="1" si="7"/>
        <v>#VALUE!</v>
      </c>
      <c r="D152" s="311" t="e">
        <f t="shared" ca="1" si="6"/>
        <v>#VALUE!</v>
      </c>
      <c r="E152" s="311" t="e">
        <f ca="1">C151*'Crédito de Vivienda UVR'!$E$17</f>
        <v>#VALUE!</v>
      </c>
      <c r="F152" s="322" t="e">
        <f ca="1">IF(B152=" ",0,PMT('Crédito de Vivienda UVR'!$E$17,'Crédito de Vivienda UVR'!$C$18,-'Crédito de Vivienda UVR'!$C$20,,))</f>
        <v>#VALUE!</v>
      </c>
      <c r="G152" s="320" t="e">
        <f ca="1">C151*(VLOOKUP('Crédito de Vivienda UVR'!$C$24,Seguros_Oblig!$A$3:$B$55,2,FALSE))</f>
        <v>#VALUE!</v>
      </c>
      <c r="H152" s="313" t="e">
        <f ca="1">C151*(VLOOKUP('Crédito de Vivienda UVR'!$C$25,Seguros_Oblig!$A$3:$B$55,2,FALSE))</f>
        <v>#VALUE!</v>
      </c>
      <c r="I152" s="313" t="e">
        <f ca="1">C151*(VLOOKUP('Crédito de Vivienda UVR'!$C$26,Seguros_Oblig!$A$3:$B$55,2,FALSE))</f>
        <v>#VALUE!</v>
      </c>
      <c r="J152" s="313" t="e">
        <f ca="1">C151*(VLOOKUP('Crédito de Vivienda UVR'!$C$27,Seguros_Oblig!$A$3:$B$55,2,FALSE))</f>
        <v>#VALUE!</v>
      </c>
      <c r="K152" s="35">
        <f ca="1">_xlfn.AGGREGATE(9,6,G152:J152)*'Crédito de Vivienda UVR'!$C$19</f>
        <v>0</v>
      </c>
      <c r="L152" s="7" t="e">
        <f ca="1">IF(C151&lt;1,"0",Seguros_Oblig!$K$2*('Crédito de Vivienda UVR'!$C$12*90%))</f>
        <v>#VALUE!</v>
      </c>
      <c r="M152" s="35" t="e">
        <f ca="1">K152+L152+(F152*'Crédito de Vivienda UVR'!$C$19)</f>
        <v>#VALUE!</v>
      </c>
      <c r="N152" s="316"/>
    </row>
    <row r="153" spans="2:14" ht="15.5" x14ac:dyDescent="0.35">
      <c r="B153" s="6" t="e">
        <f t="shared" ref="B153:B216" ca="1" si="8">IF(C152&gt;1,B152+1," ")</f>
        <v>#VALUE!</v>
      </c>
      <c r="C153" s="311" t="e">
        <f t="shared" ca="1" si="7"/>
        <v>#VALUE!</v>
      </c>
      <c r="D153" s="311" t="e">
        <f t="shared" ca="1" si="6"/>
        <v>#VALUE!</v>
      </c>
      <c r="E153" s="311" t="e">
        <f ca="1">C152*'Crédito de Vivienda UVR'!$E$17</f>
        <v>#VALUE!</v>
      </c>
      <c r="F153" s="322" t="e">
        <f ca="1">IF(B153=" ",0,PMT('Crédito de Vivienda UVR'!$E$17,'Crédito de Vivienda UVR'!$C$18,-'Crédito de Vivienda UVR'!$C$20,,))</f>
        <v>#VALUE!</v>
      </c>
      <c r="G153" s="320" t="e">
        <f ca="1">C152*(VLOOKUP('Crédito de Vivienda UVR'!$C$24,Seguros_Oblig!$A$3:$B$55,2,FALSE))</f>
        <v>#VALUE!</v>
      </c>
      <c r="H153" s="313" t="e">
        <f ca="1">C152*(VLOOKUP('Crédito de Vivienda UVR'!$C$25,Seguros_Oblig!$A$3:$B$55,2,FALSE))</f>
        <v>#VALUE!</v>
      </c>
      <c r="I153" s="313" t="e">
        <f ca="1">C152*(VLOOKUP('Crédito de Vivienda UVR'!$C$26,Seguros_Oblig!$A$3:$B$55,2,FALSE))</f>
        <v>#VALUE!</v>
      </c>
      <c r="J153" s="313" t="e">
        <f ca="1">C152*(VLOOKUP('Crédito de Vivienda UVR'!$C$27,Seguros_Oblig!$A$3:$B$55,2,FALSE))</f>
        <v>#VALUE!</v>
      </c>
      <c r="K153" s="35">
        <f ca="1">_xlfn.AGGREGATE(9,6,G153:J153)*'Crédito de Vivienda UVR'!$C$19</f>
        <v>0</v>
      </c>
      <c r="L153" s="7" t="e">
        <f ca="1">IF(C152&lt;1,"0",Seguros_Oblig!$K$2*('Crédito de Vivienda UVR'!$C$12*90%))</f>
        <v>#VALUE!</v>
      </c>
      <c r="M153" s="35" t="e">
        <f ca="1">K153+L153+(F153*'Crédito de Vivienda UVR'!$C$19)</f>
        <v>#VALUE!</v>
      </c>
      <c r="N153" s="316"/>
    </row>
    <row r="154" spans="2:14" ht="15.5" x14ac:dyDescent="0.35">
      <c r="B154" s="6" t="e">
        <f t="shared" ca="1" si="8"/>
        <v>#VALUE!</v>
      </c>
      <c r="C154" s="311" t="e">
        <f t="shared" ca="1" si="7"/>
        <v>#VALUE!</v>
      </c>
      <c r="D154" s="311" t="e">
        <f t="shared" ca="1" si="6"/>
        <v>#VALUE!</v>
      </c>
      <c r="E154" s="311" t="e">
        <f ca="1">C153*'Crédito de Vivienda UVR'!$E$17</f>
        <v>#VALUE!</v>
      </c>
      <c r="F154" s="322" t="e">
        <f ca="1">IF(B154=" ",0,PMT('Crédito de Vivienda UVR'!$E$17,'Crédito de Vivienda UVR'!$C$18,-'Crédito de Vivienda UVR'!$C$20,,))</f>
        <v>#VALUE!</v>
      </c>
      <c r="G154" s="320" t="e">
        <f ca="1">C153*(VLOOKUP('Crédito de Vivienda UVR'!$C$24,Seguros_Oblig!$A$3:$B$55,2,FALSE))</f>
        <v>#VALUE!</v>
      </c>
      <c r="H154" s="313" t="e">
        <f ca="1">C153*(VLOOKUP('Crédito de Vivienda UVR'!$C$25,Seguros_Oblig!$A$3:$B$55,2,FALSE))</f>
        <v>#VALUE!</v>
      </c>
      <c r="I154" s="313" t="e">
        <f ca="1">C153*(VLOOKUP('Crédito de Vivienda UVR'!$C$26,Seguros_Oblig!$A$3:$B$55,2,FALSE))</f>
        <v>#VALUE!</v>
      </c>
      <c r="J154" s="313" t="e">
        <f ca="1">C153*(VLOOKUP('Crédito de Vivienda UVR'!$C$27,Seguros_Oblig!$A$3:$B$55,2,FALSE))</f>
        <v>#VALUE!</v>
      </c>
      <c r="K154" s="35">
        <f ca="1">_xlfn.AGGREGATE(9,6,G154:J154)*'Crédito de Vivienda UVR'!$C$19</f>
        <v>0</v>
      </c>
      <c r="L154" s="7" t="e">
        <f ca="1">IF(C153&lt;1,"0",Seguros_Oblig!$K$2*('Crédito de Vivienda UVR'!$C$12*90%))</f>
        <v>#VALUE!</v>
      </c>
      <c r="M154" s="35" t="e">
        <f ca="1">K154+L154+(F154*'Crédito de Vivienda UVR'!$C$19)</f>
        <v>#VALUE!</v>
      </c>
      <c r="N154" s="316"/>
    </row>
    <row r="155" spans="2:14" ht="15.5" x14ac:dyDescent="0.35">
      <c r="B155" s="6" t="e">
        <f t="shared" ca="1" si="8"/>
        <v>#VALUE!</v>
      </c>
      <c r="C155" s="311" t="e">
        <f t="shared" ca="1" si="7"/>
        <v>#VALUE!</v>
      </c>
      <c r="D155" s="311" t="e">
        <f t="shared" ca="1" si="6"/>
        <v>#VALUE!</v>
      </c>
      <c r="E155" s="311" t="e">
        <f ca="1">C154*'Crédito de Vivienda UVR'!$E$17</f>
        <v>#VALUE!</v>
      </c>
      <c r="F155" s="322" t="e">
        <f ca="1">IF(B155=" ",0,PMT('Crédito de Vivienda UVR'!$E$17,'Crédito de Vivienda UVR'!$C$18,-'Crédito de Vivienda UVR'!$C$20,,))</f>
        <v>#VALUE!</v>
      </c>
      <c r="G155" s="320" t="e">
        <f ca="1">C154*(VLOOKUP('Crédito de Vivienda UVR'!$C$24,Seguros_Oblig!$A$3:$B$55,2,FALSE))</f>
        <v>#VALUE!</v>
      </c>
      <c r="H155" s="313" t="e">
        <f ca="1">C154*(VLOOKUP('Crédito de Vivienda UVR'!$C$25,Seguros_Oblig!$A$3:$B$55,2,FALSE))</f>
        <v>#VALUE!</v>
      </c>
      <c r="I155" s="313" t="e">
        <f ca="1">C154*(VLOOKUP('Crédito de Vivienda UVR'!$C$26,Seguros_Oblig!$A$3:$B$55,2,FALSE))</f>
        <v>#VALUE!</v>
      </c>
      <c r="J155" s="313" t="e">
        <f ca="1">C154*(VLOOKUP('Crédito de Vivienda UVR'!$C$27,Seguros_Oblig!$A$3:$B$55,2,FALSE))</f>
        <v>#VALUE!</v>
      </c>
      <c r="K155" s="35">
        <f ca="1">_xlfn.AGGREGATE(9,6,G155:J155)*'Crédito de Vivienda UVR'!$C$19</f>
        <v>0</v>
      </c>
      <c r="L155" s="7" t="e">
        <f ca="1">IF(C154&lt;1,"0",Seguros_Oblig!$K$2*('Crédito de Vivienda UVR'!$C$12*90%))</f>
        <v>#VALUE!</v>
      </c>
      <c r="M155" s="35" t="e">
        <f ca="1">K155+L155+(F155*'Crédito de Vivienda UVR'!$C$19)</f>
        <v>#VALUE!</v>
      </c>
      <c r="N155" s="316"/>
    </row>
    <row r="156" spans="2:14" ht="15.5" x14ac:dyDescent="0.35">
      <c r="B156" s="6" t="e">
        <f t="shared" ca="1" si="8"/>
        <v>#VALUE!</v>
      </c>
      <c r="C156" s="311" t="e">
        <f t="shared" ca="1" si="7"/>
        <v>#VALUE!</v>
      </c>
      <c r="D156" s="311" t="e">
        <f t="shared" ca="1" si="6"/>
        <v>#VALUE!</v>
      </c>
      <c r="E156" s="311" t="e">
        <f ca="1">C155*'Crédito de Vivienda UVR'!$E$17</f>
        <v>#VALUE!</v>
      </c>
      <c r="F156" s="322" t="e">
        <f ca="1">IF(B156=" ",0,PMT('Crédito de Vivienda UVR'!$E$17,'Crédito de Vivienda UVR'!$C$18,-'Crédito de Vivienda UVR'!$C$20,,))</f>
        <v>#VALUE!</v>
      </c>
      <c r="G156" s="320" t="e">
        <f ca="1">C155*(VLOOKUP('Crédito de Vivienda UVR'!$C$24,Seguros_Oblig!$A$3:$B$55,2,FALSE))</f>
        <v>#VALUE!</v>
      </c>
      <c r="H156" s="313" t="e">
        <f ca="1">C155*(VLOOKUP('Crédito de Vivienda UVR'!$C$25,Seguros_Oblig!$A$3:$B$55,2,FALSE))</f>
        <v>#VALUE!</v>
      </c>
      <c r="I156" s="313" t="e">
        <f ca="1">C155*(VLOOKUP('Crédito de Vivienda UVR'!$C$26,Seguros_Oblig!$A$3:$B$55,2,FALSE))</f>
        <v>#VALUE!</v>
      </c>
      <c r="J156" s="313" t="e">
        <f ca="1">C155*(VLOOKUP('Crédito de Vivienda UVR'!$C$27,Seguros_Oblig!$A$3:$B$55,2,FALSE))</f>
        <v>#VALUE!</v>
      </c>
      <c r="K156" s="35">
        <f ca="1">_xlfn.AGGREGATE(9,6,G156:J156)*'Crédito de Vivienda UVR'!$C$19</f>
        <v>0</v>
      </c>
      <c r="L156" s="7" t="e">
        <f ca="1">IF(C155&lt;1,"0",Seguros_Oblig!$K$2*('Crédito de Vivienda UVR'!$C$12*90%))</f>
        <v>#VALUE!</v>
      </c>
      <c r="M156" s="35" t="e">
        <f ca="1">K156+L156+(F156*'Crédito de Vivienda UVR'!$C$19)</f>
        <v>#VALUE!</v>
      </c>
      <c r="N156" s="316"/>
    </row>
    <row r="157" spans="2:14" ht="15.5" x14ac:dyDescent="0.35">
      <c r="B157" s="6" t="e">
        <f t="shared" ca="1" si="8"/>
        <v>#VALUE!</v>
      </c>
      <c r="C157" s="311" t="e">
        <f t="shared" ca="1" si="7"/>
        <v>#VALUE!</v>
      </c>
      <c r="D157" s="311" t="e">
        <f t="shared" ca="1" si="6"/>
        <v>#VALUE!</v>
      </c>
      <c r="E157" s="311" t="e">
        <f ca="1">C156*'Crédito de Vivienda UVR'!$E$17</f>
        <v>#VALUE!</v>
      </c>
      <c r="F157" s="322" t="e">
        <f ca="1">IF(B157=" ",0,PMT('Crédito de Vivienda UVR'!$E$17,'Crédito de Vivienda UVR'!$C$18,-'Crédito de Vivienda UVR'!$C$20,,))</f>
        <v>#VALUE!</v>
      </c>
      <c r="G157" s="320" t="e">
        <f ca="1">C156*(VLOOKUP('Crédito de Vivienda UVR'!$C$24,Seguros_Oblig!$A$3:$B$55,2,FALSE))</f>
        <v>#VALUE!</v>
      </c>
      <c r="H157" s="313" t="e">
        <f ca="1">C156*(VLOOKUP('Crédito de Vivienda UVR'!$C$25,Seguros_Oblig!$A$3:$B$55,2,FALSE))</f>
        <v>#VALUE!</v>
      </c>
      <c r="I157" s="313" t="e">
        <f ca="1">C156*(VLOOKUP('Crédito de Vivienda UVR'!$C$26,Seguros_Oblig!$A$3:$B$55,2,FALSE))</f>
        <v>#VALUE!</v>
      </c>
      <c r="J157" s="313" t="e">
        <f ca="1">C156*(VLOOKUP('Crédito de Vivienda UVR'!$C$27,Seguros_Oblig!$A$3:$B$55,2,FALSE))</f>
        <v>#VALUE!</v>
      </c>
      <c r="K157" s="35">
        <f ca="1">_xlfn.AGGREGATE(9,6,G157:J157)*'Crédito de Vivienda UVR'!$C$19</f>
        <v>0</v>
      </c>
      <c r="L157" s="7" t="e">
        <f ca="1">IF(C156&lt;1,"0",Seguros_Oblig!$K$2*('Crédito de Vivienda UVR'!$C$12*90%))</f>
        <v>#VALUE!</v>
      </c>
      <c r="M157" s="35" t="e">
        <f ca="1">K157+L157+(F157*'Crédito de Vivienda UVR'!$C$19)</f>
        <v>#VALUE!</v>
      </c>
      <c r="N157" s="316"/>
    </row>
    <row r="158" spans="2:14" ht="15.5" x14ac:dyDescent="0.35">
      <c r="B158" s="6" t="e">
        <f t="shared" ca="1" si="8"/>
        <v>#VALUE!</v>
      </c>
      <c r="C158" s="311" t="e">
        <f t="shared" ca="1" si="7"/>
        <v>#VALUE!</v>
      </c>
      <c r="D158" s="311" t="e">
        <f t="shared" ca="1" si="6"/>
        <v>#VALUE!</v>
      </c>
      <c r="E158" s="311" t="e">
        <f ca="1">C157*'Crédito de Vivienda UVR'!$E$17</f>
        <v>#VALUE!</v>
      </c>
      <c r="F158" s="322" t="e">
        <f ca="1">IF(B158=" ",0,PMT('Crédito de Vivienda UVR'!$E$17,'Crédito de Vivienda UVR'!$C$18,-'Crédito de Vivienda UVR'!$C$20,,))</f>
        <v>#VALUE!</v>
      </c>
      <c r="G158" s="320" t="e">
        <f ca="1">C157*(VLOOKUP('Crédito de Vivienda UVR'!$C$24,Seguros_Oblig!$A$3:$B$55,2,FALSE))</f>
        <v>#VALUE!</v>
      </c>
      <c r="H158" s="313" t="e">
        <f ca="1">C157*(VLOOKUP('Crédito de Vivienda UVR'!$C$25,Seguros_Oblig!$A$3:$B$55,2,FALSE))</f>
        <v>#VALUE!</v>
      </c>
      <c r="I158" s="313" t="e">
        <f ca="1">C157*(VLOOKUP('Crédito de Vivienda UVR'!$C$26,Seguros_Oblig!$A$3:$B$55,2,FALSE))</f>
        <v>#VALUE!</v>
      </c>
      <c r="J158" s="313" t="e">
        <f ca="1">C157*(VLOOKUP('Crédito de Vivienda UVR'!$C$27,Seguros_Oblig!$A$3:$B$55,2,FALSE))</f>
        <v>#VALUE!</v>
      </c>
      <c r="K158" s="35">
        <f ca="1">_xlfn.AGGREGATE(9,6,G158:J158)*'Crédito de Vivienda UVR'!$C$19</f>
        <v>0</v>
      </c>
      <c r="L158" s="7" t="e">
        <f ca="1">IF(C157&lt;1,"0",Seguros_Oblig!$K$2*('Crédito de Vivienda UVR'!$C$12*90%))</f>
        <v>#VALUE!</v>
      </c>
      <c r="M158" s="35" t="e">
        <f ca="1">K158+L158+(F158*'Crédito de Vivienda UVR'!$C$19)</f>
        <v>#VALUE!</v>
      </c>
      <c r="N158" s="316"/>
    </row>
    <row r="159" spans="2:14" ht="15.5" x14ac:dyDescent="0.35">
      <c r="B159" s="6" t="e">
        <f t="shared" ca="1" si="8"/>
        <v>#VALUE!</v>
      </c>
      <c r="C159" s="311" t="e">
        <f t="shared" ca="1" si="7"/>
        <v>#VALUE!</v>
      </c>
      <c r="D159" s="311" t="e">
        <f t="shared" ref="D159:D222" ca="1" si="9">IF(C158&lt;1,"0",F159-E159)</f>
        <v>#VALUE!</v>
      </c>
      <c r="E159" s="311" t="e">
        <f ca="1">C158*'Crédito de Vivienda UVR'!$E$17</f>
        <v>#VALUE!</v>
      </c>
      <c r="F159" s="322" t="e">
        <f ca="1">IF(B159=" ",0,PMT('Crédito de Vivienda UVR'!$E$17,'Crédito de Vivienda UVR'!$C$18,-'Crédito de Vivienda UVR'!$C$20,,))</f>
        <v>#VALUE!</v>
      </c>
      <c r="G159" s="320" t="e">
        <f ca="1">C158*(VLOOKUP('Crédito de Vivienda UVR'!$C$24,Seguros_Oblig!$A$3:$B$55,2,FALSE))</f>
        <v>#VALUE!</v>
      </c>
      <c r="H159" s="313" t="e">
        <f ca="1">C158*(VLOOKUP('Crédito de Vivienda UVR'!$C$25,Seguros_Oblig!$A$3:$B$55,2,FALSE))</f>
        <v>#VALUE!</v>
      </c>
      <c r="I159" s="313" t="e">
        <f ca="1">C158*(VLOOKUP('Crédito de Vivienda UVR'!$C$26,Seguros_Oblig!$A$3:$B$55,2,FALSE))</f>
        <v>#VALUE!</v>
      </c>
      <c r="J159" s="313" t="e">
        <f ca="1">C158*(VLOOKUP('Crédito de Vivienda UVR'!$C$27,Seguros_Oblig!$A$3:$B$55,2,FALSE))</f>
        <v>#VALUE!</v>
      </c>
      <c r="K159" s="35">
        <f ca="1">_xlfn.AGGREGATE(9,6,G159:J159)*'Crédito de Vivienda UVR'!$C$19</f>
        <v>0</v>
      </c>
      <c r="L159" s="7" t="e">
        <f ca="1">IF(C158&lt;1,"0",Seguros_Oblig!$K$2*('Crédito de Vivienda UVR'!$C$12*90%))</f>
        <v>#VALUE!</v>
      </c>
      <c r="M159" s="35" t="e">
        <f ca="1">K159+L159+(F159*'Crédito de Vivienda UVR'!$C$19)</f>
        <v>#VALUE!</v>
      </c>
      <c r="N159" s="316"/>
    </row>
    <row r="160" spans="2:14" ht="15.5" x14ac:dyDescent="0.35">
      <c r="B160" s="6" t="e">
        <f t="shared" ca="1" si="8"/>
        <v>#VALUE!</v>
      </c>
      <c r="C160" s="311" t="e">
        <f t="shared" ca="1" si="7"/>
        <v>#VALUE!</v>
      </c>
      <c r="D160" s="311" t="e">
        <f t="shared" ca="1" si="9"/>
        <v>#VALUE!</v>
      </c>
      <c r="E160" s="311" t="e">
        <f ca="1">C159*'Crédito de Vivienda UVR'!$E$17</f>
        <v>#VALUE!</v>
      </c>
      <c r="F160" s="322" t="e">
        <f ca="1">IF(B160=" ",0,PMT('Crédito de Vivienda UVR'!$E$17,'Crédito de Vivienda UVR'!$C$18,-'Crédito de Vivienda UVR'!$C$20,,))</f>
        <v>#VALUE!</v>
      </c>
      <c r="G160" s="320" t="e">
        <f ca="1">C159*(VLOOKUP('Crédito de Vivienda UVR'!$C$24,Seguros_Oblig!$A$3:$B$55,2,FALSE))</f>
        <v>#VALUE!</v>
      </c>
      <c r="H160" s="313" t="e">
        <f ca="1">C159*(VLOOKUP('Crédito de Vivienda UVR'!$C$25,Seguros_Oblig!$A$3:$B$55,2,FALSE))</f>
        <v>#VALUE!</v>
      </c>
      <c r="I160" s="313" t="e">
        <f ca="1">C159*(VLOOKUP('Crédito de Vivienda UVR'!$C$26,Seguros_Oblig!$A$3:$B$55,2,FALSE))</f>
        <v>#VALUE!</v>
      </c>
      <c r="J160" s="313" t="e">
        <f ca="1">C159*(VLOOKUP('Crédito de Vivienda UVR'!$C$27,Seguros_Oblig!$A$3:$B$55,2,FALSE))</f>
        <v>#VALUE!</v>
      </c>
      <c r="K160" s="35">
        <f ca="1">_xlfn.AGGREGATE(9,6,G160:J160)*'Crédito de Vivienda UVR'!$C$19</f>
        <v>0</v>
      </c>
      <c r="L160" s="7" t="e">
        <f ca="1">IF(C159&lt;1,"0",Seguros_Oblig!$K$2*('Crédito de Vivienda UVR'!$C$12*90%))</f>
        <v>#VALUE!</v>
      </c>
      <c r="M160" s="35" t="e">
        <f ca="1">K160+L160+(F160*'Crédito de Vivienda UVR'!$C$19)</f>
        <v>#VALUE!</v>
      </c>
      <c r="N160" s="316"/>
    </row>
    <row r="161" spans="2:14" ht="15.5" x14ac:dyDescent="0.35">
      <c r="B161" s="6" t="e">
        <f t="shared" ca="1" si="8"/>
        <v>#VALUE!</v>
      </c>
      <c r="C161" s="311" t="e">
        <f t="shared" ca="1" si="7"/>
        <v>#VALUE!</v>
      </c>
      <c r="D161" s="311" t="e">
        <f t="shared" ca="1" si="9"/>
        <v>#VALUE!</v>
      </c>
      <c r="E161" s="311" t="e">
        <f ca="1">C160*'Crédito de Vivienda UVR'!$E$17</f>
        <v>#VALUE!</v>
      </c>
      <c r="F161" s="322" t="e">
        <f ca="1">IF(B161=" ",0,PMT('Crédito de Vivienda UVR'!$E$17,'Crédito de Vivienda UVR'!$C$18,-'Crédito de Vivienda UVR'!$C$20,,))</f>
        <v>#VALUE!</v>
      </c>
      <c r="G161" s="320" t="e">
        <f ca="1">C160*(VLOOKUP('Crédito de Vivienda UVR'!$C$24,Seguros_Oblig!$A$3:$B$55,2,FALSE))</f>
        <v>#VALUE!</v>
      </c>
      <c r="H161" s="313" t="e">
        <f ca="1">C160*(VLOOKUP('Crédito de Vivienda UVR'!$C$25,Seguros_Oblig!$A$3:$B$55,2,FALSE))</f>
        <v>#VALUE!</v>
      </c>
      <c r="I161" s="313" t="e">
        <f ca="1">C160*(VLOOKUP('Crédito de Vivienda UVR'!$C$26,Seguros_Oblig!$A$3:$B$55,2,FALSE))</f>
        <v>#VALUE!</v>
      </c>
      <c r="J161" s="313" t="e">
        <f ca="1">C160*(VLOOKUP('Crédito de Vivienda UVR'!$C$27,Seguros_Oblig!$A$3:$B$55,2,FALSE))</f>
        <v>#VALUE!</v>
      </c>
      <c r="K161" s="35">
        <f ca="1">_xlfn.AGGREGATE(9,6,G161:J161)*'Crédito de Vivienda UVR'!$C$19</f>
        <v>0</v>
      </c>
      <c r="L161" s="7" t="e">
        <f ca="1">IF(C160&lt;1,"0",Seguros_Oblig!$K$2*('Crédito de Vivienda UVR'!$C$12*90%))</f>
        <v>#VALUE!</v>
      </c>
      <c r="M161" s="35" t="e">
        <f ca="1">K161+L161+(F161*'Crédito de Vivienda UVR'!$C$19)</f>
        <v>#VALUE!</v>
      </c>
      <c r="N161" s="316"/>
    </row>
    <row r="162" spans="2:14" ht="15.5" x14ac:dyDescent="0.35">
      <c r="B162" s="6" t="e">
        <f t="shared" ca="1" si="8"/>
        <v>#VALUE!</v>
      </c>
      <c r="C162" s="311" t="e">
        <f t="shared" ca="1" si="7"/>
        <v>#VALUE!</v>
      </c>
      <c r="D162" s="311" t="e">
        <f t="shared" ca="1" si="9"/>
        <v>#VALUE!</v>
      </c>
      <c r="E162" s="311" t="e">
        <f ca="1">C161*'Crédito de Vivienda UVR'!$E$17</f>
        <v>#VALUE!</v>
      </c>
      <c r="F162" s="322" t="e">
        <f ca="1">IF(B162=" ",0,PMT('Crédito de Vivienda UVR'!$E$17,'Crédito de Vivienda UVR'!$C$18,-'Crédito de Vivienda UVR'!$C$20,,))</f>
        <v>#VALUE!</v>
      </c>
      <c r="G162" s="320" t="e">
        <f ca="1">C161*(VLOOKUP('Crédito de Vivienda UVR'!$C$24,Seguros_Oblig!$A$3:$B$55,2,FALSE))</f>
        <v>#VALUE!</v>
      </c>
      <c r="H162" s="313" t="e">
        <f ca="1">C161*(VLOOKUP('Crédito de Vivienda UVR'!$C$25,Seguros_Oblig!$A$3:$B$55,2,FALSE))</f>
        <v>#VALUE!</v>
      </c>
      <c r="I162" s="313" t="e">
        <f ca="1">C161*(VLOOKUP('Crédito de Vivienda UVR'!$C$26,Seguros_Oblig!$A$3:$B$55,2,FALSE))</f>
        <v>#VALUE!</v>
      </c>
      <c r="J162" s="313" t="e">
        <f ca="1">C161*(VLOOKUP('Crédito de Vivienda UVR'!$C$27,Seguros_Oblig!$A$3:$B$55,2,FALSE))</f>
        <v>#VALUE!</v>
      </c>
      <c r="K162" s="35">
        <f ca="1">_xlfn.AGGREGATE(9,6,G162:J162)*'Crédito de Vivienda UVR'!$C$19</f>
        <v>0</v>
      </c>
      <c r="L162" s="7" t="e">
        <f ca="1">IF(C161&lt;1,"0",Seguros_Oblig!$K$2*('Crédito de Vivienda UVR'!$C$12*90%))</f>
        <v>#VALUE!</v>
      </c>
      <c r="M162" s="35" t="e">
        <f ca="1">K162+L162+(F162*'Crédito de Vivienda UVR'!$C$19)</f>
        <v>#VALUE!</v>
      </c>
      <c r="N162" s="316"/>
    </row>
    <row r="163" spans="2:14" ht="15.5" x14ac:dyDescent="0.35">
      <c r="B163" s="6" t="e">
        <f t="shared" ca="1" si="8"/>
        <v>#VALUE!</v>
      </c>
      <c r="C163" s="311" t="e">
        <f t="shared" ca="1" si="7"/>
        <v>#VALUE!</v>
      </c>
      <c r="D163" s="311" t="e">
        <f t="shared" ca="1" si="9"/>
        <v>#VALUE!</v>
      </c>
      <c r="E163" s="311" t="e">
        <f ca="1">C162*'Crédito de Vivienda UVR'!$E$17</f>
        <v>#VALUE!</v>
      </c>
      <c r="F163" s="322" t="e">
        <f ca="1">IF(B163=" ",0,PMT('Crédito de Vivienda UVR'!$E$17,'Crédito de Vivienda UVR'!$C$18,-'Crédito de Vivienda UVR'!$C$20,,))</f>
        <v>#VALUE!</v>
      </c>
      <c r="G163" s="320" t="e">
        <f ca="1">C162*(VLOOKUP('Crédito de Vivienda UVR'!$C$24,Seguros_Oblig!$A$3:$B$55,2,FALSE))</f>
        <v>#VALUE!</v>
      </c>
      <c r="H163" s="313" t="e">
        <f ca="1">C162*(VLOOKUP('Crédito de Vivienda UVR'!$C$25,Seguros_Oblig!$A$3:$B$55,2,FALSE))</f>
        <v>#VALUE!</v>
      </c>
      <c r="I163" s="313" t="e">
        <f ca="1">C162*(VLOOKUP('Crédito de Vivienda UVR'!$C$26,Seguros_Oblig!$A$3:$B$55,2,FALSE))</f>
        <v>#VALUE!</v>
      </c>
      <c r="J163" s="313" t="e">
        <f ca="1">C162*(VLOOKUP('Crédito de Vivienda UVR'!$C$27,Seguros_Oblig!$A$3:$B$55,2,FALSE))</f>
        <v>#VALUE!</v>
      </c>
      <c r="K163" s="35">
        <f ca="1">_xlfn.AGGREGATE(9,6,G163:J163)*'Crédito de Vivienda UVR'!$C$19</f>
        <v>0</v>
      </c>
      <c r="L163" s="7" t="e">
        <f ca="1">IF(C162&lt;1,"0",Seguros_Oblig!$K$2*('Crédito de Vivienda UVR'!$C$12*90%))</f>
        <v>#VALUE!</v>
      </c>
      <c r="M163" s="35" t="e">
        <f ca="1">K163+L163+(F163*'Crédito de Vivienda UVR'!$C$19)</f>
        <v>#VALUE!</v>
      </c>
      <c r="N163" s="316"/>
    </row>
    <row r="164" spans="2:14" ht="15.5" x14ac:dyDescent="0.35">
      <c r="B164" s="6" t="e">
        <f t="shared" ca="1" si="8"/>
        <v>#VALUE!</v>
      </c>
      <c r="C164" s="311" t="e">
        <f t="shared" ca="1" si="7"/>
        <v>#VALUE!</v>
      </c>
      <c r="D164" s="311" t="e">
        <f t="shared" ca="1" si="9"/>
        <v>#VALUE!</v>
      </c>
      <c r="E164" s="311" t="e">
        <f ca="1">C163*'Crédito de Vivienda UVR'!$E$17</f>
        <v>#VALUE!</v>
      </c>
      <c r="F164" s="322" t="e">
        <f ca="1">IF(B164=" ",0,PMT('Crédito de Vivienda UVR'!$E$17,'Crédito de Vivienda UVR'!$C$18,-'Crédito de Vivienda UVR'!$C$20,,))</f>
        <v>#VALUE!</v>
      </c>
      <c r="G164" s="320" t="e">
        <f ca="1">C163*(VLOOKUP('Crédito de Vivienda UVR'!$C$24,Seguros_Oblig!$A$3:$B$55,2,FALSE))</f>
        <v>#VALUE!</v>
      </c>
      <c r="H164" s="313" t="e">
        <f ca="1">C163*(VLOOKUP('Crédito de Vivienda UVR'!$C$25,Seguros_Oblig!$A$3:$B$55,2,FALSE))</f>
        <v>#VALUE!</v>
      </c>
      <c r="I164" s="313" t="e">
        <f ca="1">C163*(VLOOKUP('Crédito de Vivienda UVR'!$C$26,Seguros_Oblig!$A$3:$B$55,2,FALSE))</f>
        <v>#VALUE!</v>
      </c>
      <c r="J164" s="313" t="e">
        <f ca="1">C163*(VLOOKUP('Crédito de Vivienda UVR'!$C$27,Seguros_Oblig!$A$3:$B$55,2,FALSE))</f>
        <v>#VALUE!</v>
      </c>
      <c r="K164" s="35">
        <f ca="1">_xlfn.AGGREGATE(9,6,G164:J164)*'Crédito de Vivienda UVR'!$C$19</f>
        <v>0</v>
      </c>
      <c r="L164" s="7" t="e">
        <f ca="1">IF(C163&lt;1,"0",Seguros_Oblig!$K$2*('Crédito de Vivienda UVR'!$C$12*90%))</f>
        <v>#VALUE!</v>
      </c>
      <c r="M164" s="35" t="e">
        <f ca="1">K164+L164+(F164*'Crédito de Vivienda UVR'!$C$19)</f>
        <v>#VALUE!</v>
      </c>
      <c r="N164" s="316"/>
    </row>
    <row r="165" spans="2:14" ht="15.5" x14ac:dyDescent="0.35">
      <c r="B165" s="6" t="e">
        <f t="shared" ca="1" si="8"/>
        <v>#VALUE!</v>
      </c>
      <c r="C165" s="311" t="e">
        <f t="shared" ca="1" si="7"/>
        <v>#VALUE!</v>
      </c>
      <c r="D165" s="311" t="e">
        <f t="shared" ca="1" si="9"/>
        <v>#VALUE!</v>
      </c>
      <c r="E165" s="311" t="e">
        <f ca="1">C164*'Crédito de Vivienda UVR'!$E$17</f>
        <v>#VALUE!</v>
      </c>
      <c r="F165" s="322" t="e">
        <f ca="1">IF(B165=" ",0,PMT('Crédito de Vivienda UVR'!$E$17,'Crédito de Vivienda UVR'!$C$18,-'Crédito de Vivienda UVR'!$C$20,,))</f>
        <v>#VALUE!</v>
      </c>
      <c r="G165" s="320" t="e">
        <f ca="1">C164*(VLOOKUP('Crédito de Vivienda UVR'!$C$24,Seguros_Oblig!$A$3:$B$55,2,FALSE))</f>
        <v>#VALUE!</v>
      </c>
      <c r="H165" s="313" t="e">
        <f ca="1">C164*(VLOOKUP('Crédito de Vivienda UVR'!$C$25,Seguros_Oblig!$A$3:$B$55,2,FALSE))</f>
        <v>#VALUE!</v>
      </c>
      <c r="I165" s="313" t="e">
        <f ca="1">C164*(VLOOKUP('Crédito de Vivienda UVR'!$C$26,Seguros_Oblig!$A$3:$B$55,2,FALSE))</f>
        <v>#VALUE!</v>
      </c>
      <c r="J165" s="313" t="e">
        <f ca="1">C164*(VLOOKUP('Crédito de Vivienda UVR'!$C$27,Seguros_Oblig!$A$3:$B$55,2,FALSE))</f>
        <v>#VALUE!</v>
      </c>
      <c r="K165" s="35">
        <f ca="1">_xlfn.AGGREGATE(9,6,G165:J165)*'Crédito de Vivienda UVR'!$C$19</f>
        <v>0</v>
      </c>
      <c r="L165" s="7" t="e">
        <f ca="1">IF(C164&lt;1,"0",Seguros_Oblig!$K$2*('Crédito de Vivienda UVR'!$C$12*90%))</f>
        <v>#VALUE!</v>
      </c>
      <c r="M165" s="35" t="e">
        <f ca="1">K165+L165+(F165*'Crédito de Vivienda UVR'!$C$19)</f>
        <v>#VALUE!</v>
      </c>
      <c r="N165" s="316"/>
    </row>
    <row r="166" spans="2:14" ht="15.5" x14ac:dyDescent="0.35">
      <c r="B166" s="6" t="e">
        <f t="shared" ca="1" si="8"/>
        <v>#VALUE!</v>
      </c>
      <c r="C166" s="311" t="e">
        <f t="shared" ca="1" si="7"/>
        <v>#VALUE!</v>
      </c>
      <c r="D166" s="311" t="e">
        <f t="shared" ca="1" si="9"/>
        <v>#VALUE!</v>
      </c>
      <c r="E166" s="311" t="e">
        <f ca="1">C165*'Crédito de Vivienda UVR'!$E$17</f>
        <v>#VALUE!</v>
      </c>
      <c r="F166" s="322" t="e">
        <f ca="1">IF(B166=" ",0,PMT('Crédito de Vivienda UVR'!$E$17,'Crédito de Vivienda UVR'!$C$18,-'Crédito de Vivienda UVR'!$C$20,,))</f>
        <v>#VALUE!</v>
      </c>
      <c r="G166" s="320" t="e">
        <f ca="1">C165*(VLOOKUP('Crédito de Vivienda UVR'!$C$24,Seguros_Oblig!$A$3:$B$55,2,FALSE))</f>
        <v>#VALUE!</v>
      </c>
      <c r="H166" s="313" t="e">
        <f ca="1">C165*(VLOOKUP('Crédito de Vivienda UVR'!$C$25,Seguros_Oblig!$A$3:$B$55,2,FALSE))</f>
        <v>#VALUE!</v>
      </c>
      <c r="I166" s="313" t="e">
        <f ca="1">C165*(VLOOKUP('Crédito de Vivienda UVR'!$C$26,Seguros_Oblig!$A$3:$B$55,2,FALSE))</f>
        <v>#VALUE!</v>
      </c>
      <c r="J166" s="313" t="e">
        <f ca="1">C165*(VLOOKUP('Crédito de Vivienda UVR'!$C$27,Seguros_Oblig!$A$3:$B$55,2,FALSE))</f>
        <v>#VALUE!</v>
      </c>
      <c r="K166" s="35">
        <f ca="1">_xlfn.AGGREGATE(9,6,G166:J166)*'Crédito de Vivienda UVR'!$C$19</f>
        <v>0</v>
      </c>
      <c r="L166" s="7" t="e">
        <f ca="1">IF(C165&lt;1,"0",Seguros_Oblig!$K$2*('Crédito de Vivienda UVR'!$C$12*90%))</f>
        <v>#VALUE!</v>
      </c>
      <c r="M166" s="35" t="e">
        <f ca="1">K166+L166+(F166*'Crédito de Vivienda UVR'!$C$19)</f>
        <v>#VALUE!</v>
      </c>
      <c r="N166" s="316"/>
    </row>
    <row r="167" spans="2:14" ht="15.5" x14ac:dyDescent="0.35">
      <c r="B167" s="6" t="e">
        <f t="shared" ca="1" si="8"/>
        <v>#VALUE!</v>
      </c>
      <c r="C167" s="311" t="e">
        <f t="shared" ca="1" si="7"/>
        <v>#VALUE!</v>
      </c>
      <c r="D167" s="311" t="e">
        <f t="shared" ca="1" si="9"/>
        <v>#VALUE!</v>
      </c>
      <c r="E167" s="311" t="e">
        <f ca="1">C166*'Crédito de Vivienda UVR'!$E$17</f>
        <v>#VALUE!</v>
      </c>
      <c r="F167" s="322" t="e">
        <f ca="1">IF(B167=" ",0,PMT('Crédito de Vivienda UVR'!$E$17,'Crédito de Vivienda UVR'!$C$18,-'Crédito de Vivienda UVR'!$C$20,,))</f>
        <v>#VALUE!</v>
      </c>
      <c r="G167" s="320" t="e">
        <f ca="1">C166*(VLOOKUP('Crédito de Vivienda UVR'!$C$24,Seguros_Oblig!$A$3:$B$55,2,FALSE))</f>
        <v>#VALUE!</v>
      </c>
      <c r="H167" s="313" t="e">
        <f ca="1">C166*(VLOOKUP('Crédito de Vivienda UVR'!$C$25,Seguros_Oblig!$A$3:$B$55,2,FALSE))</f>
        <v>#VALUE!</v>
      </c>
      <c r="I167" s="313" t="e">
        <f ca="1">C166*(VLOOKUP('Crédito de Vivienda UVR'!$C$26,Seguros_Oblig!$A$3:$B$55,2,FALSE))</f>
        <v>#VALUE!</v>
      </c>
      <c r="J167" s="313" t="e">
        <f ca="1">C166*(VLOOKUP('Crédito de Vivienda UVR'!$C$27,Seguros_Oblig!$A$3:$B$55,2,FALSE))</f>
        <v>#VALUE!</v>
      </c>
      <c r="K167" s="35">
        <f ca="1">_xlfn.AGGREGATE(9,6,G167:J167)*'Crédito de Vivienda UVR'!$C$19</f>
        <v>0</v>
      </c>
      <c r="L167" s="7" t="e">
        <f ca="1">IF(C166&lt;1,"0",Seguros_Oblig!$K$2*('Crédito de Vivienda UVR'!$C$12*90%))</f>
        <v>#VALUE!</v>
      </c>
      <c r="M167" s="35" t="e">
        <f ca="1">K167+L167+(F167*'Crédito de Vivienda UVR'!$C$19)</f>
        <v>#VALUE!</v>
      </c>
      <c r="N167" s="316"/>
    </row>
    <row r="168" spans="2:14" ht="15.5" x14ac:dyDescent="0.35">
      <c r="B168" s="6" t="e">
        <f t="shared" ca="1" si="8"/>
        <v>#VALUE!</v>
      </c>
      <c r="C168" s="311" t="e">
        <f t="shared" ca="1" si="7"/>
        <v>#VALUE!</v>
      </c>
      <c r="D168" s="311" t="e">
        <f t="shared" ca="1" si="9"/>
        <v>#VALUE!</v>
      </c>
      <c r="E168" s="311" t="e">
        <f ca="1">C167*'Crédito de Vivienda UVR'!$E$17</f>
        <v>#VALUE!</v>
      </c>
      <c r="F168" s="322" t="e">
        <f ca="1">IF(B168=" ",0,PMT('Crédito de Vivienda UVR'!$E$17,'Crédito de Vivienda UVR'!$C$18,-'Crédito de Vivienda UVR'!$C$20,,))</f>
        <v>#VALUE!</v>
      </c>
      <c r="G168" s="320" t="e">
        <f ca="1">C167*(VLOOKUP('Crédito de Vivienda UVR'!$C$24,Seguros_Oblig!$A$3:$B$55,2,FALSE))</f>
        <v>#VALUE!</v>
      </c>
      <c r="H168" s="313" t="e">
        <f ca="1">C167*(VLOOKUP('Crédito de Vivienda UVR'!$C$25,Seguros_Oblig!$A$3:$B$55,2,FALSE))</f>
        <v>#VALUE!</v>
      </c>
      <c r="I168" s="313" t="e">
        <f ca="1">C167*(VLOOKUP('Crédito de Vivienda UVR'!$C$26,Seguros_Oblig!$A$3:$B$55,2,FALSE))</f>
        <v>#VALUE!</v>
      </c>
      <c r="J168" s="313" t="e">
        <f ca="1">C167*(VLOOKUP('Crédito de Vivienda UVR'!$C$27,Seguros_Oblig!$A$3:$B$55,2,FALSE))</f>
        <v>#VALUE!</v>
      </c>
      <c r="K168" s="35">
        <f ca="1">_xlfn.AGGREGATE(9,6,G168:J168)*'Crédito de Vivienda UVR'!$C$19</f>
        <v>0</v>
      </c>
      <c r="L168" s="7" t="e">
        <f ca="1">IF(C167&lt;1,"0",Seguros_Oblig!$K$2*('Crédito de Vivienda UVR'!$C$12*90%))</f>
        <v>#VALUE!</v>
      </c>
      <c r="M168" s="35" t="e">
        <f ca="1">K168+L168+(F168*'Crédito de Vivienda UVR'!$C$19)</f>
        <v>#VALUE!</v>
      </c>
      <c r="N168" s="316"/>
    </row>
    <row r="169" spans="2:14" ht="15.5" x14ac:dyDescent="0.35">
      <c r="B169" s="6" t="e">
        <f t="shared" ca="1" si="8"/>
        <v>#VALUE!</v>
      </c>
      <c r="C169" s="311" t="e">
        <f t="shared" ca="1" si="7"/>
        <v>#VALUE!</v>
      </c>
      <c r="D169" s="311" t="e">
        <f t="shared" ca="1" si="9"/>
        <v>#VALUE!</v>
      </c>
      <c r="E169" s="311" t="e">
        <f ca="1">C168*'Crédito de Vivienda UVR'!$E$17</f>
        <v>#VALUE!</v>
      </c>
      <c r="F169" s="322" t="e">
        <f ca="1">IF(B169=" ",0,PMT('Crédito de Vivienda UVR'!$E$17,'Crédito de Vivienda UVR'!$C$18,-'Crédito de Vivienda UVR'!$C$20,,))</f>
        <v>#VALUE!</v>
      </c>
      <c r="G169" s="320" t="e">
        <f ca="1">C168*(VLOOKUP('Crédito de Vivienda UVR'!$C$24,Seguros_Oblig!$A$3:$B$55,2,FALSE))</f>
        <v>#VALUE!</v>
      </c>
      <c r="H169" s="313" t="e">
        <f ca="1">C168*(VLOOKUP('Crédito de Vivienda UVR'!$C$25,Seguros_Oblig!$A$3:$B$55,2,FALSE))</f>
        <v>#VALUE!</v>
      </c>
      <c r="I169" s="313" t="e">
        <f ca="1">C168*(VLOOKUP('Crédito de Vivienda UVR'!$C$26,Seguros_Oblig!$A$3:$B$55,2,FALSE))</f>
        <v>#VALUE!</v>
      </c>
      <c r="J169" s="313" t="e">
        <f ca="1">C168*(VLOOKUP('Crédito de Vivienda UVR'!$C$27,Seguros_Oblig!$A$3:$B$55,2,FALSE))</f>
        <v>#VALUE!</v>
      </c>
      <c r="K169" s="35">
        <f ca="1">_xlfn.AGGREGATE(9,6,G169:J169)*'Crédito de Vivienda UVR'!$C$19</f>
        <v>0</v>
      </c>
      <c r="L169" s="7" t="e">
        <f ca="1">IF(C168&lt;1,"0",Seguros_Oblig!$K$2*('Crédito de Vivienda UVR'!$C$12*90%))</f>
        <v>#VALUE!</v>
      </c>
      <c r="M169" s="35" t="e">
        <f ca="1">K169+L169+(F169*'Crédito de Vivienda UVR'!$C$19)</f>
        <v>#VALUE!</v>
      </c>
      <c r="N169" s="316"/>
    </row>
    <row r="170" spans="2:14" ht="15.5" x14ac:dyDescent="0.35">
      <c r="B170" s="6" t="e">
        <f t="shared" ca="1" si="8"/>
        <v>#VALUE!</v>
      </c>
      <c r="C170" s="311" t="e">
        <f t="shared" ca="1" si="7"/>
        <v>#VALUE!</v>
      </c>
      <c r="D170" s="311" t="e">
        <f t="shared" ca="1" si="9"/>
        <v>#VALUE!</v>
      </c>
      <c r="E170" s="311" t="e">
        <f ca="1">C169*'Crédito de Vivienda UVR'!$E$17</f>
        <v>#VALUE!</v>
      </c>
      <c r="F170" s="322" t="e">
        <f ca="1">IF(B170=" ",0,PMT('Crédito de Vivienda UVR'!$E$17,'Crédito de Vivienda UVR'!$C$18,-'Crédito de Vivienda UVR'!$C$20,,))</f>
        <v>#VALUE!</v>
      </c>
      <c r="G170" s="320" t="e">
        <f ca="1">C169*(VLOOKUP('Crédito de Vivienda UVR'!$C$24,Seguros_Oblig!$A$3:$B$55,2,FALSE))</f>
        <v>#VALUE!</v>
      </c>
      <c r="H170" s="313" t="e">
        <f ca="1">C169*(VLOOKUP('Crédito de Vivienda UVR'!$C$25,Seguros_Oblig!$A$3:$B$55,2,FALSE))</f>
        <v>#VALUE!</v>
      </c>
      <c r="I170" s="313" t="e">
        <f ca="1">C169*(VLOOKUP('Crédito de Vivienda UVR'!$C$26,Seguros_Oblig!$A$3:$B$55,2,FALSE))</f>
        <v>#VALUE!</v>
      </c>
      <c r="J170" s="313" t="e">
        <f ca="1">C169*(VLOOKUP('Crédito de Vivienda UVR'!$C$27,Seguros_Oblig!$A$3:$B$55,2,FALSE))</f>
        <v>#VALUE!</v>
      </c>
      <c r="K170" s="35">
        <f ca="1">_xlfn.AGGREGATE(9,6,G170:J170)*'Crédito de Vivienda UVR'!$C$19</f>
        <v>0</v>
      </c>
      <c r="L170" s="7" t="e">
        <f ca="1">IF(C169&lt;1,"0",Seguros_Oblig!$K$2*('Crédito de Vivienda UVR'!$C$12*90%))</f>
        <v>#VALUE!</v>
      </c>
      <c r="M170" s="35" t="e">
        <f ca="1">K170+L170+(F170*'Crédito de Vivienda UVR'!$C$19)</f>
        <v>#VALUE!</v>
      </c>
      <c r="N170" s="316"/>
    </row>
    <row r="171" spans="2:14" ht="15.5" x14ac:dyDescent="0.35">
      <c r="B171" s="6" t="e">
        <f t="shared" ca="1" si="8"/>
        <v>#VALUE!</v>
      </c>
      <c r="C171" s="311" t="e">
        <f t="shared" ca="1" si="7"/>
        <v>#VALUE!</v>
      </c>
      <c r="D171" s="311" t="e">
        <f t="shared" ca="1" si="9"/>
        <v>#VALUE!</v>
      </c>
      <c r="E171" s="311" t="e">
        <f ca="1">C170*'Crédito de Vivienda UVR'!$E$17</f>
        <v>#VALUE!</v>
      </c>
      <c r="F171" s="322" t="e">
        <f ca="1">IF(B171=" ",0,PMT('Crédito de Vivienda UVR'!$E$17,'Crédito de Vivienda UVR'!$C$18,-'Crédito de Vivienda UVR'!$C$20,,))</f>
        <v>#VALUE!</v>
      </c>
      <c r="G171" s="320" t="e">
        <f ca="1">C170*(VLOOKUP('Crédito de Vivienda UVR'!$C$24,Seguros_Oblig!$A$3:$B$55,2,FALSE))</f>
        <v>#VALUE!</v>
      </c>
      <c r="H171" s="313" t="e">
        <f ca="1">C170*(VLOOKUP('Crédito de Vivienda UVR'!$C$25,Seguros_Oblig!$A$3:$B$55,2,FALSE))</f>
        <v>#VALUE!</v>
      </c>
      <c r="I171" s="313" t="e">
        <f ca="1">C170*(VLOOKUP('Crédito de Vivienda UVR'!$C$26,Seguros_Oblig!$A$3:$B$55,2,FALSE))</f>
        <v>#VALUE!</v>
      </c>
      <c r="J171" s="313" t="e">
        <f ca="1">C170*(VLOOKUP('Crédito de Vivienda UVR'!$C$27,Seguros_Oblig!$A$3:$B$55,2,FALSE))</f>
        <v>#VALUE!</v>
      </c>
      <c r="K171" s="35">
        <f ca="1">_xlfn.AGGREGATE(9,6,G171:J171)*'Crédito de Vivienda UVR'!$C$19</f>
        <v>0</v>
      </c>
      <c r="L171" s="7" t="e">
        <f ca="1">IF(C170&lt;1,"0",Seguros_Oblig!$K$2*('Crédito de Vivienda UVR'!$C$12*90%))</f>
        <v>#VALUE!</v>
      </c>
      <c r="M171" s="35" t="e">
        <f ca="1">K171+L171+(F171*'Crédito de Vivienda UVR'!$C$19)</f>
        <v>#VALUE!</v>
      </c>
      <c r="N171" s="316"/>
    </row>
    <row r="172" spans="2:14" ht="15.5" x14ac:dyDescent="0.35">
      <c r="B172" s="6" t="e">
        <f t="shared" ca="1" si="8"/>
        <v>#VALUE!</v>
      </c>
      <c r="C172" s="311" t="e">
        <f t="shared" ca="1" si="7"/>
        <v>#VALUE!</v>
      </c>
      <c r="D172" s="311" t="e">
        <f t="shared" ca="1" si="9"/>
        <v>#VALUE!</v>
      </c>
      <c r="E172" s="311" t="e">
        <f ca="1">C171*'Crédito de Vivienda UVR'!$E$17</f>
        <v>#VALUE!</v>
      </c>
      <c r="F172" s="322" t="e">
        <f ca="1">IF(B172=" ",0,PMT('Crédito de Vivienda UVR'!$E$17,'Crédito de Vivienda UVR'!$C$18,-'Crédito de Vivienda UVR'!$C$20,,))</f>
        <v>#VALUE!</v>
      </c>
      <c r="G172" s="320" t="e">
        <f ca="1">C171*(VLOOKUP('Crédito de Vivienda UVR'!$C$24,Seguros_Oblig!$A$3:$B$55,2,FALSE))</f>
        <v>#VALUE!</v>
      </c>
      <c r="H172" s="313" t="e">
        <f ca="1">C171*(VLOOKUP('Crédito de Vivienda UVR'!$C$25,Seguros_Oblig!$A$3:$B$55,2,FALSE))</f>
        <v>#VALUE!</v>
      </c>
      <c r="I172" s="313" t="e">
        <f ca="1">C171*(VLOOKUP('Crédito de Vivienda UVR'!$C$26,Seguros_Oblig!$A$3:$B$55,2,FALSE))</f>
        <v>#VALUE!</v>
      </c>
      <c r="J172" s="313" t="e">
        <f ca="1">C171*(VLOOKUP('Crédito de Vivienda UVR'!$C$27,Seguros_Oblig!$A$3:$B$55,2,FALSE))</f>
        <v>#VALUE!</v>
      </c>
      <c r="K172" s="35">
        <f ca="1">_xlfn.AGGREGATE(9,6,G172:J172)*'Crédito de Vivienda UVR'!$C$19</f>
        <v>0</v>
      </c>
      <c r="L172" s="7" t="e">
        <f ca="1">IF(C171&lt;1,"0",Seguros_Oblig!$K$2*('Crédito de Vivienda UVR'!$C$12*90%))</f>
        <v>#VALUE!</v>
      </c>
      <c r="M172" s="35" t="e">
        <f ca="1">K172+L172+(F172*'Crédito de Vivienda UVR'!$C$19)</f>
        <v>#VALUE!</v>
      </c>
      <c r="N172" s="316"/>
    </row>
    <row r="173" spans="2:14" ht="15.5" x14ac:dyDescent="0.35">
      <c r="B173" s="6" t="e">
        <f t="shared" ca="1" si="8"/>
        <v>#VALUE!</v>
      </c>
      <c r="C173" s="311" t="e">
        <f t="shared" ca="1" si="7"/>
        <v>#VALUE!</v>
      </c>
      <c r="D173" s="311" t="e">
        <f t="shared" ca="1" si="9"/>
        <v>#VALUE!</v>
      </c>
      <c r="E173" s="311" t="e">
        <f ca="1">C172*'Crédito de Vivienda UVR'!$E$17</f>
        <v>#VALUE!</v>
      </c>
      <c r="F173" s="322" t="e">
        <f ca="1">IF(B173=" ",0,PMT('Crédito de Vivienda UVR'!$E$17,'Crédito de Vivienda UVR'!$C$18,-'Crédito de Vivienda UVR'!$C$20,,))</f>
        <v>#VALUE!</v>
      </c>
      <c r="G173" s="320" t="e">
        <f ca="1">C172*(VLOOKUP('Crédito de Vivienda UVR'!$C$24,Seguros_Oblig!$A$3:$B$55,2,FALSE))</f>
        <v>#VALUE!</v>
      </c>
      <c r="H173" s="313" t="e">
        <f ca="1">C172*(VLOOKUP('Crédito de Vivienda UVR'!$C$25,Seguros_Oblig!$A$3:$B$55,2,FALSE))</f>
        <v>#VALUE!</v>
      </c>
      <c r="I173" s="313" t="e">
        <f ca="1">C172*(VLOOKUP('Crédito de Vivienda UVR'!$C$26,Seguros_Oblig!$A$3:$B$55,2,FALSE))</f>
        <v>#VALUE!</v>
      </c>
      <c r="J173" s="313" t="e">
        <f ca="1">C172*(VLOOKUP('Crédito de Vivienda UVR'!$C$27,Seguros_Oblig!$A$3:$B$55,2,FALSE))</f>
        <v>#VALUE!</v>
      </c>
      <c r="K173" s="35">
        <f ca="1">_xlfn.AGGREGATE(9,6,G173:J173)*'Crédito de Vivienda UVR'!$C$19</f>
        <v>0</v>
      </c>
      <c r="L173" s="7" t="e">
        <f ca="1">IF(C172&lt;1,"0",Seguros_Oblig!$K$2*('Crédito de Vivienda UVR'!$C$12*90%))</f>
        <v>#VALUE!</v>
      </c>
      <c r="M173" s="35" t="e">
        <f ca="1">K173+L173+(F173*'Crédito de Vivienda UVR'!$C$19)</f>
        <v>#VALUE!</v>
      </c>
      <c r="N173" s="316"/>
    </row>
    <row r="174" spans="2:14" ht="15.5" x14ac:dyDescent="0.35">
      <c r="B174" s="6" t="e">
        <f t="shared" ca="1" si="8"/>
        <v>#VALUE!</v>
      </c>
      <c r="C174" s="311" t="e">
        <f t="shared" ca="1" si="7"/>
        <v>#VALUE!</v>
      </c>
      <c r="D174" s="311" t="e">
        <f t="shared" ca="1" si="9"/>
        <v>#VALUE!</v>
      </c>
      <c r="E174" s="311" t="e">
        <f ca="1">C173*'Crédito de Vivienda UVR'!$E$17</f>
        <v>#VALUE!</v>
      </c>
      <c r="F174" s="322" t="e">
        <f ca="1">IF(B174=" ",0,PMT('Crédito de Vivienda UVR'!$E$17,'Crédito de Vivienda UVR'!$C$18,-'Crédito de Vivienda UVR'!$C$20,,))</f>
        <v>#VALUE!</v>
      </c>
      <c r="G174" s="320" t="e">
        <f ca="1">C173*(VLOOKUP('Crédito de Vivienda UVR'!$C$24,Seguros_Oblig!$A$3:$B$55,2,FALSE))</f>
        <v>#VALUE!</v>
      </c>
      <c r="H174" s="313" t="e">
        <f ca="1">C173*(VLOOKUP('Crédito de Vivienda UVR'!$C$25,Seguros_Oblig!$A$3:$B$55,2,FALSE))</f>
        <v>#VALUE!</v>
      </c>
      <c r="I174" s="313" t="e">
        <f ca="1">C173*(VLOOKUP('Crédito de Vivienda UVR'!$C$26,Seguros_Oblig!$A$3:$B$55,2,FALSE))</f>
        <v>#VALUE!</v>
      </c>
      <c r="J174" s="313" t="e">
        <f ca="1">C173*(VLOOKUP('Crédito de Vivienda UVR'!$C$27,Seguros_Oblig!$A$3:$B$55,2,FALSE))</f>
        <v>#VALUE!</v>
      </c>
      <c r="K174" s="35">
        <f ca="1">_xlfn.AGGREGATE(9,6,G174:J174)*'Crédito de Vivienda UVR'!$C$19</f>
        <v>0</v>
      </c>
      <c r="L174" s="7" t="e">
        <f ca="1">IF(C173&lt;1,"0",Seguros_Oblig!$K$2*('Crédito de Vivienda UVR'!$C$12*90%))</f>
        <v>#VALUE!</v>
      </c>
      <c r="M174" s="35" t="e">
        <f ca="1">K174+L174+(F174*'Crédito de Vivienda UVR'!$C$19)</f>
        <v>#VALUE!</v>
      </c>
      <c r="N174" s="316"/>
    </row>
    <row r="175" spans="2:14" ht="15.5" x14ac:dyDescent="0.35">
      <c r="B175" s="6" t="e">
        <f t="shared" ca="1" si="8"/>
        <v>#VALUE!</v>
      </c>
      <c r="C175" s="311" t="e">
        <f t="shared" ca="1" si="7"/>
        <v>#VALUE!</v>
      </c>
      <c r="D175" s="311" t="e">
        <f t="shared" ca="1" si="9"/>
        <v>#VALUE!</v>
      </c>
      <c r="E175" s="311" t="e">
        <f ca="1">C174*'Crédito de Vivienda UVR'!$E$17</f>
        <v>#VALUE!</v>
      </c>
      <c r="F175" s="322" t="e">
        <f ca="1">IF(B175=" ",0,PMT('Crédito de Vivienda UVR'!$E$17,'Crédito de Vivienda UVR'!$C$18,-'Crédito de Vivienda UVR'!$C$20,,))</f>
        <v>#VALUE!</v>
      </c>
      <c r="G175" s="320" t="e">
        <f ca="1">C174*(VLOOKUP('Crédito de Vivienda UVR'!$C$24,Seguros_Oblig!$A$3:$B$55,2,FALSE))</f>
        <v>#VALUE!</v>
      </c>
      <c r="H175" s="313" t="e">
        <f ca="1">C174*(VLOOKUP('Crédito de Vivienda UVR'!$C$25,Seguros_Oblig!$A$3:$B$55,2,FALSE))</f>
        <v>#VALUE!</v>
      </c>
      <c r="I175" s="313" t="e">
        <f ca="1">C174*(VLOOKUP('Crédito de Vivienda UVR'!$C$26,Seguros_Oblig!$A$3:$B$55,2,FALSE))</f>
        <v>#VALUE!</v>
      </c>
      <c r="J175" s="313" t="e">
        <f ca="1">C174*(VLOOKUP('Crédito de Vivienda UVR'!$C$27,Seguros_Oblig!$A$3:$B$55,2,FALSE))</f>
        <v>#VALUE!</v>
      </c>
      <c r="K175" s="35">
        <f ca="1">_xlfn.AGGREGATE(9,6,G175:J175)*'Crédito de Vivienda UVR'!$C$19</f>
        <v>0</v>
      </c>
      <c r="L175" s="7" t="e">
        <f ca="1">IF(C174&lt;1,"0",Seguros_Oblig!$K$2*('Crédito de Vivienda UVR'!$C$12*90%))</f>
        <v>#VALUE!</v>
      </c>
      <c r="M175" s="35" t="e">
        <f ca="1">K175+L175+(F175*'Crédito de Vivienda UVR'!$C$19)</f>
        <v>#VALUE!</v>
      </c>
      <c r="N175" s="316"/>
    </row>
    <row r="176" spans="2:14" ht="15.5" x14ac:dyDescent="0.35">
      <c r="B176" s="6" t="e">
        <f t="shared" ca="1" si="8"/>
        <v>#VALUE!</v>
      </c>
      <c r="C176" s="311" t="e">
        <f t="shared" ca="1" si="7"/>
        <v>#VALUE!</v>
      </c>
      <c r="D176" s="311" t="e">
        <f t="shared" ca="1" si="9"/>
        <v>#VALUE!</v>
      </c>
      <c r="E176" s="311" t="e">
        <f ca="1">C175*'Crédito de Vivienda UVR'!$E$17</f>
        <v>#VALUE!</v>
      </c>
      <c r="F176" s="322" t="e">
        <f ca="1">IF(B176=" ",0,PMT('Crédito de Vivienda UVR'!$E$17,'Crédito de Vivienda UVR'!$C$18,-'Crédito de Vivienda UVR'!$C$20,,))</f>
        <v>#VALUE!</v>
      </c>
      <c r="G176" s="320" t="e">
        <f ca="1">C175*(VLOOKUP('Crédito de Vivienda UVR'!$C$24,Seguros_Oblig!$A$3:$B$55,2,FALSE))</f>
        <v>#VALUE!</v>
      </c>
      <c r="H176" s="313" t="e">
        <f ca="1">C175*(VLOOKUP('Crédito de Vivienda UVR'!$C$25,Seguros_Oblig!$A$3:$B$55,2,FALSE))</f>
        <v>#VALUE!</v>
      </c>
      <c r="I176" s="313" t="e">
        <f ca="1">C175*(VLOOKUP('Crédito de Vivienda UVR'!$C$26,Seguros_Oblig!$A$3:$B$55,2,FALSE))</f>
        <v>#VALUE!</v>
      </c>
      <c r="J176" s="313" t="e">
        <f ca="1">C175*(VLOOKUP('Crédito de Vivienda UVR'!$C$27,Seguros_Oblig!$A$3:$B$55,2,FALSE))</f>
        <v>#VALUE!</v>
      </c>
      <c r="K176" s="35">
        <f ca="1">_xlfn.AGGREGATE(9,6,G176:J176)*'Crédito de Vivienda UVR'!$C$19</f>
        <v>0</v>
      </c>
      <c r="L176" s="7" t="e">
        <f ca="1">IF(C175&lt;1,"0",Seguros_Oblig!$K$2*('Crédito de Vivienda UVR'!$C$12*90%))</f>
        <v>#VALUE!</v>
      </c>
      <c r="M176" s="35" t="e">
        <f ca="1">K176+L176+(F176*'Crédito de Vivienda UVR'!$C$19)</f>
        <v>#VALUE!</v>
      </c>
      <c r="N176" s="316"/>
    </row>
    <row r="177" spans="2:14" ht="15.5" x14ac:dyDescent="0.35">
      <c r="B177" s="6" t="e">
        <f t="shared" ca="1" si="8"/>
        <v>#VALUE!</v>
      </c>
      <c r="C177" s="311" t="e">
        <f t="shared" ca="1" si="7"/>
        <v>#VALUE!</v>
      </c>
      <c r="D177" s="311" t="e">
        <f t="shared" ca="1" si="9"/>
        <v>#VALUE!</v>
      </c>
      <c r="E177" s="311" t="e">
        <f ca="1">C176*'Crédito de Vivienda UVR'!$E$17</f>
        <v>#VALUE!</v>
      </c>
      <c r="F177" s="322" t="e">
        <f ca="1">IF(B177=" ",0,PMT('Crédito de Vivienda UVR'!$E$17,'Crédito de Vivienda UVR'!$C$18,-'Crédito de Vivienda UVR'!$C$20,,))</f>
        <v>#VALUE!</v>
      </c>
      <c r="G177" s="320" t="e">
        <f ca="1">C176*(VLOOKUP('Crédito de Vivienda UVR'!$C$24,Seguros_Oblig!$A$3:$B$55,2,FALSE))</f>
        <v>#VALUE!</v>
      </c>
      <c r="H177" s="313" t="e">
        <f ca="1">C176*(VLOOKUP('Crédito de Vivienda UVR'!$C$25,Seguros_Oblig!$A$3:$B$55,2,FALSE))</f>
        <v>#VALUE!</v>
      </c>
      <c r="I177" s="313" t="e">
        <f ca="1">C176*(VLOOKUP('Crédito de Vivienda UVR'!$C$26,Seguros_Oblig!$A$3:$B$55,2,FALSE))</f>
        <v>#VALUE!</v>
      </c>
      <c r="J177" s="313" t="e">
        <f ca="1">C176*(VLOOKUP('Crédito de Vivienda UVR'!$C$27,Seguros_Oblig!$A$3:$B$55,2,FALSE))</f>
        <v>#VALUE!</v>
      </c>
      <c r="K177" s="35">
        <f ca="1">_xlfn.AGGREGATE(9,6,G177:J177)*'Crédito de Vivienda UVR'!$C$19</f>
        <v>0</v>
      </c>
      <c r="L177" s="7" t="e">
        <f ca="1">IF(C176&lt;1,"0",Seguros_Oblig!$K$2*('Crédito de Vivienda UVR'!$C$12*90%))</f>
        <v>#VALUE!</v>
      </c>
      <c r="M177" s="35" t="e">
        <f ca="1">K177+L177+(F177*'Crédito de Vivienda UVR'!$C$19)</f>
        <v>#VALUE!</v>
      </c>
      <c r="N177" s="316"/>
    </row>
    <row r="178" spans="2:14" ht="15.5" x14ac:dyDescent="0.35">
      <c r="B178" s="6" t="e">
        <f t="shared" ca="1" si="8"/>
        <v>#VALUE!</v>
      </c>
      <c r="C178" s="311" t="e">
        <f t="shared" ca="1" si="7"/>
        <v>#VALUE!</v>
      </c>
      <c r="D178" s="311" t="e">
        <f t="shared" ca="1" si="9"/>
        <v>#VALUE!</v>
      </c>
      <c r="E178" s="311" t="e">
        <f ca="1">C177*'Crédito de Vivienda UVR'!$E$17</f>
        <v>#VALUE!</v>
      </c>
      <c r="F178" s="322" t="e">
        <f ca="1">IF(B178=" ",0,PMT('Crédito de Vivienda UVR'!$E$17,'Crédito de Vivienda UVR'!$C$18,-'Crédito de Vivienda UVR'!$C$20,,))</f>
        <v>#VALUE!</v>
      </c>
      <c r="G178" s="320" t="e">
        <f ca="1">C177*(VLOOKUP('Crédito de Vivienda UVR'!$C$24,Seguros_Oblig!$A$3:$B$55,2,FALSE))</f>
        <v>#VALUE!</v>
      </c>
      <c r="H178" s="313" t="e">
        <f ca="1">C177*(VLOOKUP('Crédito de Vivienda UVR'!$C$25,Seguros_Oblig!$A$3:$B$55,2,FALSE))</f>
        <v>#VALUE!</v>
      </c>
      <c r="I178" s="313" t="e">
        <f ca="1">C177*(VLOOKUP('Crédito de Vivienda UVR'!$C$26,Seguros_Oblig!$A$3:$B$55,2,FALSE))</f>
        <v>#VALUE!</v>
      </c>
      <c r="J178" s="313" t="e">
        <f ca="1">C177*(VLOOKUP('Crédito de Vivienda UVR'!$C$27,Seguros_Oblig!$A$3:$B$55,2,FALSE))</f>
        <v>#VALUE!</v>
      </c>
      <c r="K178" s="35">
        <f ca="1">_xlfn.AGGREGATE(9,6,G178:J178)*'Crédito de Vivienda UVR'!$C$19</f>
        <v>0</v>
      </c>
      <c r="L178" s="7" t="e">
        <f ca="1">IF(C177&lt;1,"0",Seguros_Oblig!$K$2*('Crédito de Vivienda UVR'!$C$12*90%))</f>
        <v>#VALUE!</v>
      </c>
      <c r="M178" s="35" t="e">
        <f ca="1">K178+L178+(F178*'Crédito de Vivienda UVR'!$C$19)</f>
        <v>#VALUE!</v>
      </c>
      <c r="N178" s="316"/>
    </row>
    <row r="179" spans="2:14" ht="15.5" x14ac:dyDescent="0.35">
      <c r="B179" s="6" t="e">
        <f t="shared" ca="1" si="8"/>
        <v>#VALUE!</v>
      </c>
      <c r="C179" s="311" t="e">
        <f t="shared" ca="1" si="7"/>
        <v>#VALUE!</v>
      </c>
      <c r="D179" s="311" t="e">
        <f t="shared" ca="1" si="9"/>
        <v>#VALUE!</v>
      </c>
      <c r="E179" s="311" t="e">
        <f ca="1">C178*'Crédito de Vivienda UVR'!$E$17</f>
        <v>#VALUE!</v>
      </c>
      <c r="F179" s="322" t="e">
        <f ca="1">IF(B179=" ",0,PMT('Crédito de Vivienda UVR'!$E$17,'Crédito de Vivienda UVR'!$C$18,-'Crédito de Vivienda UVR'!$C$20,,))</f>
        <v>#VALUE!</v>
      </c>
      <c r="G179" s="320" t="e">
        <f ca="1">C178*(VLOOKUP('Crédito de Vivienda UVR'!$C$24,Seguros_Oblig!$A$3:$B$55,2,FALSE))</f>
        <v>#VALUE!</v>
      </c>
      <c r="H179" s="313" t="e">
        <f ca="1">C178*(VLOOKUP('Crédito de Vivienda UVR'!$C$25,Seguros_Oblig!$A$3:$B$55,2,FALSE))</f>
        <v>#VALUE!</v>
      </c>
      <c r="I179" s="313" t="e">
        <f ca="1">C178*(VLOOKUP('Crédito de Vivienda UVR'!$C$26,Seguros_Oblig!$A$3:$B$55,2,FALSE))</f>
        <v>#VALUE!</v>
      </c>
      <c r="J179" s="313" t="e">
        <f ca="1">C178*(VLOOKUP('Crédito de Vivienda UVR'!$C$27,Seguros_Oblig!$A$3:$B$55,2,FALSE))</f>
        <v>#VALUE!</v>
      </c>
      <c r="K179" s="35">
        <f ca="1">_xlfn.AGGREGATE(9,6,G179:J179)*'Crédito de Vivienda UVR'!$C$19</f>
        <v>0</v>
      </c>
      <c r="L179" s="7" t="e">
        <f ca="1">IF(C178&lt;1,"0",Seguros_Oblig!$K$2*('Crédito de Vivienda UVR'!$C$12*90%))</f>
        <v>#VALUE!</v>
      </c>
      <c r="M179" s="35" t="e">
        <f ca="1">K179+L179+(F179*'Crédito de Vivienda UVR'!$C$19)</f>
        <v>#VALUE!</v>
      </c>
      <c r="N179" s="316"/>
    </row>
    <row r="180" spans="2:14" ht="15.5" x14ac:dyDescent="0.35">
      <c r="B180" s="6" t="e">
        <f t="shared" ca="1" si="8"/>
        <v>#VALUE!</v>
      </c>
      <c r="C180" s="311" t="e">
        <f t="shared" ca="1" si="7"/>
        <v>#VALUE!</v>
      </c>
      <c r="D180" s="311" t="e">
        <f t="shared" ca="1" si="9"/>
        <v>#VALUE!</v>
      </c>
      <c r="E180" s="311" t="e">
        <f ca="1">C179*'Crédito de Vivienda UVR'!$E$17</f>
        <v>#VALUE!</v>
      </c>
      <c r="F180" s="322" t="e">
        <f ca="1">IF(B180=" ",0,PMT('Crédito de Vivienda UVR'!$E$17,'Crédito de Vivienda UVR'!$C$18,-'Crédito de Vivienda UVR'!$C$20,,))</f>
        <v>#VALUE!</v>
      </c>
      <c r="G180" s="320" t="e">
        <f ca="1">C179*(VLOOKUP('Crédito de Vivienda UVR'!$C$24,Seguros_Oblig!$A$3:$B$55,2,FALSE))</f>
        <v>#VALUE!</v>
      </c>
      <c r="H180" s="313" t="e">
        <f ca="1">C179*(VLOOKUP('Crédito de Vivienda UVR'!$C$25,Seguros_Oblig!$A$3:$B$55,2,FALSE))</f>
        <v>#VALUE!</v>
      </c>
      <c r="I180" s="313" t="e">
        <f ca="1">C179*(VLOOKUP('Crédito de Vivienda UVR'!$C$26,Seguros_Oblig!$A$3:$B$55,2,FALSE))</f>
        <v>#VALUE!</v>
      </c>
      <c r="J180" s="313" t="e">
        <f ca="1">C179*(VLOOKUP('Crédito de Vivienda UVR'!$C$27,Seguros_Oblig!$A$3:$B$55,2,FALSE))</f>
        <v>#VALUE!</v>
      </c>
      <c r="K180" s="35">
        <f ca="1">_xlfn.AGGREGATE(9,6,G180:J180)*'Crédito de Vivienda UVR'!$C$19</f>
        <v>0</v>
      </c>
      <c r="L180" s="7" t="e">
        <f ca="1">IF(C179&lt;1,"0",Seguros_Oblig!$K$2*('Crédito de Vivienda UVR'!$C$12*90%))</f>
        <v>#VALUE!</v>
      </c>
      <c r="M180" s="35" t="e">
        <f ca="1">K180+L180+(F180*'Crédito de Vivienda UVR'!$C$19)</f>
        <v>#VALUE!</v>
      </c>
      <c r="N180" s="316"/>
    </row>
    <row r="181" spans="2:14" ht="15.5" x14ac:dyDescent="0.35">
      <c r="B181" s="6" t="e">
        <f t="shared" ca="1" si="8"/>
        <v>#VALUE!</v>
      </c>
      <c r="C181" s="311" t="e">
        <f t="shared" ca="1" si="7"/>
        <v>#VALUE!</v>
      </c>
      <c r="D181" s="311" t="e">
        <f t="shared" ca="1" si="9"/>
        <v>#VALUE!</v>
      </c>
      <c r="E181" s="311" t="e">
        <f ca="1">C180*'Crédito de Vivienda UVR'!$E$17</f>
        <v>#VALUE!</v>
      </c>
      <c r="F181" s="322" t="e">
        <f ca="1">IF(B181=" ",0,PMT('Crédito de Vivienda UVR'!$E$17,'Crédito de Vivienda UVR'!$C$18,-'Crédito de Vivienda UVR'!$C$20,,))</f>
        <v>#VALUE!</v>
      </c>
      <c r="G181" s="320" t="e">
        <f ca="1">C180*(VLOOKUP('Crédito de Vivienda UVR'!$C$24,Seguros_Oblig!$A$3:$B$55,2,FALSE))</f>
        <v>#VALUE!</v>
      </c>
      <c r="H181" s="313" t="e">
        <f ca="1">C180*(VLOOKUP('Crédito de Vivienda UVR'!$C$25,Seguros_Oblig!$A$3:$B$55,2,FALSE))</f>
        <v>#VALUE!</v>
      </c>
      <c r="I181" s="313" t="e">
        <f ca="1">C180*(VLOOKUP('Crédito de Vivienda UVR'!$C$26,Seguros_Oblig!$A$3:$B$55,2,FALSE))</f>
        <v>#VALUE!</v>
      </c>
      <c r="J181" s="313" t="e">
        <f ca="1">C180*(VLOOKUP('Crédito de Vivienda UVR'!$C$27,Seguros_Oblig!$A$3:$B$55,2,FALSE))</f>
        <v>#VALUE!</v>
      </c>
      <c r="K181" s="35">
        <f ca="1">_xlfn.AGGREGATE(9,6,G181:J181)*'Crédito de Vivienda UVR'!$C$19</f>
        <v>0</v>
      </c>
      <c r="L181" s="7" t="e">
        <f ca="1">IF(C180&lt;1,"0",Seguros_Oblig!$K$2*('Crédito de Vivienda UVR'!$C$12*90%))</f>
        <v>#VALUE!</v>
      </c>
      <c r="M181" s="35" t="e">
        <f ca="1">K181+L181+(F181*'Crédito de Vivienda UVR'!$C$19)</f>
        <v>#VALUE!</v>
      </c>
      <c r="N181" s="316"/>
    </row>
    <row r="182" spans="2:14" ht="15.5" x14ac:dyDescent="0.35">
      <c r="B182" s="6" t="e">
        <f t="shared" ca="1" si="8"/>
        <v>#VALUE!</v>
      </c>
      <c r="C182" s="311" t="e">
        <f t="shared" ca="1" si="7"/>
        <v>#VALUE!</v>
      </c>
      <c r="D182" s="311" t="e">
        <f t="shared" ca="1" si="9"/>
        <v>#VALUE!</v>
      </c>
      <c r="E182" s="311" t="e">
        <f ca="1">C181*'Crédito de Vivienda UVR'!$E$17</f>
        <v>#VALUE!</v>
      </c>
      <c r="F182" s="322" t="e">
        <f ca="1">IF(B182=" ",0,PMT('Crédito de Vivienda UVR'!$E$17,'Crédito de Vivienda UVR'!$C$18,-'Crédito de Vivienda UVR'!$C$20,,))</f>
        <v>#VALUE!</v>
      </c>
      <c r="G182" s="320" t="e">
        <f ca="1">C181*(VLOOKUP('Crédito de Vivienda UVR'!$C$24,Seguros_Oblig!$A$3:$B$55,2,FALSE))</f>
        <v>#VALUE!</v>
      </c>
      <c r="H182" s="313" t="e">
        <f ca="1">C181*(VLOOKUP('Crédito de Vivienda UVR'!$C$25,Seguros_Oblig!$A$3:$B$55,2,FALSE))</f>
        <v>#VALUE!</v>
      </c>
      <c r="I182" s="313" t="e">
        <f ca="1">C181*(VLOOKUP('Crédito de Vivienda UVR'!$C$26,Seguros_Oblig!$A$3:$B$55,2,FALSE))</f>
        <v>#VALUE!</v>
      </c>
      <c r="J182" s="313" t="e">
        <f ca="1">C181*(VLOOKUP('Crédito de Vivienda UVR'!$C$27,Seguros_Oblig!$A$3:$B$55,2,FALSE))</f>
        <v>#VALUE!</v>
      </c>
      <c r="K182" s="35">
        <f ca="1">_xlfn.AGGREGATE(9,6,G182:J182)*'Crédito de Vivienda UVR'!$C$19</f>
        <v>0</v>
      </c>
      <c r="L182" s="7" t="e">
        <f ca="1">IF(C181&lt;1,"0",Seguros_Oblig!$K$2*('Crédito de Vivienda UVR'!$C$12*90%))</f>
        <v>#VALUE!</v>
      </c>
      <c r="M182" s="35" t="e">
        <f ca="1">K182+L182+(F182*'Crédito de Vivienda UVR'!$C$19)</f>
        <v>#VALUE!</v>
      </c>
      <c r="N182" s="316"/>
    </row>
    <row r="183" spans="2:14" ht="15.5" x14ac:dyDescent="0.35">
      <c r="B183" s="6" t="e">
        <f t="shared" ca="1" si="8"/>
        <v>#VALUE!</v>
      </c>
      <c r="C183" s="311" t="e">
        <f t="shared" ca="1" si="7"/>
        <v>#VALUE!</v>
      </c>
      <c r="D183" s="311" t="e">
        <f t="shared" ca="1" si="9"/>
        <v>#VALUE!</v>
      </c>
      <c r="E183" s="311" t="e">
        <f ca="1">C182*'Crédito de Vivienda UVR'!$E$17</f>
        <v>#VALUE!</v>
      </c>
      <c r="F183" s="322" t="e">
        <f ca="1">IF(B183=" ",0,PMT('Crédito de Vivienda UVR'!$E$17,'Crédito de Vivienda UVR'!$C$18,-'Crédito de Vivienda UVR'!$C$20,,))</f>
        <v>#VALUE!</v>
      </c>
      <c r="G183" s="320" t="e">
        <f ca="1">C182*(VLOOKUP('Crédito de Vivienda UVR'!$C$24,Seguros_Oblig!$A$3:$B$55,2,FALSE))</f>
        <v>#VALUE!</v>
      </c>
      <c r="H183" s="313" t="e">
        <f ca="1">C182*(VLOOKUP('Crédito de Vivienda UVR'!$C$25,Seguros_Oblig!$A$3:$B$55,2,FALSE))</f>
        <v>#VALUE!</v>
      </c>
      <c r="I183" s="313" t="e">
        <f ca="1">C182*(VLOOKUP('Crédito de Vivienda UVR'!$C$26,Seguros_Oblig!$A$3:$B$55,2,FALSE))</f>
        <v>#VALUE!</v>
      </c>
      <c r="J183" s="313" t="e">
        <f ca="1">C182*(VLOOKUP('Crédito de Vivienda UVR'!$C$27,Seguros_Oblig!$A$3:$B$55,2,FALSE))</f>
        <v>#VALUE!</v>
      </c>
      <c r="K183" s="35">
        <f ca="1">_xlfn.AGGREGATE(9,6,G183:J183)*'Crédito de Vivienda UVR'!$C$19</f>
        <v>0</v>
      </c>
      <c r="L183" s="7" t="e">
        <f ca="1">IF(C182&lt;1,"0",Seguros_Oblig!$K$2*('Crédito de Vivienda UVR'!$C$12*90%))</f>
        <v>#VALUE!</v>
      </c>
      <c r="M183" s="35" t="e">
        <f ca="1">K183+L183+(F183*'Crédito de Vivienda UVR'!$C$19)</f>
        <v>#VALUE!</v>
      </c>
      <c r="N183" s="316"/>
    </row>
    <row r="184" spans="2:14" ht="15.5" x14ac:dyDescent="0.35">
      <c r="B184" s="6" t="e">
        <f t="shared" ca="1" si="8"/>
        <v>#VALUE!</v>
      </c>
      <c r="C184" s="311" t="e">
        <f t="shared" ca="1" si="7"/>
        <v>#VALUE!</v>
      </c>
      <c r="D184" s="311" t="e">
        <f t="shared" ca="1" si="9"/>
        <v>#VALUE!</v>
      </c>
      <c r="E184" s="311" t="e">
        <f ca="1">C183*'Crédito de Vivienda UVR'!$E$17</f>
        <v>#VALUE!</v>
      </c>
      <c r="F184" s="322" t="e">
        <f ca="1">IF(B184=" ",0,PMT('Crédito de Vivienda UVR'!$E$17,'Crédito de Vivienda UVR'!$C$18,-'Crédito de Vivienda UVR'!$C$20,,))</f>
        <v>#VALUE!</v>
      </c>
      <c r="G184" s="320" t="e">
        <f ca="1">C183*(VLOOKUP('Crédito de Vivienda UVR'!$C$24,Seguros_Oblig!$A$3:$B$55,2,FALSE))</f>
        <v>#VALUE!</v>
      </c>
      <c r="H184" s="313" t="e">
        <f ca="1">C183*(VLOOKUP('Crédito de Vivienda UVR'!$C$25,Seguros_Oblig!$A$3:$B$55,2,FALSE))</f>
        <v>#VALUE!</v>
      </c>
      <c r="I184" s="313" t="e">
        <f ca="1">C183*(VLOOKUP('Crédito de Vivienda UVR'!$C$26,Seguros_Oblig!$A$3:$B$55,2,FALSE))</f>
        <v>#VALUE!</v>
      </c>
      <c r="J184" s="313" t="e">
        <f ca="1">C183*(VLOOKUP('Crédito de Vivienda UVR'!$C$27,Seguros_Oblig!$A$3:$B$55,2,FALSE))</f>
        <v>#VALUE!</v>
      </c>
      <c r="K184" s="35">
        <f ca="1">_xlfn.AGGREGATE(9,6,G184:J184)*'Crédito de Vivienda UVR'!$C$19</f>
        <v>0</v>
      </c>
      <c r="L184" s="7" t="e">
        <f ca="1">IF(C183&lt;1,"0",Seguros_Oblig!$K$2*('Crédito de Vivienda UVR'!$C$12*90%))</f>
        <v>#VALUE!</v>
      </c>
      <c r="M184" s="35" t="e">
        <f ca="1">K184+L184+(F184*'Crédito de Vivienda UVR'!$C$19)</f>
        <v>#VALUE!</v>
      </c>
      <c r="N184" s="316"/>
    </row>
    <row r="185" spans="2:14" ht="15.5" x14ac:dyDescent="0.35">
      <c r="B185" s="6" t="e">
        <f t="shared" ca="1" si="8"/>
        <v>#VALUE!</v>
      </c>
      <c r="C185" s="311" t="e">
        <f t="shared" ca="1" si="7"/>
        <v>#VALUE!</v>
      </c>
      <c r="D185" s="311" t="e">
        <f t="shared" ca="1" si="9"/>
        <v>#VALUE!</v>
      </c>
      <c r="E185" s="311" t="e">
        <f ca="1">C184*'Crédito de Vivienda UVR'!$E$17</f>
        <v>#VALUE!</v>
      </c>
      <c r="F185" s="322" t="e">
        <f ca="1">IF(B185=" ",0,PMT('Crédito de Vivienda UVR'!$E$17,'Crédito de Vivienda UVR'!$C$18,-'Crédito de Vivienda UVR'!$C$20,,))</f>
        <v>#VALUE!</v>
      </c>
      <c r="G185" s="320" t="e">
        <f ca="1">C184*(VLOOKUP('Crédito de Vivienda UVR'!$C$24,Seguros_Oblig!$A$3:$B$55,2,FALSE))</f>
        <v>#VALUE!</v>
      </c>
      <c r="H185" s="313" t="e">
        <f ca="1">C184*(VLOOKUP('Crédito de Vivienda UVR'!$C$25,Seguros_Oblig!$A$3:$B$55,2,FALSE))</f>
        <v>#VALUE!</v>
      </c>
      <c r="I185" s="313" t="e">
        <f ca="1">C184*(VLOOKUP('Crédito de Vivienda UVR'!$C$26,Seguros_Oblig!$A$3:$B$55,2,FALSE))</f>
        <v>#VALUE!</v>
      </c>
      <c r="J185" s="313" t="e">
        <f ca="1">C184*(VLOOKUP('Crédito de Vivienda UVR'!$C$27,Seguros_Oblig!$A$3:$B$55,2,FALSE))</f>
        <v>#VALUE!</v>
      </c>
      <c r="K185" s="35">
        <f ca="1">_xlfn.AGGREGATE(9,6,G185:J185)*'Crédito de Vivienda UVR'!$C$19</f>
        <v>0</v>
      </c>
      <c r="L185" s="7" t="e">
        <f ca="1">IF(C184&lt;1,"0",Seguros_Oblig!$K$2*('Crédito de Vivienda UVR'!$C$12*90%))</f>
        <v>#VALUE!</v>
      </c>
      <c r="M185" s="35" t="e">
        <f ca="1">K185+L185+(F185*'Crédito de Vivienda UVR'!$C$19)</f>
        <v>#VALUE!</v>
      </c>
      <c r="N185" s="316"/>
    </row>
    <row r="186" spans="2:14" ht="15.5" x14ac:dyDescent="0.35">
      <c r="B186" s="6" t="e">
        <f t="shared" ca="1" si="8"/>
        <v>#VALUE!</v>
      </c>
      <c r="C186" s="311" t="e">
        <f t="shared" ca="1" si="7"/>
        <v>#VALUE!</v>
      </c>
      <c r="D186" s="311" t="e">
        <f t="shared" ca="1" si="9"/>
        <v>#VALUE!</v>
      </c>
      <c r="E186" s="311" t="e">
        <f ca="1">C185*'Crédito de Vivienda UVR'!$E$17</f>
        <v>#VALUE!</v>
      </c>
      <c r="F186" s="322" t="e">
        <f ca="1">IF(B186=" ",0,PMT('Crédito de Vivienda UVR'!$E$17,'Crédito de Vivienda UVR'!$C$18,-'Crédito de Vivienda UVR'!$C$20,,))</f>
        <v>#VALUE!</v>
      </c>
      <c r="G186" s="320" t="e">
        <f ca="1">C185*(VLOOKUP('Crédito de Vivienda UVR'!$C$24,Seguros_Oblig!$A$3:$B$55,2,FALSE))</f>
        <v>#VALUE!</v>
      </c>
      <c r="H186" s="313" t="e">
        <f ca="1">C185*(VLOOKUP('Crédito de Vivienda UVR'!$C$25,Seguros_Oblig!$A$3:$B$55,2,FALSE))</f>
        <v>#VALUE!</v>
      </c>
      <c r="I186" s="313" t="e">
        <f ca="1">C185*(VLOOKUP('Crédito de Vivienda UVR'!$C$26,Seguros_Oblig!$A$3:$B$55,2,FALSE))</f>
        <v>#VALUE!</v>
      </c>
      <c r="J186" s="313" t="e">
        <f ca="1">C185*(VLOOKUP('Crédito de Vivienda UVR'!$C$27,Seguros_Oblig!$A$3:$B$55,2,FALSE))</f>
        <v>#VALUE!</v>
      </c>
      <c r="K186" s="35">
        <f ca="1">_xlfn.AGGREGATE(9,6,G186:J186)*'Crédito de Vivienda UVR'!$C$19</f>
        <v>0</v>
      </c>
      <c r="L186" s="7" t="e">
        <f ca="1">IF(C185&lt;1,"0",Seguros_Oblig!$K$2*('Crédito de Vivienda UVR'!$C$12*90%))</f>
        <v>#VALUE!</v>
      </c>
      <c r="M186" s="35" t="e">
        <f ca="1">K186+L186+(F186*'Crédito de Vivienda UVR'!$C$19)</f>
        <v>#VALUE!</v>
      </c>
      <c r="N186" s="316"/>
    </row>
    <row r="187" spans="2:14" ht="15.5" x14ac:dyDescent="0.35">
      <c r="B187" s="6" t="e">
        <f t="shared" ca="1" si="8"/>
        <v>#VALUE!</v>
      </c>
      <c r="C187" s="311" t="e">
        <f t="shared" ca="1" si="7"/>
        <v>#VALUE!</v>
      </c>
      <c r="D187" s="311" t="e">
        <f t="shared" ca="1" si="9"/>
        <v>#VALUE!</v>
      </c>
      <c r="E187" s="311" t="e">
        <f ca="1">C186*'Crédito de Vivienda UVR'!$E$17</f>
        <v>#VALUE!</v>
      </c>
      <c r="F187" s="322" t="e">
        <f ca="1">IF(B187=" ",0,PMT('Crédito de Vivienda UVR'!$E$17,'Crédito de Vivienda UVR'!$C$18,-'Crédito de Vivienda UVR'!$C$20,,))</f>
        <v>#VALUE!</v>
      </c>
      <c r="G187" s="320" t="e">
        <f ca="1">C186*(VLOOKUP('Crédito de Vivienda UVR'!$C$24,Seguros_Oblig!$A$3:$B$55,2,FALSE))</f>
        <v>#VALUE!</v>
      </c>
      <c r="H187" s="313" t="e">
        <f ca="1">C186*(VLOOKUP('Crédito de Vivienda UVR'!$C$25,Seguros_Oblig!$A$3:$B$55,2,FALSE))</f>
        <v>#VALUE!</v>
      </c>
      <c r="I187" s="313" t="e">
        <f ca="1">C186*(VLOOKUP('Crédito de Vivienda UVR'!$C$26,Seguros_Oblig!$A$3:$B$55,2,FALSE))</f>
        <v>#VALUE!</v>
      </c>
      <c r="J187" s="313" t="e">
        <f ca="1">C186*(VLOOKUP('Crédito de Vivienda UVR'!$C$27,Seguros_Oblig!$A$3:$B$55,2,FALSE))</f>
        <v>#VALUE!</v>
      </c>
      <c r="K187" s="35">
        <f ca="1">_xlfn.AGGREGATE(9,6,G187:J187)*'Crédito de Vivienda UVR'!$C$19</f>
        <v>0</v>
      </c>
      <c r="L187" s="7" t="e">
        <f ca="1">IF(C186&lt;1,"0",Seguros_Oblig!$K$2*('Crédito de Vivienda UVR'!$C$12*90%))</f>
        <v>#VALUE!</v>
      </c>
      <c r="M187" s="35" t="e">
        <f ca="1">K187+L187+(F187*'Crédito de Vivienda UVR'!$C$19)</f>
        <v>#VALUE!</v>
      </c>
      <c r="N187" s="316"/>
    </row>
    <row r="188" spans="2:14" ht="15.5" x14ac:dyDescent="0.35">
      <c r="B188" s="6" t="e">
        <f t="shared" ca="1" si="8"/>
        <v>#VALUE!</v>
      </c>
      <c r="C188" s="311" t="e">
        <f t="shared" ca="1" si="7"/>
        <v>#VALUE!</v>
      </c>
      <c r="D188" s="311" t="e">
        <f t="shared" ca="1" si="9"/>
        <v>#VALUE!</v>
      </c>
      <c r="E188" s="311" t="e">
        <f ca="1">C187*'Crédito de Vivienda UVR'!$E$17</f>
        <v>#VALUE!</v>
      </c>
      <c r="F188" s="322" t="e">
        <f ca="1">IF(B188=" ",0,PMT('Crédito de Vivienda UVR'!$E$17,'Crédito de Vivienda UVR'!$C$18,-'Crédito de Vivienda UVR'!$C$20,,))</f>
        <v>#VALUE!</v>
      </c>
      <c r="G188" s="320" t="e">
        <f ca="1">C187*(VLOOKUP('Crédito de Vivienda UVR'!$C$24,Seguros_Oblig!$A$3:$B$55,2,FALSE))</f>
        <v>#VALUE!</v>
      </c>
      <c r="H188" s="313" t="e">
        <f ca="1">C187*(VLOOKUP('Crédito de Vivienda UVR'!$C$25,Seguros_Oblig!$A$3:$B$55,2,FALSE))</f>
        <v>#VALUE!</v>
      </c>
      <c r="I188" s="313" t="e">
        <f ca="1">C187*(VLOOKUP('Crédito de Vivienda UVR'!$C$26,Seguros_Oblig!$A$3:$B$55,2,FALSE))</f>
        <v>#VALUE!</v>
      </c>
      <c r="J188" s="313" t="e">
        <f ca="1">C187*(VLOOKUP('Crédito de Vivienda UVR'!$C$27,Seguros_Oblig!$A$3:$B$55,2,FALSE))</f>
        <v>#VALUE!</v>
      </c>
      <c r="K188" s="35">
        <f ca="1">_xlfn.AGGREGATE(9,6,G188:J188)*'Crédito de Vivienda UVR'!$C$19</f>
        <v>0</v>
      </c>
      <c r="L188" s="7" t="e">
        <f ca="1">IF(C187&lt;1,"0",Seguros_Oblig!$K$2*('Crédito de Vivienda UVR'!$C$12*90%))</f>
        <v>#VALUE!</v>
      </c>
      <c r="M188" s="35" t="e">
        <f ca="1">K188+L188+(F188*'Crédito de Vivienda UVR'!$C$19)</f>
        <v>#VALUE!</v>
      </c>
      <c r="N188" s="316"/>
    </row>
    <row r="189" spans="2:14" ht="15.5" x14ac:dyDescent="0.35">
      <c r="B189" s="6" t="e">
        <f t="shared" ca="1" si="8"/>
        <v>#VALUE!</v>
      </c>
      <c r="C189" s="311" t="e">
        <f t="shared" ca="1" si="7"/>
        <v>#VALUE!</v>
      </c>
      <c r="D189" s="311" t="e">
        <f t="shared" ca="1" si="9"/>
        <v>#VALUE!</v>
      </c>
      <c r="E189" s="311" t="e">
        <f ca="1">C188*'Crédito de Vivienda UVR'!$E$17</f>
        <v>#VALUE!</v>
      </c>
      <c r="F189" s="322" t="e">
        <f ca="1">IF(B189=" ",0,PMT('Crédito de Vivienda UVR'!$E$17,'Crédito de Vivienda UVR'!$C$18,-'Crédito de Vivienda UVR'!$C$20,,))</f>
        <v>#VALUE!</v>
      </c>
      <c r="G189" s="320" t="e">
        <f ca="1">C188*(VLOOKUP('Crédito de Vivienda UVR'!$C$24,Seguros_Oblig!$A$3:$B$55,2,FALSE))</f>
        <v>#VALUE!</v>
      </c>
      <c r="H189" s="313" t="e">
        <f ca="1">C188*(VLOOKUP('Crédito de Vivienda UVR'!$C$25,Seguros_Oblig!$A$3:$B$55,2,FALSE))</f>
        <v>#VALUE!</v>
      </c>
      <c r="I189" s="313" t="e">
        <f ca="1">C188*(VLOOKUP('Crédito de Vivienda UVR'!$C$26,Seguros_Oblig!$A$3:$B$55,2,FALSE))</f>
        <v>#VALUE!</v>
      </c>
      <c r="J189" s="313" t="e">
        <f ca="1">C188*(VLOOKUP('Crédito de Vivienda UVR'!$C$27,Seguros_Oblig!$A$3:$B$55,2,FALSE))</f>
        <v>#VALUE!</v>
      </c>
      <c r="K189" s="35">
        <f ca="1">_xlfn.AGGREGATE(9,6,G189:J189)*'Crédito de Vivienda UVR'!$C$19</f>
        <v>0</v>
      </c>
      <c r="L189" s="7" t="e">
        <f ca="1">IF(C188&lt;1,"0",Seguros_Oblig!$K$2*('Crédito de Vivienda UVR'!$C$12*90%))</f>
        <v>#VALUE!</v>
      </c>
      <c r="M189" s="35" t="e">
        <f ca="1">K189+L189+(F189*'Crédito de Vivienda UVR'!$C$19)</f>
        <v>#VALUE!</v>
      </c>
      <c r="N189" s="316"/>
    </row>
    <row r="190" spans="2:14" ht="15.5" x14ac:dyDescent="0.35">
      <c r="B190" s="6" t="e">
        <f t="shared" ca="1" si="8"/>
        <v>#VALUE!</v>
      </c>
      <c r="C190" s="311" t="e">
        <f t="shared" ca="1" si="7"/>
        <v>#VALUE!</v>
      </c>
      <c r="D190" s="311" t="e">
        <f t="shared" ca="1" si="9"/>
        <v>#VALUE!</v>
      </c>
      <c r="E190" s="311" t="e">
        <f ca="1">C189*'Crédito de Vivienda UVR'!$E$17</f>
        <v>#VALUE!</v>
      </c>
      <c r="F190" s="322" t="e">
        <f ca="1">IF(B190=" ",0,PMT('Crédito de Vivienda UVR'!$E$17,'Crédito de Vivienda UVR'!$C$18,-'Crédito de Vivienda UVR'!$C$20,,))</f>
        <v>#VALUE!</v>
      </c>
      <c r="G190" s="320" t="e">
        <f ca="1">C189*(VLOOKUP('Crédito de Vivienda UVR'!$C$24,Seguros_Oblig!$A$3:$B$55,2,FALSE))</f>
        <v>#VALUE!</v>
      </c>
      <c r="H190" s="313" t="e">
        <f ca="1">C189*(VLOOKUP('Crédito de Vivienda UVR'!$C$25,Seguros_Oblig!$A$3:$B$55,2,FALSE))</f>
        <v>#VALUE!</v>
      </c>
      <c r="I190" s="313" t="e">
        <f ca="1">C189*(VLOOKUP('Crédito de Vivienda UVR'!$C$26,Seguros_Oblig!$A$3:$B$55,2,FALSE))</f>
        <v>#VALUE!</v>
      </c>
      <c r="J190" s="313" t="e">
        <f ca="1">C189*(VLOOKUP('Crédito de Vivienda UVR'!$C$27,Seguros_Oblig!$A$3:$B$55,2,FALSE))</f>
        <v>#VALUE!</v>
      </c>
      <c r="K190" s="35">
        <f ca="1">_xlfn.AGGREGATE(9,6,G190:J190)*'Crédito de Vivienda UVR'!$C$19</f>
        <v>0</v>
      </c>
      <c r="L190" s="7" t="e">
        <f ca="1">IF(C189&lt;1,"0",Seguros_Oblig!$K$2*('Crédito de Vivienda UVR'!$C$12*90%))</f>
        <v>#VALUE!</v>
      </c>
      <c r="M190" s="35" t="e">
        <f ca="1">K190+L190+(F190*'Crédito de Vivienda UVR'!$C$19)</f>
        <v>#VALUE!</v>
      </c>
      <c r="N190" s="316"/>
    </row>
    <row r="191" spans="2:14" ht="15.5" x14ac:dyDescent="0.35">
      <c r="B191" s="6" t="e">
        <f t="shared" ca="1" si="8"/>
        <v>#VALUE!</v>
      </c>
      <c r="C191" s="311" t="e">
        <f t="shared" ca="1" si="7"/>
        <v>#VALUE!</v>
      </c>
      <c r="D191" s="311" t="e">
        <f t="shared" ca="1" si="9"/>
        <v>#VALUE!</v>
      </c>
      <c r="E191" s="311" t="e">
        <f ca="1">C190*'Crédito de Vivienda UVR'!$E$17</f>
        <v>#VALUE!</v>
      </c>
      <c r="F191" s="322" t="e">
        <f ca="1">IF(B191=" ",0,PMT('Crédito de Vivienda UVR'!$E$17,'Crédito de Vivienda UVR'!$C$18,-'Crédito de Vivienda UVR'!$C$20,,))</f>
        <v>#VALUE!</v>
      </c>
      <c r="G191" s="320" t="e">
        <f ca="1">C190*(VLOOKUP('Crédito de Vivienda UVR'!$C$24,Seguros_Oblig!$A$3:$B$55,2,FALSE))</f>
        <v>#VALUE!</v>
      </c>
      <c r="H191" s="313" t="e">
        <f ca="1">C190*(VLOOKUP('Crédito de Vivienda UVR'!$C$25,Seguros_Oblig!$A$3:$B$55,2,FALSE))</f>
        <v>#VALUE!</v>
      </c>
      <c r="I191" s="313" t="e">
        <f ca="1">C190*(VLOOKUP('Crédito de Vivienda UVR'!$C$26,Seguros_Oblig!$A$3:$B$55,2,FALSE))</f>
        <v>#VALUE!</v>
      </c>
      <c r="J191" s="313" t="e">
        <f ca="1">C190*(VLOOKUP('Crédito de Vivienda UVR'!$C$27,Seguros_Oblig!$A$3:$B$55,2,FALSE))</f>
        <v>#VALUE!</v>
      </c>
      <c r="K191" s="35">
        <f ca="1">_xlfn.AGGREGATE(9,6,G191:J191)*'Crédito de Vivienda UVR'!$C$19</f>
        <v>0</v>
      </c>
      <c r="L191" s="7" t="e">
        <f ca="1">IF(C190&lt;1,"0",Seguros_Oblig!$K$2*('Crédito de Vivienda UVR'!$C$12*90%))</f>
        <v>#VALUE!</v>
      </c>
      <c r="M191" s="35" t="e">
        <f ca="1">K191+L191+(F191*'Crédito de Vivienda UVR'!$C$19)</f>
        <v>#VALUE!</v>
      </c>
      <c r="N191" s="316"/>
    </row>
    <row r="192" spans="2:14" ht="15.5" x14ac:dyDescent="0.35">
      <c r="B192" s="6" t="e">
        <f t="shared" ca="1" si="8"/>
        <v>#VALUE!</v>
      </c>
      <c r="C192" s="311" t="e">
        <f t="shared" ca="1" si="7"/>
        <v>#VALUE!</v>
      </c>
      <c r="D192" s="311" t="e">
        <f t="shared" ca="1" si="9"/>
        <v>#VALUE!</v>
      </c>
      <c r="E192" s="311" t="e">
        <f ca="1">C191*'Crédito de Vivienda UVR'!$E$17</f>
        <v>#VALUE!</v>
      </c>
      <c r="F192" s="322" t="e">
        <f ca="1">IF(B192=" ",0,PMT('Crédito de Vivienda UVR'!$E$17,'Crédito de Vivienda UVR'!$C$18,-'Crédito de Vivienda UVR'!$C$20,,))</f>
        <v>#VALUE!</v>
      </c>
      <c r="G192" s="320" t="e">
        <f ca="1">C191*(VLOOKUP('Crédito de Vivienda UVR'!$C$24,Seguros_Oblig!$A$3:$B$55,2,FALSE))</f>
        <v>#VALUE!</v>
      </c>
      <c r="H192" s="313" t="e">
        <f ca="1">C191*(VLOOKUP('Crédito de Vivienda UVR'!$C$25,Seguros_Oblig!$A$3:$B$55,2,FALSE))</f>
        <v>#VALUE!</v>
      </c>
      <c r="I192" s="313" t="e">
        <f ca="1">C191*(VLOOKUP('Crédito de Vivienda UVR'!$C$26,Seguros_Oblig!$A$3:$B$55,2,FALSE))</f>
        <v>#VALUE!</v>
      </c>
      <c r="J192" s="313" t="e">
        <f ca="1">C191*(VLOOKUP('Crédito de Vivienda UVR'!$C$27,Seguros_Oblig!$A$3:$B$55,2,FALSE))</f>
        <v>#VALUE!</v>
      </c>
      <c r="K192" s="35">
        <f ca="1">_xlfn.AGGREGATE(9,6,G192:J192)*'Crédito de Vivienda UVR'!$C$19</f>
        <v>0</v>
      </c>
      <c r="L192" s="7" t="e">
        <f ca="1">IF(C191&lt;1,"0",Seguros_Oblig!$K$2*('Crédito de Vivienda UVR'!$C$12*90%))</f>
        <v>#VALUE!</v>
      </c>
      <c r="M192" s="35" t="e">
        <f ca="1">K192+L192+(F192*'Crédito de Vivienda UVR'!$C$19)</f>
        <v>#VALUE!</v>
      </c>
      <c r="N192" s="316"/>
    </row>
    <row r="193" spans="2:14" ht="15.5" x14ac:dyDescent="0.35">
      <c r="B193" s="6" t="e">
        <f t="shared" ca="1" si="8"/>
        <v>#VALUE!</v>
      </c>
      <c r="C193" s="311" t="e">
        <f t="shared" ca="1" si="7"/>
        <v>#VALUE!</v>
      </c>
      <c r="D193" s="311" t="e">
        <f t="shared" ca="1" si="9"/>
        <v>#VALUE!</v>
      </c>
      <c r="E193" s="311" t="e">
        <f ca="1">C192*'Crédito de Vivienda UVR'!$E$17</f>
        <v>#VALUE!</v>
      </c>
      <c r="F193" s="322" t="e">
        <f ca="1">IF(B193=" ",0,PMT('Crédito de Vivienda UVR'!$E$17,'Crédito de Vivienda UVR'!$C$18,-'Crédito de Vivienda UVR'!$C$20,,))</f>
        <v>#VALUE!</v>
      </c>
      <c r="G193" s="320" t="e">
        <f ca="1">C192*(VLOOKUP('Crédito de Vivienda UVR'!$C$24,Seguros_Oblig!$A$3:$B$55,2,FALSE))</f>
        <v>#VALUE!</v>
      </c>
      <c r="H193" s="313" t="e">
        <f ca="1">C192*(VLOOKUP('Crédito de Vivienda UVR'!$C$25,Seguros_Oblig!$A$3:$B$55,2,FALSE))</f>
        <v>#VALUE!</v>
      </c>
      <c r="I193" s="313" t="e">
        <f ca="1">C192*(VLOOKUP('Crédito de Vivienda UVR'!$C$26,Seguros_Oblig!$A$3:$B$55,2,FALSE))</f>
        <v>#VALUE!</v>
      </c>
      <c r="J193" s="313" t="e">
        <f ca="1">C192*(VLOOKUP('Crédito de Vivienda UVR'!$C$27,Seguros_Oblig!$A$3:$B$55,2,FALSE))</f>
        <v>#VALUE!</v>
      </c>
      <c r="K193" s="35">
        <f ca="1">_xlfn.AGGREGATE(9,6,G193:J193)*'Crédito de Vivienda UVR'!$C$19</f>
        <v>0</v>
      </c>
      <c r="L193" s="7" t="e">
        <f ca="1">IF(C192&lt;1,"0",Seguros_Oblig!$K$2*('Crédito de Vivienda UVR'!$C$12*90%))</f>
        <v>#VALUE!</v>
      </c>
      <c r="M193" s="35" t="e">
        <f ca="1">K193+L193+(F193*'Crédito de Vivienda UVR'!$C$19)</f>
        <v>#VALUE!</v>
      </c>
      <c r="N193" s="316"/>
    </row>
    <row r="194" spans="2:14" ht="15.5" x14ac:dyDescent="0.35">
      <c r="B194" s="6" t="e">
        <f t="shared" ca="1" si="8"/>
        <v>#VALUE!</v>
      </c>
      <c r="C194" s="311" t="e">
        <f t="shared" ca="1" si="7"/>
        <v>#VALUE!</v>
      </c>
      <c r="D194" s="311" t="e">
        <f t="shared" ca="1" si="9"/>
        <v>#VALUE!</v>
      </c>
      <c r="E194" s="311" t="e">
        <f ca="1">C193*'Crédito de Vivienda UVR'!$E$17</f>
        <v>#VALUE!</v>
      </c>
      <c r="F194" s="322" t="e">
        <f ca="1">IF(B194=" ",0,PMT('Crédito de Vivienda UVR'!$E$17,'Crédito de Vivienda UVR'!$C$18,-'Crédito de Vivienda UVR'!$C$20,,))</f>
        <v>#VALUE!</v>
      </c>
      <c r="G194" s="320" t="e">
        <f ca="1">C193*(VLOOKUP('Crédito de Vivienda UVR'!$C$24,Seguros_Oblig!$A$3:$B$55,2,FALSE))</f>
        <v>#VALUE!</v>
      </c>
      <c r="H194" s="313" t="e">
        <f ca="1">C193*(VLOOKUP('Crédito de Vivienda UVR'!$C$25,Seguros_Oblig!$A$3:$B$55,2,FALSE))</f>
        <v>#VALUE!</v>
      </c>
      <c r="I194" s="313" t="e">
        <f ca="1">C193*(VLOOKUP('Crédito de Vivienda UVR'!$C$26,Seguros_Oblig!$A$3:$B$55,2,FALSE))</f>
        <v>#VALUE!</v>
      </c>
      <c r="J194" s="313" t="e">
        <f ca="1">C193*(VLOOKUP('Crédito de Vivienda UVR'!$C$27,Seguros_Oblig!$A$3:$B$55,2,FALSE))</f>
        <v>#VALUE!</v>
      </c>
      <c r="K194" s="35">
        <f ca="1">_xlfn.AGGREGATE(9,6,G194:J194)*'Crédito de Vivienda UVR'!$C$19</f>
        <v>0</v>
      </c>
      <c r="L194" s="7" t="e">
        <f ca="1">IF(C193&lt;1,"0",Seguros_Oblig!$K$2*('Crédito de Vivienda UVR'!$C$12*90%))</f>
        <v>#VALUE!</v>
      </c>
      <c r="M194" s="35" t="e">
        <f ca="1">K194+L194+(F194*'Crédito de Vivienda UVR'!$C$19)</f>
        <v>#VALUE!</v>
      </c>
      <c r="N194" s="316"/>
    </row>
    <row r="195" spans="2:14" ht="15.5" x14ac:dyDescent="0.35">
      <c r="B195" s="6" t="e">
        <f t="shared" ca="1" si="8"/>
        <v>#VALUE!</v>
      </c>
      <c r="C195" s="311" t="e">
        <f t="shared" ca="1" si="7"/>
        <v>#VALUE!</v>
      </c>
      <c r="D195" s="311" t="e">
        <f t="shared" ca="1" si="9"/>
        <v>#VALUE!</v>
      </c>
      <c r="E195" s="311" t="e">
        <f ca="1">C194*'Crédito de Vivienda UVR'!$E$17</f>
        <v>#VALUE!</v>
      </c>
      <c r="F195" s="322" t="e">
        <f ca="1">IF(B195=" ",0,PMT('Crédito de Vivienda UVR'!$E$17,'Crédito de Vivienda UVR'!$C$18,-'Crédito de Vivienda UVR'!$C$20,,))</f>
        <v>#VALUE!</v>
      </c>
      <c r="G195" s="320" t="e">
        <f ca="1">C194*(VLOOKUP('Crédito de Vivienda UVR'!$C$24,Seguros_Oblig!$A$3:$B$55,2,FALSE))</f>
        <v>#VALUE!</v>
      </c>
      <c r="H195" s="313" t="e">
        <f ca="1">C194*(VLOOKUP('Crédito de Vivienda UVR'!$C$25,Seguros_Oblig!$A$3:$B$55,2,FALSE))</f>
        <v>#VALUE!</v>
      </c>
      <c r="I195" s="313" t="e">
        <f ca="1">C194*(VLOOKUP('Crédito de Vivienda UVR'!$C$26,Seguros_Oblig!$A$3:$B$55,2,FALSE))</f>
        <v>#VALUE!</v>
      </c>
      <c r="J195" s="313" t="e">
        <f ca="1">C194*(VLOOKUP('Crédito de Vivienda UVR'!$C$27,Seguros_Oblig!$A$3:$B$55,2,FALSE))</f>
        <v>#VALUE!</v>
      </c>
      <c r="K195" s="35">
        <f ca="1">_xlfn.AGGREGATE(9,6,G195:J195)*'Crédito de Vivienda UVR'!$C$19</f>
        <v>0</v>
      </c>
      <c r="L195" s="7" t="e">
        <f ca="1">IF(C194&lt;1,"0",Seguros_Oblig!$K$2*('Crédito de Vivienda UVR'!$C$12*90%))</f>
        <v>#VALUE!</v>
      </c>
      <c r="M195" s="35" t="e">
        <f ca="1">K195+L195+(F195*'Crédito de Vivienda UVR'!$C$19)</f>
        <v>#VALUE!</v>
      </c>
      <c r="N195" s="316"/>
    </row>
    <row r="196" spans="2:14" ht="15.5" x14ac:dyDescent="0.35">
      <c r="B196" s="6" t="e">
        <f t="shared" ca="1" si="8"/>
        <v>#VALUE!</v>
      </c>
      <c r="C196" s="311" t="e">
        <f t="shared" ca="1" si="7"/>
        <v>#VALUE!</v>
      </c>
      <c r="D196" s="311" t="e">
        <f t="shared" ca="1" si="9"/>
        <v>#VALUE!</v>
      </c>
      <c r="E196" s="311" t="e">
        <f ca="1">C195*'Crédito de Vivienda UVR'!$E$17</f>
        <v>#VALUE!</v>
      </c>
      <c r="F196" s="322" t="e">
        <f ca="1">IF(B196=" ",0,PMT('Crédito de Vivienda UVR'!$E$17,'Crédito de Vivienda UVR'!$C$18,-'Crédito de Vivienda UVR'!$C$20,,))</f>
        <v>#VALUE!</v>
      </c>
      <c r="G196" s="320" t="e">
        <f ca="1">C195*(VLOOKUP('Crédito de Vivienda UVR'!$C$24,Seguros_Oblig!$A$3:$B$55,2,FALSE))</f>
        <v>#VALUE!</v>
      </c>
      <c r="H196" s="313" t="e">
        <f ca="1">C195*(VLOOKUP('Crédito de Vivienda UVR'!$C$25,Seguros_Oblig!$A$3:$B$55,2,FALSE))</f>
        <v>#VALUE!</v>
      </c>
      <c r="I196" s="313" t="e">
        <f ca="1">C195*(VLOOKUP('Crédito de Vivienda UVR'!$C$26,Seguros_Oblig!$A$3:$B$55,2,FALSE))</f>
        <v>#VALUE!</v>
      </c>
      <c r="J196" s="313" t="e">
        <f ca="1">C195*(VLOOKUP('Crédito de Vivienda UVR'!$C$27,Seguros_Oblig!$A$3:$B$55,2,FALSE))</f>
        <v>#VALUE!</v>
      </c>
      <c r="K196" s="35">
        <f ca="1">_xlfn.AGGREGATE(9,6,G196:J196)*'Crédito de Vivienda UVR'!$C$19</f>
        <v>0</v>
      </c>
      <c r="L196" s="7" t="e">
        <f ca="1">IF(C195&lt;1,"0",Seguros_Oblig!$K$2*('Crédito de Vivienda UVR'!$C$12*90%))</f>
        <v>#VALUE!</v>
      </c>
      <c r="M196" s="35" t="e">
        <f ca="1">K196+L196+(F196*'Crédito de Vivienda UVR'!$C$19)</f>
        <v>#VALUE!</v>
      </c>
      <c r="N196" s="316"/>
    </row>
    <row r="197" spans="2:14" ht="15.5" x14ac:dyDescent="0.35">
      <c r="B197" s="6" t="e">
        <f t="shared" ca="1" si="8"/>
        <v>#VALUE!</v>
      </c>
      <c r="C197" s="311" t="e">
        <f t="shared" ca="1" si="7"/>
        <v>#VALUE!</v>
      </c>
      <c r="D197" s="311" t="e">
        <f t="shared" ca="1" si="9"/>
        <v>#VALUE!</v>
      </c>
      <c r="E197" s="311" t="e">
        <f ca="1">C196*'Crédito de Vivienda UVR'!$E$17</f>
        <v>#VALUE!</v>
      </c>
      <c r="F197" s="322" t="e">
        <f ca="1">IF(B197=" ",0,PMT('Crédito de Vivienda UVR'!$E$17,'Crédito de Vivienda UVR'!$C$18,-'Crédito de Vivienda UVR'!$C$20,,))</f>
        <v>#VALUE!</v>
      </c>
      <c r="G197" s="320" t="e">
        <f ca="1">C196*(VLOOKUP('Crédito de Vivienda UVR'!$C$24,Seguros_Oblig!$A$3:$B$55,2,FALSE))</f>
        <v>#VALUE!</v>
      </c>
      <c r="H197" s="313" t="e">
        <f ca="1">C196*(VLOOKUP('Crédito de Vivienda UVR'!$C$25,Seguros_Oblig!$A$3:$B$55,2,FALSE))</f>
        <v>#VALUE!</v>
      </c>
      <c r="I197" s="313" t="e">
        <f ca="1">C196*(VLOOKUP('Crédito de Vivienda UVR'!$C$26,Seguros_Oblig!$A$3:$B$55,2,FALSE))</f>
        <v>#VALUE!</v>
      </c>
      <c r="J197" s="313" t="e">
        <f ca="1">C196*(VLOOKUP('Crédito de Vivienda UVR'!$C$27,Seguros_Oblig!$A$3:$B$55,2,FALSE))</f>
        <v>#VALUE!</v>
      </c>
      <c r="K197" s="35">
        <f ca="1">_xlfn.AGGREGATE(9,6,G197:J197)*'Crédito de Vivienda UVR'!$C$19</f>
        <v>0</v>
      </c>
      <c r="L197" s="7" t="e">
        <f ca="1">IF(C196&lt;1,"0",Seguros_Oblig!$K$2*('Crédito de Vivienda UVR'!$C$12*90%))</f>
        <v>#VALUE!</v>
      </c>
      <c r="M197" s="35" t="e">
        <f ca="1">K197+L197+(F197*'Crédito de Vivienda UVR'!$C$19)</f>
        <v>#VALUE!</v>
      </c>
      <c r="N197" s="316"/>
    </row>
    <row r="198" spans="2:14" ht="15.5" x14ac:dyDescent="0.35">
      <c r="B198" s="6" t="e">
        <f t="shared" ca="1" si="8"/>
        <v>#VALUE!</v>
      </c>
      <c r="C198" s="311" t="e">
        <f t="shared" ca="1" si="7"/>
        <v>#VALUE!</v>
      </c>
      <c r="D198" s="311" t="e">
        <f t="shared" ca="1" si="9"/>
        <v>#VALUE!</v>
      </c>
      <c r="E198" s="311" t="e">
        <f ca="1">C197*'Crédito de Vivienda UVR'!$E$17</f>
        <v>#VALUE!</v>
      </c>
      <c r="F198" s="322" t="e">
        <f ca="1">IF(B198=" ",0,PMT('Crédito de Vivienda UVR'!$E$17,'Crédito de Vivienda UVR'!$C$18,-'Crédito de Vivienda UVR'!$C$20,,))</f>
        <v>#VALUE!</v>
      </c>
      <c r="G198" s="320" t="e">
        <f ca="1">C197*(VLOOKUP('Crédito de Vivienda UVR'!$C$24,Seguros_Oblig!$A$3:$B$55,2,FALSE))</f>
        <v>#VALUE!</v>
      </c>
      <c r="H198" s="313" t="e">
        <f ca="1">C197*(VLOOKUP('Crédito de Vivienda UVR'!$C$25,Seguros_Oblig!$A$3:$B$55,2,FALSE))</f>
        <v>#VALUE!</v>
      </c>
      <c r="I198" s="313" t="e">
        <f ca="1">C197*(VLOOKUP('Crédito de Vivienda UVR'!$C$26,Seguros_Oblig!$A$3:$B$55,2,FALSE))</f>
        <v>#VALUE!</v>
      </c>
      <c r="J198" s="313" t="e">
        <f ca="1">C197*(VLOOKUP('Crédito de Vivienda UVR'!$C$27,Seguros_Oblig!$A$3:$B$55,2,FALSE))</f>
        <v>#VALUE!</v>
      </c>
      <c r="K198" s="35">
        <f ca="1">_xlfn.AGGREGATE(9,6,G198:J198)*'Crédito de Vivienda UVR'!$C$19</f>
        <v>0</v>
      </c>
      <c r="L198" s="7" t="e">
        <f ca="1">IF(C197&lt;1,"0",Seguros_Oblig!$K$2*('Crédito de Vivienda UVR'!$C$12*90%))</f>
        <v>#VALUE!</v>
      </c>
      <c r="M198" s="35" t="e">
        <f ca="1">K198+L198+(F198*'Crédito de Vivienda UVR'!$C$19)</f>
        <v>#VALUE!</v>
      </c>
      <c r="N198" s="316"/>
    </row>
    <row r="199" spans="2:14" ht="15.5" x14ac:dyDescent="0.35">
      <c r="B199" s="6" t="e">
        <f t="shared" ca="1" si="8"/>
        <v>#VALUE!</v>
      </c>
      <c r="C199" s="311" t="e">
        <f t="shared" ca="1" si="7"/>
        <v>#VALUE!</v>
      </c>
      <c r="D199" s="311" t="e">
        <f t="shared" ca="1" si="9"/>
        <v>#VALUE!</v>
      </c>
      <c r="E199" s="311" t="e">
        <f ca="1">C198*'Crédito de Vivienda UVR'!$E$17</f>
        <v>#VALUE!</v>
      </c>
      <c r="F199" s="322" t="e">
        <f ca="1">IF(B199=" ",0,PMT('Crédito de Vivienda UVR'!$E$17,'Crédito de Vivienda UVR'!$C$18,-'Crédito de Vivienda UVR'!$C$20,,))</f>
        <v>#VALUE!</v>
      </c>
      <c r="G199" s="320" t="e">
        <f ca="1">C198*(VLOOKUP('Crédito de Vivienda UVR'!$C$24,Seguros_Oblig!$A$3:$B$55,2,FALSE))</f>
        <v>#VALUE!</v>
      </c>
      <c r="H199" s="313" t="e">
        <f ca="1">C198*(VLOOKUP('Crédito de Vivienda UVR'!$C$25,Seguros_Oblig!$A$3:$B$55,2,FALSE))</f>
        <v>#VALUE!</v>
      </c>
      <c r="I199" s="313" t="e">
        <f ca="1">C198*(VLOOKUP('Crédito de Vivienda UVR'!$C$26,Seguros_Oblig!$A$3:$B$55,2,FALSE))</f>
        <v>#VALUE!</v>
      </c>
      <c r="J199" s="313" t="e">
        <f ca="1">C198*(VLOOKUP('Crédito de Vivienda UVR'!$C$27,Seguros_Oblig!$A$3:$B$55,2,FALSE))</f>
        <v>#VALUE!</v>
      </c>
      <c r="K199" s="35">
        <f ca="1">_xlfn.AGGREGATE(9,6,G199:J199)*'Crédito de Vivienda UVR'!$C$19</f>
        <v>0</v>
      </c>
      <c r="L199" s="7" t="e">
        <f ca="1">IF(C198&lt;1,"0",Seguros_Oblig!$K$2*('Crédito de Vivienda UVR'!$C$12*90%))</f>
        <v>#VALUE!</v>
      </c>
      <c r="M199" s="35" t="e">
        <f ca="1">K199+L199+(F199*'Crédito de Vivienda UVR'!$C$19)</f>
        <v>#VALUE!</v>
      </c>
      <c r="N199" s="316"/>
    </row>
    <row r="200" spans="2:14" ht="15.5" x14ac:dyDescent="0.35">
      <c r="B200" s="6" t="e">
        <f t="shared" ca="1" si="8"/>
        <v>#VALUE!</v>
      </c>
      <c r="C200" s="311" t="e">
        <f t="shared" ca="1" si="7"/>
        <v>#VALUE!</v>
      </c>
      <c r="D200" s="311" t="e">
        <f t="shared" ca="1" si="9"/>
        <v>#VALUE!</v>
      </c>
      <c r="E200" s="311" t="e">
        <f ca="1">C199*'Crédito de Vivienda UVR'!$E$17</f>
        <v>#VALUE!</v>
      </c>
      <c r="F200" s="322" t="e">
        <f ca="1">IF(B200=" ",0,PMT('Crédito de Vivienda UVR'!$E$17,'Crédito de Vivienda UVR'!$C$18,-'Crédito de Vivienda UVR'!$C$20,,))</f>
        <v>#VALUE!</v>
      </c>
      <c r="G200" s="320" t="e">
        <f ca="1">C199*(VLOOKUP('Crédito de Vivienda UVR'!$C$24,Seguros_Oblig!$A$3:$B$55,2,FALSE))</f>
        <v>#VALUE!</v>
      </c>
      <c r="H200" s="313" t="e">
        <f ca="1">C199*(VLOOKUP('Crédito de Vivienda UVR'!$C$25,Seguros_Oblig!$A$3:$B$55,2,FALSE))</f>
        <v>#VALUE!</v>
      </c>
      <c r="I200" s="313" t="e">
        <f ca="1">C199*(VLOOKUP('Crédito de Vivienda UVR'!$C$26,Seguros_Oblig!$A$3:$B$55,2,FALSE))</f>
        <v>#VALUE!</v>
      </c>
      <c r="J200" s="313" t="e">
        <f ca="1">C199*(VLOOKUP('Crédito de Vivienda UVR'!$C$27,Seguros_Oblig!$A$3:$B$55,2,FALSE))</f>
        <v>#VALUE!</v>
      </c>
      <c r="K200" s="35">
        <f ca="1">_xlfn.AGGREGATE(9,6,G200:J200)*'Crédito de Vivienda UVR'!$C$19</f>
        <v>0</v>
      </c>
      <c r="L200" s="7" t="e">
        <f ca="1">IF(C199&lt;1,"0",Seguros_Oblig!$K$2*('Crédito de Vivienda UVR'!$C$12*90%))</f>
        <v>#VALUE!</v>
      </c>
      <c r="M200" s="35" t="e">
        <f ca="1">K200+L200+(F200*'Crédito de Vivienda UVR'!$C$19)</f>
        <v>#VALUE!</v>
      </c>
      <c r="N200" s="316"/>
    </row>
    <row r="201" spans="2:14" ht="15.5" x14ac:dyDescent="0.35">
      <c r="B201" s="6" t="e">
        <f t="shared" ca="1" si="8"/>
        <v>#VALUE!</v>
      </c>
      <c r="C201" s="311" t="e">
        <f t="shared" ca="1" si="7"/>
        <v>#VALUE!</v>
      </c>
      <c r="D201" s="311" t="e">
        <f t="shared" ca="1" si="9"/>
        <v>#VALUE!</v>
      </c>
      <c r="E201" s="311" t="e">
        <f ca="1">C200*'Crédito de Vivienda UVR'!$E$17</f>
        <v>#VALUE!</v>
      </c>
      <c r="F201" s="322" t="e">
        <f ca="1">IF(B201=" ",0,PMT('Crédito de Vivienda UVR'!$E$17,'Crédito de Vivienda UVR'!$C$18,-'Crédito de Vivienda UVR'!$C$20,,))</f>
        <v>#VALUE!</v>
      </c>
      <c r="G201" s="320" t="e">
        <f ca="1">C200*(VLOOKUP('Crédito de Vivienda UVR'!$C$24,Seguros_Oblig!$A$3:$B$55,2,FALSE))</f>
        <v>#VALUE!</v>
      </c>
      <c r="H201" s="313" t="e">
        <f ca="1">C200*(VLOOKUP('Crédito de Vivienda UVR'!$C$25,Seguros_Oblig!$A$3:$B$55,2,FALSE))</f>
        <v>#VALUE!</v>
      </c>
      <c r="I201" s="313" t="e">
        <f ca="1">C200*(VLOOKUP('Crédito de Vivienda UVR'!$C$26,Seguros_Oblig!$A$3:$B$55,2,FALSE))</f>
        <v>#VALUE!</v>
      </c>
      <c r="J201" s="313" t="e">
        <f ca="1">C200*(VLOOKUP('Crédito de Vivienda UVR'!$C$27,Seguros_Oblig!$A$3:$B$55,2,FALSE))</f>
        <v>#VALUE!</v>
      </c>
      <c r="K201" s="35">
        <f ca="1">_xlfn.AGGREGATE(9,6,G201:J201)*'Crédito de Vivienda UVR'!$C$19</f>
        <v>0</v>
      </c>
      <c r="L201" s="7" t="e">
        <f ca="1">IF(C200&lt;1,"0",Seguros_Oblig!$K$2*('Crédito de Vivienda UVR'!$C$12*90%))</f>
        <v>#VALUE!</v>
      </c>
      <c r="M201" s="35" t="e">
        <f ca="1">K201+L201+(F201*'Crédito de Vivienda UVR'!$C$19)</f>
        <v>#VALUE!</v>
      </c>
      <c r="N201" s="316"/>
    </row>
    <row r="202" spans="2:14" ht="15.5" x14ac:dyDescent="0.35">
      <c r="B202" s="6" t="e">
        <f t="shared" ca="1" si="8"/>
        <v>#VALUE!</v>
      </c>
      <c r="C202" s="311" t="e">
        <f t="shared" ca="1" si="7"/>
        <v>#VALUE!</v>
      </c>
      <c r="D202" s="311" t="e">
        <f t="shared" ca="1" si="9"/>
        <v>#VALUE!</v>
      </c>
      <c r="E202" s="311" t="e">
        <f ca="1">C201*'Crédito de Vivienda UVR'!$E$17</f>
        <v>#VALUE!</v>
      </c>
      <c r="F202" s="322" t="e">
        <f ca="1">IF(B202=" ",0,PMT('Crédito de Vivienda UVR'!$E$17,'Crédito de Vivienda UVR'!$C$18,-'Crédito de Vivienda UVR'!$C$20,,))</f>
        <v>#VALUE!</v>
      </c>
      <c r="G202" s="320" t="e">
        <f ca="1">C201*(VLOOKUP('Crédito de Vivienda UVR'!$C$24,Seguros_Oblig!$A$3:$B$55,2,FALSE))</f>
        <v>#VALUE!</v>
      </c>
      <c r="H202" s="313" t="e">
        <f ca="1">C201*(VLOOKUP('Crédito de Vivienda UVR'!$C$25,Seguros_Oblig!$A$3:$B$55,2,FALSE))</f>
        <v>#VALUE!</v>
      </c>
      <c r="I202" s="313" t="e">
        <f ca="1">C201*(VLOOKUP('Crédito de Vivienda UVR'!$C$26,Seguros_Oblig!$A$3:$B$55,2,FALSE))</f>
        <v>#VALUE!</v>
      </c>
      <c r="J202" s="313" t="e">
        <f ca="1">C201*(VLOOKUP('Crédito de Vivienda UVR'!$C$27,Seguros_Oblig!$A$3:$B$55,2,FALSE))</f>
        <v>#VALUE!</v>
      </c>
      <c r="K202" s="35">
        <f ca="1">_xlfn.AGGREGATE(9,6,G202:J202)*'Crédito de Vivienda UVR'!$C$19</f>
        <v>0</v>
      </c>
      <c r="L202" s="7" t="e">
        <f ca="1">IF(C201&lt;1,"0",Seguros_Oblig!$K$2*('Crédito de Vivienda UVR'!$C$12*90%))</f>
        <v>#VALUE!</v>
      </c>
      <c r="M202" s="35" t="e">
        <f ca="1">K202+L202+(F202*'Crédito de Vivienda UVR'!$C$19)</f>
        <v>#VALUE!</v>
      </c>
      <c r="N202" s="316"/>
    </row>
    <row r="203" spans="2:14" ht="15.5" x14ac:dyDescent="0.35">
      <c r="B203" s="6" t="e">
        <f t="shared" ca="1" si="8"/>
        <v>#VALUE!</v>
      </c>
      <c r="C203" s="311" t="e">
        <f t="shared" ca="1" si="7"/>
        <v>#VALUE!</v>
      </c>
      <c r="D203" s="311" t="e">
        <f t="shared" ca="1" si="9"/>
        <v>#VALUE!</v>
      </c>
      <c r="E203" s="311" t="e">
        <f ca="1">C202*'Crédito de Vivienda UVR'!$E$17</f>
        <v>#VALUE!</v>
      </c>
      <c r="F203" s="322" t="e">
        <f ca="1">IF(B203=" ",0,PMT('Crédito de Vivienda UVR'!$E$17,'Crédito de Vivienda UVR'!$C$18,-'Crédito de Vivienda UVR'!$C$20,,))</f>
        <v>#VALUE!</v>
      </c>
      <c r="G203" s="320" t="e">
        <f ca="1">C202*(VLOOKUP('Crédito de Vivienda UVR'!$C$24,Seguros_Oblig!$A$3:$B$55,2,FALSE))</f>
        <v>#VALUE!</v>
      </c>
      <c r="H203" s="313" t="e">
        <f ca="1">C202*(VLOOKUP('Crédito de Vivienda UVR'!$C$25,Seguros_Oblig!$A$3:$B$55,2,FALSE))</f>
        <v>#VALUE!</v>
      </c>
      <c r="I203" s="313" t="e">
        <f ca="1">C202*(VLOOKUP('Crédito de Vivienda UVR'!$C$26,Seguros_Oblig!$A$3:$B$55,2,FALSE))</f>
        <v>#VALUE!</v>
      </c>
      <c r="J203" s="313" t="e">
        <f ca="1">C202*(VLOOKUP('Crédito de Vivienda UVR'!$C$27,Seguros_Oblig!$A$3:$B$55,2,FALSE))</f>
        <v>#VALUE!</v>
      </c>
      <c r="K203" s="35">
        <f ca="1">_xlfn.AGGREGATE(9,6,G203:J203)*'Crédito de Vivienda UVR'!$C$19</f>
        <v>0</v>
      </c>
      <c r="L203" s="7" t="e">
        <f ca="1">IF(C202&lt;1,"0",Seguros_Oblig!$K$2*('Crédito de Vivienda UVR'!$C$12*90%))</f>
        <v>#VALUE!</v>
      </c>
      <c r="M203" s="35" t="e">
        <f ca="1">K203+L203+(F203*'Crédito de Vivienda UVR'!$C$19)</f>
        <v>#VALUE!</v>
      </c>
      <c r="N203" s="316"/>
    </row>
    <row r="204" spans="2:14" ht="15.5" x14ac:dyDescent="0.35">
      <c r="B204" s="6" t="e">
        <f t="shared" ca="1" si="8"/>
        <v>#VALUE!</v>
      </c>
      <c r="C204" s="311" t="e">
        <f t="shared" ca="1" si="7"/>
        <v>#VALUE!</v>
      </c>
      <c r="D204" s="311" t="e">
        <f t="shared" ca="1" si="9"/>
        <v>#VALUE!</v>
      </c>
      <c r="E204" s="311" t="e">
        <f ca="1">C203*'Crédito de Vivienda UVR'!$E$17</f>
        <v>#VALUE!</v>
      </c>
      <c r="F204" s="322" t="e">
        <f ca="1">IF(B204=" ",0,PMT('Crédito de Vivienda UVR'!$E$17,'Crédito de Vivienda UVR'!$C$18,-'Crédito de Vivienda UVR'!$C$20,,))</f>
        <v>#VALUE!</v>
      </c>
      <c r="G204" s="320" t="e">
        <f ca="1">C203*(VLOOKUP('Crédito de Vivienda UVR'!$C$24,Seguros_Oblig!$A$3:$B$55,2,FALSE))</f>
        <v>#VALUE!</v>
      </c>
      <c r="H204" s="313" t="e">
        <f ca="1">C203*(VLOOKUP('Crédito de Vivienda UVR'!$C$25,Seguros_Oblig!$A$3:$B$55,2,FALSE))</f>
        <v>#VALUE!</v>
      </c>
      <c r="I204" s="313" t="e">
        <f ca="1">C203*(VLOOKUP('Crédito de Vivienda UVR'!$C$26,Seguros_Oblig!$A$3:$B$55,2,FALSE))</f>
        <v>#VALUE!</v>
      </c>
      <c r="J204" s="313" t="e">
        <f ca="1">C203*(VLOOKUP('Crédito de Vivienda UVR'!$C$27,Seguros_Oblig!$A$3:$B$55,2,FALSE))</f>
        <v>#VALUE!</v>
      </c>
      <c r="K204" s="35">
        <f ca="1">_xlfn.AGGREGATE(9,6,G204:J204)*'Crédito de Vivienda UVR'!$C$19</f>
        <v>0</v>
      </c>
      <c r="L204" s="7" t="e">
        <f ca="1">IF(C203&lt;1,"0",Seguros_Oblig!$K$2*('Crédito de Vivienda UVR'!$C$12*90%))</f>
        <v>#VALUE!</v>
      </c>
      <c r="M204" s="35" t="e">
        <f ca="1">K204+L204+(F204*'Crédito de Vivienda UVR'!$C$19)</f>
        <v>#VALUE!</v>
      </c>
      <c r="N204" s="316"/>
    </row>
    <row r="205" spans="2:14" ht="15.5" x14ac:dyDescent="0.35">
      <c r="B205" s="6" t="e">
        <f t="shared" ca="1" si="8"/>
        <v>#VALUE!</v>
      </c>
      <c r="C205" s="311" t="e">
        <f t="shared" ca="1" si="7"/>
        <v>#VALUE!</v>
      </c>
      <c r="D205" s="311" t="e">
        <f t="shared" ca="1" si="9"/>
        <v>#VALUE!</v>
      </c>
      <c r="E205" s="311" t="e">
        <f ca="1">C204*'Crédito de Vivienda UVR'!$E$17</f>
        <v>#VALUE!</v>
      </c>
      <c r="F205" s="322" t="e">
        <f ca="1">IF(B205=" ",0,PMT('Crédito de Vivienda UVR'!$E$17,'Crédito de Vivienda UVR'!$C$18,-'Crédito de Vivienda UVR'!$C$20,,))</f>
        <v>#VALUE!</v>
      </c>
      <c r="G205" s="320" t="e">
        <f ca="1">C204*(VLOOKUP('Crédito de Vivienda UVR'!$C$24,Seguros_Oblig!$A$3:$B$55,2,FALSE))</f>
        <v>#VALUE!</v>
      </c>
      <c r="H205" s="313" t="e">
        <f ca="1">C204*(VLOOKUP('Crédito de Vivienda UVR'!$C$25,Seguros_Oblig!$A$3:$B$55,2,FALSE))</f>
        <v>#VALUE!</v>
      </c>
      <c r="I205" s="313" t="e">
        <f ca="1">C204*(VLOOKUP('Crédito de Vivienda UVR'!$C$26,Seguros_Oblig!$A$3:$B$55,2,FALSE))</f>
        <v>#VALUE!</v>
      </c>
      <c r="J205" s="313" t="e">
        <f ca="1">C204*(VLOOKUP('Crédito de Vivienda UVR'!$C$27,Seguros_Oblig!$A$3:$B$55,2,FALSE))</f>
        <v>#VALUE!</v>
      </c>
      <c r="K205" s="35">
        <f ca="1">_xlfn.AGGREGATE(9,6,G205:J205)*'Crédito de Vivienda UVR'!$C$19</f>
        <v>0</v>
      </c>
      <c r="L205" s="7" t="e">
        <f ca="1">IF(C204&lt;1,"0",Seguros_Oblig!$K$2*('Crédito de Vivienda UVR'!$C$12*90%))</f>
        <v>#VALUE!</v>
      </c>
      <c r="M205" s="35" t="e">
        <f ca="1">K205+L205+(F205*'Crédito de Vivienda UVR'!$C$19)</f>
        <v>#VALUE!</v>
      </c>
      <c r="N205" s="316"/>
    </row>
    <row r="206" spans="2:14" ht="15.5" x14ac:dyDescent="0.35">
      <c r="B206" s="6" t="e">
        <f t="shared" ca="1" si="8"/>
        <v>#VALUE!</v>
      </c>
      <c r="C206" s="311" t="e">
        <f t="shared" ca="1" si="7"/>
        <v>#VALUE!</v>
      </c>
      <c r="D206" s="311" t="e">
        <f t="shared" ca="1" si="9"/>
        <v>#VALUE!</v>
      </c>
      <c r="E206" s="311" t="e">
        <f ca="1">C205*'Crédito de Vivienda UVR'!$E$17</f>
        <v>#VALUE!</v>
      </c>
      <c r="F206" s="322" t="e">
        <f ca="1">IF(B206=" ",0,PMT('Crédito de Vivienda UVR'!$E$17,'Crédito de Vivienda UVR'!$C$18,-'Crédito de Vivienda UVR'!$C$20,,))</f>
        <v>#VALUE!</v>
      </c>
      <c r="G206" s="320" t="e">
        <f ca="1">C205*(VLOOKUP('Crédito de Vivienda UVR'!$C$24,Seguros_Oblig!$A$3:$B$55,2,FALSE))</f>
        <v>#VALUE!</v>
      </c>
      <c r="H206" s="313" t="e">
        <f ca="1">C205*(VLOOKUP('Crédito de Vivienda UVR'!$C$25,Seguros_Oblig!$A$3:$B$55,2,FALSE))</f>
        <v>#VALUE!</v>
      </c>
      <c r="I206" s="313" t="e">
        <f ca="1">C205*(VLOOKUP('Crédito de Vivienda UVR'!$C$26,Seguros_Oblig!$A$3:$B$55,2,FALSE))</f>
        <v>#VALUE!</v>
      </c>
      <c r="J206" s="313" t="e">
        <f ca="1">C205*(VLOOKUP('Crédito de Vivienda UVR'!$C$27,Seguros_Oblig!$A$3:$B$55,2,FALSE))</f>
        <v>#VALUE!</v>
      </c>
      <c r="K206" s="35">
        <f ca="1">_xlfn.AGGREGATE(9,6,G206:J206)*'Crédito de Vivienda UVR'!$C$19</f>
        <v>0</v>
      </c>
      <c r="L206" s="7" t="e">
        <f ca="1">IF(C205&lt;1,"0",Seguros_Oblig!$K$2*('Crédito de Vivienda UVR'!$C$12*90%))</f>
        <v>#VALUE!</v>
      </c>
      <c r="M206" s="35" t="e">
        <f ca="1">K206+L206+(F206*'Crédito de Vivienda UVR'!$C$19)</f>
        <v>#VALUE!</v>
      </c>
      <c r="N206" s="316"/>
    </row>
    <row r="207" spans="2:14" ht="15.5" x14ac:dyDescent="0.35">
      <c r="B207" s="6" t="e">
        <f t="shared" ca="1" si="8"/>
        <v>#VALUE!</v>
      </c>
      <c r="C207" s="311" t="e">
        <f t="shared" ca="1" si="7"/>
        <v>#VALUE!</v>
      </c>
      <c r="D207" s="311" t="e">
        <f t="shared" ca="1" si="9"/>
        <v>#VALUE!</v>
      </c>
      <c r="E207" s="311" t="e">
        <f ca="1">C206*'Crédito de Vivienda UVR'!$E$17</f>
        <v>#VALUE!</v>
      </c>
      <c r="F207" s="322" t="e">
        <f ca="1">IF(B207=" ",0,PMT('Crédito de Vivienda UVR'!$E$17,'Crédito de Vivienda UVR'!$C$18,-'Crédito de Vivienda UVR'!$C$20,,))</f>
        <v>#VALUE!</v>
      </c>
      <c r="G207" s="320" t="e">
        <f ca="1">C206*(VLOOKUP('Crédito de Vivienda UVR'!$C$24,Seguros_Oblig!$A$3:$B$55,2,FALSE))</f>
        <v>#VALUE!</v>
      </c>
      <c r="H207" s="313" t="e">
        <f ca="1">C206*(VLOOKUP('Crédito de Vivienda UVR'!$C$25,Seguros_Oblig!$A$3:$B$55,2,FALSE))</f>
        <v>#VALUE!</v>
      </c>
      <c r="I207" s="313" t="e">
        <f ca="1">C206*(VLOOKUP('Crédito de Vivienda UVR'!$C$26,Seguros_Oblig!$A$3:$B$55,2,FALSE))</f>
        <v>#VALUE!</v>
      </c>
      <c r="J207" s="313" t="e">
        <f ca="1">C206*(VLOOKUP('Crédito de Vivienda UVR'!$C$27,Seguros_Oblig!$A$3:$B$55,2,FALSE))</f>
        <v>#VALUE!</v>
      </c>
      <c r="K207" s="35">
        <f ca="1">_xlfn.AGGREGATE(9,6,G207:J207)*'Crédito de Vivienda UVR'!$C$19</f>
        <v>0</v>
      </c>
      <c r="L207" s="7" t="e">
        <f ca="1">IF(C206&lt;1,"0",Seguros_Oblig!$K$2*('Crédito de Vivienda UVR'!$C$12*90%))</f>
        <v>#VALUE!</v>
      </c>
      <c r="M207" s="35" t="e">
        <f ca="1">K207+L207+(F207*'Crédito de Vivienda UVR'!$C$19)</f>
        <v>#VALUE!</v>
      </c>
      <c r="N207" s="316"/>
    </row>
    <row r="208" spans="2:14" ht="15.5" x14ac:dyDescent="0.35">
      <c r="B208" s="6" t="e">
        <f t="shared" ca="1" si="8"/>
        <v>#VALUE!</v>
      </c>
      <c r="C208" s="311" t="e">
        <f t="shared" ca="1" si="7"/>
        <v>#VALUE!</v>
      </c>
      <c r="D208" s="311" t="e">
        <f t="shared" ca="1" si="9"/>
        <v>#VALUE!</v>
      </c>
      <c r="E208" s="311" t="e">
        <f ca="1">C207*'Crédito de Vivienda UVR'!$E$17</f>
        <v>#VALUE!</v>
      </c>
      <c r="F208" s="322" t="e">
        <f ca="1">IF(B208=" ",0,PMT('Crédito de Vivienda UVR'!$E$17,'Crédito de Vivienda UVR'!$C$18,-'Crédito de Vivienda UVR'!$C$20,,))</f>
        <v>#VALUE!</v>
      </c>
      <c r="G208" s="320" t="e">
        <f ca="1">C207*(VLOOKUP('Crédito de Vivienda UVR'!$C$24,Seguros_Oblig!$A$3:$B$55,2,FALSE))</f>
        <v>#VALUE!</v>
      </c>
      <c r="H208" s="313" t="e">
        <f ca="1">C207*(VLOOKUP('Crédito de Vivienda UVR'!$C$25,Seguros_Oblig!$A$3:$B$55,2,FALSE))</f>
        <v>#VALUE!</v>
      </c>
      <c r="I208" s="313" t="e">
        <f ca="1">C207*(VLOOKUP('Crédito de Vivienda UVR'!$C$26,Seguros_Oblig!$A$3:$B$55,2,FALSE))</f>
        <v>#VALUE!</v>
      </c>
      <c r="J208" s="313" t="e">
        <f ca="1">C207*(VLOOKUP('Crédito de Vivienda UVR'!$C$27,Seguros_Oblig!$A$3:$B$55,2,FALSE))</f>
        <v>#VALUE!</v>
      </c>
      <c r="K208" s="35">
        <f ca="1">_xlfn.AGGREGATE(9,6,G208:J208)*'Crédito de Vivienda UVR'!$C$19</f>
        <v>0</v>
      </c>
      <c r="L208" s="7" t="e">
        <f ca="1">IF(C207&lt;1,"0",Seguros_Oblig!$K$2*('Crédito de Vivienda UVR'!$C$12*90%))</f>
        <v>#VALUE!</v>
      </c>
      <c r="M208" s="35" t="e">
        <f ca="1">K208+L208+(F208*'Crédito de Vivienda UVR'!$C$19)</f>
        <v>#VALUE!</v>
      </c>
      <c r="N208" s="316"/>
    </row>
    <row r="209" spans="2:14" ht="15.5" x14ac:dyDescent="0.35">
      <c r="B209" s="6" t="e">
        <f t="shared" ca="1" si="8"/>
        <v>#VALUE!</v>
      </c>
      <c r="C209" s="311" t="e">
        <f t="shared" ca="1" si="7"/>
        <v>#VALUE!</v>
      </c>
      <c r="D209" s="311" t="e">
        <f t="shared" ca="1" si="9"/>
        <v>#VALUE!</v>
      </c>
      <c r="E209" s="311" t="e">
        <f ca="1">C208*'Crédito de Vivienda UVR'!$E$17</f>
        <v>#VALUE!</v>
      </c>
      <c r="F209" s="322" t="e">
        <f ca="1">IF(B209=" ",0,PMT('Crédito de Vivienda UVR'!$E$17,'Crédito de Vivienda UVR'!$C$18,-'Crédito de Vivienda UVR'!$C$20,,))</f>
        <v>#VALUE!</v>
      </c>
      <c r="G209" s="320" t="e">
        <f ca="1">C208*(VLOOKUP('Crédito de Vivienda UVR'!$C$24,Seguros_Oblig!$A$3:$B$55,2,FALSE))</f>
        <v>#VALUE!</v>
      </c>
      <c r="H209" s="313" t="e">
        <f ca="1">C208*(VLOOKUP('Crédito de Vivienda UVR'!$C$25,Seguros_Oblig!$A$3:$B$55,2,FALSE))</f>
        <v>#VALUE!</v>
      </c>
      <c r="I209" s="313" t="e">
        <f ca="1">C208*(VLOOKUP('Crédito de Vivienda UVR'!$C$26,Seguros_Oblig!$A$3:$B$55,2,FALSE))</f>
        <v>#VALUE!</v>
      </c>
      <c r="J209" s="313" t="e">
        <f ca="1">C208*(VLOOKUP('Crédito de Vivienda UVR'!$C$27,Seguros_Oblig!$A$3:$B$55,2,FALSE))</f>
        <v>#VALUE!</v>
      </c>
      <c r="K209" s="35">
        <f ca="1">_xlfn.AGGREGATE(9,6,G209:J209)*'Crédito de Vivienda UVR'!$C$19</f>
        <v>0</v>
      </c>
      <c r="L209" s="7" t="e">
        <f ca="1">IF(C208&lt;1,"0",Seguros_Oblig!$K$2*('Crédito de Vivienda UVR'!$C$12*90%))</f>
        <v>#VALUE!</v>
      </c>
      <c r="M209" s="35" t="e">
        <f ca="1">K209+L209+(F209*'Crédito de Vivienda UVR'!$C$19)</f>
        <v>#VALUE!</v>
      </c>
      <c r="N209" s="316"/>
    </row>
    <row r="210" spans="2:14" ht="15.5" x14ac:dyDescent="0.35">
      <c r="B210" s="6" t="e">
        <f t="shared" ca="1" si="8"/>
        <v>#VALUE!</v>
      </c>
      <c r="C210" s="311" t="e">
        <f t="shared" ca="1" si="7"/>
        <v>#VALUE!</v>
      </c>
      <c r="D210" s="311" t="e">
        <f t="shared" ca="1" si="9"/>
        <v>#VALUE!</v>
      </c>
      <c r="E210" s="311" t="e">
        <f ca="1">C209*'Crédito de Vivienda UVR'!$E$17</f>
        <v>#VALUE!</v>
      </c>
      <c r="F210" s="322" t="e">
        <f ca="1">IF(B210=" ",0,PMT('Crédito de Vivienda UVR'!$E$17,'Crédito de Vivienda UVR'!$C$18,-'Crédito de Vivienda UVR'!$C$20,,))</f>
        <v>#VALUE!</v>
      </c>
      <c r="G210" s="320" t="e">
        <f ca="1">C209*(VLOOKUP('Crédito de Vivienda UVR'!$C$24,Seguros_Oblig!$A$3:$B$55,2,FALSE))</f>
        <v>#VALUE!</v>
      </c>
      <c r="H210" s="313" t="e">
        <f ca="1">C209*(VLOOKUP('Crédito de Vivienda UVR'!$C$25,Seguros_Oblig!$A$3:$B$55,2,FALSE))</f>
        <v>#VALUE!</v>
      </c>
      <c r="I210" s="313" t="e">
        <f ca="1">C209*(VLOOKUP('Crédito de Vivienda UVR'!$C$26,Seguros_Oblig!$A$3:$B$55,2,FALSE))</f>
        <v>#VALUE!</v>
      </c>
      <c r="J210" s="313" t="e">
        <f ca="1">C209*(VLOOKUP('Crédito de Vivienda UVR'!$C$27,Seguros_Oblig!$A$3:$B$55,2,FALSE))</f>
        <v>#VALUE!</v>
      </c>
      <c r="K210" s="35">
        <f ca="1">_xlfn.AGGREGATE(9,6,G210:J210)*'Crédito de Vivienda UVR'!$C$19</f>
        <v>0</v>
      </c>
      <c r="L210" s="7" t="e">
        <f ca="1">IF(C209&lt;1,"0",Seguros_Oblig!$K$2*('Crédito de Vivienda UVR'!$C$12*90%))</f>
        <v>#VALUE!</v>
      </c>
      <c r="M210" s="35" t="e">
        <f ca="1">K210+L210+(F210*'Crédito de Vivienda UVR'!$C$19)</f>
        <v>#VALUE!</v>
      </c>
      <c r="N210" s="316"/>
    </row>
    <row r="211" spans="2:14" ht="15.5" x14ac:dyDescent="0.35">
      <c r="B211" s="6" t="e">
        <f t="shared" ca="1" si="8"/>
        <v>#VALUE!</v>
      </c>
      <c r="C211" s="311" t="e">
        <f t="shared" ca="1" si="7"/>
        <v>#VALUE!</v>
      </c>
      <c r="D211" s="311" t="e">
        <f t="shared" ca="1" si="9"/>
        <v>#VALUE!</v>
      </c>
      <c r="E211" s="311" t="e">
        <f ca="1">C210*'Crédito de Vivienda UVR'!$E$17</f>
        <v>#VALUE!</v>
      </c>
      <c r="F211" s="322" t="e">
        <f ca="1">IF(B211=" ",0,PMT('Crédito de Vivienda UVR'!$E$17,'Crédito de Vivienda UVR'!$C$18,-'Crédito de Vivienda UVR'!$C$20,,))</f>
        <v>#VALUE!</v>
      </c>
      <c r="G211" s="320" t="e">
        <f ca="1">C210*(VLOOKUP('Crédito de Vivienda UVR'!$C$24,Seguros_Oblig!$A$3:$B$55,2,FALSE))</f>
        <v>#VALUE!</v>
      </c>
      <c r="H211" s="313" t="e">
        <f ca="1">C210*(VLOOKUP('Crédito de Vivienda UVR'!$C$25,Seguros_Oblig!$A$3:$B$55,2,FALSE))</f>
        <v>#VALUE!</v>
      </c>
      <c r="I211" s="313" t="e">
        <f ca="1">C210*(VLOOKUP('Crédito de Vivienda UVR'!$C$26,Seguros_Oblig!$A$3:$B$55,2,FALSE))</f>
        <v>#VALUE!</v>
      </c>
      <c r="J211" s="313" t="e">
        <f ca="1">C210*(VLOOKUP('Crédito de Vivienda UVR'!$C$27,Seguros_Oblig!$A$3:$B$55,2,FALSE))</f>
        <v>#VALUE!</v>
      </c>
      <c r="K211" s="35">
        <f ca="1">_xlfn.AGGREGATE(9,6,G211:J211)*'Crédito de Vivienda UVR'!$C$19</f>
        <v>0</v>
      </c>
      <c r="L211" s="7" t="e">
        <f ca="1">IF(C210&lt;1,"0",Seguros_Oblig!$K$2*('Crédito de Vivienda UVR'!$C$12*90%))</f>
        <v>#VALUE!</v>
      </c>
      <c r="M211" s="35" t="e">
        <f ca="1">K211+L211+(F211*'Crédito de Vivienda UVR'!$C$19)</f>
        <v>#VALUE!</v>
      </c>
      <c r="N211" s="316"/>
    </row>
    <row r="212" spans="2:14" ht="15.5" x14ac:dyDescent="0.35">
      <c r="B212" s="6" t="e">
        <f t="shared" ca="1" si="8"/>
        <v>#VALUE!</v>
      </c>
      <c r="C212" s="311" t="e">
        <f t="shared" ref="C212:C275" ca="1" si="10">C211-D212</f>
        <v>#VALUE!</v>
      </c>
      <c r="D212" s="311" t="e">
        <f t="shared" ca="1" si="9"/>
        <v>#VALUE!</v>
      </c>
      <c r="E212" s="311" t="e">
        <f ca="1">C211*'Crédito de Vivienda UVR'!$E$17</f>
        <v>#VALUE!</v>
      </c>
      <c r="F212" s="322" t="e">
        <f ca="1">IF(B212=" ",0,PMT('Crédito de Vivienda UVR'!$E$17,'Crédito de Vivienda UVR'!$C$18,-'Crédito de Vivienda UVR'!$C$20,,))</f>
        <v>#VALUE!</v>
      </c>
      <c r="G212" s="320" t="e">
        <f ca="1">C211*(VLOOKUP('Crédito de Vivienda UVR'!$C$24,Seguros_Oblig!$A$3:$B$55,2,FALSE))</f>
        <v>#VALUE!</v>
      </c>
      <c r="H212" s="313" t="e">
        <f ca="1">C211*(VLOOKUP('Crédito de Vivienda UVR'!$C$25,Seguros_Oblig!$A$3:$B$55,2,FALSE))</f>
        <v>#VALUE!</v>
      </c>
      <c r="I212" s="313" t="e">
        <f ca="1">C211*(VLOOKUP('Crédito de Vivienda UVR'!$C$26,Seguros_Oblig!$A$3:$B$55,2,FALSE))</f>
        <v>#VALUE!</v>
      </c>
      <c r="J212" s="313" t="e">
        <f ca="1">C211*(VLOOKUP('Crédito de Vivienda UVR'!$C$27,Seguros_Oblig!$A$3:$B$55,2,FALSE))</f>
        <v>#VALUE!</v>
      </c>
      <c r="K212" s="35">
        <f ca="1">_xlfn.AGGREGATE(9,6,G212:J212)*'Crédito de Vivienda UVR'!$C$19</f>
        <v>0</v>
      </c>
      <c r="L212" s="7" t="e">
        <f ca="1">IF(C211&lt;1,"0",Seguros_Oblig!$K$2*('Crédito de Vivienda UVR'!$C$12*90%))</f>
        <v>#VALUE!</v>
      </c>
      <c r="M212" s="35" t="e">
        <f ca="1">K212+L212+(F212*'Crédito de Vivienda UVR'!$C$19)</f>
        <v>#VALUE!</v>
      </c>
      <c r="N212" s="316"/>
    </row>
    <row r="213" spans="2:14" ht="15.5" x14ac:dyDescent="0.35">
      <c r="B213" s="6" t="e">
        <f t="shared" ca="1" si="8"/>
        <v>#VALUE!</v>
      </c>
      <c r="C213" s="311" t="e">
        <f t="shared" ca="1" si="10"/>
        <v>#VALUE!</v>
      </c>
      <c r="D213" s="311" t="e">
        <f t="shared" ca="1" si="9"/>
        <v>#VALUE!</v>
      </c>
      <c r="E213" s="311" t="e">
        <f ca="1">C212*'Crédito de Vivienda UVR'!$E$17</f>
        <v>#VALUE!</v>
      </c>
      <c r="F213" s="322" t="e">
        <f ca="1">IF(B213=" ",0,PMT('Crédito de Vivienda UVR'!$E$17,'Crédito de Vivienda UVR'!$C$18,-'Crédito de Vivienda UVR'!$C$20,,))</f>
        <v>#VALUE!</v>
      </c>
      <c r="G213" s="320" t="e">
        <f ca="1">C212*(VLOOKUP('Crédito de Vivienda UVR'!$C$24,Seguros_Oblig!$A$3:$B$55,2,FALSE))</f>
        <v>#VALUE!</v>
      </c>
      <c r="H213" s="313" t="e">
        <f ca="1">C212*(VLOOKUP('Crédito de Vivienda UVR'!$C$25,Seguros_Oblig!$A$3:$B$55,2,FALSE))</f>
        <v>#VALUE!</v>
      </c>
      <c r="I213" s="313" t="e">
        <f ca="1">C212*(VLOOKUP('Crédito de Vivienda UVR'!$C$26,Seguros_Oblig!$A$3:$B$55,2,FALSE))</f>
        <v>#VALUE!</v>
      </c>
      <c r="J213" s="313" t="e">
        <f ca="1">C212*(VLOOKUP('Crédito de Vivienda UVR'!$C$27,Seguros_Oblig!$A$3:$B$55,2,FALSE))</f>
        <v>#VALUE!</v>
      </c>
      <c r="K213" s="35">
        <f ca="1">_xlfn.AGGREGATE(9,6,G213:J213)*'Crédito de Vivienda UVR'!$C$19</f>
        <v>0</v>
      </c>
      <c r="L213" s="7" t="e">
        <f ca="1">IF(C212&lt;1,"0",Seguros_Oblig!$K$2*('Crédito de Vivienda UVR'!$C$12*90%))</f>
        <v>#VALUE!</v>
      </c>
      <c r="M213" s="35" t="e">
        <f ca="1">K213+L213+(F213*'Crédito de Vivienda UVR'!$C$19)</f>
        <v>#VALUE!</v>
      </c>
      <c r="N213" s="316"/>
    </row>
    <row r="214" spans="2:14" ht="15.5" x14ac:dyDescent="0.35">
      <c r="B214" s="6" t="e">
        <f t="shared" ca="1" si="8"/>
        <v>#VALUE!</v>
      </c>
      <c r="C214" s="311" t="e">
        <f t="shared" ca="1" si="10"/>
        <v>#VALUE!</v>
      </c>
      <c r="D214" s="311" t="e">
        <f t="shared" ca="1" si="9"/>
        <v>#VALUE!</v>
      </c>
      <c r="E214" s="311" t="e">
        <f ca="1">C213*'Crédito de Vivienda UVR'!$E$17</f>
        <v>#VALUE!</v>
      </c>
      <c r="F214" s="322" t="e">
        <f ca="1">IF(B214=" ",0,PMT('Crédito de Vivienda UVR'!$E$17,'Crédito de Vivienda UVR'!$C$18,-'Crédito de Vivienda UVR'!$C$20,,))</f>
        <v>#VALUE!</v>
      </c>
      <c r="G214" s="320" t="e">
        <f ca="1">C213*(VLOOKUP('Crédito de Vivienda UVR'!$C$24,Seguros_Oblig!$A$3:$B$55,2,FALSE))</f>
        <v>#VALUE!</v>
      </c>
      <c r="H214" s="313" t="e">
        <f ca="1">C213*(VLOOKUP('Crédito de Vivienda UVR'!$C$25,Seguros_Oblig!$A$3:$B$55,2,FALSE))</f>
        <v>#VALUE!</v>
      </c>
      <c r="I214" s="313" t="e">
        <f ca="1">C213*(VLOOKUP('Crédito de Vivienda UVR'!$C$26,Seguros_Oblig!$A$3:$B$55,2,FALSE))</f>
        <v>#VALUE!</v>
      </c>
      <c r="J214" s="313" t="e">
        <f ca="1">C213*(VLOOKUP('Crédito de Vivienda UVR'!$C$27,Seguros_Oblig!$A$3:$B$55,2,FALSE))</f>
        <v>#VALUE!</v>
      </c>
      <c r="K214" s="35">
        <f ca="1">_xlfn.AGGREGATE(9,6,G214:J214)*'Crédito de Vivienda UVR'!$C$19</f>
        <v>0</v>
      </c>
      <c r="L214" s="7" t="e">
        <f ca="1">IF(C213&lt;1,"0",Seguros_Oblig!$K$2*('Crédito de Vivienda UVR'!$C$12*90%))</f>
        <v>#VALUE!</v>
      </c>
      <c r="M214" s="35" t="e">
        <f ca="1">K214+L214+(F214*'Crédito de Vivienda UVR'!$C$19)</f>
        <v>#VALUE!</v>
      </c>
      <c r="N214" s="316"/>
    </row>
    <row r="215" spans="2:14" ht="15.5" x14ac:dyDescent="0.35">
      <c r="B215" s="6" t="e">
        <f t="shared" ca="1" si="8"/>
        <v>#VALUE!</v>
      </c>
      <c r="C215" s="311" t="e">
        <f t="shared" ca="1" si="10"/>
        <v>#VALUE!</v>
      </c>
      <c r="D215" s="311" t="e">
        <f t="shared" ca="1" si="9"/>
        <v>#VALUE!</v>
      </c>
      <c r="E215" s="311" t="e">
        <f ca="1">C214*'Crédito de Vivienda UVR'!$E$17</f>
        <v>#VALUE!</v>
      </c>
      <c r="F215" s="322" t="e">
        <f ca="1">IF(B215=" ",0,PMT('Crédito de Vivienda UVR'!$E$17,'Crédito de Vivienda UVR'!$C$18,-'Crédito de Vivienda UVR'!$C$20,,))</f>
        <v>#VALUE!</v>
      </c>
      <c r="G215" s="320" t="e">
        <f ca="1">C214*(VLOOKUP('Crédito de Vivienda UVR'!$C$24,Seguros_Oblig!$A$3:$B$55,2,FALSE))</f>
        <v>#VALUE!</v>
      </c>
      <c r="H215" s="313" t="e">
        <f ca="1">C214*(VLOOKUP('Crédito de Vivienda UVR'!$C$25,Seguros_Oblig!$A$3:$B$55,2,FALSE))</f>
        <v>#VALUE!</v>
      </c>
      <c r="I215" s="313" t="e">
        <f ca="1">C214*(VLOOKUP('Crédito de Vivienda UVR'!$C$26,Seguros_Oblig!$A$3:$B$55,2,FALSE))</f>
        <v>#VALUE!</v>
      </c>
      <c r="J215" s="313" t="e">
        <f ca="1">C214*(VLOOKUP('Crédito de Vivienda UVR'!$C$27,Seguros_Oblig!$A$3:$B$55,2,FALSE))</f>
        <v>#VALUE!</v>
      </c>
      <c r="K215" s="35">
        <f ca="1">_xlfn.AGGREGATE(9,6,G215:J215)*'Crédito de Vivienda UVR'!$C$19</f>
        <v>0</v>
      </c>
      <c r="L215" s="7" t="e">
        <f ca="1">IF(C214&lt;1,"0",Seguros_Oblig!$K$2*('Crédito de Vivienda UVR'!$C$12*90%))</f>
        <v>#VALUE!</v>
      </c>
      <c r="M215" s="35" t="e">
        <f ca="1">K215+L215+(F215*'Crédito de Vivienda UVR'!$C$19)</f>
        <v>#VALUE!</v>
      </c>
      <c r="N215" s="316"/>
    </row>
    <row r="216" spans="2:14" ht="15.5" x14ac:dyDescent="0.35">
      <c r="B216" s="6" t="e">
        <f t="shared" ca="1" si="8"/>
        <v>#VALUE!</v>
      </c>
      <c r="C216" s="311" t="e">
        <f t="shared" ca="1" si="10"/>
        <v>#VALUE!</v>
      </c>
      <c r="D216" s="311" t="e">
        <f t="shared" ca="1" si="9"/>
        <v>#VALUE!</v>
      </c>
      <c r="E216" s="311" t="e">
        <f ca="1">C215*'Crédito de Vivienda UVR'!$E$17</f>
        <v>#VALUE!</v>
      </c>
      <c r="F216" s="322" t="e">
        <f ca="1">IF(B216=" ",0,PMT('Crédito de Vivienda UVR'!$E$17,'Crédito de Vivienda UVR'!$C$18,-'Crédito de Vivienda UVR'!$C$20,,))</f>
        <v>#VALUE!</v>
      </c>
      <c r="G216" s="320" t="e">
        <f ca="1">C215*(VLOOKUP('Crédito de Vivienda UVR'!$C$24,Seguros_Oblig!$A$3:$B$55,2,FALSE))</f>
        <v>#VALUE!</v>
      </c>
      <c r="H216" s="313" t="e">
        <f ca="1">C215*(VLOOKUP('Crédito de Vivienda UVR'!$C$25,Seguros_Oblig!$A$3:$B$55,2,FALSE))</f>
        <v>#VALUE!</v>
      </c>
      <c r="I216" s="313" t="e">
        <f ca="1">C215*(VLOOKUP('Crédito de Vivienda UVR'!$C$26,Seguros_Oblig!$A$3:$B$55,2,FALSE))</f>
        <v>#VALUE!</v>
      </c>
      <c r="J216" s="313" t="e">
        <f ca="1">C215*(VLOOKUP('Crédito de Vivienda UVR'!$C$27,Seguros_Oblig!$A$3:$B$55,2,FALSE))</f>
        <v>#VALUE!</v>
      </c>
      <c r="K216" s="35">
        <f ca="1">_xlfn.AGGREGATE(9,6,G216:J216)*'Crédito de Vivienda UVR'!$C$19</f>
        <v>0</v>
      </c>
      <c r="L216" s="7" t="e">
        <f ca="1">IF(C215&lt;1,"0",Seguros_Oblig!$K$2*('Crédito de Vivienda UVR'!$C$12*90%))</f>
        <v>#VALUE!</v>
      </c>
      <c r="M216" s="35" t="e">
        <f ca="1">K216+L216+(F216*'Crédito de Vivienda UVR'!$C$19)</f>
        <v>#VALUE!</v>
      </c>
      <c r="N216" s="316"/>
    </row>
    <row r="217" spans="2:14" ht="15.5" x14ac:dyDescent="0.35">
      <c r="B217" s="6" t="e">
        <f t="shared" ref="B217:B280" ca="1" si="11">IF(C216&gt;1,B216+1," ")</f>
        <v>#VALUE!</v>
      </c>
      <c r="C217" s="311" t="e">
        <f t="shared" ca="1" si="10"/>
        <v>#VALUE!</v>
      </c>
      <c r="D217" s="311" t="e">
        <f t="shared" ca="1" si="9"/>
        <v>#VALUE!</v>
      </c>
      <c r="E217" s="311" t="e">
        <f ca="1">C216*'Crédito de Vivienda UVR'!$E$17</f>
        <v>#VALUE!</v>
      </c>
      <c r="F217" s="322" t="e">
        <f ca="1">IF(B217=" ",0,PMT('Crédito de Vivienda UVR'!$E$17,'Crédito de Vivienda UVR'!$C$18,-'Crédito de Vivienda UVR'!$C$20,,))</f>
        <v>#VALUE!</v>
      </c>
      <c r="G217" s="320" t="e">
        <f ca="1">C216*(VLOOKUP('Crédito de Vivienda UVR'!$C$24,Seguros_Oblig!$A$3:$B$55,2,FALSE))</f>
        <v>#VALUE!</v>
      </c>
      <c r="H217" s="313" t="e">
        <f ca="1">C216*(VLOOKUP('Crédito de Vivienda UVR'!$C$25,Seguros_Oblig!$A$3:$B$55,2,FALSE))</f>
        <v>#VALUE!</v>
      </c>
      <c r="I217" s="313" t="e">
        <f ca="1">C216*(VLOOKUP('Crédito de Vivienda UVR'!$C$26,Seguros_Oblig!$A$3:$B$55,2,FALSE))</f>
        <v>#VALUE!</v>
      </c>
      <c r="J217" s="313" t="e">
        <f ca="1">C216*(VLOOKUP('Crédito de Vivienda UVR'!$C$27,Seguros_Oblig!$A$3:$B$55,2,FALSE))</f>
        <v>#VALUE!</v>
      </c>
      <c r="K217" s="35">
        <f ca="1">_xlfn.AGGREGATE(9,6,G217:J217)*'Crédito de Vivienda UVR'!$C$19</f>
        <v>0</v>
      </c>
      <c r="L217" s="7" t="e">
        <f ca="1">IF(C216&lt;1,"0",Seguros_Oblig!$K$2*('Crédito de Vivienda UVR'!$C$12*90%))</f>
        <v>#VALUE!</v>
      </c>
      <c r="M217" s="35" t="e">
        <f ca="1">K217+L217+(F217*'Crédito de Vivienda UVR'!$C$19)</f>
        <v>#VALUE!</v>
      </c>
      <c r="N217" s="316"/>
    </row>
    <row r="218" spans="2:14" ht="15.5" x14ac:dyDescent="0.35">
      <c r="B218" s="6" t="e">
        <f t="shared" ca="1" si="11"/>
        <v>#VALUE!</v>
      </c>
      <c r="C218" s="311" t="e">
        <f t="shared" ca="1" si="10"/>
        <v>#VALUE!</v>
      </c>
      <c r="D218" s="311" t="e">
        <f t="shared" ca="1" si="9"/>
        <v>#VALUE!</v>
      </c>
      <c r="E218" s="311" t="e">
        <f ca="1">C217*'Crédito de Vivienda UVR'!$E$17</f>
        <v>#VALUE!</v>
      </c>
      <c r="F218" s="322" t="e">
        <f ca="1">IF(B218=" ",0,PMT('Crédito de Vivienda UVR'!$E$17,'Crédito de Vivienda UVR'!$C$18,-'Crédito de Vivienda UVR'!$C$20,,))</f>
        <v>#VALUE!</v>
      </c>
      <c r="G218" s="320" t="e">
        <f ca="1">C217*(VLOOKUP('Crédito de Vivienda UVR'!$C$24,Seguros_Oblig!$A$3:$B$55,2,FALSE))</f>
        <v>#VALUE!</v>
      </c>
      <c r="H218" s="313" t="e">
        <f ca="1">C217*(VLOOKUP('Crédito de Vivienda UVR'!$C$25,Seguros_Oblig!$A$3:$B$55,2,FALSE))</f>
        <v>#VALUE!</v>
      </c>
      <c r="I218" s="313" t="e">
        <f ca="1">C217*(VLOOKUP('Crédito de Vivienda UVR'!$C$26,Seguros_Oblig!$A$3:$B$55,2,FALSE))</f>
        <v>#VALUE!</v>
      </c>
      <c r="J218" s="313" t="e">
        <f ca="1">C217*(VLOOKUP('Crédito de Vivienda UVR'!$C$27,Seguros_Oblig!$A$3:$B$55,2,FALSE))</f>
        <v>#VALUE!</v>
      </c>
      <c r="K218" s="35">
        <f ca="1">_xlfn.AGGREGATE(9,6,G218:J218)*'Crédito de Vivienda UVR'!$C$19</f>
        <v>0</v>
      </c>
      <c r="L218" s="7" t="e">
        <f ca="1">IF(C217&lt;1,"0",Seguros_Oblig!$K$2*('Crédito de Vivienda UVR'!$C$12*90%))</f>
        <v>#VALUE!</v>
      </c>
      <c r="M218" s="35" t="e">
        <f ca="1">K218+L218+(F218*'Crédito de Vivienda UVR'!$C$19)</f>
        <v>#VALUE!</v>
      </c>
      <c r="N218" s="316"/>
    </row>
    <row r="219" spans="2:14" ht="15.5" x14ac:dyDescent="0.35">
      <c r="B219" s="6" t="e">
        <f t="shared" ca="1" si="11"/>
        <v>#VALUE!</v>
      </c>
      <c r="C219" s="311" t="e">
        <f t="shared" ca="1" si="10"/>
        <v>#VALUE!</v>
      </c>
      <c r="D219" s="311" t="e">
        <f t="shared" ca="1" si="9"/>
        <v>#VALUE!</v>
      </c>
      <c r="E219" s="311" t="e">
        <f ca="1">C218*'Crédito de Vivienda UVR'!$E$17</f>
        <v>#VALUE!</v>
      </c>
      <c r="F219" s="322" t="e">
        <f ca="1">IF(B219=" ",0,PMT('Crédito de Vivienda UVR'!$E$17,'Crédito de Vivienda UVR'!$C$18,-'Crédito de Vivienda UVR'!$C$20,,))</f>
        <v>#VALUE!</v>
      </c>
      <c r="G219" s="320" t="e">
        <f ca="1">C218*(VLOOKUP('Crédito de Vivienda UVR'!$C$24,Seguros_Oblig!$A$3:$B$55,2,FALSE))</f>
        <v>#VALUE!</v>
      </c>
      <c r="H219" s="313" t="e">
        <f ca="1">C218*(VLOOKUP('Crédito de Vivienda UVR'!$C$25,Seguros_Oblig!$A$3:$B$55,2,FALSE))</f>
        <v>#VALUE!</v>
      </c>
      <c r="I219" s="313" t="e">
        <f ca="1">C218*(VLOOKUP('Crédito de Vivienda UVR'!$C$26,Seguros_Oblig!$A$3:$B$55,2,FALSE))</f>
        <v>#VALUE!</v>
      </c>
      <c r="J219" s="313" t="e">
        <f ca="1">C218*(VLOOKUP('Crédito de Vivienda UVR'!$C$27,Seguros_Oblig!$A$3:$B$55,2,FALSE))</f>
        <v>#VALUE!</v>
      </c>
      <c r="K219" s="35">
        <f ca="1">_xlfn.AGGREGATE(9,6,G219:J219)*'Crédito de Vivienda UVR'!$C$19</f>
        <v>0</v>
      </c>
      <c r="L219" s="7" t="e">
        <f ca="1">IF(C218&lt;1,"0",Seguros_Oblig!$K$2*('Crédito de Vivienda UVR'!$C$12*90%))</f>
        <v>#VALUE!</v>
      </c>
      <c r="M219" s="35" t="e">
        <f ca="1">K219+L219+(F219*'Crédito de Vivienda UVR'!$C$19)</f>
        <v>#VALUE!</v>
      </c>
      <c r="N219" s="316"/>
    </row>
    <row r="220" spans="2:14" ht="15.5" x14ac:dyDescent="0.35">
      <c r="B220" s="6" t="e">
        <f t="shared" ca="1" si="11"/>
        <v>#VALUE!</v>
      </c>
      <c r="C220" s="311" t="e">
        <f t="shared" ca="1" si="10"/>
        <v>#VALUE!</v>
      </c>
      <c r="D220" s="311" t="e">
        <f t="shared" ca="1" si="9"/>
        <v>#VALUE!</v>
      </c>
      <c r="E220" s="311" t="e">
        <f ca="1">C219*'Crédito de Vivienda UVR'!$E$17</f>
        <v>#VALUE!</v>
      </c>
      <c r="F220" s="322" t="e">
        <f ca="1">IF(B220=" ",0,PMT('Crédito de Vivienda UVR'!$E$17,'Crédito de Vivienda UVR'!$C$18,-'Crédito de Vivienda UVR'!$C$20,,))</f>
        <v>#VALUE!</v>
      </c>
      <c r="G220" s="320" t="e">
        <f ca="1">C219*(VLOOKUP('Crédito de Vivienda UVR'!$C$24,Seguros_Oblig!$A$3:$B$55,2,FALSE))</f>
        <v>#VALUE!</v>
      </c>
      <c r="H220" s="313" t="e">
        <f ca="1">C219*(VLOOKUP('Crédito de Vivienda UVR'!$C$25,Seguros_Oblig!$A$3:$B$55,2,FALSE))</f>
        <v>#VALUE!</v>
      </c>
      <c r="I220" s="313" t="e">
        <f ca="1">C219*(VLOOKUP('Crédito de Vivienda UVR'!$C$26,Seguros_Oblig!$A$3:$B$55,2,FALSE))</f>
        <v>#VALUE!</v>
      </c>
      <c r="J220" s="313" t="e">
        <f ca="1">C219*(VLOOKUP('Crédito de Vivienda UVR'!$C$27,Seguros_Oblig!$A$3:$B$55,2,FALSE))</f>
        <v>#VALUE!</v>
      </c>
      <c r="K220" s="35">
        <f ca="1">_xlfn.AGGREGATE(9,6,G220:J220)*'Crédito de Vivienda UVR'!$C$19</f>
        <v>0</v>
      </c>
      <c r="L220" s="7" t="e">
        <f ca="1">IF(C219&lt;1,"0",Seguros_Oblig!$K$2*('Crédito de Vivienda UVR'!$C$12*90%))</f>
        <v>#VALUE!</v>
      </c>
      <c r="M220" s="35" t="e">
        <f ca="1">K220+L220+(F220*'Crédito de Vivienda UVR'!$C$19)</f>
        <v>#VALUE!</v>
      </c>
      <c r="N220" s="316"/>
    </row>
    <row r="221" spans="2:14" ht="15.5" x14ac:dyDescent="0.35">
      <c r="B221" s="6" t="e">
        <f t="shared" ca="1" si="11"/>
        <v>#VALUE!</v>
      </c>
      <c r="C221" s="311" t="e">
        <f t="shared" ca="1" si="10"/>
        <v>#VALUE!</v>
      </c>
      <c r="D221" s="311" t="e">
        <f t="shared" ca="1" si="9"/>
        <v>#VALUE!</v>
      </c>
      <c r="E221" s="311" t="e">
        <f ca="1">C220*'Crédito de Vivienda UVR'!$E$17</f>
        <v>#VALUE!</v>
      </c>
      <c r="F221" s="322" t="e">
        <f ca="1">IF(B221=" ",0,PMT('Crédito de Vivienda UVR'!$E$17,'Crédito de Vivienda UVR'!$C$18,-'Crédito de Vivienda UVR'!$C$20,,))</f>
        <v>#VALUE!</v>
      </c>
      <c r="G221" s="320" t="e">
        <f ca="1">C220*(VLOOKUP('Crédito de Vivienda UVR'!$C$24,Seguros_Oblig!$A$3:$B$55,2,FALSE))</f>
        <v>#VALUE!</v>
      </c>
      <c r="H221" s="313" t="e">
        <f ca="1">C220*(VLOOKUP('Crédito de Vivienda UVR'!$C$25,Seguros_Oblig!$A$3:$B$55,2,FALSE))</f>
        <v>#VALUE!</v>
      </c>
      <c r="I221" s="313" t="e">
        <f ca="1">C220*(VLOOKUP('Crédito de Vivienda UVR'!$C$26,Seguros_Oblig!$A$3:$B$55,2,FALSE))</f>
        <v>#VALUE!</v>
      </c>
      <c r="J221" s="313" t="e">
        <f ca="1">C220*(VLOOKUP('Crédito de Vivienda UVR'!$C$27,Seguros_Oblig!$A$3:$B$55,2,FALSE))</f>
        <v>#VALUE!</v>
      </c>
      <c r="K221" s="35">
        <f ca="1">_xlfn.AGGREGATE(9,6,G221:J221)*'Crédito de Vivienda UVR'!$C$19</f>
        <v>0</v>
      </c>
      <c r="L221" s="7" t="e">
        <f ca="1">IF(C220&lt;1,"0",Seguros_Oblig!$K$2*('Crédito de Vivienda UVR'!$C$12*90%))</f>
        <v>#VALUE!</v>
      </c>
      <c r="M221" s="35" t="e">
        <f ca="1">K221+L221+(F221*'Crédito de Vivienda UVR'!$C$19)</f>
        <v>#VALUE!</v>
      </c>
      <c r="N221" s="316"/>
    </row>
    <row r="222" spans="2:14" ht="15.5" x14ac:dyDescent="0.35">
      <c r="B222" s="6" t="e">
        <f t="shared" ca="1" si="11"/>
        <v>#VALUE!</v>
      </c>
      <c r="C222" s="311" t="e">
        <f t="shared" ca="1" si="10"/>
        <v>#VALUE!</v>
      </c>
      <c r="D222" s="311" t="e">
        <f t="shared" ca="1" si="9"/>
        <v>#VALUE!</v>
      </c>
      <c r="E222" s="311" t="e">
        <f ca="1">C221*'Crédito de Vivienda UVR'!$E$17</f>
        <v>#VALUE!</v>
      </c>
      <c r="F222" s="322" t="e">
        <f ca="1">IF(B222=" ",0,PMT('Crédito de Vivienda UVR'!$E$17,'Crédito de Vivienda UVR'!$C$18,-'Crédito de Vivienda UVR'!$C$20,,))</f>
        <v>#VALUE!</v>
      </c>
      <c r="G222" s="320" t="e">
        <f ca="1">C221*(VLOOKUP('Crédito de Vivienda UVR'!$C$24,Seguros_Oblig!$A$3:$B$55,2,FALSE))</f>
        <v>#VALUE!</v>
      </c>
      <c r="H222" s="313" t="e">
        <f ca="1">C221*(VLOOKUP('Crédito de Vivienda UVR'!$C$25,Seguros_Oblig!$A$3:$B$55,2,FALSE))</f>
        <v>#VALUE!</v>
      </c>
      <c r="I222" s="313" t="e">
        <f ca="1">C221*(VLOOKUP('Crédito de Vivienda UVR'!$C$26,Seguros_Oblig!$A$3:$B$55,2,FALSE))</f>
        <v>#VALUE!</v>
      </c>
      <c r="J222" s="313" t="e">
        <f ca="1">C221*(VLOOKUP('Crédito de Vivienda UVR'!$C$27,Seguros_Oblig!$A$3:$B$55,2,FALSE))</f>
        <v>#VALUE!</v>
      </c>
      <c r="K222" s="35">
        <f ca="1">_xlfn.AGGREGATE(9,6,G222:J222)*'Crédito de Vivienda UVR'!$C$19</f>
        <v>0</v>
      </c>
      <c r="L222" s="7" t="e">
        <f ca="1">IF(C221&lt;1,"0",Seguros_Oblig!$K$2*('Crédito de Vivienda UVR'!$C$12*90%))</f>
        <v>#VALUE!</v>
      </c>
      <c r="M222" s="35" t="e">
        <f ca="1">K222+L222+(F222*'Crédito de Vivienda UVR'!$C$19)</f>
        <v>#VALUE!</v>
      </c>
      <c r="N222" s="316"/>
    </row>
    <row r="223" spans="2:14" ht="15.5" x14ac:dyDescent="0.35">
      <c r="B223" s="6" t="e">
        <f t="shared" ca="1" si="11"/>
        <v>#VALUE!</v>
      </c>
      <c r="C223" s="311" t="e">
        <f t="shared" ca="1" si="10"/>
        <v>#VALUE!</v>
      </c>
      <c r="D223" s="311" t="e">
        <f t="shared" ref="D223:D286" ca="1" si="12">IF(C222&lt;1,"0",F223-E223)</f>
        <v>#VALUE!</v>
      </c>
      <c r="E223" s="311" t="e">
        <f ca="1">C222*'Crédito de Vivienda UVR'!$E$17</f>
        <v>#VALUE!</v>
      </c>
      <c r="F223" s="322" t="e">
        <f ca="1">IF(B223=" ",0,PMT('Crédito de Vivienda UVR'!$E$17,'Crédito de Vivienda UVR'!$C$18,-'Crédito de Vivienda UVR'!$C$20,,))</f>
        <v>#VALUE!</v>
      </c>
      <c r="G223" s="320" t="e">
        <f ca="1">C222*(VLOOKUP('Crédito de Vivienda UVR'!$C$24,Seguros_Oblig!$A$3:$B$55,2,FALSE))</f>
        <v>#VALUE!</v>
      </c>
      <c r="H223" s="313" t="e">
        <f ca="1">C222*(VLOOKUP('Crédito de Vivienda UVR'!$C$25,Seguros_Oblig!$A$3:$B$55,2,FALSE))</f>
        <v>#VALUE!</v>
      </c>
      <c r="I223" s="313" t="e">
        <f ca="1">C222*(VLOOKUP('Crédito de Vivienda UVR'!$C$26,Seguros_Oblig!$A$3:$B$55,2,FALSE))</f>
        <v>#VALUE!</v>
      </c>
      <c r="J223" s="313" t="e">
        <f ca="1">C222*(VLOOKUP('Crédito de Vivienda UVR'!$C$27,Seguros_Oblig!$A$3:$B$55,2,FALSE))</f>
        <v>#VALUE!</v>
      </c>
      <c r="K223" s="35">
        <f ca="1">_xlfn.AGGREGATE(9,6,G223:J223)*'Crédito de Vivienda UVR'!$C$19</f>
        <v>0</v>
      </c>
      <c r="L223" s="7" t="e">
        <f ca="1">IF(C222&lt;1,"0",Seguros_Oblig!$K$2*('Crédito de Vivienda UVR'!$C$12*90%))</f>
        <v>#VALUE!</v>
      </c>
      <c r="M223" s="35" t="e">
        <f ca="1">K223+L223+(F223*'Crédito de Vivienda UVR'!$C$19)</f>
        <v>#VALUE!</v>
      </c>
      <c r="N223" s="316"/>
    </row>
    <row r="224" spans="2:14" ht="15.5" x14ac:dyDescent="0.35">
      <c r="B224" s="6" t="e">
        <f t="shared" ca="1" si="11"/>
        <v>#VALUE!</v>
      </c>
      <c r="C224" s="311" t="e">
        <f t="shared" ca="1" si="10"/>
        <v>#VALUE!</v>
      </c>
      <c r="D224" s="311" t="e">
        <f t="shared" ca="1" si="12"/>
        <v>#VALUE!</v>
      </c>
      <c r="E224" s="311" t="e">
        <f ca="1">C223*'Crédito de Vivienda UVR'!$E$17</f>
        <v>#VALUE!</v>
      </c>
      <c r="F224" s="322" t="e">
        <f ca="1">IF(B224=" ",0,PMT('Crédito de Vivienda UVR'!$E$17,'Crédito de Vivienda UVR'!$C$18,-'Crédito de Vivienda UVR'!$C$20,,))</f>
        <v>#VALUE!</v>
      </c>
      <c r="G224" s="320" t="e">
        <f ca="1">C223*(VLOOKUP('Crédito de Vivienda UVR'!$C$24,Seguros_Oblig!$A$3:$B$55,2,FALSE))</f>
        <v>#VALUE!</v>
      </c>
      <c r="H224" s="313" t="e">
        <f ca="1">C223*(VLOOKUP('Crédito de Vivienda UVR'!$C$25,Seguros_Oblig!$A$3:$B$55,2,FALSE))</f>
        <v>#VALUE!</v>
      </c>
      <c r="I224" s="313" t="e">
        <f ca="1">C223*(VLOOKUP('Crédito de Vivienda UVR'!$C$26,Seguros_Oblig!$A$3:$B$55,2,FALSE))</f>
        <v>#VALUE!</v>
      </c>
      <c r="J224" s="313" t="e">
        <f ca="1">C223*(VLOOKUP('Crédito de Vivienda UVR'!$C$27,Seguros_Oblig!$A$3:$B$55,2,FALSE))</f>
        <v>#VALUE!</v>
      </c>
      <c r="K224" s="35">
        <f ca="1">_xlfn.AGGREGATE(9,6,G224:J224)*'Crédito de Vivienda UVR'!$C$19</f>
        <v>0</v>
      </c>
      <c r="L224" s="7" t="e">
        <f ca="1">IF(C223&lt;1,"0",Seguros_Oblig!$K$2*('Crédito de Vivienda UVR'!$C$12*90%))</f>
        <v>#VALUE!</v>
      </c>
      <c r="M224" s="35" t="e">
        <f ca="1">K224+L224+(F224*'Crédito de Vivienda UVR'!$C$19)</f>
        <v>#VALUE!</v>
      </c>
      <c r="N224" s="316"/>
    </row>
    <row r="225" spans="2:14" ht="15.5" x14ac:dyDescent="0.35">
      <c r="B225" s="6" t="e">
        <f t="shared" ca="1" si="11"/>
        <v>#VALUE!</v>
      </c>
      <c r="C225" s="311" t="e">
        <f t="shared" ca="1" si="10"/>
        <v>#VALUE!</v>
      </c>
      <c r="D225" s="311" t="e">
        <f t="shared" ca="1" si="12"/>
        <v>#VALUE!</v>
      </c>
      <c r="E225" s="311" t="e">
        <f ca="1">C224*'Crédito de Vivienda UVR'!$E$17</f>
        <v>#VALUE!</v>
      </c>
      <c r="F225" s="322" t="e">
        <f ca="1">IF(B225=" ",0,PMT('Crédito de Vivienda UVR'!$E$17,'Crédito de Vivienda UVR'!$C$18,-'Crédito de Vivienda UVR'!$C$20,,))</f>
        <v>#VALUE!</v>
      </c>
      <c r="G225" s="320" t="e">
        <f ca="1">C224*(VLOOKUP('Crédito de Vivienda UVR'!$C$24,Seguros_Oblig!$A$3:$B$55,2,FALSE))</f>
        <v>#VALUE!</v>
      </c>
      <c r="H225" s="313" t="e">
        <f ca="1">C224*(VLOOKUP('Crédito de Vivienda UVR'!$C$25,Seguros_Oblig!$A$3:$B$55,2,FALSE))</f>
        <v>#VALUE!</v>
      </c>
      <c r="I225" s="313" t="e">
        <f ca="1">C224*(VLOOKUP('Crédito de Vivienda UVR'!$C$26,Seguros_Oblig!$A$3:$B$55,2,FALSE))</f>
        <v>#VALUE!</v>
      </c>
      <c r="J225" s="313" t="e">
        <f ca="1">C224*(VLOOKUP('Crédito de Vivienda UVR'!$C$27,Seguros_Oblig!$A$3:$B$55,2,FALSE))</f>
        <v>#VALUE!</v>
      </c>
      <c r="K225" s="35">
        <f ca="1">_xlfn.AGGREGATE(9,6,G225:J225)*'Crédito de Vivienda UVR'!$C$19</f>
        <v>0</v>
      </c>
      <c r="L225" s="7" t="e">
        <f ca="1">IF(C224&lt;1,"0",Seguros_Oblig!$K$2*('Crédito de Vivienda UVR'!$C$12*90%))</f>
        <v>#VALUE!</v>
      </c>
      <c r="M225" s="35" t="e">
        <f ca="1">K225+L225+(F225*'Crédito de Vivienda UVR'!$C$19)</f>
        <v>#VALUE!</v>
      </c>
      <c r="N225" s="316"/>
    </row>
    <row r="226" spans="2:14" ht="15.5" x14ac:dyDescent="0.35">
      <c r="B226" s="6" t="e">
        <f t="shared" ca="1" si="11"/>
        <v>#VALUE!</v>
      </c>
      <c r="C226" s="311" t="e">
        <f t="shared" ca="1" si="10"/>
        <v>#VALUE!</v>
      </c>
      <c r="D226" s="311" t="e">
        <f t="shared" ca="1" si="12"/>
        <v>#VALUE!</v>
      </c>
      <c r="E226" s="311" t="e">
        <f ca="1">C225*'Crédito de Vivienda UVR'!$E$17</f>
        <v>#VALUE!</v>
      </c>
      <c r="F226" s="322" t="e">
        <f ca="1">IF(B226=" ",0,PMT('Crédito de Vivienda UVR'!$E$17,'Crédito de Vivienda UVR'!$C$18,-'Crédito de Vivienda UVR'!$C$20,,))</f>
        <v>#VALUE!</v>
      </c>
      <c r="G226" s="320" t="e">
        <f ca="1">C225*(VLOOKUP('Crédito de Vivienda UVR'!$C$24,Seguros_Oblig!$A$3:$B$55,2,FALSE))</f>
        <v>#VALUE!</v>
      </c>
      <c r="H226" s="313" t="e">
        <f ca="1">C225*(VLOOKUP('Crédito de Vivienda UVR'!$C$25,Seguros_Oblig!$A$3:$B$55,2,FALSE))</f>
        <v>#VALUE!</v>
      </c>
      <c r="I226" s="313" t="e">
        <f ca="1">C225*(VLOOKUP('Crédito de Vivienda UVR'!$C$26,Seguros_Oblig!$A$3:$B$55,2,FALSE))</f>
        <v>#VALUE!</v>
      </c>
      <c r="J226" s="313" t="e">
        <f ca="1">C225*(VLOOKUP('Crédito de Vivienda UVR'!$C$27,Seguros_Oblig!$A$3:$B$55,2,FALSE))</f>
        <v>#VALUE!</v>
      </c>
      <c r="K226" s="35">
        <f ca="1">_xlfn.AGGREGATE(9,6,G226:J226)*'Crédito de Vivienda UVR'!$C$19</f>
        <v>0</v>
      </c>
      <c r="L226" s="7" t="e">
        <f ca="1">IF(C225&lt;1,"0",Seguros_Oblig!$K$2*('Crédito de Vivienda UVR'!$C$12*90%))</f>
        <v>#VALUE!</v>
      </c>
      <c r="M226" s="35" t="e">
        <f ca="1">K226+L226+(F226*'Crédito de Vivienda UVR'!$C$19)</f>
        <v>#VALUE!</v>
      </c>
      <c r="N226" s="316"/>
    </row>
    <row r="227" spans="2:14" ht="15.5" x14ac:dyDescent="0.35">
      <c r="B227" s="6" t="e">
        <f t="shared" ca="1" si="11"/>
        <v>#VALUE!</v>
      </c>
      <c r="C227" s="311" t="e">
        <f t="shared" ca="1" si="10"/>
        <v>#VALUE!</v>
      </c>
      <c r="D227" s="311" t="e">
        <f t="shared" ca="1" si="12"/>
        <v>#VALUE!</v>
      </c>
      <c r="E227" s="311" t="e">
        <f ca="1">C226*'Crédito de Vivienda UVR'!$E$17</f>
        <v>#VALUE!</v>
      </c>
      <c r="F227" s="322" t="e">
        <f ca="1">IF(B227=" ",0,PMT('Crédito de Vivienda UVR'!$E$17,'Crédito de Vivienda UVR'!$C$18,-'Crédito de Vivienda UVR'!$C$20,,))</f>
        <v>#VALUE!</v>
      </c>
      <c r="G227" s="320" t="e">
        <f ca="1">C226*(VLOOKUP('Crédito de Vivienda UVR'!$C$24,Seguros_Oblig!$A$3:$B$55,2,FALSE))</f>
        <v>#VALUE!</v>
      </c>
      <c r="H227" s="313" t="e">
        <f ca="1">C226*(VLOOKUP('Crédito de Vivienda UVR'!$C$25,Seguros_Oblig!$A$3:$B$55,2,FALSE))</f>
        <v>#VALUE!</v>
      </c>
      <c r="I227" s="313" t="e">
        <f ca="1">C226*(VLOOKUP('Crédito de Vivienda UVR'!$C$26,Seguros_Oblig!$A$3:$B$55,2,FALSE))</f>
        <v>#VALUE!</v>
      </c>
      <c r="J227" s="313" t="e">
        <f ca="1">C226*(VLOOKUP('Crédito de Vivienda UVR'!$C$27,Seguros_Oblig!$A$3:$B$55,2,FALSE))</f>
        <v>#VALUE!</v>
      </c>
      <c r="K227" s="35">
        <f ca="1">_xlfn.AGGREGATE(9,6,G227:J227)*'Crédito de Vivienda UVR'!$C$19</f>
        <v>0</v>
      </c>
      <c r="L227" s="7" t="e">
        <f ca="1">IF(C226&lt;1,"0",Seguros_Oblig!$K$2*('Crédito de Vivienda UVR'!$C$12*90%))</f>
        <v>#VALUE!</v>
      </c>
      <c r="M227" s="35" t="e">
        <f ca="1">K227+L227+(F227*'Crédito de Vivienda UVR'!$C$19)</f>
        <v>#VALUE!</v>
      </c>
      <c r="N227" s="316"/>
    </row>
    <row r="228" spans="2:14" ht="15.5" x14ac:dyDescent="0.35">
      <c r="B228" s="6" t="e">
        <f t="shared" ca="1" si="11"/>
        <v>#VALUE!</v>
      </c>
      <c r="C228" s="311" t="e">
        <f t="shared" ca="1" si="10"/>
        <v>#VALUE!</v>
      </c>
      <c r="D228" s="311" t="e">
        <f t="shared" ca="1" si="12"/>
        <v>#VALUE!</v>
      </c>
      <c r="E228" s="311" t="e">
        <f ca="1">C227*'Crédito de Vivienda UVR'!$E$17</f>
        <v>#VALUE!</v>
      </c>
      <c r="F228" s="322" t="e">
        <f ca="1">IF(B228=" ",0,PMT('Crédito de Vivienda UVR'!$E$17,'Crédito de Vivienda UVR'!$C$18,-'Crédito de Vivienda UVR'!$C$20,,))</f>
        <v>#VALUE!</v>
      </c>
      <c r="G228" s="320" t="e">
        <f ca="1">C227*(VLOOKUP('Crédito de Vivienda UVR'!$C$24,Seguros_Oblig!$A$3:$B$55,2,FALSE))</f>
        <v>#VALUE!</v>
      </c>
      <c r="H228" s="313" t="e">
        <f ca="1">C227*(VLOOKUP('Crédito de Vivienda UVR'!$C$25,Seguros_Oblig!$A$3:$B$55,2,FALSE))</f>
        <v>#VALUE!</v>
      </c>
      <c r="I228" s="313" t="e">
        <f ca="1">C227*(VLOOKUP('Crédito de Vivienda UVR'!$C$26,Seguros_Oblig!$A$3:$B$55,2,FALSE))</f>
        <v>#VALUE!</v>
      </c>
      <c r="J228" s="313" t="e">
        <f ca="1">C227*(VLOOKUP('Crédito de Vivienda UVR'!$C$27,Seguros_Oblig!$A$3:$B$55,2,FALSE))</f>
        <v>#VALUE!</v>
      </c>
      <c r="K228" s="35">
        <f ca="1">_xlfn.AGGREGATE(9,6,G228:J228)*'Crédito de Vivienda UVR'!$C$19</f>
        <v>0</v>
      </c>
      <c r="L228" s="7" t="e">
        <f ca="1">IF(C227&lt;1,"0",Seguros_Oblig!$K$2*('Crédito de Vivienda UVR'!$C$12*90%))</f>
        <v>#VALUE!</v>
      </c>
      <c r="M228" s="35" t="e">
        <f ca="1">K228+L228+(F228*'Crédito de Vivienda UVR'!$C$19)</f>
        <v>#VALUE!</v>
      </c>
      <c r="N228" s="316"/>
    </row>
    <row r="229" spans="2:14" ht="15.5" x14ac:dyDescent="0.35">
      <c r="B229" s="6" t="e">
        <f t="shared" ca="1" si="11"/>
        <v>#VALUE!</v>
      </c>
      <c r="C229" s="311" t="e">
        <f t="shared" ca="1" si="10"/>
        <v>#VALUE!</v>
      </c>
      <c r="D229" s="311" t="e">
        <f t="shared" ca="1" si="12"/>
        <v>#VALUE!</v>
      </c>
      <c r="E229" s="311" t="e">
        <f ca="1">C228*'Crédito de Vivienda UVR'!$E$17</f>
        <v>#VALUE!</v>
      </c>
      <c r="F229" s="322" t="e">
        <f ca="1">IF(B229=" ",0,PMT('Crédito de Vivienda UVR'!$E$17,'Crédito de Vivienda UVR'!$C$18,-'Crédito de Vivienda UVR'!$C$20,,))</f>
        <v>#VALUE!</v>
      </c>
      <c r="G229" s="320" t="e">
        <f ca="1">C228*(VLOOKUP('Crédito de Vivienda UVR'!$C$24,Seguros_Oblig!$A$3:$B$55,2,FALSE))</f>
        <v>#VALUE!</v>
      </c>
      <c r="H229" s="313" t="e">
        <f ca="1">C228*(VLOOKUP('Crédito de Vivienda UVR'!$C$25,Seguros_Oblig!$A$3:$B$55,2,FALSE))</f>
        <v>#VALUE!</v>
      </c>
      <c r="I229" s="313" t="e">
        <f ca="1">C228*(VLOOKUP('Crédito de Vivienda UVR'!$C$26,Seguros_Oblig!$A$3:$B$55,2,FALSE))</f>
        <v>#VALUE!</v>
      </c>
      <c r="J229" s="313" t="e">
        <f ca="1">C228*(VLOOKUP('Crédito de Vivienda UVR'!$C$27,Seguros_Oblig!$A$3:$B$55,2,FALSE))</f>
        <v>#VALUE!</v>
      </c>
      <c r="K229" s="35">
        <f ca="1">_xlfn.AGGREGATE(9,6,G229:J229)*'Crédito de Vivienda UVR'!$C$19</f>
        <v>0</v>
      </c>
      <c r="L229" s="7" t="e">
        <f ca="1">IF(C228&lt;1,"0",Seguros_Oblig!$K$2*('Crédito de Vivienda UVR'!$C$12*90%))</f>
        <v>#VALUE!</v>
      </c>
      <c r="M229" s="35" t="e">
        <f ca="1">K229+L229+(F229*'Crédito de Vivienda UVR'!$C$19)</f>
        <v>#VALUE!</v>
      </c>
      <c r="N229" s="316"/>
    </row>
    <row r="230" spans="2:14" ht="15.5" x14ac:dyDescent="0.35">
      <c r="B230" s="6" t="e">
        <f t="shared" ca="1" si="11"/>
        <v>#VALUE!</v>
      </c>
      <c r="C230" s="311" t="e">
        <f t="shared" ca="1" si="10"/>
        <v>#VALUE!</v>
      </c>
      <c r="D230" s="311" t="e">
        <f t="shared" ca="1" si="12"/>
        <v>#VALUE!</v>
      </c>
      <c r="E230" s="311" t="e">
        <f ca="1">C229*'Crédito de Vivienda UVR'!$E$17</f>
        <v>#VALUE!</v>
      </c>
      <c r="F230" s="322" t="e">
        <f ca="1">IF(B230=" ",0,PMT('Crédito de Vivienda UVR'!$E$17,'Crédito de Vivienda UVR'!$C$18,-'Crédito de Vivienda UVR'!$C$20,,))</f>
        <v>#VALUE!</v>
      </c>
      <c r="G230" s="320" t="e">
        <f ca="1">C229*(VLOOKUP('Crédito de Vivienda UVR'!$C$24,Seguros_Oblig!$A$3:$B$55,2,FALSE))</f>
        <v>#VALUE!</v>
      </c>
      <c r="H230" s="313" t="e">
        <f ca="1">C229*(VLOOKUP('Crédito de Vivienda UVR'!$C$25,Seguros_Oblig!$A$3:$B$55,2,FALSE))</f>
        <v>#VALUE!</v>
      </c>
      <c r="I230" s="313" t="e">
        <f ca="1">C229*(VLOOKUP('Crédito de Vivienda UVR'!$C$26,Seguros_Oblig!$A$3:$B$55,2,FALSE))</f>
        <v>#VALUE!</v>
      </c>
      <c r="J230" s="313" t="e">
        <f ca="1">C229*(VLOOKUP('Crédito de Vivienda UVR'!$C$27,Seguros_Oblig!$A$3:$B$55,2,FALSE))</f>
        <v>#VALUE!</v>
      </c>
      <c r="K230" s="35">
        <f ca="1">_xlfn.AGGREGATE(9,6,G230:J230)*'Crédito de Vivienda UVR'!$C$19</f>
        <v>0</v>
      </c>
      <c r="L230" s="7" t="e">
        <f ca="1">IF(C229&lt;1,"0",Seguros_Oblig!$K$2*('Crédito de Vivienda UVR'!$C$12*90%))</f>
        <v>#VALUE!</v>
      </c>
      <c r="M230" s="35" t="e">
        <f ca="1">K230+L230+(F230*'Crédito de Vivienda UVR'!$C$19)</f>
        <v>#VALUE!</v>
      </c>
      <c r="N230" s="316"/>
    </row>
    <row r="231" spans="2:14" ht="15.5" x14ac:dyDescent="0.35">
      <c r="B231" s="6" t="e">
        <f t="shared" ca="1" si="11"/>
        <v>#VALUE!</v>
      </c>
      <c r="C231" s="311" t="e">
        <f t="shared" ca="1" si="10"/>
        <v>#VALUE!</v>
      </c>
      <c r="D231" s="311" t="e">
        <f t="shared" ca="1" si="12"/>
        <v>#VALUE!</v>
      </c>
      <c r="E231" s="311" t="e">
        <f ca="1">C230*'Crédito de Vivienda UVR'!$E$17</f>
        <v>#VALUE!</v>
      </c>
      <c r="F231" s="322" t="e">
        <f ca="1">IF(B231=" ",0,PMT('Crédito de Vivienda UVR'!$E$17,'Crédito de Vivienda UVR'!$C$18,-'Crédito de Vivienda UVR'!$C$20,,))</f>
        <v>#VALUE!</v>
      </c>
      <c r="G231" s="320" t="e">
        <f ca="1">C230*(VLOOKUP('Crédito de Vivienda UVR'!$C$24,Seguros_Oblig!$A$3:$B$55,2,FALSE))</f>
        <v>#VALUE!</v>
      </c>
      <c r="H231" s="313" t="e">
        <f ca="1">C230*(VLOOKUP('Crédito de Vivienda UVR'!$C$25,Seguros_Oblig!$A$3:$B$55,2,FALSE))</f>
        <v>#VALUE!</v>
      </c>
      <c r="I231" s="313" t="e">
        <f ca="1">C230*(VLOOKUP('Crédito de Vivienda UVR'!$C$26,Seguros_Oblig!$A$3:$B$55,2,FALSE))</f>
        <v>#VALUE!</v>
      </c>
      <c r="J231" s="313" t="e">
        <f ca="1">C230*(VLOOKUP('Crédito de Vivienda UVR'!$C$27,Seguros_Oblig!$A$3:$B$55,2,FALSE))</f>
        <v>#VALUE!</v>
      </c>
      <c r="K231" s="35">
        <f ca="1">_xlfn.AGGREGATE(9,6,G231:J231)*'Crédito de Vivienda UVR'!$C$19</f>
        <v>0</v>
      </c>
      <c r="L231" s="7" t="e">
        <f ca="1">IF(C230&lt;1,"0",Seguros_Oblig!$K$2*('Crédito de Vivienda UVR'!$C$12*90%))</f>
        <v>#VALUE!</v>
      </c>
      <c r="M231" s="35" t="e">
        <f ca="1">K231+L231+(F231*'Crédito de Vivienda UVR'!$C$19)</f>
        <v>#VALUE!</v>
      </c>
      <c r="N231" s="316"/>
    </row>
    <row r="232" spans="2:14" ht="15.5" x14ac:dyDescent="0.35">
      <c r="B232" s="6" t="e">
        <f t="shared" ca="1" si="11"/>
        <v>#VALUE!</v>
      </c>
      <c r="C232" s="311" t="e">
        <f t="shared" ca="1" si="10"/>
        <v>#VALUE!</v>
      </c>
      <c r="D232" s="311" t="e">
        <f t="shared" ca="1" si="12"/>
        <v>#VALUE!</v>
      </c>
      <c r="E232" s="311" t="e">
        <f ca="1">C231*'Crédito de Vivienda UVR'!$E$17</f>
        <v>#VALUE!</v>
      </c>
      <c r="F232" s="322" t="e">
        <f ca="1">IF(B232=" ",0,PMT('Crédito de Vivienda UVR'!$E$17,'Crédito de Vivienda UVR'!$C$18,-'Crédito de Vivienda UVR'!$C$20,,))</f>
        <v>#VALUE!</v>
      </c>
      <c r="G232" s="320" t="e">
        <f ca="1">C231*(VLOOKUP('Crédito de Vivienda UVR'!$C$24,Seguros_Oblig!$A$3:$B$55,2,FALSE))</f>
        <v>#VALUE!</v>
      </c>
      <c r="H232" s="313" t="e">
        <f ca="1">C231*(VLOOKUP('Crédito de Vivienda UVR'!$C$25,Seguros_Oblig!$A$3:$B$55,2,FALSE))</f>
        <v>#VALUE!</v>
      </c>
      <c r="I232" s="313" t="e">
        <f ca="1">C231*(VLOOKUP('Crédito de Vivienda UVR'!$C$26,Seguros_Oblig!$A$3:$B$55,2,FALSE))</f>
        <v>#VALUE!</v>
      </c>
      <c r="J232" s="313" t="e">
        <f ca="1">C231*(VLOOKUP('Crédito de Vivienda UVR'!$C$27,Seguros_Oblig!$A$3:$B$55,2,FALSE))</f>
        <v>#VALUE!</v>
      </c>
      <c r="K232" s="35">
        <f ca="1">_xlfn.AGGREGATE(9,6,G232:J232)*'Crédito de Vivienda UVR'!$C$19</f>
        <v>0</v>
      </c>
      <c r="L232" s="7" t="e">
        <f ca="1">IF(C231&lt;1,"0",Seguros_Oblig!$K$2*('Crédito de Vivienda UVR'!$C$12*90%))</f>
        <v>#VALUE!</v>
      </c>
      <c r="M232" s="35" t="e">
        <f ca="1">K232+L232+(F232*'Crédito de Vivienda UVR'!$C$19)</f>
        <v>#VALUE!</v>
      </c>
      <c r="N232" s="316"/>
    </row>
    <row r="233" spans="2:14" ht="15.5" x14ac:dyDescent="0.35">
      <c r="B233" s="6" t="e">
        <f t="shared" ca="1" si="11"/>
        <v>#VALUE!</v>
      </c>
      <c r="C233" s="311" t="e">
        <f t="shared" ca="1" si="10"/>
        <v>#VALUE!</v>
      </c>
      <c r="D233" s="311" t="e">
        <f t="shared" ca="1" si="12"/>
        <v>#VALUE!</v>
      </c>
      <c r="E233" s="311" t="e">
        <f ca="1">C232*'Crédito de Vivienda UVR'!$E$17</f>
        <v>#VALUE!</v>
      </c>
      <c r="F233" s="322" t="e">
        <f ca="1">IF(B233=" ",0,PMT('Crédito de Vivienda UVR'!$E$17,'Crédito de Vivienda UVR'!$C$18,-'Crédito de Vivienda UVR'!$C$20,,))</f>
        <v>#VALUE!</v>
      </c>
      <c r="G233" s="320" t="e">
        <f ca="1">C232*(VLOOKUP('Crédito de Vivienda UVR'!$C$24,Seguros_Oblig!$A$3:$B$55,2,FALSE))</f>
        <v>#VALUE!</v>
      </c>
      <c r="H233" s="313" t="e">
        <f ca="1">C232*(VLOOKUP('Crédito de Vivienda UVR'!$C$25,Seguros_Oblig!$A$3:$B$55,2,FALSE))</f>
        <v>#VALUE!</v>
      </c>
      <c r="I233" s="313" t="e">
        <f ca="1">C232*(VLOOKUP('Crédito de Vivienda UVR'!$C$26,Seguros_Oblig!$A$3:$B$55,2,FALSE))</f>
        <v>#VALUE!</v>
      </c>
      <c r="J233" s="313" t="e">
        <f ca="1">C232*(VLOOKUP('Crédito de Vivienda UVR'!$C$27,Seguros_Oblig!$A$3:$B$55,2,FALSE))</f>
        <v>#VALUE!</v>
      </c>
      <c r="K233" s="35">
        <f ca="1">_xlfn.AGGREGATE(9,6,G233:J233)*'Crédito de Vivienda UVR'!$C$19</f>
        <v>0</v>
      </c>
      <c r="L233" s="7" t="e">
        <f ca="1">IF(C232&lt;1,"0",Seguros_Oblig!$K$2*('Crédito de Vivienda UVR'!$C$12*90%))</f>
        <v>#VALUE!</v>
      </c>
      <c r="M233" s="35" t="e">
        <f ca="1">K233+L233+(F233*'Crédito de Vivienda UVR'!$C$19)</f>
        <v>#VALUE!</v>
      </c>
      <c r="N233" s="316"/>
    </row>
    <row r="234" spans="2:14" ht="15.5" x14ac:dyDescent="0.35">
      <c r="B234" s="6" t="e">
        <f t="shared" ca="1" si="11"/>
        <v>#VALUE!</v>
      </c>
      <c r="C234" s="311" t="e">
        <f t="shared" ca="1" si="10"/>
        <v>#VALUE!</v>
      </c>
      <c r="D234" s="311" t="e">
        <f t="shared" ca="1" si="12"/>
        <v>#VALUE!</v>
      </c>
      <c r="E234" s="311" t="e">
        <f ca="1">C233*'Crédito de Vivienda UVR'!$E$17</f>
        <v>#VALUE!</v>
      </c>
      <c r="F234" s="322" t="e">
        <f ca="1">IF(B234=" ",0,PMT('Crédito de Vivienda UVR'!$E$17,'Crédito de Vivienda UVR'!$C$18,-'Crédito de Vivienda UVR'!$C$20,,))</f>
        <v>#VALUE!</v>
      </c>
      <c r="G234" s="320" t="e">
        <f ca="1">C233*(VLOOKUP('Crédito de Vivienda UVR'!$C$24,Seguros_Oblig!$A$3:$B$55,2,FALSE))</f>
        <v>#VALUE!</v>
      </c>
      <c r="H234" s="313" t="e">
        <f ca="1">C233*(VLOOKUP('Crédito de Vivienda UVR'!$C$25,Seguros_Oblig!$A$3:$B$55,2,FALSE))</f>
        <v>#VALUE!</v>
      </c>
      <c r="I234" s="313" t="e">
        <f ca="1">C233*(VLOOKUP('Crédito de Vivienda UVR'!$C$26,Seguros_Oblig!$A$3:$B$55,2,FALSE))</f>
        <v>#VALUE!</v>
      </c>
      <c r="J234" s="313" t="e">
        <f ca="1">C233*(VLOOKUP('Crédito de Vivienda UVR'!$C$27,Seguros_Oblig!$A$3:$B$55,2,FALSE))</f>
        <v>#VALUE!</v>
      </c>
      <c r="K234" s="35">
        <f ca="1">_xlfn.AGGREGATE(9,6,G234:J234)*'Crédito de Vivienda UVR'!$C$19</f>
        <v>0</v>
      </c>
      <c r="L234" s="7" t="e">
        <f ca="1">IF(C233&lt;1,"0",Seguros_Oblig!$K$2*('Crédito de Vivienda UVR'!$C$12*90%))</f>
        <v>#VALUE!</v>
      </c>
      <c r="M234" s="35" t="e">
        <f ca="1">K234+L234+(F234*'Crédito de Vivienda UVR'!$C$19)</f>
        <v>#VALUE!</v>
      </c>
      <c r="N234" s="316"/>
    </row>
    <row r="235" spans="2:14" ht="15.5" x14ac:dyDescent="0.35">
      <c r="B235" s="6" t="e">
        <f t="shared" ca="1" si="11"/>
        <v>#VALUE!</v>
      </c>
      <c r="C235" s="311" t="e">
        <f t="shared" ca="1" si="10"/>
        <v>#VALUE!</v>
      </c>
      <c r="D235" s="311" t="e">
        <f t="shared" ca="1" si="12"/>
        <v>#VALUE!</v>
      </c>
      <c r="E235" s="311" t="e">
        <f ca="1">C234*'Crédito de Vivienda UVR'!$E$17</f>
        <v>#VALUE!</v>
      </c>
      <c r="F235" s="322" t="e">
        <f ca="1">IF(B235=" ",0,PMT('Crédito de Vivienda UVR'!$E$17,'Crédito de Vivienda UVR'!$C$18,-'Crédito de Vivienda UVR'!$C$20,,))</f>
        <v>#VALUE!</v>
      </c>
      <c r="G235" s="320" t="e">
        <f ca="1">C234*(VLOOKUP('Crédito de Vivienda UVR'!$C$24,Seguros_Oblig!$A$3:$B$55,2,FALSE))</f>
        <v>#VALUE!</v>
      </c>
      <c r="H235" s="313" t="e">
        <f ca="1">C234*(VLOOKUP('Crédito de Vivienda UVR'!$C$25,Seguros_Oblig!$A$3:$B$55,2,FALSE))</f>
        <v>#VALUE!</v>
      </c>
      <c r="I235" s="313" t="e">
        <f ca="1">C234*(VLOOKUP('Crédito de Vivienda UVR'!$C$26,Seguros_Oblig!$A$3:$B$55,2,FALSE))</f>
        <v>#VALUE!</v>
      </c>
      <c r="J235" s="313" t="e">
        <f ca="1">C234*(VLOOKUP('Crédito de Vivienda UVR'!$C$27,Seguros_Oblig!$A$3:$B$55,2,FALSE))</f>
        <v>#VALUE!</v>
      </c>
      <c r="K235" s="35">
        <f ca="1">_xlfn.AGGREGATE(9,6,G235:J235)*'Crédito de Vivienda UVR'!$C$19</f>
        <v>0</v>
      </c>
      <c r="L235" s="7" t="e">
        <f ca="1">IF(C234&lt;1,"0",Seguros_Oblig!$K$2*('Crédito de Vivienda UVR'!$C$12*90%))</f>
        <v>#VALUE!</v>
      </c>
      <c r="M235" s="35" t="e">
        <f ca="1">K235+L235+(F235*'Crédito de Vivienda UVR'!$C$19)</f>
        <v>#VALUE!</v>
      </c>
      <c r="N235" s="316"/>
    </row>
    <row r="236" spans="2:14" ht="15.5" x14ac:dyDescent="0.35">
      <c r="B236" s="6" t="e">
        <f t="shared" ca="1" si="11"/>
        <v>#VALUE!</v>
      </c>
      <c r="C236" s="311" t="e">
        <f t="shared" ca="1" si="10"/>
        <v>#VALUE!</v>
      </c>
      <c r="D236" s="311" t="e">
        <f t="shared" ca="1" si="12"/>
        <v>#VALUE!</v>
      </c>
      <c r="E236" s="311" t="e">
        <f ca="1">C235*'Crédito de Vivienda UVR'!$E$17</f>
        <v>#VALUE!</v>
      </c>
      <c r="F236" s="322" t="e">
        <f ca="1">IF(B236=" ",0,PMT('Crédito de Vivienda UVR'!$E$17,'Crédito de Vivienda UVR'!$C$18,-'Crédito de Vivienda UVR'!$C$20,,))</f>
        <v>#VALUE!</v>
      </c>
      <c r="G236" s="320" t="e">
        <f ca="1">C235*(VLOOKUP('Crédito de Vivienda UVR'!$C$24,Seguros_Oblig!$A$3:$B$55,2,FALSE))</f>
        <v>#VALUE!</v>
      </c>
      <c r="H236" s="313" t="e">
        <f ca="1">C235*(VLOOKUP('Crédito de Vivienda UVR'!$C$25,Seguros_Oblig!$A$3:$B$55,2,FALSE))</f>
        <v>#VALUE!</v>
      </c>
      <c r="I236" s="313" t="e">
        <f ca="1">C235*(VLOOKUP('Crédito de Vivienda UVR'!$C$26,Seguros_Oblig!$A$3:$B$55,2,FALSE))</f>
        <v>#VALUE!</v>
      </c>
      <c r="J236" s="313" t="e">
        <f ca="1">C235*(VLOOKUP('Crédito de Vivienda UVR'!$C$27,Seguros_Oblig!$A$3:$B$55,2,FALSE))</f>
        <v>#VALUE!</v>
      </c>
      <c r="K236" s="35">
        <f ca="1">_xlfn.AGGREGATE(9,6,G236:J236)*'Crédito de Vivienda UVR'!$C$19</f>
        <v>0</v>
      </c>
      <c r="L236" s="7" t="e">
        <f ca="1">IF(C235&lt;1,"0",Seguros_Oblig!$K$2*('Crédito de Vivienda UVR'!$C$12*90%))</f>
        <v>#VALUE!</v>
      </c>
      <c r="M236" s="35" t="e">
        <f ca="1">K236+L236+(F236*'Crédito de Vivienda UVR'!$C$19)</f>
        <v>#VALUE!</v>
      </c>
      <c r="N236" s="316"/>
    </row>
    <row r="237" spans="2:14" ht="15.5" x14ac:dyDescent="0.35">
      <c r="B237" s="6" t="e">
        <f t="shared" ca="1" si="11"/>
        <v>#VALUE!</v>
      </c>
      <c r="C237" s="311" t="e">
        <f t="shared" ca="1" si="10"/>
        <v>#VALUE!</v>
      </c>
      <c r="D237" s="311" t="e">
        <f t="shared" ca="1" si="12"/>
        <v>#VALUE!</v>
      </c>
      <c r="E237" s="311" t="e">
        <f ca="1">C236*'Crédito de Vivienda UVR'!$E$17</f>
        <v>#VALUE!</v>
      </c>
      <c r="F237" s="322" t="e">
        <f ca="1">IF(B237=" ",0,PMT('Crédito de Vivienda UVR'!$E$17,'Crédito de Vivienda UVR'!$C$18,-'Crédito de Vivienda UVR'!$C$20,,))</f>
        <v>#VALUE!</v>
      </c>
      <c r="G237" s="320" t="e">
        <f ca="1">C236*(VLOOKUP('Crédito de Vivienda UVR'!$C$24,Seguros_Oblig!$A$3:$B$55,2,FALSE))</f>
        <v>#VALUE!</v>
      </c>
      <c r="H237" s="313" t="e">
        <f ca="1">C236*(VLOOKUP('Crédito de Vivienda UVR'!$C$25,Seguros_Oblig!$A$3:$B$55,2,FALSE))</f>
        <v>#VALUE!</v>
      </c>
      <c r="I237" s="313" t="e">
        <f ca="1">C236*(VLOOKUP('Crédito de Vivienda UVR'!$C$26,Seguros_Oblig!$A$3:$B$55,2,FALSE))</f>
        <v>#VALUE!</v>
      </c>
      <c r="J237" s="313" t="e">
        <f ca="1">C236*(VLOOKUP('Crédito de Vivienda UVR'!$C$27,Seguros_Oblig!$A$3:$B$55,2,FALSE))</f>
        <v>#VALUE!</v>
      </c>
      <c r="K237" s="35">
        <f ca="1">_xlfn.AGGREGATE(9,6,G237:J237)*'Crédito de Vivienda UVR'!$C$19</f>
        <v>0</v>
      </c>
      <c r="L237" s="7" t="e">
        <f ca="1">IF(C236&lt;1,"0",Seguros_Oblig!$K$2*('Crédito de Vivienda UVR'!$C$12*90%))</f>
        <v>#VALUE!</v>
      </c>
      <c r="M237" s="35" t="e">
        <f ca="1">K237+L237+(F237*'Crédito de Vivienda UVR'!$C$19)</f>
        <v>#VALUE!</v>
      </c>
      <c r="N237" s="316"/>
    </row>
    <row r="238" spans="2:14" ht="15.5" x14ac:dyDescent="0.35">
      <c r="B238" s="6" t="e">
        <f t="shared" ca="1" si="11"/>
        <v>#VALUE!</v>
      </c>
      <c r="C238" s="311" t="e">
        <f t="shared" ca="1" si="10"/>
        <v>#VALUE!</v>
      </c>
      <c r="D238" s="311" t="e">
        <f t="shared" ca="1" si="12"/>
        <v>#VALUE!</v>
      </c>
      <c r="E238" s="311" t="e">
        <f ca="1">C237*'Crédito de Vivienda UVR'!$E$17</f>
        <v>#VALUE!</v>
      </c>
      <c r="F238" s="322" t="e">
        <f ca="1">IF(B238=" ",0,PMT('Crédito de Vivienda UVR'!$E$17,'Crédito de Vivienda UVR'!$C$18,-'Crédito de Vivienda UVR'!$C$20,,))</f>
        <v>#VALUE!</v>
      </c>
      <c r="G238" s="320" t="e">
        <f ca="1">C237*(VLOOKUP('Crédito de Vivienda UVR'!$C$24,Seguros_Oblig!$A$3:$B$55,2,FALSE))</f>
        <v>#VALUE!</v>
      </c>
      <c r="H238" s="313" t="e">
        <f ca="1">C237*(VLOOKUP('Crédito de Vivienda UVR'!$C$25,Seguros_Oblig!$A$3:$B$55,2,FALSE))</f>
        <v>#VALUE!</v>
      </c>
      <c r="I238" s="313" t="e">
        <f ca="1">C237*(VLOOKUP('Crédito de Vivienda UVR'!$C$26,Seguros_Oblig!$A$3:$B$55,2,FALSE))</f>
        <v>#VALUE!</v>
      </c>
      <c r="J238" s="313" t="e">
        <f ca="1">C237*(VLOOKUP('Crédito de Vivienda UVR'!$C$27,Seguros_Oblig!$A$3:$B$55,2,FALSE))</f>
        <v>#VALUE!</v>
      </c>
      <c r="K238" s="35">
        <f ca="1">_xlfn.AGGREGATE(9,6,G238:J238)*'Crédito de Vivienda UVR'!$C$19</f>
        <v>0</v>
      </c>
      <c r="L238" s="7" t="e">
        <f ca="1">IF(C237&lt;1,"0",Seguros_Oblig!$K$2*('Crédito de Vivienda UVR'!$C$12*90%))</f>
        <v>#VALUE!</v>
      </c>
      <c r="M238" s="35" t="e">
        <f ca="1">K238+L238+(F238*'Crédito de Vivienda UVR'!$C$19)</f>
        <v>#VALUE!</v>
      </c>
      <c r="N238" s="316"/>
    </row>
    <row r="239" spans="2:14" ht="15.5" x14ac:dyDescent="0.35">
      <c r="B239" s="6" t="e">
        <f t="shared" ca="1" si="11"/>
        <v>#VALUE!</v>
      </c>
      <c r="C239" s="311" t="e">
        <f t="shared" ca="1" si="10"/>
        <v>#VALUE!</v>
      </c>
      <c r="D239" s="311" t="e">
        <f t="shared" ca="1" si="12"/>
        <v>#VALUE!</v>
      </c>
      <c r="E239" s="311" t="e">
        <f ca="1">C238*'Crédito de Vivienda UVR'!$E$17</f>
        <v>#VALUE!</v>
      </c>
      <c r="F239" s="322" t="e">
        <f ca="1">IF(B239=" ",0,PMT('Crédito de Vivienda UVR'!$E$17,'Crédito de Vivienda UVR'!$C$18,-'Crédito de Vivienda UVR'!$C$20,,))</f>
        <v>#VALUE!</v>
      </c>
      <c r="G239" s="320" t="e">
        <f ca="1">C238*(VLOOKUP('Crédito de Vivienda UVR'!$C$24,Seguros_Oblig!$A$3:$B$55,2,FALSE))</f>
        <v>#VALUE!</v>
      </c>
      <c r="H239" s="313" t="e">
        <f ca="1">C238*(VLOOKUP('Crédito de Vivienda UVR'!$C$25,Seguros_Oblig!$A$3:$B$55,2,FALSE))</f>
        <v>#VALUE!</v>
      </c>
      <c r="I239" s="313" t="e">
        <f ca="1">C238*(VLOOKUP('Crédito de Vivienda UVR'!$C$26,Seguros_Oblig!$A$3:$B$55,2,FALSE))</f>
        <v>#VALUE!</v>
      </c>
      <c r="J239" s="313" t="e">
        <f ca="1">C238*(VLOOKUP('Crédito de Vivienda UVR'!$C$27,Seguros_Oblig!$A$3:$B$55,2,FALSE))</f>
        <v>#VALUE!</v>
      </c>
      <c r="K239" s="35">
        <f ca="1">_xlfn.AGGREGATE(9,6,G239:J239)*'Crédito de Vivienda UVR'!$C$19</f>
        <v>0</v>
      </c>
      <c r="L239" s="7" t="e">
        <f ca="1">IF(C238&lt;1,"0",Seguros_Oblig!$K$2*('Crédito de Vivienda UVR'!$C$12*90%))</f>
        <v>#VALUE!</v>
      </c>
      <c r="M239" s="35" t="e">
        <f ca="1">K239+L239+(F239*'Crédito de Vivienda UVR'!$C$19)</f>
        <v>#VALUE!</v>
      </c>
      <c r="N239" s="316"/>
    </row>
    <row r="240" spans="2:14" ht="15.5" x14ac:dyDescent="0.35">
      <c r="B240" s="6" t="e">
        <f t="shared" ca="1" si="11"/>
        <v>#VALUE!</v>
      </c>
      <c r="C240" s="311" t="e">
        <f t="shared" ca="1" si="10"/>
        <v>#VALUE!</v>
      </c>
      <c r="D240" s="311" t="e">
        <f t="shared" ca="1" si="12"/>
        <v>#VALUE!</v>
      </c>
      <c r="E240" s="311" t="e">
        <f ca="1">C239*'Crédito de Vivienda UVR'!$E$17</f>
        <v>#VALUE!</v>
      </c>
      <c r="F240" s="322" t="e">
        <f ca="1">IF(B240=" ",0,PMT('Crédito de Vivienda UVR'!$E$17,'Crédito de Vivienda UVR'!$C$18,-'Crédito de Vivienda UVR'!$C$20,,))</f>
        <v>#VALUE!</v>
      </c>
      <c r="G240" s="320" t="e">
        <f ca="1">C239*(VLOOKUP('Crédito de Vivienda UVR'!$C$24,Seguros_Oblig!$A$3:$B$55,2,FALSE))</f>
        <v>#VALUE!</v>
      </c>
      <c r="H240" s="313" t="e">
        <f ca="1">C239*(VLOOKUP('Crédito de Vivienda UVR'!$C$25,Seguros_Oblig!$A$3:$B$55,2,FALSE))</f>
        <v>#VALUE!</v>
      </c>
      <c r="I240" s="313" t="e">
        <f ca="1">C239*(VLOOKUP('Crédito de Vivienda UVR'!$C$26,Seguros_Oblig!$A$3:$B$55,2,FALSE))</f>
        <v>#VALUE!</v>
      </c>
      <c r="J240" s="313" t="e">
        <f ca="1">C239*(VLOOKUP('Crédito de Vivienda UVR'!$C$27,Seguros_Oblig!$A$3:$B$55,2,FALSE))</f>
        <v>#VALUE!</v>
      </c>
      <c r="K240" s="35">
        <f ca="1">_xlfn.AGGREGATE(9,6,G240:J240)*'Crédito de Vivienda UVR'!$C$19</f>
        <v>0</v>
      </c>
      <c r="L240" s="7" t="e">
        <f ca="1">IF(C239&lt;1,"0",Seguros_Oblig!$K$2*('Crédito de Vivienda UVR'!$C$12*90%))</f>
        <v>#VALUE!</v>
      </c>
      <c r="M240" s="35" t="e">
        <f ca="1">K240+L240+(F240*'Crédito de Vivienda UVR'!$C$19)</f>
        <v>#VALUE!</v>
      </c>
      <c r="N240" s="316"/>
    </row>
    <row r="241" spans="2:14" ht="15.5" x14ac:dyDescent="0.35">
      <c r="B241" s="6" t="e">
        <f t="shared" ca="1" si="11"/>
        <v>#VALUE!</v>
      </c>
      <c r="C241" s="311" t="e">
        <f t="shared" ca="1" si="10"/>
        <v>#VALUE!</v>
      </c>
      <c r="D241" s="311" t="e">
        <f t="shared" ca="1" si="12"/>
        <v>#VALUE!</v>
      </c>
      <c r="E241" s="311" t="e">
        <f ca="1">C240*'Crédito de Vivienda UVR'!$E$17</f>
        <v>#VALUE!</v>
      </c>
      <c r="F241" s="322" t="e">
        <f ca="1">IF(B241=" ",0,PMT('Crédito de Vivienda UVR'!$E$17,'Crédito de Vivienda UVR'!$C$18,-'Crédito de Vivienda UVR'!$C$20,,))</f>
        <v>#VALUE!</v>
      </c>
      <c r="G241" s="320" t="e">
        <f ca="1">C240*(VLOOKUP('Crédito de Vivienda UVR'!$C$24,Seguros_Oblig!$A$3:$B$55,2,FALSE))</f>
        <v>#VALUE!</v>
      </c>
      <c r="H241" s="313" t="e">
        <f ca="1">C240*(VLOOKUP('Crédito de Vivienda UVR'!$C$25,Seguros_Oblig!$A$3:$B$55,2,FALSE))</f>
        <v>#VALUE!</v>
      </c>
      <c r="I241" s="313" t="e">
        <f ca="1">C240*(VLOOKUP('Crédito de Vivienda UVR'!$C$26,Seguros_Oblig!$A$3:$B$55,2,FALSE))</f>
        <v>#VALUE!</v>
      </c>
      <c r="J241" s="313" t="e">
        <f ca="1">C240*(VLOOKUP('Crédito de Vivienda UVR'!$C$27,Seguros_Oblig!$A$3:$B$55,2,FALSE))</f>
        <v>#VALUE!</v>
      </c>
      <c r="K241" s="35">
        <f ca="1">_xlfn.AGGREGATE(9,6,G241:J241)*'Crédito de Vivienda UVR'!$C$19</f>
        <v>0</v>
      </c>
      <c r="L241" s="7" t="e">
        <f ca="1">IF(C240&lt;1,"0",Seguros_Oblig!$K$2*('Crédito de Vivienda UVR'!$C$12*90%))</f>
        <v>#VALUE!</v>
      </c>
      <c r="M241" s="35" t="e">
        <f ca="1">K241+L241+(F241*'Crédito de Vivienda UVR'!$C$19)</f>
        <v>#VALUE!</v>
      </c>
      <c r="N241" s="316"/>
    </row>
    <row r="242" spans="2:14" ht="15.5" x14ac:dyDescent="0.35">
      <c r="B242" s="6" t="e">
        <f t="shared" ca="1" si="11"/>
        <v>#VALUE!</v>
      </c>
      <c r="C242" s="311" t="e">
        <f t="shared" ca="1" si="10"/>
        <v>#VALUE!</v>
      </c>
      <c r="D242" s="311" t="e">
        <f t="shared" ca="1" si="12"/>
        <v>#VALUE!</v>
      </c>
      <c r="E242" s="311" t="e">
        <f ca="1">C241*'Crédito de Vivienda UVR'!$E$17</f>
        <v>#VALUE!</v>
      </c>
      <c r="F242" s="322" t="e">
        <f ca="1">IF(B242=" ",0,PMT('Crédito de Vivienda UVR'!$E$17,'Crédito de Vivienda UVR'!$C$18,-'Crédito de Vivienda UVR'!$C$20,,))</f>
        <v>#VALUE!</v>
      </c>
      <c r="G242" s="320" t="e">
        <f ca="1">C241*(VLOOKUP('Crédito de Vivienda UVR'!$C$24,Seguros_Oblig!$A$3:$B$55,2,FALSE))</f>
        <v>#VALUE!</v>
      </c>
      <c r="H242" s="313" t="e">
        <f ca="1">C241*(VLOOKUP('Crédito de Vivienda UVR'!$C$25,Seguros_Oblig!$A$3:$B$55,2,FALSE))</f>
        <v>#VALUE!</v>
      </c>
      <c r="I242" s="313" t="e">
        <f ca="1">C241*(VLOOKUP('Crédito de Vivienda UVR'!$C$26,Seguros_Oblig!$A$3:$B$55,2,FALSE))</f>
        <v>#VALUE!</v>
      </c>
      <c r="J242" s="313" t="e">
        <f ca="1">C241*(VLOOKUP('Crédito de Vivienda UVR'!$C$27,Seguros_Oblig!$A$3:$B$55,2,FALSE))</f>
        <v>#VALUE!</v>
      </c>
      <c r="K242" s="35">
        <f ca="1">_xlfn.AGGREGATE(9,6,G242:J242)*'Crédito de Vivienda UVR'!$C$19</f>
        <v>0</v>
      </c>
      <c r="L242" s="7" t="e">
        <f ca="1">IF(C241&lt;1,"0",Seguros_Oblig!$K$2*('Crédito de Vivienda UVR'!$C$12*90%))</f>
        <v>#VALUE!</v>
      </c>
      <c r="M242" s="35" t="e">
        <f ca="1">K242+L242+(F242*'Crédito de Vivienda UVR'!$C$19)</f>
        <v>#VALUE!</v>
      </c>
      <c r="N242" s="316"/>
    </row>
    <row r="243" spans="2:14" ht="15.5" x14ac:dyDescent="0.35">
      <c r="B243" s="6" t="e">
        <f t="shared" ca="1" si="11"/>
        <v>#VALUE!</v>
      </c>
      <c r="C243" s="311" t="e">
        <f t="shared" ca="1" si="10"/>
        <v>#VALUE!</v>
      </c>
      <c r="D243" s="311" t="e">
        <f t="shared" ca="1" si="12"/>
        <v>#VALUE!</v>
      </c>
      <c r="E243" s="311" t="e">
        <f ca="1">C242*'Crédito de Vivienda UVR'!$E$17</f>
        <v>#VALUE!</v>
      </c>
      <c r="F243" s="322" t="e">
        <f ca="1">IF(B243=" ",0,PMT('Crédito de Vivienda UVR'!$E$17,'Crédito de Vivienda UVR'!$C$18,-'Crédito de Vivienda UVR'!$C$20,,))</f>
        <v>#VALUE!</v>
      </c>
      <c r="G243" s="320" t="e">
        <f ca="1">C242*(VLOOKUP('Crédito de Vivienda UVR'!$C$24,Seguros_Oblig!$A$3:$B$55,2,FALSE))</f>
        <v>#VALUE!</v>
      </c>
      <c r="H243" s="313" t="e">
        <f ca="1">C242*(VLOOKUP('Crédito de Vivienda UVR'!$C$25,Seguros_Oblig!$A$3:$B$55,2,FALSE))</f>
        <v>#VALUE!</v>
      </c>
      <c r="I243" s="313" t="e">
        <f ca="1">C242*(VLOOKUP('Crédito de Vivienda UVR'!$C$26,Seguros_Oblig!$A$3:$B$55,2,FALSE))</f>
        <v>#VALUE!</v>
      </c>
      <c r="J243" s="313" t="e">
        <f ca="1">C242*(VLOOKUP('Crédito de Vivienda UVR'!$C$27,Seguros_Oblig!$A$3:$B$55,2,FALSE))</f>
        <v>#VALUE!</v>
      </c>
      <c r="K243" s="35">
        <f ca="1">_xlfn.AGGREGATE(9,6,G243:J243)*'Crédito de Vivienda UVR'!$C$19</f>
        <v>0</v>
      </c>
      <c r="L243" s="7" t="e">
        <f ca="1">IF(C242&lt;1,"0",Seguros_Oblig!$K$2*('Crédito de Vivienda UVR'!$C$12*90%))</f>
        <v>#VALUE!</v>
      </c>
      <c r="M243" s="35" t="e">
        <f ca="1">K243+L243+(F243*'Crédito de Vivienda UVR'!$C$19)</f>
        <v>#VALUE!</v>
      </c>
      <c r="N243" s="316"/>
    </row>
    <row r="244" spans="2:14" ht="15.5" x14ac:dyDescent="0.35">
      <c r="B244" s="6" t="e">
        <f t="shared" ca="1" si="11"/>
        <v>#VALUE!</v>
      </c>
      <c r="C244" s="311" t="e">
        <f t="shared" ca="1" si="10"/>
        <v>#VALUE!</v>
      </c>
      <c r="D244" s="311" t="e">
        <f t="shared" ca="1" si="12"/>
        <v>#VALUE!</v>
      </c>
      <c r="E244" s="311" t="e">
        <f ca="1">C243*'Crédito de Vivienda UVR'!$E$17</f>
        <v>#VALUE!</v>
      </c>
      <c r="F244" s="322" t="e">
        <f ca="1">IF(B244=" ",0,PMT('Crédito de Vivienda UVR'!$E$17,'Crédito de Vivienda UVR'!$C$18,-'Crédito de Vivienda UVR'!$C$20,,))</f>
        <v>#VALUE!</v>
      </c>
      <c r="G244" s="320" t="e">
        <f ca="1">C243*(VLOOKUP('Crédito de Vivienda UVR'!$C$24,Seguros_Oblig!$A$3:$B$55,2,FALSE))</f>
        <v>#VALUE!</v>
      </c>
      <c r="H244" s="313" t="e">
        <f ca="1">C243*(VLOOKUP('Crédito de Vivienda UVR'!$C$25,Seguros_Oblig!$A$3:$B$55,2,FALSE))</f>
        <v>#VALUE!</v>
      </c>
      <c r="I244" s="313" t="e">
        <f ca="1">C243*(VLOOKUP('Crédito de Vivienda UVR'!$C$26,Seguros_Oblig!$A$3:$B$55,2,FALSE))</f>
        <v>#VALUE!</v>
      </c>
      <c r="J244" s="313" t="e">
        <f ca="1">C243*(VLOOKUP('Crédito de Vivienda UVR'!$C$27,Seguros_Oblig!$A$3:$B$55,2,FALSE))</f>
        <v>#VALUE!</v>
      </c>
      <c r="K244" s="35">
        <f ca="1">_xlfn.AGGREGATE(9,6,G244:J244)*'Crédito de Vivienda UVR'!$C$19</f>
        <v>0</v>
      </c>
      <c r="L244" s="7" t="e">
        <f ca="1">IF(C243&lt;1,"0",Seguros_Oblig!$K$2*('Crédito de Vivienda UVR'!$C$12*90%))</f>
        <v>#VALUE!</v>
      </c>
      <c r="M244" s="35" t="e">
        <f ca="1">K244+L244+(F244*'Crédito de Vivienda UVR'!$C$19)</f>
        <v>#VALUE!</v>
      </c>
      <c r="N244" s="316"/>
    </row>
    <row r="245" spans="2:14" ht="15.5" x14ac:dyDescent="0.35">
      <c r="B245" s="6" t="e">
        <f t="shared" ca="1" si="11"/>
        <v>#VALUE!</v>
      </c>
      <c r="C245" s="311" t="e">
        <f t="shared" ca="1" si="10"/>
        <v>#VALUE!</v>
      </c>
      <c r="D245" s="311" t="e">
        <f t="shared" ca="1" si="12"/>
        <v>#VALUE!</v>
      </c>
      <c r="E245" s="311" t="e">
        <f ca="1">C244*'Crédito de Vivienda UVR'!$E$17</f>
        <v>#VALUE!</v>
      </c>
      <c r="F245" s="322" t="e">
        <f ca="1">IF(B245=" ",0,PMT('Crédito de Vivienda UVR'!$E$17,'Crédito de Vivienda UVR'!$C$18,-'Crédito de Vivienda UVR'!$C$20,,))</f>
        <v>#VALUE!</v>
      </c>
      <c r="G245" s="320" t="e">
        <f ca="1">C244*(VLOOKUP('Crédito de Vivienda UVR'!$C$24,Seguros_Oblig!$A$3:$B$55,2,FALSE))</f>
        <v>#VALUE!</v>
      </c>
      <c r="H245" s="313" t="e">
        <f ca="1">C244*(VLOOKUP('Crédito de Vivienda UVR'!$C$25,Seguros_Oblig!$A$3:$B$55,2,FALSE))</f>
        <v>#VALUE!</v>
      </c>
      <c r="I245" s="313" t="e">
        <f ca="1">C244*(VLOOKUP('Crédito de Vivienda UVR'!$C$26,Seguros_Oblig!$A$3:$B$55,2,FALSE))</f>
        <v>#VALUE!</v>
      </c>
      <c r="J245" s="313" t="e">
        <f ca="1">C244*(VLOOKUP('Crédito de Vivienda UVR'!$C$27,Seguros_Oblig!$A$3:$B$55,2,FALSE))</f>
        <v>#VALUE!</v>
      </c>
      <c r="K245" s="35">
        <f ca="1">_xlfn.AGGREGATE(9,6,G245:J245)*'Crédito de Vivienda UVR'!$C$19</f>
        <v>0</v>
      </c>
      <c r="L245" s="7" t="e">
        <f ca="1">IF(C244&lt;1,"0",Seguros_Oblig!$K$2*('Crédito de Vivienda UVR'!$C$12*90%))</f>
        <v>#VALUE!</v>
      </c>
      <c r="M245" s="35" t="e">
        <f ca="1">K245+L245+(F245*'Crédito de Vivienda UVR'!$C$19)</f>
        <v>#VALUE!</v>
      </c>
      <c r="N245" s="316"/>
    </row>
    <row r="246" spans="2:14" ht="15.5" x14ac:dyDescent="0.35">
      <c r="B246" s="6" t="e">
        <f t="shared" ca="1" si="11"/>
        <v>#VALUE!</v>
      </c>
      <c r="C246" s="311" t="e">
        <f t="shared" ca="1" si="10"/>
        <v>#VALUE!</v>
      </c>
      <c r="D246" s="311" t="e">
        <f t="shared" ca="1" si="12"/>
        <v>#VALUE!</v>
      </c>
      <c r="E246" s="311" t="e">
        <f ca="1">C245*'Crédito de Vivienda UVR'!$E$17</f>
        <v>#VALUE!</v>
      </c>
      <c r="F246" s="322" t="e">
        <f ca="1">IF(B246=" ",0,PMT('Crédito de Vivienda UVR'!$E$17,'Crédito de Vivienda UVR'!$C$18,-'Crédito de Vivienda UVR'!$C$20,,))</f>
        <v>#VALUE!</v>
      </c>
      <c r="G246" s="320" t="e">
        <f ca="1">C245*(VLOOKUP('Crédito de Vivienda UVR'!$C$24,Seguros_Oblig!$A$3:$B$55,2,FALSE))</f>
        <v>#VALUE!</v>
      </c>
      <c r="H246" s="313" t="e">
        <f ca="1">C245*(VLOOKUP('Crédito de Vivienda UVR'!$C$25,Seguros_Oblig!$A$3:$B$55,2,FALSE))</f>
        <v>#VALUE!</v>
      </c>
      <c r="I246" s="313" t="e">
        <f ca="1">C245*(VLOOKUP('Crédito de Vivienda UVR'!$C$26,Seguros_Oblig!$A$3:$B$55,2,FALSE))</f>
        <v>#VALUE!</v>
      </c>
      <c r="J246" s="313" t="e">
        <f ca="1">C245*(VLOOKUP('Crédito de Vivienda UVR'!$C$27,Seguros_Oblig!$A$3:$B$55,2,FALSE))</f>
        <v>#VALUE!</v>
      </c>
      <c r="K246" s="35">
        <f ca="1">_xlfn.AGGREGATE(9,6,G246:J246)*'Crédito de Vivienda UVR'!$C$19</f>
        <v>0</v>
      </c>
      <c r="L246" s="7" t="e">
        <f ca="1">IF(C245&lt;1,"0",Seguros_Oblig!$K$2*('Crédito de Vivienda UVR'!$C$12*90%))</f>
        <v>#VALUE!</v>
      </c>
      <c r="M246" s="35" t="e">
        <f ca="1">K246+L246+(F246*'Crédito de Vivienda UVR'!$C$19)</f>
        <v>#VALUE!</v>
      </c>
      <c r="N246" s="316"/>
    </row>
    <row r="247" spans="2:14" ht="15.5" x14ac:dyDescent="0.35">
      <c r="B247" s="6" t="e">
        <f t="shared" ca="1" si="11"/>
        <v>#VALUE!</v>
      </c>
      <c r="C247" s="311" t="e">
        <f t="shared" ca="1" si="10"/>
        <v>#VALUE!</v>
      </c>
      <c r="D247" s="311" t="e">
        <f t="shared" ca="1" si="12"/>
        <v>#VALUE!</v>
      </c>
      <c r="E247" s="311" t="e">
        <f ca="1">C246*'Crédito de Vivienda UVR'!$E$17</f>
        <v>#VALUE!</v>
      </c>
      <c r="F247" s="322" t="e">
        <f ca="1">IF(B247=" ",0,PMT('Crédito de Vivienda UVR'!$E$17,'Crédito de Vivienda UVR'!$C$18,-'Crédito de Vivienda UVR'!$C$20,,))</f>
        <v>#VALUE!</v>
      </c>
      <c r="G247" s="320" t="e">
        <f ca="1">C246*(VLOOKUP('Crédito de Vivienda UVR'!$C$24,Seguros_Oblig!$A$3:$B$55,2,FALSE))</f>
        <v>#VALUE!</v>
      </c>
      <c r="H247" s="313" t="e">
        <f ca="1">C246*(VLOOKUP('Crédito de Vivienda UVR'!$C$25,Seguros_Oblig!$A$3:$B$55,2,FALSE))</f>
        <v>#VALUE!</v>
      </c>
      <c r="I247" s="313" t="e">
        <f ca="1">C246*(VLOOKUP('Crédito de Vivienda UVR'!$C$26,Seguros_Oblig!$A$3:$B$55,2,FALSE))</f>
        <v>#VALUE!</v>
      </c>
      <c r="J247" s="313" t="e">
        <f ca="1">C246*(VLOOKUP('Crédito de Vivienda UVR'!$C$27,Seguros_Oblig!$A$3:$B$55,2,FALSE))</f>
        <v>#VALUE!</v>
      </c>
      <c r="K247" s="35">
        <f ca="1">_xlfn.AGGREGATE(9,6,G247:J247)*'Crédito de Vivienda UVR'!$C$19</f>
        <v>0</v>
      </c>
      <c r="L247" s="7" t="e">
        <f ca="1">IF(C246&lt;1,"0",Seguros_Oblig!$K$2*('Crédito de Vivienda UVR'!$C$12*90%))</f>
        <v>#VALUE!</v>
      </c>
      <c r="M247" s="35" t="e">
        <f ca="1">K247+L247+(F247*'Crédito de Vivienda UVR'!$C$19)</f>
        <v>#VALUE!</v>
      </c>
      <c r="N247" s="316"/>
    </row>
    <row r="248" spans="2:14" ht="15.5" x14ac:dyDescent="0.35">
      <c r="B248" s="6" t="e">
        <f t="shared" ca="1" si="11"/>
        <v>#VALUE!</v>
      </c>
      <c r="C248" s="311" t="e">
        <f t="shared" ca="1" si="10"/>
        <v>#VALUE!</v>
      </c>
      <c r="D248" s="311" t="e">
        <f t="shared" ca="1" si="12"/>
        <v>#VALUE!</v>
      </c>
      <c r="E248" s="311" t="e">
        <f ca="1">C247*'Crédito de Vivienda UVR'!$E$17</f>
        <v>#VALUE!</v>
      </c>
      <c r="F248" s="322" t="e">
        <f ca="1">IF(B248=" ",0,PMT('Crédito de Vivienda UVR'!$E$17,'Crédito de Vivienda UVR'!$C$18,-'Crédito de Vivienda UVR'!$C$20,,))</f>
        <v>#VALUE!</v>
      </c>
      <c r="G248" s="320" t="e">
        <f ca="1">C247*(VLOOKUP('Crédito de Vivienda UVR'!$C$24,Seguros_Oblig!$A$3:$B$55,2,FALSE))</f>
        <v>#VALUE!</v>
      </c>
      <c r="H248" s="313" t="e">
        <f ca="1">C247*(VLOOKUP('Crédito de Vivienda UVR'!$C$25,Seguros_Oblig!$A$3:$B$55,2,FALSE))</f>
        <v>#VALUE!</v>
      </c>
      <c r="I248" s="313" t="e">
        <f ca="1">C247*(VLOOKUP('Crédito de Vivienda UVR'!$C$26,Seguros_Oblig!$A$3:$B$55,2,FALSE))</f>
        <v>#VALUE!</v>
      </c>
      <c r="J248" s="313" t="e">
        <f ca="1">C247*(VLOOKUP('Crédito de Vivienda UVR'!$C$27,Seguros_Oblig!$A$3:$B$55,2,FALSE))</f>
        <v>#VALUE!</v>
      </c>
      <c r="K248" s="35">
        <f ca="1">_xlfn.AGGREGATE(9,6,G248:J248)*'Crédito de Vivienda UVR'!$C$19</f>
        <v>0</v>
      </c>
      <c r="L248" s="7" t="e">
        <f ca="1">IF(C247&lt;1,"0",Seguros_Oblig!$K$2*('Crédito de Vivienda UVR'!$C$12*90%))</f>
        <v>#VALUE!</v>
      </c>
      <c r="M248" s="35" t="e">
        <f ca="1">K248+L248+(F248*'Crédito de Vivienda UVR'!$C$19)</f>
        <v>#VALUE!</v>
      </c>
      <c r="N248" s="316"/>
    </row>
    <row r="249" spans="2:14" ht="15.5" x14ac:dyDescent="0.35">
      <c r="B249" s="6" t="e">
        <f t="shared" ca="1" si="11"/>
        <v>#VALUE!</v>
      </c>
      <c r="C249" s="311" t="e">
        <f t="shared" ca="1" si="10"/>
        <v>#VALUE!</v>
      </c>
      <c r="D249" s="311" t="e">
        <f t="shared" ca="1" si="12"/>
        <v>#VALUE!</v>
      </c>
      <c r="E249" s="311" t="e">
        <f ca="1">C248*'Crédito de Vivienda UVR'!$E$17</f>
        <v>#VALUE!</v>
      </c>
      <c r="F249" s="322" t="e">
        <f ca="1">IF(B249=" ",0,PMT('Crédito de Vivienda UVR'!$E$17,'Crédito de Vivienda UVR'!$C$18,-'Crédito de Vivienda UVR'!$C$20,,))</f>
        <v>#VALUE!</v>
      </c>
      <c r="G249" s="320" t="e">
        <f ca="1">C248*(VLOOKUP('Crédito de Vivienda UVR'!$C$24,Seguros_Oblig!$A$3:$B$55,2,FALSE))</f>
        <v>#VALUE!</v>
      </c>
      <c r="H249" s="313" t="e">
        <f ca="1">C248*(VLOOKUP('Crédito de Vivienda UVR'!$C$25,Seguros_Oblig!$A$3:$B$55,2,FALSE))</f>
        <v>#VALUE!</v>
      </c>
      <c r="I249" s="313" t="e">
        <f ca="1">C248*(VLOOKUP('Crédito de Vivienda UVR'!$C$26,Seguros_Oblig!$A$3:$B$55,2,FALSE))</f>
        <v>#VALUE!</v>
      </c>
      <c r="J249" s="313" t="e">
        <f ca="1">C248*(VLOOKUP('Crédito de Vivienda UVR'!$C$27,Seguros_Oblig!$A$3:$B$55,2,FALSE))</f>
        <v>#VALUE!</v>
      </c>
      <c r="K249" s="35">
        <f ca="1">_xlfn.AGGREGATE(9,6,G249:J249)*'Crédito de Vivienda UVR'!$C$19</f>
        <v>0</v>
      </c>
      <c r="L249" s="7" t="e">
        <f ca="1">IF(C248&lt;1,"0",Seguros_Oblig!$K$2*('Crédito de Vivienda UVR'!$C$12*90%))</f>
        <v>#VALUE!</v>
      </c>
      <c r="M249" s="35" t="e">
        <f ca="1">K249+L249+(F249*'Crédito de Vivienda UVR'!$C$19)</f>
        <v>#VALUE!</v>
      </c>
      <c r="N249" s="316"/>
    </row>
    <row r="250" spans="2:14" ht="15.5" x14ac:dyDescent="0.35">
      <c r="B250" s="6" t="e">
        <f t="shared" ca="1" si="11"/>
        <v>#VALUE!</v>
      </c>
      <c r="C250" s="311" t="e">
        <f t="shared" ca="1" si="10"/>
        <v>#VALUE!</v>
      </c>
      <c r="D250" s="311" t="e">
        <f t="shared" ca="1" si="12"/>
        <v>#VALUE!</v>
      </c>
      <c r="E250" s="311" t="e">
        <f ca="1">C249*'Crédito de Vivienda UVR'!$E$17</f>
        <v>#VALUE!</v>
      </c>
      <c r="F250" s="322" t="e">
        <f ca="1">IF(B250=" ",0,PMT('Crédito de Vivienda UVR'!$E$17,'Crédito de Vivienda UVR'!$C$18,-'Crédito de Vivienda UVR'!$C$20,,))</f>
        <v>#VALUE!</v>
      </c>
      <c r="G250" s="320" t="e">
        <f ca="1">C249*(VLOOKUP('Crédito de Vivienda UVR'!$C$24,Seguros_Oblig!$A$3:$B$55,2,FALSE))</f>
        <v>#VALUE!</v>
      </c>
      <c r="H250" s="313" t="e">
        <f ca="1">C249*(VLOOKUP('Crédito de Vivienda UVR'!$C$25,Seguros_Oblig!$A$3:$B$55,2,FALSE))</f>
        <v>#VALUE!</v>
      </c>
      <c r="I250" s="313" t="e">
        <f ca="1">C249*(VLOOKUP('Crédito de Vivienda UVR'!$C$26,Seguros_Oblig!$A$3:$B$55,2,FALSE))</f>
        <v>#VALUE!</v>
      </c>
      <c r="J250" s="313" t="e">
        <f ca="1">C249*(VLOOKUP('Crédito de Vivienda UVR'!$C$27,Seguros_Oblig!$A$3:$B$55,2,FALSE))</f>
        <v>#VALUE!</v>
      </c>
      <c r="K250" s="35">
        <f ca="1">_xlfn.AGGREGATE(9,6,G250:J250)*'Crédito de Vivienda UVR'!$C$19</f>
        <v>0</v>
      </c>
      <c r="L250" s="7" t="e">
        <f ca="1">IF(C249&lt;1,"0",Seguros_Oblig!$K$2*('Crédito de Vivienda UVR'!$C$12*90%))</f>
        <v>#VALUE!</v>
      </c>
      <c r="M250" s="35" t="e">
        <f ca="1">K250+L250+(F250*'Crédito de Vivienda UVR'!$C$19)</f>
        <v>#VALUE!</v>
      </c>
      <c r="N250" s="316"/>
    </row>
    <row r="251" spans="2:14" ht="15.5" x14ac:dyDescent="0.35">
      <c r="B251" s="6" t="e">
        <f t="shared" ca="1" si="11"/>
        <v>#VALUE!</v>
      </c>
      <c r="C251" s="311" t="e">
        <f t="shared" ca="1" si="10"/>
        <v>#VALUE!</v>
      </c>
      <c r="D251" s="311" t="e">
        <f t="shared" ca="1" si="12"/>
        <v>#VALUE!</v>
      </c>
      <c r="E251" s="311" t="e">
        <f ca="1">C250*'Crédito de Vivienda UVR'!$E$17</f>
        <v>#VALUE!</v>
      </c>
      <c r="F251" s="322" t="e">
        <f ca="1">IF(B251=" ",0,PMT('Crédito de Vivienda UVR'!$E$17,'Crédito de Vivienda UVR'!$C$18,-'Crédito de Vivienda UVR'!$C$20,,))</f>
        <v>#VALUE!</v>
      </c>
      <c r="G251" s="320" t="e">
        <f ca="1">C250*(VLOOKUP('Crédito de Vivienda UVR'!$C$24,Seguros_Oblig!$A$3:$B$55,2,FALSE))</f>
        <v>#VALUE!</v>
      </c>
      <c r="H251" s="313" t="e">
        <f ca="1">C250*(VLOOKUP('Crédito de Vivienda UVR'!$C$25,Seguros_Oblig!$A$3:$B$55,2,FALSE))</f>
        <v>#VALUE!</v>
      </c>
      <c r="I251" s="313" t="e">
        <f ca="1">C250*(VLOOKUP('Crédito de Vivienda UVR'!$C$26,Seguros_Oblig!$A$3:$B$55,2,FALSE))</f>
        <v>#VALUE!</v>
      </c>
      <c r="J251" s="313" t="e">
        <f ca="1">C250*(VLOOKUP('Crédito de Vivienda UVR'!$C$27,Seguros_Oblig!$A$3:$B$55,2,FALSE))</f>
        <v>#VALUE!</v>
      </c>
      <c r="K251" s="35">
        <f ca="1">_xlfn.AGGREGATE(9,6,G251:J251)*'Crédito de Vivienda UVR'!$C$19</f>
        <v>0</v>
      </c>
      <c r="L251" s="7" t="e">
        <f ca="1">IF(C250&lt;1,"0",Seguros_Oblig!$K$2*('Crédito de Vivienda UVR'!$C$12*90%))</f>
        <v>#VALUE!</v>
      </c>
      <c r="M251" s="35" t="e">
        <f ca="1">K251+L251+(F251*'Crédito de Vivienda UVR'!$C$19)</f>
        <v>#VALUE!</v>
      </c>
      <c r="N251" s="316"/>
    </row>
    <row r="252" spans="2:14" ht="15.5" x14ac:dyDescent="0.35">
      <c r="B252" s="6" t="e">
        <f t="shared" ca="1" si="11"/>
        <v>#VALUE!</v>
      </c>
      <c r="C252" s="311" t="e">
        <f t="shared" ca="1" si="10"/>
        <v>#VALUE!</v>
      </c>
      <c r="D252" s="311" t="e">
        <f t="shared" ca="1" si="12"/>
        <v>#VALUE!</v>
      </c>
      <c r="E252" s="311" t="e">
        <f ca="1">C251*'Crédito de Vivienda UVR'!$E$17</f>
        <v>#VALUE!</v>
      </c>
      <c r="F252" s="322" t="e">
        <f ca="1">IF(B252=" ",0,PMT('Crédito de Vivienda UVR'!$E$17,'Crédito de Vivienda UVR'!$C$18,-'Crédito de Vivienda UVR'!$C$20,,))</f>
        <v>#VALUE!</v>
      </c>
      <c r="G252" s="320" t="e">
        <f ca="1">C251*(VLOOKUP('Crédito de Vivienda UVR'!$C$24,Seguros_Oblig!$A$3:$B$55,2,FALSE))</f>
        <v>#VALUE!</v>
      </c>
      <c r="H252" s="313" t="e">
        <f ca="1">C251*(VLOOKUP('Crédito de Vivienda UVR'!$C$25,Seguros_Oblig!$A$3:$B$55,2,FALSE))</f>
        <v>#VALUE!</v>
      </c>
      <c r="I252" s="313" t="e">
        <f ca="1">C251*(VLOOKUP('Crédito de Vivienda UVR'!$C$26,Seguros_Oblig!$A$3:$B$55,2,FALSE))</f>
        <v>#VALUE!</v>
      </c>
      <c r="J252" s="313" t="e">
        <f ca="1">C251*(VLOOKUP('Crédito de Vivienda UVR'!$C$27,Seguros_Oblig!$A$3:$B$55,2,FALSE))</f>
        <v>#VALUE!</v>
      </c>
      <c r="K252" s="35">
        <f ca="1">_xlfn.AGGREGATE(9,6,G252:J252)*'Crédito de Vivienda UVR'!$C$19</f>
        <v>0</v>
      </c>
      <c r="L252" s="7" t="e">
        <f ca="1">IF(C251&lt;1,"0",Seguros_Oblig!$K$2*('Crédito de Vivienda UVR'!$C$12*90%))</f>
        <v>#VALUE!</v>
      </c>
      <c r="M252" s="35" t="e">
        <f ca="1">K252+L252+(F252*'Crédito de Vivienda UVR'!$C$19)</f>
        <v>#VALUE!</v>
      </c>
      <c r="N252" s="316"/>
    </row>
    <row r="253" spans="2:14" ht="15.5" x14ac:dyDescent="0.35">
      <c r="B253" s="6" t="e">
        <f t="shared" ca="1" si="11"/>
        <v>#VALUE!</v>
      </c>
      <c r="C253" s="311" t="e">
        <f t="shared" ca="1" si="10"/>
        <v>#VALUE!</v>
      </c>
      <c r="D253" s="311" t="e">
        <f t="shared" ca="1" si="12"/>
        <v>#VALUE!</v>
      </c>
      <c r="E253" s="311" t="e">
        <f ca="1">C252*'Crédito de Vivienda UVR'!$E$17</f>
        <v>#VALUE!</v>
      </c>
      <c r="F253" s="322" t="e">
        <f ca="1">IF(B253=" ",0,PMT('Crédito de Vivienda UVR'!$E$17,'Crédito de Vivienda UVR'!$C$18,-'Crédito de Vivienda UVR'!$C$20,,))</f>
        <v>#VALUE!</v>
      </c>
      <c r="G253" s="320" t="e">
        <f ca="1">C252*(VLOOKUP('Crédito de Vivienda UVR'!$C$24,Seguros_Oblig!$A$3:$B$55,2,FALSE))</f>
        <v>#VALUE!</v>
      </c>
      <c r="H253" s="313" t="e">
        <f ca="1">C252*(VLOOKUP('Crédito de Vivienda UVR'!$C$25,Seguros_Oblig!$A$3:$B$55,2,FALSE))</f>
        <v>#VALUE!</v>
      </c>
      <c r="I253" s="313" t="e">
        <f ca="1">C252*(VLOOKUP('Crédito de Vivienda UVR'!$C$26,Seguros_Oblig!$A$3:$B$55,2,FALSE))</f>
        <v>#VALUE!</v>
      </c>
      <c r="J253" s="313" t="e">
        <f ca="1">C252*(VLOOKUP('Crédito de Vivienda UVR'!$C$27,Seguros_Oblig!$A$3:$B$55,2,FALSE))</f>
        <v>#VALUE!</v>
      </c>
      <c r="K253" s="35">
        <f ca="1">_xlfn.AGGREGATE(9,6,G253:J253)*'Crédito de Vivienda UVR'!$C$19</f>
        <v>0</v>
      </c>
      <c r="L253" s="7" t="e">
        <f ca="1">IF(C252&lt;1,"0",Seguros_Oblig!$K$2*('Crédito de Vivienda UVR'!$C$12*90%))</f>
        <v>#VALUE!</v>
      </c>
      <c r="M253" s="35" t="e">
        <f ca="1">K253+L253+(F253*'Crédito de Vivienda UVR'!$C$19)</f>
        <v>#VALUE!</v>
      </c>
      <c r="N253" s="316"/>
    </row>
    <row r="254" spans="2:14" ht="15.5" x14ac:dyDescent="0.35">
      <c r="B254" s="6" t="e">
        <f t="shared" ca="1" si="11"/>
        <v>#VALUE!</v>
      </c>
      <c r="C254" s="311" t="e">
        <f t="shared" ca="1" si="10"/>
        <v>#VALUE!</v>
      </c>
      <c r="D254" s="311" t="e">
        <f t="shared" ca="1" si="12"/>
        <v>#VALUE!</v>
      </c>
      <c r="E254" s="311" t="e">
        <f ca="1">C253*'Crédito de Vivienda UVR'!$E$17</f>
        <v>#VALUE!</v>
      </c>
      <c r="F254" s="322" t="e">
        <f ca="1">IF(B254=" ",0,PMT('Crédito de Vivienda UVR'!$E$17,'Crédito de Vivienda UVR'!$C$18,-'Crédito de Vivienda UVR'!$C$20,,))</f>
        <v>#VALUE!</v>
      </c>
      <c r="G254" s="320" t="e">
        <f ca="1">C253*(VLOOKUP('Crédito de Vivienda UVR'!$C$24,Seguros_Oblig!$A$3:$B$55,2,FALSE))</f>
        <v>#VALUE!</v>
      </c>
      <c r="H254" s="313" t="e">
        <f ca="1">C253*(VLOOKUP('Crédito de Vivienda UVR'!$C$25,Seguros_Oblig!$A$3:$B$55,2,FALSE))</f>
        <v>#VALUE!</v>
      </c>
      <c r="I254" s="313" t="e">
        <f ca="1">C253*(VLOOKUP('Crédito de Vivienda UVR'!$C$26,Seguros_Oblig!$A$3:$B$55,2,FALSE))</f>
        <v>#VALUE!</v>
      </c>
      <c r="J254" s="313" t="e">
        <f ca="1">C253*(VLOOKUP('Crédito de Vivienda UVR'!$C$27,Seguros_Oblig!$A$3:$B$55,2,FALSE))</f>
        <v>#VALUE!</v>
      </c>
      <c r="K254" s="35">
        <f ca="1">_xlfn.AGGREGATE(9,6,G254:J254)*'Crédito de Vivienda UVR'!$C$19</f>
        <v>0</v>
      </c>
      <c r="L254" s="7" t="e">
        <f ca="1">IF(C253&lt;1,"0",Seguros_Oblig!$K$2*('Crédito de Vivienda UVR'!$C$12*90%))</f>
        <v>#VALUE!</v>
      </c>
      <c r="M254" s="35" t="e">
        <f ca="1">K254+L254+(F254*'Crédito de Vivienda UVR'!$C$19)</f>
        <v>#VALUE!</v>
      </c>
      <c r="N254" s="316"/>
    </row>
    <row r="255" spans="2:14" ht="15.5" x14ac:dyDescent="0.35">
      <c r="B255" s="6" t="e">
        <f ca="1">IF(C254&gt;1,B254+1," ")</f>
        <v>#VALUE!</v>
      </c>
      <c r="C255" s="311" t="e">
        <f t="shared" ca="1" si="10"/>
        <v>#VALUE!</v>
      </c>
      <c r="D255" s="311" t="e">
        <f t="shared" ca="1" si="12"/>
        <v>#VALUE!</v>
      </c>
      <c r="E255" s="311" t="e">
        <f ca="1">C254*'Crédito de Vivienda UVR'!$E$17</f>
        <v>#VALUE!</v>
      </c>
      <c r="F255" s="322" t="e">
        <f ca="1">IF(B255=" ",0,PMT('Crédito de Vivienda UVR'!$E$17,'Crédito de Vivienda UVR'!$C$18,-'Crédito de Vivienda UVR'!$C$20,,))</f>
        <v>#VALUE!</v>
      </c>
      <c r="G255" s="320" t="e">
        <f ca="1">C254*(VLOOKUP('Crédito de Vivienda UVR'!$C$24,Seguros_Oblig!$A$3:$B$55,2,FALSE))</f>
        <v>#VALUE!</v>
      </c>
      <c r="H255" s="313" t="e">
        <f ca="1">C254*(VLOOKUP('Crédito de Vivienda UVR'!$C$25,Seguros_Oblig!$A$3:$B$55,2,FALSE))</f>
        <v>#VALUE!</v>
      </c>
      <c r="I255" s="313" t="e">
        <f ca="1">C254*(VLOOKUP('Crédito de Vivienda UVR'!$C$26,Seguros_Oblig!$A$3:$B$55,2,FALSE))</f>
        <v>#VALUE!</v>
      </c>
      <c r="J255" s="313" t="e">
        <f ca="1">C254*(VLOOKUP('Crédito de Vivienda UVR'!$C$27,Seguros_Oblig!$A$3:$B$55,2,FALSE))</f>
        <v>#VALUE!</v>
      </c>
      <c r="K255" s="35">
        <f ca="1">_xlfn.AGGREGATE(9,6,G255:J255)*'Crédito de Vivienda UVR'!$C$19</f>
        <v>0</v>
      </c>
      <c r="L255" s="7" t="e">
        <f ca="1">IF(C254&lt;1,"0",Seguros_Oblig!$K$2*('Crédito de Vivienda UVR'!$C$12*90%))</f>
        <v>#VALUE!</v>
      </c>
      <c r="M255" s="35" t="e">
        <f ca="1">K255+L255+(F255*'Crédito de Vivienda UVR'!$C$19)</f>
        <v>#VALUE!</v>
      </c>
      <c r="N255" s="316"/>
    </row>
    <row r="256" spans="2:14" ht="15.5" x14ac:dyDescent="0.35">
      <c r="B256" s="6" t="e">
        <f t="shared" ca="1" si="11"/>
        <v>#VALUE!</v>
      </c>
      <c r="C256" s="311" t="e">
        <f ca="1">C255-D256</f>
        <v>#VALUE!</v>
      </c>
      <c r="D256" s="311" t="e">
        <f t="shared" ca="1" si="12"/>
        <v>#VALUE!</v>
      </c>
      <c r="E256" s="311" t="e">
        <f ca="1">C255*'Crédito de Vivienda UVR'!$E$17</f>
        <v>#VALUE!</v>
      </c>
      <c r="F256" s="322" t="e">
        <f ca="1">IF(B256=" ",0,PMT('Crédito de Vivienda UVR'!$E$17,'Crédito de Vivienda UVR'!$C$18,-'Crédito de Vivienda UVR'!$C$20,,))</f>
        <v>#VALUE!</v>
      </c>
      <c r="G256" s="320" t="e">
        <f ca="1">C255*(VLOOKUP('Crédito de Vivienda UVR'!$C$24,Seguros_Oblig!$A$3:$B$55,2,FALSE))</f>
        <v>#VALUE!</v>
      </c>
      <c r="H256" s="313" t="e">
        <f ca="1">C255*(VLOOKUP('Crédito de Vivienda UVR'!$C$25,Seguros_Oblig!$A$3:$B$55,2,FALSE))</f>
        <v>#VALUE!</v>
      </c>
      <c r="I256" s="313" t="e">
        <f ca="1">C255*(VLOOKUP('Crédito de Vivienda UVR'!$C$26,Seguros_Oblig!$A$3:$B$55,2,FALSE))</f>
        <v>#VALUE!</v>
      </c>
      <c r="J256" s="313" t="e">
        <f ca="1">C255*(VLOOKUP('Crédito de Vivienda UVR'!$C$27,Seguros_Oblig!$A$3:$B$55,2,FALSE))</f>
        <v>#VALUE!</v>
      </c>
      <c r="K256" s="35">
        <f ca="1">_xlfn.AGGREGATE(9,6,G256:J256)*'Crédito de Vivienda UVR'!$C$19</f>
        <v>0</v>
      </c>
      <c r="L256" s="7" t="e">
        <f ca="1">IF(C255&lt;1,"0",Seguros_Oblig!$K$2*('Crédito de Vivienda UVR'!$C$12*90%))</f>
        <v>#VALUE!</v>
      </c>
      <c r="M256" s="35" t="e">
        <f ca="1">K256+L256+(F256*'Crédito de Vivienda UVR'!$C$19)</f>
        <v>#VALUE!</v>
      </c>
      <c r="N256" s="316"/>
    </row>
    <row r="257" spans="2:14" ht="15.5" x14ac:dyDescent="0.35">
      <c r="B257" s="6" t="e">
        <f t="shared" ca="1" si="11"/>
        <v>#VALUE!</v>
      </c>
      <c r="C257" s="311" t="e">
        <f t="shared" ca="1" si="10"/>
        <v>#VALUE!</v>
      </c>
      <c r="D257" s="311" t="e">
        <f t="shared" ca="1" si="12"/>
        <v>#VALUE!</v>
      </c>
      <c r="E257" s="311" t="e">
        <f ca="1">C256*'Crédito de Vivienda UVR'!$E$17</f>
        <v>#VALUE!</v>
      </c>
      <c r="F257" s="322" t="e">
        <f ca="1">IF(B257=" ",0,PMT('Crédito de Vivienda UVR'!$E$17,'Crédito de Vivienda UVR'!$C$18,-'Crédito de Vivienda UVR'!$C$20,,))</f>
        <v>#VALUE!</v>
      </c>
      <c r="G257" s="320" t="e">
        <f ca="1">C256*(VLOOKUP('Crédito de Vivienda UVR'!$C$24,Seguros_Oblig!$A$3:$B$55,2,FALSE))</f>
        <v>#VALUE!</v>
      </c>
      <c r="H257" s="313" t="e">
        <f ca="1">C256*(VLOOKUP('Crédito de Vivienda UVR'!$C$25,Seguros_Oblig!$A$3:$B$55,2,FALSE))</f>
        <v>#VALUE!</v>
      </c>
      <c r="I257" s="313" t="e">
        <f ca="1">C256*(VLOOKUP('Crédito de Vivienda UVR'!$C$26,Seguros_Oblig!$A$3:$B$55,2,FALSE))</f>
        <v>#VALUE!</v>
      </c>
      <c r="J257" s="313" t="e">
        <f ca="1">C256*(VLOOKUP('Crédito de Vivienda UVR'!$C$27,Seguros_Oblig!$A$3:$B$55,2,FALSE))</f>
        <v>#VALUE!</v>
      </c>
      <c r="K257" s="35">
        <f ca="1">_xlfn.AGGREGATE(9,6,G257:J257)*'Crédito de Vivienda UVR'!$C$19</f>
        <v>0</v>
      </c>
      <c r="L257" s="7" t="e">
        <f ca="1">IF(C256&lt;1,"0",Seguros_Oblig!$K$2*('Crédito de Vivienda UVR'!$C$12*90%))</f>
        <v>#VALUE!</v>
      </c>
      <c r="M257" s="35" t="e">
        <f ca="1">K257+L257+(F257*'Crédito de Vivienda UVR'!$C$19)</f>
        <v>#VALUE!</v>
      </c>
      <c r="N257" s="316"/>
    </row>
    <row r="258" spans="2:14" ht="15.5" x14ac:dyDescent="0.35">
      <c r="B258" s="6" t="e">
        <f t="shared" ca="1" si="11"/>
        <v>#VALUE!</v>
      </c>
      <c r="C258" s="311" t="e">
        <f ca="1">C257-D258</f>
        <v>#VALUE!</v>
      </c>
      <c r="D258" s="311" t="e">
        <f t="shared" ca="1" si="12"/>
        <v>#VALUE!</v>
      </c>
      <c r="E258" s="311" t="e">
        <f ca="1">C257*'Crédito de Vivienda UVR'!$E$17</f>
        <v>#VALUE!</v>
      </c>
      <c r="F258" s="322" t="e">
        <f ca="1">IF(B258=" ",0,PMT('Crédito de Vivienda UVR'!$E$17,'Crédito de Vivienda UVR'!$C$18,-'Crédito de Vivienda UVR'!$C$20,,))</f>
        <v>#VALUE!</v>
      </c>
      <c r="G258" s="320" t="e">
        <f ca="1">C257*(VLOOKUP('Crédito de Vivienda UVR'!$C$24,Seguros_Oblig!$A$3:$B$55,2,FALSE))</f>
        <v>#VALUE!</v>
      </c>
      <c r="H258" s="313" t="e">
        <f ca="1">C257*(VLOOKUP('Crédito de Vivienda UVR'!$C$25,Seguros_Oblig!$A$3:$B$55,2,FALSE))</f>
        <v>#VALUE!</v>
      </c>
      <c r="I258" s="313" t="e">
        <f ca="1">C257*(VLOOKUP('Crédito de Vivienda UVR'!$C$26,Seguros_Oblig!$A$3:$B$55,2,FALSE))</f>
        <v>#VALUE!</v>
      </c>
      <c r="J258" s="313" t="e">
        <f ca="1">C257*(VLOOKUP('Crédito de Vivienda UVR'!$C$27,Seguros_Oblig!$A$3:$B$55,2,FALSE))</f>
        <v>#VALUE!</v>
      </c>
      <c r="K258" s="35">
        <f ca="1">_xlfn.AGGREGATE(9,6,G258:J258)*'Crédito de Vivienda UVR'!$C$19</f>
        <v>0</v>
      </c>
      <c r="L258" s="7" t="e">
        <f ca="1">IF(C257&lt;1,"0",Seguros_Oblig!$K$2*('Crédito de Vivienda UVR'!$C$12*90%))</f>
        <v>#VALUE!</v>
      </c>
      <c r="M258" s="35" t="e">
        <f ca="1">K258+L258+(F258*'Crédito de Vivienda UVR'!$C$19)</f>
        <v>#VALUE!</v>
      </c>
      <c r="N258" s="316"/>
    </row>
    <row r="259" spans="2:14" ht="15.5" x14ac:dyDescent="0.35">
      <c r="B259" s="6" t="e">
        <f t="shared" ca="1" si="11"/>
        <v>#VALUE!</v>
      </c>
      <c r="C259" s="311" t="e">
        <f t="shared" ca="1" si="10"/>
        <v>#VALUE!</v>
      </c>
      <c r="D259" s="311" t="e">
        <f t="shared" ca="1" si="12"/>
        <v>#VALUE!</v>
      </c>
      <c r="E259" s="311" t="e">
        <f ca="1">C258*'Crédito de Vivienda UVR'!$E$17</f>
        <v>#VALUE!</v>
      </c>
      <c r="F259" s="322" t="e">
        <f ca="1">IF(B259=" ",0,PMT('Crédito de Vivienda UVR'!$E$17,'Crédito de Vivienda UVR'!$C$18,-'Crédito de Vivienda UVR'!$C$20,,))</f>
        <v>#VALUE!</v>
      </c>
      <c r="G259" s="320" t="e">
        <f ca="1">C258*(VLOOKUP('Crédito de Vivienda UVR'!$C$24,Seguros_Oblig!$A$3:$B$55,2,FALSE))</f>
        <v>#VALUE!</v>
      </c>
      <c r="H259" s="313" t="e">
        <f ca="1">C258*(VLOOKUP('Crédito de Vivienda UVR'!$C$25,Seguros_Oblig!$A$3:$B$55,2,FALSE))</f>
        <v>#VALUE!</v>
      </c>
      <c r="I259" s="313" t="e">
        <f ca="1">C258*(VLOOKUP('Crédito de Vivienda UVR'!$C$26,Seguros_Oblig!$A$3:$B$55,2,FALSE))</f>
        <v>#VALUE!</v>
      </c>
      <c r="J259" s="313" t="e">
        <f ca="1">C258*(VLOOKUP('Crédito de Vivienda UVR'!$C$27,Seguros_Oblig!$A$3:$B$55,2,FALSE))</f>
        <v>#VALUE!</v>
      </c>
      <c r="K259" s="35">
        <f ca="1">_xlfn.AGGREGATE(9,6,G259:J259)*'Crédito de Vivienda UVR'!$C$19</f>
        <v>0</v>
      </c>
      <c r="L259" s="7" t="e">
        <f ca="1">IF(C258&lt;1,"0",Seguros_Oblig!$K$2*('Crédito de Vivienda UVR'!$C$12*90%))</f>
        <v>#VALUE!</v>
      </c>
      <c r="M259" s="35" t="e">
        <f ca="1">K259+L259+(F259*'Crédito de Vivienda UVR'!$C$19)</f>
        <v>#VALUE!</v>
      </c>
      <c r="N259" s="316"/>
    </row>
    <row r="260" spans="2:14" ht="15.5" x14ac:dyDescent="0.35">
      <c r="B260" s="6" t="e">
        <f t="shared" ca="1" si="11"/>
        <v>#VALUE!</v>
      </c>
      <c r="C260" s="311" t="e">
        <f t="shared" ca="1" si="10"/>
        <v>#VALUE!</v>
      </c>
      <c r="D260" s="311" t="e">
        <f t="shared" ca="1" si="12"/>
        <v>#VALUE!</v>
      </c>
      <c r="E260" s="311" t="e">
        <f ca="1">C259*'Crédito de Vivienda UVR'!$E$17</f>
        <v>#VALUE!</v>
      </c>
      <c r="F260" s="322" t="e">
        <f ca="1">IF(B260=" ",0,PMT('Crédito de Vivienda UVR'!$E$17,'Crédito de Vivienda UVR'!$C$18,-'Crédito de Vivienda UVR'!$C$20,,))</f>
        <v>#VALUE!</v>
      </c>
      <c r="G260" s="320" t="e">
        <f ca="1">C259*(VLOOKUP('Crédito de Vivienda UVR'!$C$24,Seguros_Oblig!$A$3:$B$55,2,FALSE))</f>
        <v>#VALUE!</v>
      </c>
      <c r="H260" s="313" t="e">
        <f ca="1">C259*(VLOOKUP('Crédito de Vivienda UVR'!$C$25,Seguros_Oblig!$A$3:$B$55,2,FALSE))</f>
        <v>#VALUE!</v>
      </c>
      <c r="I260" s="313" t="e">
        <f ca="1">C259*(VLOOKUP('Crédito de Vivienda UVR'!$C$26,Seguros_Oblig!$A$3:$B$55,2,FALSE))</f>
        <v>#VALUE!</v>
      </c>
      <c r="J260" s="313" t="e">
        <f ca="1">C259*(VLOOKUP('Crédito de Vivienda UVR'!$C$27,Seguros_Oblig!$A$3:$B$55,2,FALSE))</f>
        <v>#VALUE!</v>
      </c>
      <c r="K260" s="35">
        <f ca="1">_xlfn.AGGREGATE(9,6,G260:J260)*'Crédito de Vivienda UVR'!$C$19</f>
        <v>0</v>
      </c>
      <c r="L260" s="7" t="e">
        <f ca="1">IF(C259&lt;1,"0",Seguros_Oblig!$K$2*('Crédito de Vivienda UVR'!$C$12*90%))</f>
        <v>#VALUE!</v>
      </c>
      <c r="M260" s="35" t="e">
        <f ca="1">K260+L260+(F260*'Crédito de Vivienda UVR'!$C$19)</f>
        <v>#VALUE!</v>
      </c>
      <c r="N260" s="316"/>
    </row>
    <row r="261" spans="2:14" ht="15.5" x14ac:dyDescent="0.35">
      <c r="B261" s="6" t="e">
        <f t="shared" ca="1" si="11"/>
        <v>#VALUE!</v>
      </c>
      <c r="C261" s="311" t="e">
        <f t="shared" ca="1" si="10"/>
        <v>#VALUE!</v>
      </c>
      <c r="D261" s="311" t="e">
        <f t="shared" ca="1" si="12"/>
        <v>#VALUE!</v>
      </c>
      <c r="E261" s="311" t="e">
        <f ca="1">C260*'Crédito de Vivienda UVR'!$E$17</f>
        <v>#VALUE!</v>
      </c>
      <c r="F261" s="322" t="e">
        <f ca="1">IF(B261=" ",0,PMT('Crédito de Vivienda UVR'!$E$17,'Crédito de Vivienda UVR'!$C$18,-'Crédito de Vivienda UVR'!$C$20,,))</f>
        <v>#VALUE!</v>
      </c>
      <c r="G261" s="320" t="e">
        <f ca="1">C260*(VLOOKUP('Crédito de Vivienda UVR'!$C$24,Seguros_Oblig!$A$3:$B$55,2,FALSE))</f>
        <v>#VALUE!</v>
      </c>
      <c r="H261" s="313" t="e">
        <f ca="1">C260*(VLOOKUP('Crédito de Vivienda UVR'!$C$25,Seguros_Oblig!$A$3:$B$55,2,FALSE))</f>
        <v>#VALUE!</v>
      </c>
      <c r="I261" s="313" t="e">
        <f ca="1">C260*(VLOOKUP('Crédito de Vivienda UVR'!$C$26,Seguros_Oblig!$A$3:$B$55,2,FALSE))</f>
        <v>#VALUE!</v>
      </c>
      <c r="J261" s="313" t="e">
        <f ca="1">C260*(VLOOKUP('Crédito de Vivienda UVR'!$C$27,Seguros_Oblig!$A$3:$B$55,2,FALSE))</f>
        <v>#VALUE!</v>
      </c>
      <c r="K261" s="35">
        <f ca="1">_xlfn.AGGREGATE(9,6,G261:J261)*'Crédito de Vivienda UVR'!$C$19</f>
        <v>0</v>
      </c>
      <c r="L261" s="7" t="e">
        <f ca="1">IF(C260&lt;1,"0",Seguros_Oblig!$K$2*('Crédito de Vivienda UVR'!$C$12*90%))</f>
        <v>#VALUE!</v>
      </c>
      <c r="M261" s="35" t="e">
        <f ca="1">K261+L261+(F261*'Crédito de Vivienda UVR'!$C$19)</f>
        <v>#VALUE!</v>
      </c>
      <c r="N261" s="316"/>
    </row>
    <row r="262" spans="2:14" ht="15.5" x14ac:dyDescent="0.35">
      <c r="B262" s="6" t="e">
        <f t="shared" ca="1" si="11"/>
        <v>#VALUE!</v>
      </c>
      <c r="C262" s="311" t="e">
        <f t="shared" ca="1" si="10"/>
        <v>#VALUE!</v>
      </c>
      <c r="D262" s="311" t="e">
        <f t="shared" ca="1" si="12"/>
        <v>#VALUE!</v>
      </c>
      <c r="E262" s="311" t="e">
        <f ca="1">C261*'Crédito de Vivienda UVR'!$E$17</f>
        <v>#VALUE!</v>
      </c>
      <c r="F262" s="322" t="e">
        <f ca="1">IF(B262=" ",0,PMT('Crédito de Vivienda UVR'!$E$17,'Crédito de Vivienda UVR'!$C$18,-'Crédito de Vivienda UVR'!$C$20,,))</f>
        <v>#VALUE!</v>
      </c>
      <c r="G262" s="320" t="e">
        <f ca="1">C261*(VLOOKUP('Crédito de Vivienda UVR'!$C$24,Seguros_Oblig!$A$3:$B$55,2,FALSE))</f>
        <v>#VALUE!</v>
      </c>
      <c r="H262" s="313" t="e">
        <f ca="1">C261*(VLOOKUP('Crédito de Vivienda UVR'!$C$25,Seguros_Oblig!$A$3:$B$55,2,FALSE))</f>
        <v>#VALUE!</v>
      </c>
      <c r="I262" s="313" t="e">
        <f ca="1">C261*(VLOOKUP('Crédito de Vivienda UVR'!$C$26,Seguros_Oblig!$A$3:$B$55,2,FALSE))</f>
        <v>#VALUE!</v>
      </c>
      <c r="J262" s="313" t="e">
        <f ca="1">C261*(VLOOKUP('Crédito de Vivienda UVR'!$C$27,Seguros_Oblig!$A$3:$B$55,2,FALSE))</f>
        <v>#VALUE!</v>
      </c>
      <c r="K262" s="35">
        <f ca="1">_xlfn.AGGREGATE(9,6,G262:J262)*'Crédito de Vivienda UVR'!$C$19</f>
        <v>0</v>
      </c>
      <c r="L262" s="7" t="e">
        <f ca="1">IF(C261&lt;1,"0",Seguros_Oblig!$K$2*('Crédito de Vivienda UVR'!$C$12*90%))</f>
        <v>#VALUE!</v>
      </c>
      <c r="M262" s="35" t="e">
        <f ca="1">K262+L262+(F262*'Crédito de Vivienda UVR'!$C$19)</f>
        <v>#VALUE!</v>
      </c>
      <c r="N262" s="316"/>
    </row>
    <row r="263" spans="2:14" ht="15.5" x14ac:dyDescent="0.35">
      <c r="B263" s="6" t="e">
        <f t="shared" ca="1" si="11"/>
        <v>#VALUE!</v>
      </c>
      <c r="C263" s="311" t="e">
        <f t="shared" ca="1" si="10"/>
        <v>#VALUE!</v>
      </c>
      <c r="D263" s="311" t="e">
        <f t="shared" ca="1" si="12"/>
        <v>#VALUE!</v>
      </c>
      <c r="E263" s="311" t="e">
        <f ca="1">C262*'Crédito de Vivienda UVR'!$E$17</f>
        <v>#VALUE!</v>
      </c>
      <c r="F263" s="322" t="e">
        <f ca="1">IF(B263=" ",0,PMT('Crédito de Vivienda UVR'!$E$17,'Crédito de Vivienda UVR'!$C$18,-'Crédito de Vivienda UVR'!$C$20,,))</f>
        <v>#VALUE!</v>
      </c>
      <c r="G263" s="320" t="e">
        <f ca="1">C262*(VLOOKUP('Crédito de Vivienda UVR'!$C$24,Seguros_Oblig!$A$3:$B$55,2,FALSE))</f>
        <v>#VALUE!</v>
      </c>
      <c r="H263" s="313" t="e">
        <f ca="1">C262*(VLOOKUP('Crédito de Vivienda UVR'!$C$25,Seguros_Oblig!$A$3:$B$55,2,FALSE))</f>
        <v>#VALUE!</v>
      </c>
      <c r="I263" s="313" t="e">
        <f ca="1">C262*(VLOOKUP('Crédito de Vivienda UVR'!$C$26,Seguros_Oblig!$A$3:$B$55,2,FALSE))</f>
        <v>#VALUE!</v>
      </c>
      <c r="J263" s="313" t="e">
        <f ca="1">C262*(VLOOKUP('Crédito de Vivienda UVR'!$C$27,Seguros_Oblig!$A$3:$B$55,2,FALSE))</f>
        <v>#VALUE!</v>
      </c>
      <c r="K263" s="35">
        <f ca="1">_xlfn.AGGREGATE(9,6,G263:J263)*'Crédito de Vivienda UVR'!$C$19</f>
        <v>0</v>
      </c>
      <c r="L263" s="7" t="e">
        <f ca="1">IF(C262&lt;1,"0",Seguros_Oblig!$K$2*('Crédito de Vivienda UVR'!$C$12*90%))</f>
        <v>#VALUE!</v>
      </c>
      <c r="M263" s="35" t="e">
        <f ca="1">K263+L263+(F263*'Crédito de Vivienda UVR'!$C$19)</f>
        <v>#VALUE!</v>
      </c>
      <c r="N263" s="316"/>
    </row>
    <row r="264" spans="2:14" ht="15.5" x14ac:dyDescent="0.35">
      <c r="B264" s="6" t="e">
        <f t="shared" ca="1" si="11"/>
        <v>#VALUE!</v>
      </c>
      <c r="C264" s="311" t="e">
        <f t="shared" ca="1" si="10"/>
        <v>#VALUE!</v>
      </c>
      <c r="D264" s="311" t="e">
        <f t="shared" ca="1" si="12"/>
        <v>#VALUE!</v>
      </c>
      <c r="E264" s="311" t="e">
        <f ca="1">C263*'Crédito de Vivienda UVR'!$E$17</f>
        <v>#VALUE!</v>
      </c>
      <c r="F264" s="322" t="e">
        <f ca="1">IF(B264=" ",0,PMT('Crédito de Vivienda UVR'!$E$17,'Crédito de Vivienda UVR'!$C$18,-'Crédito de Vivienda UVR'!$C$20,,))</f>
        <v>#VALUE!</v>
      </c>
      <c r="G264" s="320" t="e">
        <f ca="1">C263*(VLOOKUP('Crédito de Vivienda UVR'!$C$24,Seguros_Oblig!$A$3:$B$55,2,FALSE))</f>
        <v>#VALUE!</v>
      </c>
      <c r="H264" s="313" t="e">
        <f ca="1">C263*(VLOOKUP('Crédito de Vivienda UVR'!$C$25,Seguros_Oblig!$A$3:$B$55,2,FALSE))</f>
        <v>#VALUE!</v>
      </c>
      <c r="I264" s="313" t="e">
        <f ca="1">C263*(VLOOKUP('Crédito de Vivienda UVR'!$C$26,Seguros_Oblig!$A$3:$B$55,2,FALSE))</f>
        <v>#VALUE!</v>
      </c>
      <c r="J264" s="313" t="e">
        <f ca="1">C263*(VLOOKUP('Crédito de Vivienda UVR'!$C$27,Seguros_Oblig!$A$3:$B$55,2,FALSE))</f>
        <v>#VALUE!</v>
      </c>
      <c r="K264" s="35">
        <f ca="1">_xlfn.AGGREGATE(9,6,G264:J264)*'Crédito de Vivienda UVR'!$C$19</f>
        <v>0</v>
      </c>
      <c r="L264" s="7" t="e">
        <f ca="1">IF(C263&lt;1,"0",Seguros_Oblig!$K$2*('Crédito de Vivienda UVR'!$C$12*90%))</f>
        <v>#VALUE!</v>
      </c>
      <c r="M264" s="35" t="e">
        <f ca="1">K264+L264+(F264*'Crédito de Vivienda UVR'!$C$19)</f>
        <v>#VALUE!</v>
      </c>
      <c r="N264" s="316"/>
    </row>
    <row r="265" spans="2:14" ht="15.5" x14ac:dyDescent="0.35">
      <c r="B265" s="6" t="e">
        <f t="shared" ca="1" si="11"/>
        <v>#VALUE!</v>
      </c>
      <c r="C265" s="311" t="e">
        <f t="shared" ca="1" si="10"/>
        <v>#VALUE!</v>
      </c>
      <c r="D265" s="311" t="e">
        <f t="shared" ca="1" si="12"/>
        <v>#VALUE!</v>
      </c>
      <c r="E265" s="311" t="e">
        <f ca="1">C264*'Crédito de Vivienda UVR'!$E$17</f>
        <v>#VALUE!</v>
      </c>
      <c r="F265" s="322" t="e">
        <f ca="1">IF(B265=" ",0,PMT('Crédito de Vivienda UVR'!$E$17,'Crédito de Vivienda UVR'!$C$18,-'Crédito de Vivienda UVR'!$C$20,,))</f>
        <v>#VALUE!</v>
      </c>
      <c r="G265" s="320" t="e">
        <f ca="1">C264*(VLOOKUP('Crédito de Vivienda UVR'!$C$24,Seguros_Oblig!$A$3:$B$55,2,FALSE))</f>
        <v>#VALUE!</v>
      </c>
      <c r="H265" s="313" t="e">
        <f ca="1">C264*(VLOOKUP('Crédito de Vivienda UVR'!$C$25,Seguros_Oblig!$A$3:$B$55,2,FALSE))</f>
        <v>#VALUE!</v>
      </c>
      <c r="I265" s="313" t="e">
        <f ca="1">C264*(VLOOKUP('Crédito de Vivienda UVR'!$C$26,Seguros_Oblig!$A$3:$B$55,2,FALSE))</f>
        <v>#VALUE!</v>
      </c>
      <c r="J265" s="313" t="e">
        <f ca="1">C264*(VLOOKUP('Crédito de Vivienda UVR'!$C$27,Seguros_Oblig!$A$3:$B$55,2,FALSE))</f>
        <v>#VALUE!</v>
      </c>
      <c r="K265" s="35">
        <f ca="1">_xlfn.AGGREGATE(9,6,G265:J265)*'Crédito de Vivienda UVR'!$C$19</f>
        <v>0</v>
      </c>
      <c r="L265" s="7" t="e">
        <f ca="1">IF(C264&lt;1,"0",Seguros_Oblig!$K$2*('Crédito de Vivienda UVR'!$C$12*90%))</f>
        <v>#VALUE!</v>
      </c>
      <c r="M265" s="35" t="e">
        <f ca="1">K265+L265+(F265*'Crédito de Vivienda UVR'!$C$19)</f>
        <v>#VALUE!</v>
      </c>
      <c r="N265" s="316"/>
    </row>
    <row r="266" spans="2:14" ht="15.5" x14ac:dyDescent="0.35">
      <c r="B266" s="6" t="e">
        <f t="shared" ca="1" si="11"/>
        <v>#VALUE!</v>
      </c>
      <c r="C266" s="311" t="e">
        <f t="shared" ca="1" si="10"/>
        <v>#VALUE!</v>
      </c>
      <c r="D266" s="311" t="e">
        <f t="shared" ca="1" si="12"/>
        <v>#VALUE!</v>
      </c>
      <c r="E266" s="311" t="e">
        <f ca="1">C265*'Crédito de Vivienda UVR'!$E$17</f>
        <v>#VALUE!</v>
      </c>
      <c r="F266" s="322" t="e">
        <f ca="1">IF(B266=" ",0,PMT('Crédito de Vivienda UVR'!$E$17,'Crédito de Vivienda UVR'!$C$18,-'Crédito de Vivienda UVR'!$C$20,,))</f>
        <v>#VALUE!</v>
      </c>
      <c r="G266" s="320" t="e">
        <f ca="1">C265*(VLOOKUP('Crédito de Vivienda UVR'!$C$24,Seguros_Oblig!$A$3:$B$55,2,FALSE))</f>
        <v>#VALUE!</v>
      </c>
      <c r="H266" s="313" t="e">
        <f ca="1">C265*(VLOOKUP('Crédito de Vivienda UVR'!$C$25,Seguros_Oblig!$A$3:$B$55,2,FALSE))</f>
        <v>#VALUE!</v>
      </c>
      <c r="I266" s="313" t="e">
        <f ca="1">C265*(VLOOKUP('Crédito de Vivienda UVR'!$C$26,Seguros_Oblig!$A$3:$B$55,2,FALSE))</f>
        <v>#VALUE!</v>
      </c>
      <c r="J266" s="313" t="e">
        <f ca="1">C265*(VLOOKUP('Crédito de Vivienda UVR'!$C$27,Seguros_Oblig!$A$3:$B$55,2,FALSE))</f>
        <v>#VALUE!</v>
      </c>
      <c r="K266" s="35">
        <f ca="1">_xlfn.AGGREGATE(9,6,G266:J266)*'Crédito de Vivienda UVR'!$C$19</f>
        <v>0</v>
      </c>
      <c r="L266" s="7" t="e">
        <f ca="1">IF(C265&lt;1,"0",Seguros_Oblig!$K$2*('Crédito de Vivienda UVR'!$C$12*90%))</f>
        <v>#VALUE!</v>
      </c>
      <c r="M266" s="35" t="e">
        <f ca="1">K266+L266+(F266*'Crédito de Vivienda UVR'!$C$19)</f>
        <v>#VALUE!</v>
      </c>
      <c r="N266" s="316"/>
    </row>
    <row r="267" spans="2:14" ht="15.5" x14ac:dyDescent="0.35">
      <c r="B267" s="6" t="e">
        <f t="shared" ca="1" si="11"/>
        <v>#VALUE!</v>
      </c>
      <c r="C267" s="311" t="e">
        <f t="shared" ca="1" si="10"/>
        <v>#VALUE!</v>
      </c>
      <c r="D267" s="311" t="e">
        <f t="shared" ca="1" si="12"/>
        <v>#VALUE!</v>
      </c>
      <c r="E267" s="311" t="e">
        <f ca="1">C266*'Crédito de Vivienda UVR'!$E$17</f>
        <v>#VALUE!</v>
      </c>
      <c r="F267" s="322" t="e">
        <f ca="1">IF(B267=" ",0,PMT('Crédito de Vivienda UVR'!$E$17,'Crédito de Vivienda UVR'!$C$18,-'Crédito de Vivienda UVR'!$C$20,,))</f>
        <v>#VALUE!</v>
      </c>
      <c r="G267" s="320" t="e">
        <f ca="1">C266*(VLOOKUP('Crédito de Vivienda UVR'!$C$24,Seguros_Oblig!$A$3:$B$55,2,FALSE))</f>
        <v>#VALUE!</v>
      </c>
      <c r="H267" s="313" t="e">
        <f ca="1">C266*(VLOOKUP('Crédito de Vivienda UVR'!$C$25,Seguros_Oblig!$A$3:$B$55,2,FALSE))</f>
        <v>#VALUE!</v>
      </c>
      <c r="I267" s="313" t="e">
        <f ca="1">C266*(VLOOKUP('Crédito de Vivienda UVR'!$C$26,Seguros_Oblig!$A$3:$B$55,2,FALSE))</f>
        <v>#VALUE!</v>
      </c>
      <c r="J267" s="313" t="e">
        <f ca="1">C266*(VLOOKUP('Crédito de Vivienda UVR'!$C$27,Seguros_Oblig!$A$3:$B$55,2,FALSE))</f>
        <v>#VALUE!</v>
      </c>
      <c r="K267" s="35">
        <f ca="1">_xlfn.AGGREGATE(9,6,G267:J267)*'Crédito de Vivienda UVR'!$C$19</f>
        <v>0</v>
      </c>
      <c r="L267" s="7" t="e">
        <f ca="1">IF(C266&lt;1,"0",Seguros_Oblig!$K$2*('Crédito de Vivienda UVR'!$C$12*90%))</f>
        <v>#VALUE!</v>
      </c>
      <c r="M267" s="35" t="e">
        <f ca="1">K267+L267+(F267*'Crédito de Vivienda UVR'!$C$19)</f>
        <v>#VALUE!</v>
      </c>
      <c r="N267" s="316"/>
    </row>
    <row r="268" spans="2:14" ht="15.5" x14ac:dyDescent="0.35">
      <c r="B268" s="6" t="e">
        <f t="shared" ca="1" si="11"/>
        <v>#VALUE!</v>
      </c>
      <c r="C268" s="311" t="e">
        <f t="shared" ca="1" si="10"/>
        <v>#VALUE!</v>
      </c>
      <c r="D268" s="311" t="e">
        <f t="shared" ca="1" si="12"/>
        <v>#VALUE!</v>
      </c>
      <c r="E268" s="311" t="e">
        <f ca="1">C267*'Crédito de Vivienda UVR'!$E$17</f>
        <v>#VALUE!</v>
      </c>
      <c r="F268" s="322" t="e">
        <f ca="1">IF(B268=" ",0,PMT('Crédito de Vivienda UVR'!$E$17,'Crédito de Vivienda UVR'!$C$18,-'Crédito de Vivienda UVR'!$C$20,,))</f>
        <v>#VALUE!</v>
      </c>
      <c r="G268" s="320" t="e">
        <f ca="1">C267*(VLOOKUP('Crédito de Vivienda UVR'!$C$24,Seguros_Oblig!$A$3:$B$55,2,FALSE))</f>
        <v>#VALUE!</v>
      </c>
      <c r="H268" s="313" t="e">
        <f ca="1">C267*(VLOOKUP('Crédito de Vivienda UVR'!$C$25,Seguros_Oblig!$A$3:$B$55,2,FALSE))</f>
        <v>#VALUE!</v>
      </c>
      <c r="I268" s="313" t="e">
        <f ca="1">C267*(VLOOKUP('Crédito de Vivienda UVR'!$C$26,Seguros_Oblig!$A$3:$B$55,2,FALSE))</f>
        <v>#VALUE!</v>
      </c>
      <c r="J268" s="313" t="e">
        <f ca="1">C267*(VLOOKUP('Crédito de Vivienda UVR'!$C$27,Seguros_Oblig!$A$3:$B$55,2,FALSE))</f>
        <v>#VALUE!</v>
      </c>
      <c r="K268" s="35">
        <f ca="1">_xlfn.AGGREGATE(9,6,G268:J268)*'Crédito de Vivienda UVR'!$C$19</f>
        <v>0</v>
      </c>
      <c r="L268" s="7" t="e">
        <f ca="1">IF(C267&lt;1,"0",Seguros_Oblig!$K$2*('Crédito de Vivienda UVR'!$C$12*90%))</f>
        <v>#VALUE!</v>
      </c>
      <c r="M268" s="35" t="e">
        <f ca="1">K268+L268+(F268*'Crédito de Vivienda UVR'!$C$19)</f>
        <v>#VALUE!</v>
      </c>
      <c r="N268" s="316"/>
    </row>
    <row r="269" spans="2:14" ht="15.5" x14ac:dyDescent="0.35">
      <c r="B269" s="6" t="e">
        <f t="shared" ca="1" si="11"/>
        <v>#VALUE!</v>
      </c>
      <c r="C269" s="311" t="e">
        <f t="shared" ca="1" si="10"/>
        <v>#VALUE!</v>
      </c>
      <c r="D269" s="311" t="e">
        <f t="shared" ca="1" si="12"/>
        <v>#VALUE!</v>
      </c>
      <c r="E269" s="311" t="e">
        <f ca="1">C268*'Crédito de Vivienda UVR'!$E$17</f>
        <v>#VALUE!</v>
      </c>
      <c r="F269" s="322" t="e">
        <f ca="1">IF(B269=" ",0,PMT('Crédito de Vivienda UVR'!$E$17,'Crédito de Vivienda UVR'!$C$18,-'Crédito de Vivienda UVR'!$C$20,,))</f>
        <v>#VALUE!</v>
      </c>
      <c r="G269" s="320" t="e">
        <f ca="1">C268*(VLOOKUP('Crédito de Vivienda UVR'!$C$24,Seguros_Oblig!$A$3:$B$55,2,FALSE))</f>
        <v>#VALUE!</v>
      </c>
      <c r="H269" s="313" t="e">
        <f ca="1">C268*(VLOOKUP('Crédito de Vivienda UVR'!$C$25,Seguros_Oblig!$A$3:$B$55,2,FALSE))</f>
        <v>#VALUE!</v>
      </c>
      <c r="I269" s="313" t="e">
        <f ca="1">C268*(VLOOKUP('Crédito de Vivienda UVR'!$C$26,Seguros_Oblig!$A$3:$B$55,2,FALSE))</f>
        <v>#VALUE!</v>
      </c>
      <c r="J269" s="313" t="e">
        <f ca="1">C268*(VLOOKUP('Crédito de Vivienda UVR'!$C$27,Seguros_Oblig!$A$3:$B$55,2,FALSE))</f>
        <v>#VALUE!</v>
      </c>
      <c r="K269" s="35">
        <f ca="1">_xlfn.AGGREGATE(9,6,G269:J269)*'Crédito de Vivienda UVR'!$C$19</f>
        <v>0</v>
      </c>
      <c r="L269" s="7" t="e">
        <f ca="1">IF(C268&lt;1,"0",Seguros_Oblig!$K$2*('Crédito de Vivienda UVR'!$C$12*90%))</f>
        <v>#VALUE!</v>
      </c>
      <c r="M269" s="35" t="e">
        <f ca="1">K269+L269+(F269*'Crédito de Vivienda UVR'!$C$19)</f>
        <v>#VALUE!</v>
      </c>
      <c r="N269" s="316"/>
    </row>
    <row r="270" spans="2:14" ht="15.5" x14ac:dyDescent="0.35">
      <c r="B270" s="6" t="e">
        <f t="shared" ca="1" si="11"/>
        <v>#VALUE!</v>
      </c>
      <c r="C270" s="311" t="e">
        <f t="shared" ca="1" si="10"/>
        <v>#VALUE!</v>
      </c>
      <c r="D270" s="311" t="e">
        <f t="shared" ca="1" si="12"/>
        <v>#VALUE!</v>
      </c>
      <c r="E270" s="311" t="e">
        <f ca="1">C269*'Crédito de Vivienda UVR'!$E$17</f>
        <v>#VALUE!</v>
      </c>
      <c r="F270" s="322" t="e">
        <f ca="1">IF(B270=" ",0,PMT('Crédito de Vivienda UVR'!$E$17,'Crédito de Vivienda UVR'!$C$18,-'Crédito de Vivienda UVR'!$C$20,,))</f>
        <v>#VALUE!</v>
      </c>
      <c r="G270" s="320" t="e">
        <f ca="1">C269*(VLOOKUP('Crédito de Vivienda UVR'!$C$24,Seguros_Oblig!$A$3:$B$55,2,FALSE))</f>
        <v>#VALUE!</v>
      </c>
      <c r="H270" s="313" t="e">
        <f ca="1">C269*(VLOOKUP('Crédito de Vivienda UVR'!$C$25,Seguros_Oblig!$A$3:$B$55,2,FALSE))</f>
        <v>#VALUE!</v>
      </c>
      <c r="I270" s="313" t="e">
        <f ca="1">C269*(VLOOKUP('Crédito de Vivienda UVR'!$C$26,Seguros_Oblig!$A$3:$B$55,2,FALSE))</f>
        <v>#VALUE!</v>
      </c>
      <c r="J270" s="313" t="e">
        <f ca="1">C269*(VLOOKUP('Crédito de Vivienda UVR'!$C$27,Seguros_Oblig!$A$3:$B$55,2,FALSE))</f>
        <v>#VALUE!</v>
      </c>
      <c r="K270" s="35">
        <f ca="1">_xlfn.AGGREGATE(9,6,G270:J270)*'Crédito de Vivienda UVR'!$C$19</f>
        <v>0</v>
      </c>
      <c r="L270" s="7" t="e">
        <f ca="1">IF(C269&lt;1,"0",Seguros_Oblig!$K$2*('Crédito de Vivienda UVR'!$C$12*90%))</f>
        <v>#VALUE!</v>
      </c>
      <c r="M270" s="35" t="e">
        <f ca="1">K270+L270+(F270*'Crédito de Vivienda UVR'!$C$19)</f>
        <v>#VALUE!</v>
      </c>
      <c r="N270" s="316"/>
    </row>
    <row r="271" spans="2:14" ht="15.5" x14ac:dyDescent="0.35">
      <c r="B271" s="6" t="e">
        <f t="shared" ca="1" si="11"/>
        <v>#VALUE!</v>
      </c>
      <c r="C271" s="311" t="e">
        <f t="shared" ca="1" si="10"/>
        <v>#VALUE!</v>
      </c>
      <c r="D271" s="311" t="e">
        <f t="shared" ca="1" si="12"/>
        <v>#VALUE!</v>
      </c>
      <c r="E271" s="311" t="e">
        <f ca="1">C270*'Crédito de Vivienda UVR'!$E$17</f>
        <v>#VALUE!</v>
      </c>
      <c r="F271" s="322" t="e">
        <f ca="1">IF(B271=" ",0,PMT('Crédito de Vivienda UVR'!$E$17,'Crédito de Vivienda UVR'!$C$18,-'Crédito de Vivienda UVR'!$C$20,,))</f>
        <v>#VALUE!</v>
      </c>
      <c r="G271" s="320" t="e">
        <f ca="1">C270*(VLOOKUP('Crédito de Vivienda UVR'!$C$24,Seguros_Oblig!$A$3:$B$55,2,FALSE))</f>
        <v>#VALUE!</v>
      </c>
      <c r="H271" s="313" t="e">
        <f ca="1">C270*(VLOOKUP('Crédito de Vivienda UVR'!$C$25,Seguros_Oblig!$A$3:$B$55,2,FALSE))</f>
        <v>#VALUE!</v>
      </c>
      <c r="I271" s="313" t="e">
        <f ca="1">C270*(VLOOKUP('Crédito de Vivienda UVR'!$C$26,Seguros_Oblig!$A$3:$B$55,2,FALSE))</f>
        <v>#VALUE!</v>
      </c>
      <c r="J271" s="313" t="e">
        <f ca="1">C270*(VLOOKUP('Crédito de Vivienda UVR'!$C$27,Seguros_Oblig!$A$3:$B$55,2,FALSE))</f>
        <v>#VALUE!</v>
      </c>
      <c r="K271" s="35">
        <f ca="1">_xlfn.AGGREGATE(9,6,G271:J271)*'Crédito de Vivienda UVR'!$C$19</f>
        <v>0</v>
      </c>
      <c r="L271" s="7" t="e">
        <f ca="1">IF(C270&lt;1,"0",Seguros_Oblig!$K$2*('Crédito de Vivienda UVR'!$C$12*90%))</f>
        <v>#VALUE!</v>
      </c>
      <c r="M271" s="35" t="e">
        <f ca="1">K271+L271+(F271*'Crédito de Vivienda UVR'!$C$19)</f>
        <v>#VALUE!</v>
      </c>
      <c r="N271" s="316"/>
    </row>
    <row r="272" spans="2:14" ht="15.5" x14ac:dyDescent="0.35">
      <c r="B272" s="6" t="e">
        <f t="shared" ca="1" si="11"/>
        <v>#VALUE!</v>
      </c>
      <c r="C272" s="311" t="e">
        <f t="shared" ca="1" si="10"/>
        <v>#VALUE!</v>
      </c>
      <c r="D272" s="311" t="e">
        <f t="shared" ca="1" si="12"/>
        <v>#VALUE!</v>
      </c>
      <c r="E272" s="311" t="e">
        <f ca="1">C271*'Crédito de Vivienda UVR'!$E$17</f>
        <v>#VALUE!</v>
      </c>
      <c r="F272" s="322" t="e">
        <f ca="1">IF(B272=" ",0,PMT('Crédito de Vivienda UVR'!$E$17,'Crédito de Vivienda UVR'!$C$18,-'Crédito de Vivienda UVR'!$C$20,,))</f>
        <v>#VALUE!</v>
      </c>
      <c r="G272" s="320" t="e">
        <f ca="1">C271*(VLOOKUP('Crédito de Vivienda UVR'!$C$24,Seguros_Oblig!$A$3:$B$55,2,FALSE))</f>
        <v>#VALUE!</v>
      </c>
      <c r="H272" s="313" t="e">
        <f ca="1">C271*(VLOOKUP('Crédito de Vivienda UVR'!$C$25,Seguros_Oblig!$A$3:$B$55,2,FALSE))</f>
        <v>#VALUE!</v>
      </c>
      <c r="I272" s="313" t="e">
        <f ca="1">C271*(VLOOKUP('Crédito de Vivienda UVR'!$C$26,Seguros_Oblig!$A$3:$B$55,2,FALSE))</f>
        <v>#VALUE!</v>
      </c>
      <c r="J272" s="313" t="e">
        <f ca="1">C271*(VLOOKUP('Crédito de Vivienda UVR'!$C$27,Seguros_Oblig!$A$3:$B$55,2,FALSE))</f>
        <v>#VALUE!</v>
      </c>
      <c r="K272" s="35">
        <f ca="1">_xlfn.AGGREGATE(9,6,G272:J272)*'Crédito de Vivienda UVR'!$C$19</f>
        <v>0</v>
      </c>
      <c r="L272" s="7" t="e">
        <f ca="1">IF(C271&lt;1,"0",Seguros_Oblig!$K$2*('Crédito de Vivienda UVR'!$C$12*90%))</f>
        <v>#VALUE!</v>
      </c>
      <c r="M272" s="35" t="e">
        <f ca="1">K272+L272+(F272*'Crédito de Vivienda UVR'!$C$19)</f>
        <v>#VALUE!</v>
      </c>
      <c r="N272" s="316"/>
    </row>
    <row r="273" spans="2:14" ht="15.5" x14ac:dyDescent="0.35">
      <c r="B273" s="6" t="e">
        <f t="shared" ca="1" si="11"/>
        <v>#VALUE!</v>
      </c>
      <c r="C273" s="311" t="e">
        <f t="shared" ca="1" si="10"/>
        <v>#VALUE!</v>
      </c>
      <c r="D273" s="311" t="e">
        <f t="shared" ca="1" si="12"/>
        <v>#VALUE!</v>
      </c>
      <c r="E273" s="311" t="e">
        <f ca="1">C272*'Crédito de Vivienda UVR'!$E$17</f>
        <v>#VALUE!</v>
      </c>
      <c r="F273" s="322" t="e">
        <f ca="1">IF(B273=" ",0,PMT('Crédito de Vivienda UVR'!$E$17,'Crédito de Vivienda UVR'!$C$18,-'Crédito de Vivienda UVR'!$C$20,,))</f>
        <v>#VALUE!</v>
      </c>
      <c r="G273" s="320" t="e">
        <f ca="1">C272*(VLOOKUP('Crédito de Vivienda UVR'!$C$24,Seguros_Oblig!$A$3:$B$55,2,FALSE))</f>
        <v>#VALUE!</v>
      </c>
      <c r="H273" s="313" t="e">
        <f ca="1">C272*(VLOOKUP('Crédito de Vivienda UVR'!$C$25,Seguros_Oblig!$A$3:$B$55,2,FALSE))</f>
        <v>#VALUE!</v>
      </c>
      <c r="I273" s="313" t="e">
        <f ca="1">C272*(VLOOKUP('Crédito de Vivienda UVR'!$C$26,Seguros_Oblig!$A$3:$B$55,2,FALSE))</f>
        <v>#VALUE!</v>
      </c>
      <c r="J273" s="313" t="e">
        <f ca="1">C272*(VLOOKUP('Crédito de Vivienda UVR'!$C$27,Seguros_Oblig!$A$3:$B$55,2,FALSE))</f>
        <v>#VALUE!</v>
      </c>
      <c r="K273" s="35">
        <f ca="1">_xlfn.AGGREGATE(9,6,G273:J273)*'Crédito de Vivienda UVR'!$C$19</f>
        <v>0</v>
      </c>
      <c r="L273" s="7" t="e">
        <f ca="1">IF(C272&lt;1,"0",Seguros_Oblig!$K$2*('Crédito de Vivienda UVR'!$C$12*90%))</f>
        <v>#VALUE!</v>
      </c>
      <c r="M273" s="35" t="e">
        <f ca="1">K273+L273+(F273*'Crédito de Vivienda UVR'!$C$19)</f>
        <v>#VALUE!</v>
      </c>
      <c r="N273" s="316"/>
    </row>
    <row r="274" spans="2:14" ht="15.5" x14ac:dyDescent="0.35">
      <c r="B274" s="6" t="e">
        <f t="shared" ca="1" si="11"/>
        <v>#VALUE!</v>
      </c>
      <c r="C274" s="311" t="e">
        <f t="shared" ca="1" si="10"/>
        <v>#VALUE!</v>
      </c>
      <c r="D274" s="311" t="e">
        <f t="shared" ca="1" si="12"/>
        <v>#VALUE!</v>
      </c>
      <c r="E274" s="311" t="e">
        <f ca="1">C273*'Crédito de Vivienda UVR'!$E$17</f>
        <v>#VALUE!</v>
      </c>
      <c r="F274" s="322" t="e">
        <f ca="1">IF(B274=" ",0,PMT('Crédito de Vivienda UVR'!$E$17,'Crédito de Vivienda UVR'!$C$18,-'Crédito de Vivienda UVR'!$C$20,,))</f>
        <v>#VALUE!</v>
      </c>
      <c r="G274" s="320" t="e">
        <f ca="1">C273*(VLOOKUP('Crédito de Vivienda UVR'!$C$24,Seguros_Oblig!$A$3:$B$55,2,FALSE))</f>
        <v>#VALUE!</v>
      </c>
      <c r="H274" s="313" t="e">
        <f ca="1">C273*(VLOOKUP('Crédito de Vivienda UVR'!$C$25,Seguros_Oblig!$A$3:$B$55,2,FALSE))</f>
        <v>#VALUE!</v>
      </c>
      <c r="I274" s="313" t="e">
        <f ca="1">C273*(VLOOKUP('Crédito de Vivienda UVR'!$C$26,Seguros_Oblig!$A$3:$B$55,2,FALSE))</f>
        <v>#VALUE!</v>
      </c>
      <c r="J274" s="313" t="e">
        <f ca="1">C273*(VLOOKUP('Crédito de Vivienda UVR'!$C$27,Seguros_Oblig!$A$3:$B$55,2,FALSE))</f>
        <v>#VALUE!</v>
      </c>
      <c r="K274" s="35">
        <f ca="1">_xlfn.AGGREGATE(9,6,G274:J274)*'Crédito de Vivienda UVR'!$C$19</f>
        <v>0</v>
      </c>
      <c r="L274" s="7" t="e">
        <f ca="1">IF(C273&lt;1,"0",Seguros_Oblig!$K$2*('Crédito de Vivienda UVR'!$C$12*90%))</f>
        <v>#VALUE!</v>
      </c>
      <c r="M274" s="35" t="e">
        <f ca="1">K274+L274+(F274*'Crédito de Vivienda UVR'!$C$19)</f>
        <v>#VALUE!</v>
      </c>
      <c r="N274" s="316"/>
    </row>
    <row r="275" spans="2:14" ht="15.5" x14ac:dyDescent="0.35">
      <c r="B275" s="6" t="e">
        <f t="shared" ca="1" si="11"/>
        <v>#VALUE!</v>
      </c>
      <c r="C275" s="311" t="e">
        <f t="shared" ca="1" si="10"/>
        <v>#VALUE!</v>
      </c>
      <c r="D275" s="311" t="e">
        <f t="shared" ca="1" si="12"/>
        <v>#VALUE!</v>
      </c>
      <c r="E275" s="311" t="e">
        <f ca="1">C274*'Crédito de Vivienda UVR'!$E$17</f>
        <v>#VALUE!</v>
      </c>
      <c r="F275" s="322" t="e">
        <f ca="1">IF(B275=" ",0,PMT('Crédito de Vivienda UVR'!$E$17,'Crédito de Vivienda UVR'!$C$18,-'Crédito de Vivienda UVR'!$C$20,,))</f>
        <v>#VALUE!</v>
      </c>
      <c r="G275" s="320" t="e">
        <f ca="1">C274*(VLOOKUP('Crédito de Vivienda UVR'!$C$24,Seguros_Oblig!$A$3:$B$55,2,FALSE))</f>
        <v>#VALUE!</v>
      </c>
      <c r="H275" s="313" t="e">
        <f ca="1">C274*(VLOOKUP('Crédito de Vivienda UVR'!$C$25,Seguros_Oblig!$A$3:$B$55,2,FALSE))</f>
        <v>#VALUE!</v>
      </c>
      <c r="I275" s="313" t="e">
        <f ca="1">C274*(VLOOKUP('Crédito de Vivienda UVR'!$C$26,Seguros_Oblig!$A$3:$B$55,2,FALSE))</f>
        <v>#VALUE!</v>
      </c>
      <c r="J275" s="313" t="e">
        <f ca="1">C274*(VLOOKUP('Crédito de Vivienda UVR'!$C$27,Seguros_Oblig!$A$3:$B$55,2,FALSE))</f>
        <v>#VALUE!</v>
      </c>
      <c r="K275" s="35">
        <f ca="1">_xlfn.AGGREGATE(9,6,G275:J275)*'Crédito de Vivienda UVR'!$C$19</f>
        <v>0</v>
      </c>
      <c r="L275" s="7" t="e">
        <f ca="1">IF(C274&lt;1,"0",Seguros_Oblig!$K$2*('Crédito de Vivienda UVR'!$C$12*90%))</f>
        <v>#VALUE!</v>
      </c>
      <c r="M275" s="35" t="e">
        <f ca="1">K275+L275+(F275*'Crédito de Vivienda UVR'!$C$19)</f>
        <v>#VALUE!</v>
      </c>
      <c r="N275" s="316"/>
    </row>
    <row r="276" spans="2:14" ht="15.5" x14ac:dyDescent="0.35">
      <c r="B276" s="6" t="e">
        <f t="shared" ca="1" si="11"/>
        <v>#VALUE!</v>
      </c>
      <c r="C276" s="311" t="e">
        <f t="shared" ref="C276:C339" ca="1" si="13">C275-D276</f>
        <v>#VALUE!</v>
      </c>
      <c r="D276" s="311" t="e">
        <f t="shared" ca="1" si="12"/>
        <v>#VALUE!</v>
      </c>
      <c r="E276" s="311" t="e">
        <f ca="1">C275*'Crédito de Vivienda UVR'!$E$17</f>
        <v>#VALUE!</v>
      </c>
      <c r="F276" s="322" t="e">
        <f ca="1">IF(B276=" ",0,PMT('Crédito de Vivienda UVR'!$E$17,'Crédito de Vivienda UVR'!$C$18,-'Crédito de Vivienda UVR'!$C$20,,))</f>
        <v>#VALUE!</v>
      </c>
      <c r="G276" s="320" t="e">
        <f ca="1">C275*(VLOOKUP('Crédito de Vivienda UVR'!$C$24,Seguros_Oblig!$A$3:$B$55,2,FALSE))</f>
        <v>#VALUE!</v>
      </c>
      <c r="H276" s="313" t="e">
        <f ca="1">C275*(VLOOKUP('Crédito de Vivienda UVR'!$C$25,Seguros_Oblig!$A$3:$B$55,2,FALSE))</f>
        <v>#VALUE!</v>
      </c>
      <c r="I276" s="313" t="e">
        <f ca="1">C275*(VLOOKUP('Crédito de Vivienda UVR'!$C$26,Seguros_Oblig!$A$3:$B$55,2,FALSE))</f>
        <v>#VALUE!</v>
      </c>
      <c r="J276" s="313" t="e">
        <f ca="1">C275*(VLOOKUP('Crédito de Vivienda UVR'!$C$27,Seguros_Oblig!$A$3:$B$55,2,FALSE))</f>
        <v>#VALUE!</v>
      </c>
      <c r="K276" s="35">
        <f ca="1">_xlfn.AGGREGATE(9,6,G276:J276)*'Crédito de Vivienda UVR'!$C$19</f>
        <v>0</v>
      </c>
      <c r="L276" s="7" t="e">
        <f ca="1">IF(C275&lt;1,"0",Seguros_Oblig!$K$2*('Crédito de Vivienda UVR'!$C$12*90%))</f>
        <v>#VALUE!</v>
      </c>
      <c r="M276" s="35" t="e">
        <f ca="1">K276+L276+(F276*'Crédito de Vivienda UVR'!$C$19)</f>
        <v>#VALUE!</v>
      </c>
      <c r="N276" s="316"/>
    </row>
    <row r="277" spans="2:14" ht="15.5" x14ac:dyDescent="0.35">
      <c r="B277" s="6" t="e">
        <f t="shared" ca="1" si="11"/>
        <v>#VALUE!</v>
      </c>
      <c r="C277" s="311" t="e">
        <f t="shared" ca="1" si="13"/>
        <v>#VALUE!</v>
      </c>
      <c r="D277" s="311" t="e">
        <f t="shared" ca="1" si="12"/>
        <v>#VALUE!</v>
      </c>
      <c r="E277" s="311" t="e">
        <f ca="1">C276*'Crédito de Vivienda UVR'!$E$17</f>
        <v>#VALUE!</v>
      </c>
      <c r="F277" s="322" t="e">
        <f ca="1">IF(B277=" ",0,PMT('Crédito de Vivienda UVR'!$E$17,'Crédito de Vivienda UVR'!$C$18,-'Crédito de Vivienda UVR'!$C$20,,))</f>
        <v>#VALUE!</v>
      </c>
      <c r="G277" s="320" t="e">
        <f ca="1">C276*(VLOOKUP('Crédito de Vivienda UVR'!$C$24,Seguros_Oblig!$A$3:$B$55,2,FALSE))</f>
        <v>#VALUE!</v>
      </c>
      <c r="H277" s="313" t="e">
        <f ca="1">C276*(VLOOKUP('Crédito de Vivienda UVR'!$C$25,Seguros_Oblig!$A$3:$B$55,2,FALSE))</f>
        <v>#VALUE!</v>
      </c>
      <c r="I277" s="313" t="e">
        <f ca="1">C276*(VLOOKUP('Crédito de Vivienda UVR'!$C$26,Seguros_Oblig!$A$3:$B$55,2,FALSE))</f>
        <v>#VALUE!</v>
      </c>
      <c r="J277" s="313" t="e">
        <f ca="1">C276*(VLOOKUP('Crédito de Vivienda UVR'!$C$27,Seguros_Oblig!$A$3:$B$55,2,FALSE))</f>
        <v>#VALUE!</v>
      </c>
      <c r="K277" s="35">
        <f ca="1">_xlfn.AGGREGATE(9,6,G277:J277)*'Crédito de Vivienda UVR'!$C$19</f>
        <v>0</v>
      </c>
      <c r="L277" s="7" t="e">
        <f ca="1">IF(C276&lt;1,"0",Seguros_Oblig!$K$2*('Crédito de Vivienda UVR'!$C$12*90%))</f>
        <v>#VALUE!</v>
      </c>
      <c r="M277" s="35" t="e">
        <f ca="1">K277+L277+(F277*'Crédito de Vivienda UVR'!$C$19)</f>
        <v>#VALUE!</v>
      </c>
      <c r="N277" s="316"/>
    </row>
    <row r="278" spans="2:14" ht="15.5" x14ac:dyDescent="0.35">
      <c r="B278" s="6" t="e">
        <f t="shared" ca="1" si="11"/>
        <v>#VALUE!</v>
      </c>
      <c r="C278" s="311" t="e">
        <f t="shared" ca="1" si="13"/>
        <v>#VALUE!</v>
      </c>
      <c r="D278" s="311" t="e">
        <f t="shared" ca="1" si="12"/>
        <v>#VALUE!</v>
      </c>
      <c r="E278" s="311" t="e">
        <f ca="1">C277*'Crédito de Vivienda UVR'!$E$17</f>
        <v>#VALUE!</v>
      </c>
      <c r="F278" s="322" t="e">
        <f ca="1">IF(B278=" ",0,PMT('Crédito de Vivienda UVR'!$E$17,'Crédito de Vivienda UVR'!$C$18,-'Crédito de Vivienda UVR'!$C$20,,))</f>
        <v>#VALUE!</v>
      </c>
      <c r="G278" s="320" t="e">
        <f ca="1">C277*(VLOOKUP('Crédito de Vivienda UVR'!$C$24,Seguros_Oblig!$A$3:$B$55,2,FALSE))</f>
        <v>#VALUE!</v>
      </c>
      <c r="H278" s="313" t="e">
        <f ca="1">C277*(VLOOKUP('Crédito de Vivienda UVR'!$C$25,Seguros_Oblig!$A$3:$B$55,2,FALSE))</f>
        <v>#VALUE!</v>
      </c>
      <c r="I278" s="313" t="e">
        <f ca="1">C277*(VLOOKUP('Crédito de Vivienda UVR'!$C$26,Seguros_Oblig!$A$3:$B$55,2,FALSE))</f>
        <v>#VALUE!</v>
      </c>
      <c r="J278" s="313" t="e">
        <f ca="1">C277*(VLOOKUP('Crédito de Vivienda UVR'!$C$27,Seguros_Oblig!$A$3:$B$55,2,FALSE))</f>
        <v>#VALUE!</v>
      </c>
      <c r="K278" s="35">
        <f ca="1">_xlfn.AGGREGATE(9,6,G278:J278)*'Crédito de Vivienda UVR'!$C$19</f>
        <v>0</v>
      </c>
      <c r="L278" s="7" t="e">
        <f ca="1">IF(C277&lt;1,"0",Seguros_Oblig!$K$2*('Crédito de Vivienda UVR'!$C$12*90%))</f>
        <v>#VALUE!</v>
      </c>
      <c r="M278" s="35" t="e">
        <f ca="1">K278+L278+(F278*'Crédito de Vivienda UVR'!$C$19)</f>
        <v>#VALUE!</v>
      </c>
      <c r="N278" s="316"/>
    </row>
    <row r="279" spans="2:14" ht="15.5" x14ac:dyDescent="0.35">
      <c r="B279" s="6" t="e">
        <f t="shared" ca="1" si="11"/>
        <v>#VALUE!</v>
      </c>
      <c r="C279" s="311" t="e">
        <f t="shared" ca="1" si="13"/>
        <v>#VALUE!</v>
      </c>
      <c r="D279" s="311" t="e">
        <f t="shared" ca="1" si="12"/>
        <v>#VALUE!</v>
      </c>
      <c r="E279" s="311" t="e">
        <f ca="1">C278*'Crédito de Vivienda UVR'!$E$17</f>
        <v>#VALUE!</v>
      </c>
      <c r="F279" s="322" t="e">
        <f ca="1">IF(B279=" ",0,PMT('Crédito de Vivienda UVR'!$E$17,'Crédito de Vivienda UVR'!$C$18,-'Crédito de Vivienda UVR'!$C$20,,))</f>
        <v>#VALUE!</v>
      </c>
      <c r="G279" s="320" t="e">
        <f ca="1">C278*(VLOOKUP('Crédito de Vivienda UVR'!$C$24,Seguros_Oblig!$A$3:$B$55,2,FALSE))</f>
        <v>#VALUE!</v>
      </c>
      <c r="H279" s="313" t="e">
        <f ca="1">C278*(VLOOKUP('Crédito de Vivienda UVR'!$C$25,Seguros_Oblig!$A$3:$B$55,2,FALSE))</f>
        <v>#VALUE!</v>
      </c>
      <c r="I279" s="313" t="e">
        <f ca="1">C278*(VLOOKUP('Crédito de Vivienda UVR'!$C$26,Seguros_Oblig!$A$3:$B$55,2,FALSE))</f>
        <v>#VALUE!</v>
      </c>
      <c r="J279" s="313" t="e">
        <f ca="1">C278*(VLOOKUP('Crédito de Vivienda UVR'!$C$27,Seguros_Oblig!$A$3:$B$55,2,FALSE))</f>
        <v>#VALUE!</v>
      </c>
      <c r="K279" s="35">
        <f ca="1">_xlfn.AGGREGATE(9,6,G279:J279)*'Crédito de Vivienda UVR'!$C$19</f>
        <v>0</v>
      </c>
      <c r="L279" s="7" t="e">
        <f ca="1">IF(C278&lt;1,"0",Seguros_Oblig!$K$2*('Crédito de Vivienda UVR'!$C$12*90%))</f>
        <v>#VALUE!</v>
      </c>
      <c r="M279" s="35" t="e">
        <f ca="1">K279+L279+(F279*'Crédito de Vivienda UVR'!$C$19)</f>
        <v>#VALUE!</v>
      </c>
      <c r="N279" s="316"/>
    </row>
    <row r="280" spans="2:14" ht="15.5" x14ac:dyDescent="0.35">
      <c r="B280" s="6" t="e">
        <f t="shared" ca="1" si="11"/>
        <v>#VALUE!</v>
      </c>
      <c r="C280" s="311" t="e">
        <f t="shared" ca="1" si="13"/>
        <v>#VALUE!</v>
      </c>
      <c r="D280" s="311" t="e">
        <f t="shared" ca="1" si="12"/>
        <v>#VALUE!</v>
      </c>
      <c r="E280" s="311" t="e">
        <f ca="1">C279*'Crédito de Vivienda UVR'!$E$17</f>
        <v>#VALUE!</v>
      </c>
      <c r="F280" s="322" t="e">
        <f ca="1">IF(B280=" ",0,PMT('Crédito de Vivienda UVR'!$E$17,'Crédito de Vivienda UVR'!$C$18,-'Crédito de Vivienda UVR'!$C$20,,))</f>
        <v>#VALUE!</v>
      </c>
      <c r="G280" s="320" t="e">
        <f ca="1">C279*(VLOOKUP('Crédito de Vivienda UVR'!$C$24,Seguros_Oblig!$A$3:$B$55,2,FALSE))</f>
        <v>#VALUE!</v>
      </c>
      <c r="H280" s="313" t="e">
        <f ca="1">C279*(VLOOKUP('Crédito de Vivienda UVR'!$C$25,Seguros_Oblig!$A$3:$B$55,2,FALSE))</f>
        <v>#VALUE!</v>
      </c>
      <c r="I280" s="313" t="e">
        <f ca="1">C279*(VLOOKUP('Crédito de Vivienda UVR'!$C$26,Seguros_Oblig!$A$3:$B$55,2,FALSE))</f>
        <v>#VALUE!</v>
      </c>
      <c r="J280" s="313" t="e">
        <f ca="1">C279*(VLOOKUP('Crédito de Vivienda UVR'!$C$27,Seguros_Oblig!$A$3:$B$55,2,FALSE))</f>
        <v>#VALUE!</v>
      </c>
      <c r="K280" s="35">
        <f ca="1">_xlfn.AGGREGATE(9,6,G280:J280)*'Crédito de Vivienda UVR'!$C$19</f>
        <v>0</v>
      </c>
      <c r="L280" s="7" t="e">
        <f ca="1">IF(C279&lt;1,"0",Seguros_Oblig!$K$2*('Crédito de Vivienda UVR'!$C$12*90%))</f>
        <v>#VALUE!</v>
      </c>
      <c r="M280" s="35" t="e">
        <f ca="1">K280+L280+(F280*'Crédito de Vivienda UVR'!$C$19)</f>
        <v>#VALUE!</v>
      </c>
      <c r="N280" s="316"/>
    </row>
    <row r="281" spans="2:14" ht="15.5" x14ac:dyDescent="0.35">
      <c r="B281" s="6" t="e">
        <f t="shared" ref="B281:B344" ca="1" si="14">IF(C280&gt;1,B280+1," ")</f>
        <v>#VALUE!</v>
      </c>
      <c r="C281" s="311" t="e">
        <f t="shared" ca="1" si="13"/>
        <v>#VALUE!</v>
      </c>
      <c r="D281" s="311" t="e">
        <f t="shared" ca="1" si="12"/>
        <v>#VALUE!</v>
      </c>
      <c r="E281" s="311" t="e">
        <f ca="1">C280*'Crédito de Vivienda UVR'!$E$17</f>
        <v>#VALUE!</v>
      </c>
      <c r="F281" s="322" t="e">
        <f ca="1">IF(B281=" ",0,PMT('Crédito de Vivienda UVR'!$E$17,'Crédito de Vivienda UVR'!$C$18,-'Crédito de Vivienda UVR'!$C$20,,))</f>
        <v>#VALUE!</v>
      </c>
      <c r="G281" s="320" t="e">
        <f ca="1">C280*(VLOOKUP('Crédito de Vivienda UVR'!$C$24,Seguros_Oblig!$A$3:$B$55,2,FALSE))</f>
        <v>#VALUE!</v>
      </c>
      <c r="H281" s="313" t="e">
        <f ca="1">C280*(VLOOKUP('Crédito de Vivienda UVR'!$C$25,Seguros_Oblig!$A$3:$B$55,2,FALSE))</f>
        <v>#VALUE!</v>
      </c>
      <c r="I281" s="313" t="e">
        <f ca="1">C280*(VLOOKUP('Crédito de Vivienda UVR'!$C$26,Seguros_Oblig!$A$3:$B$55,2,FALSE))</f>
        <v>#VALUE!</v>
      </c>
      <c r="J281" s="313" t="e">
        <f ca="1">C280*(VLOOKUP('Crédito de Vivienda UVR'!$C$27,Seguros_Oblig!$A$3:$B$55,2,FALSE))</f>
        <v>#VALUE!</v>
      </c>
      <c r="K281" s="35">
        <f ca="1">_xlfn.AGGREGATE(9,6,G281:J281)*'Crédito de Vivienda UVR'!$C$19</f>
        <v>0</v>
      </c>
      <c r="L281" s="7" t="e">
        <f ca="1">IF(C280&lt;1,"0",Seguros_Oblig!$K$2*('Crédito de Vivienda UVR'!$C$12*90%))</f>
        <v>#VALUE!</v>
      </c>
      <c r="M281" s="35" t="e">
        <f ca="1">K281+L281+(F281*'Crédito de Vivienda UVR'!$C$19)</f>
        <v>#VALUE!</v>
      </c>
      <c r="N281" s="316"/>
    </row>
    <row r="282" spans="2:14" ht="15.5" x14ac:dyDescent="0.35">
      <c r="B282" s="6" t="e">
        <f t="shared" ca="1" si="14"/>
        <v>#VALUE!</v>
      </c>
      <c r="C282" s="311" t="e">
        <f t="shared" ca="1" si="13"/>
        <v>#VALUE!</v>
      </c>
      <c r="D282" s="311" t="e">
        <f t="shared" ca="1" si="12"/>
        <v>#VALUE!</v>
      </c>
      <c r="E282" s="311" t="e">
        <f ca="1">C281*'Crédito de Vivienda UVR'!$E$17</f>
        <v>#VALUE!</v>
      </c>
      <c r="F282" s="322" t="e">
        <f ca="1">IF(B282=" ",0,PMT('Crédito de Vivienda UVR'!$E$17,'Crédito de Vivienda UVR'!$C$18,-'Crédito de Vivienda UVR'!$C$20,,))</f>
        <v>#VALUE!</v>
      </c>
      <c r="G282" s="320" t="e">
        <f ca="1">C281*(VLOOKUP('Crédito de Vivienda UVR'!$C$24,Seguros_Oblig!$A$3:$B$55,2,FALSE))</f>
        <v>#VALUE!</v>
      </c>
      <c r="H282" s="313" t="e">
        <f ca="1">C281*(VLOOKUP('Crédito de Vivienda UVR'!$C$25,Seguros_Oblig!$A$3:$B$55,2,FALSE))</f>
        <v>#VALUE!</v>
      </c>
      <c r="I282" s="313" t="e">
        <f ca="1">C281*(VLOOKUP('Crédito de Vivienda UVR'!$C$26,Seguros_Oblig!$A$3:$B$55,2,FALSE))</f>
        <v>#VALUE!</v>
      </c>
      <c r="J282" s="313" t="e">
        <f ca="1">C281*(VLOOKUP('Crédito de Vivienda UVR'!$C$27,Seguros_Oblig!$A$3:$B$55,2,FALSE))</f>
        <v>#VALUE!</v>
      </c>
      <c r="K282" s="35">
        <f ca="1">_xlfn.AGGREGATE(9,6,G282:J282)*'Crédito de Vivienda UVR'!$C$19</f>
        <v>0</v>
      </c>
      <c r="L282" s="7" t="e">
        <f ca="1">IF(C281&lt;1,"0",Seguros_Oblig!$K$2*('Crédito de Vivienda UVR'!$C$12*90%))</f>
        <v>#VALUE!</v>
      </c>
      <c r="M282" s="35" t="e">
        <f ca="1">K282+L282+(F282*'Crédito de Vivienda UVR'!$C$19)</f>
        <v>#VALUE!</v>
      </c>
      <c r="N282" s="316"/>
    </row>
    <row r="283" spans="2:14" ht="15.5" x14ac:dyDescent="0.35">
      <c r="B283" s="6" t="e">
        <f t="shared" ca="1" si="14"/>
        <v>#VALUE!</v>
      </c>
      <c r="C283" s="311" t="e">
        <f t="shared" ca="1" si="13"/>
        <v>#VALUE!</v>
      </c>
      <c r="D283" s="311" t="e">
        <f t="shared" ca="1" si="12"/>
        <v>#VALUE!</v>
      </c>
      <c r="E283" s="311" t="e">
        <f ca="1">C282*'Crédito de Vivienda UVR'!$E$17</f>
        <v>#VALUE!</v>
      </c>
      <c r="F283" s="322" t="e">
        <f ca="1">IF(B283=" ",0,PMT('Crédito de Vivienda UVR'!$E$17,'Crédito de Vivienda UVR'!$C$18,-'Crédito de Vivienda UVR'!$C$20,,))</f>
        <v>#VALUE!</v>
      </c>
      <c r="G283" s="320" t="e">
        <f ca="1">C282*(VLOOKUP('Crédito de Vivienda UVR'!$C$24,Seguros_Oblig!$A$3:$B$55,2,FALSE))</f>
        <v>#VALUE!</v>
      </c>
      <c r="H283" s="313" t="e">
        <f ca="1">C282*(VLOOKUP('Crédito de Vivienda UVR'!$C$25,Seguros_Oblig!$A$3:$B$55,2,FALSE))</f>
        <v>#VALUE!</v>
      </c>
      <c r="I283" s="313" t="e">
        <f ca="1">C282*(VLOOKUP('Crédito de Vivienda UVR'!$C$26,Seguros_Oblig!$A$3:$B$55,2,FALSE))</f>
        <v>#VALUE!</v>
      </c>
      <c r="J283" s="313" t="e">
        <f ca="1">C282*(VLOOKUP('Crédito de Vivienda UVR'!$C$27,Seguros_Oblig!$A$3:$B$55,2,FALSE))</f>
        <v>#VALUE!</v>
      </c>
      <c r="K283" s="35">
        <f ca="1">_xlfn.AGGREGATE(9,6,G283:J283)*'Crédito de Vivienda UVR'!$C$19</f>
        <v>0</v>
      </c>
      <c r="L283" s="7" t="e">
        <f ca="1">IF(C282&lt;1,"0",Seguros_Oblig!$K$2*('Crédito de Vivienda UVR'!$C$12*90%))</f>
        <v>#VALUE!</v>
      </c>
      <c r="M283" s="35" t="e">
        <f ca="1">K283+L283+(F283*'Crédito de Vivienda UVR'!$C$19)</f>
        <v>#VALUE!</v>
      </c>
      <c r="N283" s="316"/>
    </row>
    <row r="284" spans="2:14" ht="15.5" x14ac:dyDescent="0.35">
      <c r="B284" s="6" t="e">
        <f t="shared" ca="1" si="14"/>
        <v>#VALUE!</v>
      </c>
      <c r="C284" s="311" t="e">
        <f t="shared" ca="1" si="13"/>
        <v>#VALUE!</v>
      </c>
      <c r="D284" s="311" t="e">
        <f t="shared" ca="1" si="12"/>
        <v>#VALUE!</v>
      </c>
      <c r="E284" s="311" t="e">
        <f ca="1">C283*'Crédito de Vivienda UVR'!$E$17</f>
        <v>#VALUE!</v>
      </c>
      <c r="F284" s="322" t="e">
        <f ca="1">IF(B284=" ",0,PMT('Crédito de Vivienda UVR'!$E$17,'Crédito de Vivienda UVR'!$C$18,-'Crédito de Vivienda UVR'!$C$20,,))</f>
        <v>#VALUE!</v>
      </c>
      <c r="G284" s="320" t="e">
        <f ca="1">C283*(VLOOKUP('Crédito de Vivienda UVR'!$C$24,Seguros_Oblig!$A$3:$B$55,2,FALSE))</f>
        <v>#VALUE!</v>
      </c>
      <c r="H284" s="313" t="e">
        <f ca="1">C283*(VLOOKUP('Crédito de Vivienda UVR'!$C$25,Seguros_Oblig!$A$3:$B$55,2,FALSE))</f>
        <v>#VALUE!</v>
      </c>
      <c r="I284" s="313" t="e">
        <f ca="1">C283*(VLOOKUP('Crédito de Vivienda UVR'!$C$26,Seguros_Oblig!$A$3:$B$55,2,FALSE))</f>
        <v>#VALUE!</v>
      </c>
      <c r="J284" s="313" t="e">
        <f ca="1">C283*(VLOOKUP('Crédito de Vivienda UVR'!$C$27,Seguros_Oblig!$A$3:$B$55,2,FALSE))</f>
        <v>#VALUE!</v>
      </c>
      <c r="K284" s="35">
        <f ca="1">_xlfn.AGGREGATE(9,6,G284:J284)*'Crédito de Vivienda UVR'!$C$19</f>
        <v>0</v>
      </c>
      <c r="L284" s="7" t="e">
        <f ca="1">IF(C283&lt;1,"0",Seguros_Oblig!$K$2*('Crédito de Vivienda UVR'!$C$12*90%))</f>
        <v>#VALUE!</v>
      </c>
      <c r="M284" s="35" t="e">
        <f ca="1">K284+L284+(F284*'Crédito de Vivienda UVR'!$C$19)</f>
        <v>#VALUE!</v>
      </c>
      <c r="N284" s="316"/>
    </row>
    <row r="285" spans="2:14" ht="15.5" x14ac:dyDescent="0.35">
      <c r="B285" s="6" t="e">
        <f t="shared" ca="1" si="14"/>
        <v>#VALUE!</v>
      </c>
      <c r="C285" s="311" t="e">
        <f t="shared" ca="1" si="13"/>
        <v>#VALUE!</v>
      </c>
      <c r="D285" s="311" t="e">
        <f t="shared" ca="1" si="12"/>
        <v>#VALUE!</v>
      </c>
      <c r="E285" s="311" t="e">
        <f ca="1">C284*'Crédito de Vivienda UVR'!$E$17</f>
        <v>#VALUE!</v>
      </c>
      <c r="F285" s="322" t="e">
        <f ca="1">IF(B285=" ",0,PMT('Crédito de Vivienda UVR'!$E$17,'Crédito de Vivienda UVR'!$C$18,-'Crédito de Vivienda UVR'!$C$20,,))</f>
        <v>#VALUE!</v>
      </c>
      <c r="G285" s="320" t="e">
        <f ca="1">C284*(VLOOKUP('Crédito de Vivienda UVR'!$C$24,Seguros_Oblig!$A$3:$B$55,2,FALSE))</f>
        <v>#VALUE!</v>
      </c>
      <c r="H285" s="313" t="e">
        <f ca="1">C284*(VLOOKUP('Crédito de Vivienda UVR'!$C$25,Seguros_Oblig!$A$3:$B$55,2,FALSE))</f>
        <v>#VALUE!</v>
      </c>
      <c r="I285" s="313" t="e">
        <f ca="1">C284*(VLOOKUP('Crédito de Vivienda UVR'!$C$26,Seguros_Oblig!$A$3:$B$55,2,FALSE))</f>
        <v>#VALUE!</v>
      </c>
      <c r="J285" s="313" t="e">
        <f ca="1">C284*(VLOOKUP('Crédito de Vivienda UVR'!$C$27,Seguros_Oblig!$A$3:$B$55,2,FALSE))</f>
        <v>#VALUE!</v>
      </c>
      <c r="K285" s="35">
        <f ca="1">_xlfn.AGGREGATE(9,6,G285:J285)*'Crédito de Vivienda UVR'!$C$19</f>
        <v>0</v>
      </c>
      <c r="L285" s="7" t="e">
        <f ca="1">IF(C284&lt;1,"0",Seguros_Oblig!$K$2*('Crédito de Vivienda UVR'!$C$12*90%))</f>
        <v>#VALUE!</v>
      </c>
      <c r="M285" s="35" t="e">
        <f ca="1">K285+L285+(F285*'Crédito de Vivienda UVR'!$C$19)</f>
        <v>#VALUE!</v>
      </c>
      <c r="N285" s="316"/>
    </row>
    <row r="286" spans="2:14" ht="15.5" x14ac:dyDescent="0.35">
      <c r="B286" s="6" t="e">
        <f t="shared" ca="1" si="14"/>
        <v>#VALUE!</v>
      </c>
      <c r="C286" s="311" t="e">
        <f t="shared" ca="1" si="13"/>
        <v>#VALUE!</v>
      </c>
      <c r="D286" s="311" t="e">
        <f t="shared" ca="1" si="12"/>
        <v>#VALUE!</v>
      </c>
      <c r="E286" s="311" t="e">
        <f ca="1">C285*'Crédito de Vivienda UVR'!$E$17</f>
        <v>#VALUE!</v>
      </c>
      <c r="F286" s="322" t="e">
        <f ca="1">IF(B286=" ",0,PMT('Crédito de Vivienda UVR'!$E$17,'Crédito de Vivienda UVR'!$C$18,-'Crédito de Vivienda UVR'!$C$20,,))</f>
        <v>#VALUE!</v>
      </c>
      <c r="G286" s="320" t="e">
        <f ca="1">C285*(VLOOKUP('Crédito de Vivienda UVR'!$C$24,Seguros_Oblig!$A$3:$B$55,2,FALSE))</f>
        <v>#VALUE!</v>
      </c>
      <c r="H286" s="313" t="e">
        <f ca="1">C285*(VLOOKUP('Crédito de Vivienda UVR'!$C$25,Seguros_Oblig!$A$3:$B$55,2,FALSE))</f>
        <v>#VALUE!</v>
      </c>
      <c r="I286" s="313" t="e">
        <f ca="1">C285*(VLOOKUP('Crédito de Vivienda UVR'!$C$26,Seguros_Oblig!$A$3:$B$55,2,FALSE))</f>
        <v>#VALUE!</v>
      </c>
      <c r="J286" s="313" t="e">
        <f ca="1">C285*(VLOOKUP('Crédito de Vivienda UVR'!$C$27,Seguros_Oblig!$A$3:$B$55,2,FALSE))</f>
        <v>#VALUE!</v>
      </c>
      <c r="K286" s="35">
        <f ca="1">_xlfn.AGGREGATE(9,6,G286:J286)*'Crédito de Vivienda UVR'!$C$19</f>
        <v>0</v>
      </c>
      <c r="L286" s="7" t="e">
        <f ca="1">IF(C285&lt;1,"0",Seguros_Oblig!$K$2*('Crédito de Vivienda UVR'!$C$12*90%))</f>
        <v>#VALUE!</v>
      </c>
      <c r="M286" s="35" t="e">
        <f ca="1">K286+L286+(F286*'Crédito de Vivienda UVR'!$C$19)</f>
        <v>#VALUE!</v>
      </c>
      <c r="N286" s="316"/>
    </row>
    <row r="287" spans="2:14" ht="15.5" x14ac:dyDescent="0.35">
      <c r="B287" s="6" t="e">
        <f t="shared" ca="1" si="14"/>
        <v>#VALUE!</v>
      </c>
      <c r="C287" s="311" t="e">
        <f t="shared" ca="1" si="13"/>
        <v>#VALUE!</v>
      </c>
      <c r="D287" s="311" t="e">
        <f t="shared" ref="D287:D350" ca="1" si="15">IF(C286&lt;1,"0",F287-E287)</f>
        <v>#VALUE!</v>
      </c>
      <c r="E287" s="311" t="e">
        <f ca="1">C286*'Crédito de Vivienda UVR'!$E$17</f>
        <v>#VALUE!</v>
      </c>
      <c r="F287" s="322" t="e">
        <f ca="1">IF(B287=" ",0,PMT('Crédito de Vivienda UVR'!$E$17,'Crédito de Vivienda UVR'!$C$18,-'Crédito de Vivienda UVR'!$C$20,,))</f>
        <v>#VALUE!</v>
      </c>
      <c r="G287" s="320" t="e">
        <f ca="1">C286*(VLOOKUP('Crédito de Vivienda UVR'!$C$24,Seguros_Oblig!$A$3:$B$55,2,FALSE))</f>
        <v>#VALUE!</v>
      </c>
      <c r="H287" s="313" t="e">
        <f ca="1">C286*(VLOOKUP('Crédito de Vivienda UVR'!$C$25,Seguros_Oblig!$A$3:$B$55,2,FALSE))</f>
        <v>#VALUE!</v>
      </c>
      <c r="I287" s="313" t="e">
        <f ca="1">C286*(VLOOKUP('Crédito de Vivienda UVR'!$C$26,Seguros_Oblig!$A$3:$B$55,2,FALSE))</f>
        <v>#VALUE!</v>
      </c>
      <c r="J287" s="313" t="e">
        <f ca="1">C286*(VLOOKUP('Crédito de Vivienda UVR'!$C$27,Seguros_Oblig!$A$3:$B$55,2,FALSE))</f>
        <v>#VALUE!</v>
      </c>
      <c r="K287" s="35">
        <f ca="1">_xlfn.AGGREGATE(9,6,G287:J287)*'Crédito de Vivienda UVR'!$C$19</f>
        <v>0</v>
      </c>
      <c r="L287" s="7" t="e">
        <f ca="1">IF(C286&lt;1,"0",Seguros_Oblig!$K$2*('Crédito de Vivienda UVR'!$C$12*90%))</f>
        <v>#VALUE!</v>
      </c>
      <c r="M287" s="35" t="e">
        <f ca="1">K287+L287+(F287*'Crédito de Vivienda UVR'!$C$19)</f>
        <v>#VALUE!</v>
      </c>
      <c r="N287" s="316"/>
    </row>
    <row r="288" spans="2:14" ht="15.5" x14ac:dyDescent="0.35">
      <c r="B288" s="6" t="e">
        <f t="shared" ca="1" si="14"/>
        <v>#VALUE!</v>
      </c>
      <c r="C288" s="311" t="e">
        <f t="shared" ca="1" si="13"/>
        <v>#VALUE!</v>
      </c>
      <c r="D288" s="311" t="e">
        <f t="shared" ca="1" si="15"/>
        <v>#VALUE!</v>
      </c>
      <c r="E288" s="311" t="e">
        <f ca="1">C287*'Crédito de Vivienda UVR'!$E$17</f>
        <v>#VALUE!</v>
      </c>
      <c r="F288" s="322" t="e">
        <f ca="1">IF(B288=" ",0,PMT('Crédito de Vivienda UVR'!$E$17,'Crédito de Vivienda UVR'!$C$18,-'Crédito de Vivienda UVR'!$C$20,,))</f>
        <v>#VALUE!</v>
      </c>
      <c r="G288" s="320" t="e">
        <f ca="1">C287*(VLOOKUP('Crédito de Vivienda UVR'!$C$24,Seguros_Oblig!$A$3:$B$55,2,FALSE))</f>
        <v>#VALUE!</v>
      </c>
      <c r="H288" s="313" t="e">
        <f ca="1">C287*(VLOOKUP('Crédito de Vivienda UVR'!$C$25,Seguros_Oblig!$A$3:$B$55,2,FALSE))</f>
        <v>#VALUE!</v>
      </c>
      <c r="I288" s="313" t="e">
        <f ca="1">C287*(VLOOKUP('Crédito de Vivienda UVR'!$C$26,Seguros_Oblig!$A$3:$B$55,2,FALSE))</f>
        <v>#VALUE!</v>
      </c>
      <c r="J288" s="313" t="e">
        <f ca="1">C287*(VLOOKUP('Crédito de Vivienda UVR'!$C$27,Seguros_Oblig!$A$3:$B$55,2,FALSE))</f>
        <v>#VALUE!</v>
      </c>
      <c r="K288" s="35">
        <f ca="1">_xlfn.AGGREGATE(9,6,G288:J288)*'Crédito de Vivienda UVR'!$C$19</f>
        <v>0</v>
      </c>
      <c r="L288" s="7" t="e">
        <f ca="1">IF(C287&lt;1,"0",Seguros_Oblig!$K$2*('Crédito de Vivienda UVR'!$C$12*90%))</f>
        <v>#VALUE!</v>
      </c>
      <c r="M288" s="35" t="e">
        <f ca="1">K288+L288+(F288*'Crédito de Vivienda UVR'!$C$19)</f>
        <v>#VALUE!</v>
      </c>
      <c r="N288" s="316"/>
    </row>
    <row r="289" spans="2:14" ht="15.5" x14ac:dyDescent="0.35">
      <c r="B289" s="6" t="e">
        <f t="shared" ca="1" si="14"/>
        <v>#VALUE!</v>
      </c>
      <c r="C289" s="311" t="e">
        <f t="shared" ca="1" si="13"/>
        <v>#VALUE!</v>
      </c>
      <c r="D289" s="311" t="e">
        <f t="shared" ca="1" si="15"/>
        <v>#VALUE!</v>
      </c>
      <c r="E289" s="311" t="e">
        <f ca="1">C288*'Crédito de Vivienda UVR'!$E$17</f>
        <v>#VALUE!</v>
      </c>
      <c r="F289" s="322" t="e">
        <f ca="1">IF(B289=" ",0,PMT('Crédito de Vivienda UVR'!$E$17,'Crédito de Vivienda UVR'!$C$18,-'Crédito de Vivienda UVR'!$C$20,,))</f>
        <v>#VALUE!</v>
      </c>
      <c r="G289" s="320" t="e">
        <f ca="1">C288*(VLOOKUP('Crédito de Vivienda UVR'!$C$24,Seguros_Oblig!$A$3:$B$55,2,FALSE))</f>
        <v>#VALUE!</v>
      </c>
      <c r="H289" s="313" t="e">
        <f ca="1">C288*(VLOOKUP('Crédito de Vivienda UVR'!$C$25,Seguros_Oblig!$A$3:$B$55,2,FALSE))</f>
        <v>#VALUE!</v>
      </c>
      <c r="I289" s="313" t="e">
        <f ca="1">C288*(VLOOKUP('Crédito de Vivienda UVR'!$C$26,Seguros_Oblig!$A$3:$B$55,2,FALSE))</f>
        <v>#VALUE!</v>
      </c>
      <c r="J289" s="313" t="e">
        <f ca="1">C288*(VLOOKUP('Crédito de Vivienda UVR'!$C$27,Seguros_Oblig!$A$3:$B$55,2,FALSE))</f>
        <v>#VALUE!</v>
      </c>
      <c r="K289" s="35">
        <f ca="1">_xlfn.AGGREGATE(9,6,G289:J289)*'Crédito de Vivienda UVR'!$C$19</f>
        <v>0</v>
      </c>
      <c r="L289" s="7" t="e">
        <f ca="1">IF(C288&lt;1,"0",Seguros_Oblig!$K$2*('Crédito de Vivienda UVR'!$C$12*90%))</f>
        <v>#VALUE!</v>
      </c>
      <c r="M289" s="35" t="e">
        <f ca="1">K289+L289+(F289*'Crédito de Vivienda UVR'!$C$19)</f>
        <v>#VALUE!</v>
      </c>
      <c r="N289" s="316"/>
    </row>
    <row r="290" spans="2:14" ht="15.5" x14ac:dyDescent="0.35">
      <c r="B290" s="6" t="e">
        <f t="shared" ca="1" si="14"/>
        <v>#VALUE!</v>
      </c>
      <c r="C290" s="311" t="e">
        <f t="shared" ca="1" si="13"/>
        <v>#VALUE!</v>
      </c>
      <c r="D290" s="311" t="e">
        <f t="shared" ca="1" si="15"/>
        <v>#VALUE!</v>
      </c>
      <c r="E290" s="311" t="e">
        <f ca="1">C289*'Crédito de Vivienda UVR'!$E$17</f>
        <v>#VALUE!</v>
      </c>
      <c r="F290" s="322" t="e">
        <f ca="1">IF(B290=" ",0,PMT('Crédito de Vivienda UVR'!$E$17,'Crédito de Vivienda UVR'!$C$18,-'Crédito de Vivienda UVR'!$C$20,,))</f>
        <v>#VALUE!</v>
      </c>
      <c r="G290" s="320" t="e">
        <f ca="1">C289*(VLOOKUP('Crédito de Vivienda UVR'!$C$24,Seguros_Oblig!$A$3:$B$55,2,FALSE))</f>
        <v>#VALUE!</v>
      </c>
      <c r="H290" s="313" t="e">
        <f ca="1">C289*(VLOOKUP('Crédito de Vivienda UVR'!$C$25,Seguros_Oblig!$A$3:$B$55,2,FALSE))</f>
        <v>#VALUE!</v>
      </c>
      <c r="I290" s="313" t="e">
        <f ca="1">C289*(VLOOKUP('Crédito de Vivienda UVR'!$C$26,Seguros_Oblig!$A$3:$B$55,2,FALSE))</f>
        <v>#VALUE!</v>
      </c>
      <c r="J290" s="313" t="e">
        <f ca="1">C289*(VLOOKUP('Crédito de Vivienda UVR'!$C$27,Seguros_Oblig!$A$3:$B$55,2,FALSE))</f>
        <v>#VALUE!</v>
      </c>
      <c r="K290" s="35">
        <f ca="1">_xlfn.AGGREGATE(9,6,G290:J290)*'Crédito de Vivienda UVR'!$C$19</f>
        <v>0</v>
      </c>
      <c r="L290" s="7" t="e">
        <f ca="1">IF(C289&lt;1,"0",Seguros_Oblig!$K$2*('Crédito de Vivienda UVR'!$C$12*90%))</f>
        <v>#VALUE!</v>
      </c>
      <c r="M290" s="35" t="e">
        <f ca="1">K290+L290+(F290*'Crédito de Vivienda UVR'!$C$19)</f>
        <v>#VALUE!</v>
      </c>
      <c r="N290" s="316"/>
    </row>
    <row r="291" spans="2:14" ht="15.5" x14ac:dyDescent="0.35">
      <c r="B291" s="6" t="e">
        <f t="shared" ca="1" si="14"/>
        <v>#VALUE!</v>
      </c>
      <c r="C291" s="311" t="e">
        <f t="shared" ca="1" si="13"/>
        <v>#VALUE!</v>
      </c>
      <c r="D291" s="311" t="e">
        <f t="shared" ca="1" si="15"/>
        <v>#VALUE!</v>
      </c>
      <c r="E291" s="311" t="e">
        <f ca="1">C290*'Crédito de Vivienda UVR'!$E$17</f>
        <v>#VALUE!</v>
      </c>
      <c r="F291" s="322" t="e">
        <f ca="1">IF(B291=" ",0,PMT('Crédito de Vivienda UVR'!$E$17,'Crédito de Vivienda UVR'!$C$18,-'Crédito de Vivienda UVR'!$C$20,,))</f>
        <v>#VALUE!</v>
      </c>
      <c r="G291" s="320" t="e">
        <f ca="1">C290*(VLOOKUP('Crédito de Vivienda UVR'!$C$24,Seguros_Oblig!$A$3:$B$55,2,FALSE))</f>
        <v>#VALUE!</v>
      </c>
      <c r="H291" s="313" t="e">
        <f ca="1">C290*(VLOOKUP('Crédito de Vivienda UVR'!$C$25,Seguros_Oblig!$A$3:$B$55,2,FALSE))</f>
        <v>#VALUE!</v>
      </c>
      <c r="I291" s="313" t="e">
        <f ca="1">C290*(VLOOKUP('Crédito de Vivienda UVR'!$C$26,Seguros_Oblig!$A$3:$B$55,2,FALSE))</f>
        <v>#VALUE!</v>
      </c>
      <c r="J291" s="313" t="e">
        <f ca="1">C290*(VLOOKUP('Crédito de Vivienda UVR'!$C$27,Seguros_Oblig!$A$3:$B$55,2,FALSE))</f>
        <v>#VALUE!</v>
      </c>
      <c r="K291" s="35">
        <f ca="1">_xlfn.AGGREGATE(9,6,G291:J291)*'Crédito de Vivienda UVR'!$C$19</f>
        <v>0</v>
      </c>
      <c r="L291" s="7" t="e">
        <f ca="1">IF(C290&lt;1,"0",Seguros_Oblig!$K$2*('Crédito de Vivienda UVR'!$C$12*90%))</f>
        <v>#VALUE!</v>
      </c>
      <c r="M291" s="35" t="e">
        <f ca="1">K291+L291+(F291*'Crédito de Vivienda UVR'!$C$19)</f>
        <v>#VALUE!</v>
      </c>
      <c r="N291" s="316"/>
    </row>
    <row r="292" spans="2:14" ht="15.5" x14ac:dyDescent="0.35">
      <c r="B292" s="6" t="e">
        <f t="shared" ca="1" si="14"/>
        <v>#VALUE!</v>
      </c>
      <c r="C292" s="311" t="e">
        <f t="shared" ca="1" si="13"/>
        <v>#VALUE!</v>
      </c>
      <c r="D292" s="311" t="e">
        <f t="shared" ca="1" si="15"/>
        <v>#VALUE!</v>
      </c>
      <c r="E292" s="311" t="e">
        <f ca="1">C291*'Crédito de Vivienda UVR'!$E$17</f>
        <v>#VALUE!</v>
      </c>
      <c r="F292" s="322" t="e">
        <f ca="1">IF(B292=" ",0,PMT('Crédito de Vivienda UVR'!$E$17,'Crédito de Vivienda UVR'!$C$18,-'Crédito de Vivienda UVR'!$C$20,,))</f>
        <v>#VALUE!</v>
      </c>
      <c r="G292" s="320" t="e">
        <f ca="1">C291*(VLOOKUP('Crédito de Vivienda UVR'!$C$24,Seguros_Oblig!$A$3:$B$55,2,FALSE))</f>
        <v>#VALUE!</v>
      </c>
      <c r="H292" s="313" t="e">
        <f ca="1">C291*(VLOOKUP('Crédito de Vivienda UVR'!$C$25,Seguros_Oblig!$A$3:$B$55,2,FALSE))</f>
        <v>#VALUE!</v>
      </c>
      <c r="I292" s="313" t="e">
        <f ca="1">C291*(VLOOKUP('Crédito de Vivienda UVR'!$C$26,Seguros_Oblig!$A$3:$B$55,2,FALSE))</f>
        <v>#VALUE!</v>
      </c>
      <c r="J292" s="313" t="e">
        <f ca="1">C291*(VLOOKUP('Crédito de Vivienda UVR'!$C$27,Seguros_Oblig!$A$3:$B$55,2,FALSE))</f>
        <v>#VALUE!</v>
      </c>
      <c r="K292" s="35">
        <f ca="1">_xlfn.AGGREGATE(9,6,G292:J292)*'Crédito de Vivienda UVR'!$C$19</f>
        <v>0</v>
      </c>
      <c r="L292" s="7" t="e">
        <f ca="1">IF(C291&lt;1,"0",Seguros_Oblig!$K$2*('Crédito de Vivienda UVR'!$C$12*90%))</f>
        <v>#VALUE!</v>
      </c>
      <c r="M292" s="35" t="e">
        <f ca="1">K292+L292+(F292*'Crédito de Vivienda UVR'!$C$19)</f>
        <v>#VALUE!</v>
      </c>
      <c r="N292" s="316"/>
    </row>
    <row r="293" spans="2:14" ht="15.5" x14ac:dyDescent="0.35">
      <c r="B293" s="6" t="e">
        <f t="shared" ca="1" si="14"/>
        <v>#VALUE!</v>
      </c>
      <c r="C293" s="311" t="e">
        <f t="shared" ca="1" si="13"/>
        <v>#VALUE!</v>
      </c>
      <c r="D293" s="311" t="e">
        <f t="shared" ca="1" si="15"/>
        <v>#VALUE!</v>
      </c>
      <c r="E293" s="311" t="e">
        <f ca="1">C292*'Crédito de Vivienda UVR'!$E$17</f>
        <v>#VALUE!</v>
      </c>
      <c r="F293" s="322" t="e">
        <f ca="1">IF(B293=" ",0,PMT('Crédito de Vivienda UVR'!$E$17,'Crédito de Vivienda UVR'!$C$18,-'Crédito de Vivienda UVR'!$C$20,,))</f>
        <v>#VALUE!</v>
      </c>
      <c r="G293" s="320" t="e">
        <f ca="1">C292*(VLOOKUP('Crédito de Vivienda UVR'!$C$24,Seguros_Oblig!$A$3:$B$55,2,FALSE))</f>
        <v>#VALUE!</v>
      </c>
      <c r="H293" s="313" t="e">
        <f ca="1">C292*(VLOOKUP('Crédito de Vivienda UVR'!$C$25,Seguros_Oblig!$A$3:$B$55,2,FALSE))</f>
        <v>#VALUE!</v>
      </c>
      <c r="I293" s="313" t="e">
        <f ca="1">C292*(VLOOKUP('Crédito de Vivienda UVR'!$C$26,Seguros_Oblig!$A$3:$B$55,2,FALSE))</f>
        <v>#VALUE!</v>
      </c>
      <c r="J293" s="313" t="e">
        <f ca="1">C292*(VLOOKUP('Crédito de Vivienda UVR'!$C$27,Seguros_Oblig!$A$3:$B$55,2,FALSE))</f>
        <v>#VALUE!</v>
      </c>
      <c r="K293" s="35">
        <f ca="1">_xlfn.AGGREGATE(9,6,G293:J293)*'Crédito de Vivienda UVR'!$C$19</f>
        <v>0</v>
      </c>
      <c r="L293" s="7" t="e">
        <f ca="1">IF(C292&lt;1,"0",Seguros_Oblig!$K$2*('Crédito de Vivienda UVR'!$C$12*90%))</f>
        <v>#VALUE!</v>
      </c>
      <c r="M293" s="35" t="e">
        <f ca="1">K293+L293+(F293*'Crédito de Vivienda UVR'!$C$19)</f>
        <v>#VALUE!</v>
      </c>
      <c r="N293" s="316"/>
    </row>
    <row r="294" spans="2:14" ht="15.5" x14ac:dyDescent="0.35">
      <c r="B294" s="6" t="e">
        <f t="shared" ca="1" si="14"/>
        <v>#VALUE!</v>
      </c>
      <c r="C294" s="311" t="e">
        <f t="shared" ca="1" si="13"/>
        <v>#VALUE!</v>
      </c>
      <c r="D294" s="311" t="e">
        <f t="shared" ca="1" si="15"/>
        <v>#VALUE!</v>
      </c>
      <c r="E294" s="311" t="e">
        <f ca="1">C293*'Crédito de Vivienda UVR'!$E$17</f>
        <v>#VALUE!</v>
      </c>
      <c r="F294" s="322" t="e">
        <f ca="1">IF(B294=" ",0,PMT('Crédito de Vivienda UVR'!$E$17,'Crédito de Vivienda UVR'!$C$18,-'Crédito de Vivienda UVR'!$C$20,,))</f>
        <v>#VALUE!</v>
      </c>
      <c r="G294" s="320" t="e">
        <f ca="1">C293*(VLOOKUP('Crédito de Vivienda UVR'!$C$24,Seguros_Oblig!$A$3:$B$55,2,FALSE))</f>
        <v>#VALUE!</v>
      </c>
      <c r="H294" s="313" t="e">
        <f ca="1">C293*(VLOOKUP('Crédito de Vivienda UVR'!$C$25,Seguros_Oblig!$A$3:$B$55,2,FALSE))</f>
        <v>#VALUE!</v>
      </c>
      <c r="I294" s="313" t="e">
        <f ca="1">C293*(VLOOKUP('Crédito de Vivienda UVR'!$C$26,Seguros_Oblig!$A$3:$B$55,2,FALSE))</f>
        <v>#VALUE!</v>
      </c>
      <c r="J294" s="313" t="e">
        <f ca="1">C293*(VLOOKUP('Crédito de Vivienda UVR'!$C$27,Seguros_Oblig!$A$3:$B$55,2,FALSE))</f>
        <v>#VALUE!</v>
      </c>
      <c r="K294" s="35">
        <f ca="1">_xlfn.AGGREGATE(9,6,G294:J294)*'Crédito de Vivienda UVR'!$C$19</f>
        <v>0</v>
      </c>
      <c r="L294" s="7" t="e">
        <f ca="1">IF(C293&lt;1,"0",Seguros_Oblig!$K$2*('Crédito de Vivienda UVR'!$C$12*90%))</f>
        <v>#VALUE!</v>
      </c>
      <c r="M294" s="35" t="e">
        <f ca="1">K294+L294+(F294*'Crédito de Vivienda UVR'!$C$19)</f>
        <v>#VALUE!</v>
      </c>
      <c r="N294" s="316"/>
    </row>
    <row r="295" spans="2:14" ht="15.5" x14ac:dyDescent="0.35">
      <c r="B295" s="6" t="e">
        <f t="shared" ca="1" si="14"/>
        <v>#VALUE!</v>
      </c>
      <c r="C295" s="311" t="e">
        <f t="shared" ca="1" si="13"/>
        <v>#VALUE!</v>
      </c>
      <c r="D295" s="311" t="e">
        <f t="shared" ca="1" si="15"/>
        <v>#VALUE!</v>
      </c>
      <c r="E295" s="311" t="e">
        <f ca="1">C294*'Crédito de Vivienda UVR'!$E$17</f>
        <v>#VALUE!</v>
      </c>
      <c r="F295" s="322" t="e">
        <f ca="1">IF(B295=" ",0,PMT('Crédito de Vivienda UVR'!$E$17,'Crédito de Vivienda UVR'!$C$18,-'Crédito de Vivienda UVR'!$C$20,,))</f>
        <v>#VALUE!</v>
      </c>
      <c r="G295" s="320" t="e">
        <f ca="1">C294*(VLOOKUP('Crédito de Vivienda UVR'!$C$24,Seguros_Oblig!$A$3:$B$55,2,FALSE))</f>
        <v>#VALUE!</v>
      </c>
      <c r="H295" s="313" t="e">
        <f ca="1">C294*(VLOOKUP('Crédito de Vivienda UVR'!$C$25,Seguros_Oblig!$A$3:$B$55,2,FALSE))</f>
        <v>#VALUE!</v>
      </c>
      <c r="I295" s="313" t="e">
        <f ca="1">C294*(VLOOKUP('Crédito de Vivienda UVR'!$C$26,Seguros_Oblig!$A$3:$B$55,2,FALSE))</f>
        <v>#VALUE!</v>
      </c>
      <c r="J295" s="313" t="e">
        <f ca="1">C294*(VLOOKUP('Crédito de Vivienda UVR'!$C$27,Seguros_Oblig!$A$3:$B$55,2,FALSE))</f>
        <v>#VALUE!</v>
      </c>
      <c r="K295" s="35">
        <f ca="1">_xlfn.AGGREGATE(9,6,G295:J295)*'Crédito de Vivienda UVR'!$C$19</f>
        <v>0</v>
      </c>
      <c r="L295" s="7" t="e">
        <f ca="1">IF(C294&lt;1,"0",Seguros_Oblig!$K$2*('Crédito de Vivienda UVR'!$C$12*90%))</f>
        <v>#VALUE!</v>
      </c>
      <c r="M295" s="35" t="e">
        <f ca="1">K295+L295+(F295*'Crédito de Vivienda UVR'!$C$19)</f>
        <v>#VALUE!</v>
      </c>
      <c r="N295" s="316"/>
    </row>
    <row r="296" spans="2:14" ht="15.5" x14ac:dyDescent="0.35">
      <c r="B296" s="6" t="e">
        <f t="shared" ca="1" si="14"/>
        <v>#VALUE!</v>
      </c>
      <c r="C296" s="311" t="e">
        <f t="shared" ca="1" si="13"/>
        <v>#VALUE!</v>
      </c>
      <c r="D296" s="311" t="e">
        <f t="shared" ca="1" si="15"/>
        <v>#VALUE!</v>
      </c>
      <c r="E296" s="311" t="e">
        <f ca="1">C295*'Crédito de Vivienda UVR'!$E$17</f>
        <v>#VALUE!</v>
      </c>
      <c r="F296" s="322" t="e">
        <f ca="1">IF(B296=" ",0,PMT('Crédito de Vivienda UVR'!$E$17,'Crédito de Vivienda UVR'!$C$18,-'Crédito de Vivienda UVR'!$C$20,,))</f>
        <v>#VALUE!</v>
      </c>
      <c r="G296" s="320" t="e">
        <f ca="1">C295*(VLOOKUP('Crédito de Vivienda UVR'!$C$24,Seguros_Oblig!$A$3:$B$55,2,FALSE))</f>
        <v>#VALUE!</v>
      </c>
      <c r="H296" s="313" t="e">
        <f ca="1">C295*(VLOOKUP('Crédito de Vivienda UVR'!$C$25,Seguros_Oblig!$A$3:$B$55,2,FALSE))</f>
        <v>#VALUE!</v>
      </c>
      <c r="I296" s="313" t="e">
        <f ca="1">C295*(VLOOKUP('Crédito de Vivienda UVR'!$C$26,Seguros_Oblig!$A$3:$B$55,2,FALSE))</f>
        <v>#VALUE!</v>
      </c>
      <c r="J296" s="313" t="e">
        <f ca="1">C295*(VLOOKUP('Crédito de Vivienda UVR'!$C$27,Seguros_Oblig!$A$3:$B$55,2,FALSE))</f>
        <v>#VALUE!</v>
      </c>
      <c r="K296" s="35">
        <f ca="1">_xlfn.AGGREGATE(9,6,G296:J296)*'Crédito de Vivienda UVR'!$C$19</f>
        <v>0</v>
      </c>
      <c r="L296" s="7" t="e">
        <f ca="1">IF(C295&lt;1,"0",Seguros_Oblig!$K$2*('Crédito de Vivienda UVR'!$C$12*90%))</f>
        <v>#VALUE!</v>
      </c>
      <c r="M296" s="35" t="e">
        <f ca="1">K296+L296+(F296*'Crédito de Vivienda UVR'!$C$19)</f>
        <v>#VALUE!</v>
      </c>
      <c r="N296" s="316"/>
    </row>
    <row r="297" spans="2:14" ht="15.5" x14ac:dyDescent="0.35">
      <c r="B297" s="6" t="e">
        <f t="shared" ca="1" si="14"/>
        <v>#VALUE!</v>
      </c>
      <c r="C297" s="311" t="e">
        <f t="shared" ca="1" si="13"/>
        <v>#VALUE!</v>
      </c>
      <c r="D297" s="311" t="e">
        <f t="shared" ca="1" si="15"/>
        <v>#VALUE!</v>
      </c>
      <c r="E297" s="311" t="e">
        <f ca="1">C296*'Crédito de Vivienda UVR'!$E$17</f>
        <v>#VALUE!</v>
      </c>
      <c r="F297" s="322" t="e">
        <f ca="1">IF(B297=" ",0,PMT('Crédito de Vivienda UVR'!$E$17,'Crédito de Vivienda UVR'!$C$18,-'Crédito de Vivienda UVR'!$C$20,,))</f>
        <v>#VALUE!</v>
      </c>
      <c r="G297" s="320" t="e">
        <f ca="1">C296*(VLOOKUP('Crédito de Vivienda UVR'!$C$24,Seguros_Oblig!$A$3:$B$55,2,FALSE))</f>
        <v>#VALUE!</v>
      </c>
      <c r="H297" s="313" t="e">
        <f ca="1">C296*(VLOOKUP('Crédito de Vivienda UVR'!$C$25,Seguros_Oblig!$A$3:$B$55,2,FALSE))</f>
        <v>#VALUE!</v>
      </c>
      <c r="I297" s="313" t="e">
        <f ca="1">C296*(VLOOKUP('Crédito de Vivienda UVR'!$C$26,Seguros_Oblig!$A$3:$B$55,2,FALSE))</f>
        <v>#VALUE!</v>
      </c>
      <c r="J297" s="313" t="e">
        <f ca="1">C296*(VLOOKUP('Crédito de Vivienda UVR'!$C$27,Seguros_Oblig!$A$3:$B$55,2,FALSE))</f>
        <v>#VALUE!</v>
      </c>
      <c r="K297" s="35">
        <f ca="1">_xlfn.AGGREGATE(9,6,G297:J297)*'Crédito de Vivienda UVR'!$C$19</f>
        <v>0</v>
      </c>
      <c r="L297" s="7" t="e">
        <f ca="1">IF(C296&lt;1,"0",Seguros_Oblig!$K$2*('Crédito de Vivienda UVR'!$C$12*90%))</f>
        <v>#VALUE!</v>
      </c>
      <c r="M297" s="35" t="e">
        <f ca="1">K297+L297+(F297*'Crédito de Vivienda UVR'!$C$19)</f>
        <v>#VALUE!</v>
      </c>
      <c r="N297" s="316"/>
    </row>
    <row r="298" spans="2:14" ht="15.5" x14ac:dyDescent="0.35">
      <c r="B298" s="6" t="e">
        <f t="shared" ca="1" si="14"/>
        <v>#VALUE!</v>
      </c>
      <c r="C298" s="311" t="e">
        <f t="shared" ca="1" si="13"/>
        <v>#VALUE!</v>
      </c>
      <c r="D298" s="311" t="e">
        <f t="shared" ca="1" si="15"/>
        <v>#VALUE!</v>
      </c>
      <c r="E298" s="311" t="e">
        <f ca="1">C297*'Crédito de Vivienda UVR'!$E$17</f>
        <v>#VALUE!</v>
      </c>
      <c r="F298" s="322" t="e">
        <f ca="1">IF(B298=" ",0,PMT('Crédito de Vivienda UVR'!$E$17,'Crédito de Vivienda UVR'!$C$18,-'Crédito de Vivienda UVR'!$C$20,,))</f>
        <v>#VALUE!</v>
      </c>
      <c r="G298" s="320" t="e">
        <f ca="1">C297*(VLOOKUP('Crédito de Vivienda UVR'!$C$24,Seguros_Oblig!$A$3:$B$55,2,FALSE))</f>
        <v>#VALUE!</v>
      </c>
      <c r="H298" s="313" t="e">
        <f ca="1">C297*(VLOOKUP('Crédito de Vivienda UVR'!$C$25,Seguros_Oblig!$A$3:$B$55,2,FALSE))</f>
        <v>#VALUE!</v>
      </c>
      <c r="I298" s="313" t="e">
        <f ca="1">C297*(VLOOKUP('Crédito de Vivienda UVR'!$C$26,Seguros_Oblig!$A$3:$B$55,2,FALSE))</f>
        <v>#VALUE!</v>
      </c>
      <c r="J298" s="313" t="e">
        <f ca="1">C297*(VLOOKUP('Crédito de Vivienda UVR'!$C$27,Seguros_Oblig!$A$3:$B$55,2,FALSE))</f>
        <v>#VALUE!</v>
      </c>
      <c r="K298" s="35">
        <f ca="1">_xlfn.AGGREGATE(9,6,G298:J298)*'Crédito de Vivienda UVR'!$C$19</f>
        <v>0</v>
      </c>
      <c r="L298" s="7" t="e">
        <f ca="1">IF(C297&lt;1,"0",Seguros_Oblig!$K$2*('Crédito de Vivienda UVR'!$C$12*90%))</f>
        <v>#VALUE!</v>
      </c>
      <c r="M298" s="35" t="e">
        <f ca="1">K298+L298+(F298*'Crédito de Vivienda UVR'!$C$19)</f>
        <v>#VALUE!</v>
      </c>
      <c r="N298" s="316"/>
    </row>
    <row r="299" spans="2:14" ht="15.5" x14ac:dyDescent="0.35">
      <c r="B299" s="6" t="e">
        <f t="shared" ca="1" si="14"/>
        <v>#VALUE!</v>
      </c>
      <c r="C299" s="311" t="e">
        <f t="shared" ca="1" si="13"/>
        <v>#VALUE!</v>
      </c>
      <c r="D299" s="311" t="e">
        <f t="shared" ca="1" si="15"/>
        <v>#VALUE!</v>
      </c>
      <c r="E299" s="311" t="e">
        <f ca="1">C298*'Crédito de Vivienda UVR'!$E$17</f>
        <v>#VALUE!</v>
      </c>
      <c r="F299" s="322" t="e">
        <f ca="1">IF(B299=" ",0,PMT('Crédito de Vivienda UVR'!$E$17,'Crédito de Vivienda UVR'!$C$18,-'Crédito de Vivienda UVR'!$C$20,,))</f>
        <v>#VALUE!</v>
      </c>
      <c r="G299" s="320" t="e">
        <f ca="1">C298*(VLOOKUP('Crédito de Vivienda UVR'!$C$24,Seguros_Oblig!$A$3:$B$55,2,FALSE))</f>
        <v>#VALUE!</v>
      </c>
      <c r="H299" s="313" t="e">
        <f ca="1">C298*(VLOOKUP('Crédito de Vivienda UVR'!$C$25,Seguros_Oblig!$A$3:$B$55,2,FALSE))</f>
        <v>#VALUE!</v>
      </c>
      <c r="I299" s="313" t="e">
        <f ca="1">C298*(VLOOKUP('Crédito de Vivienda UVR'!$C$26,Seguros_Oblig!$A$3:$B$55,2,FALSE))</f>
        <v>#VALUE!</v>
      </c>
      <c r="J299" s="313" t="e">
        <f ca="1">C298*(VLOOKUP('Crédito de Vivienda UVR'!$C$27,Seguros_Oblig!$A$3:$B$55,2,FALSE))</f>
        <v>#VALUE!</v>
      </c>
      <c r="K299" s="35">
        <f ca="1">_xlfn.AGGREGATE(9,6,G299:J299)*'Crédito de Vivienda UVR'!$C$19</f>
        <v>0</v>
      </c>
      <c r="L299" s="7" t="e">
        <f ca="1">IF(C298&lt;1,"0",Seguros_Oblig!$K$2*('Crédito de Vivienda UVR'!$C$12*90%))</f>
        <v>#VALUE!</v>
      </c>
      <c r="M299" s="35" t="e">
        <f ca="1">K299+L299+(F299*'Crédito de Vivienda UVR'!$C$19)</f>
        <v>#VALUE!</v>
      </c>
      <c r="N299" s="316"/>
    </row>
    <row r="300" spans="2:14" ht="15.5" x14ac:dyDescent="0.35">
      <c r="B300" s="6" t="e">
        <f t="shared" ca="1" si="14"/>
        <v>#VALUE!</v>
      </c>
      <c r="C300" s="311" t="e">
        <f t="shared" ca="1" si="13"/>
        <v>#VALUE!</v>
      </c>
      <c r="D300" s="311" t="e">
        <f t="shared" ca="1" si="15"/>
        <v>#VALUE!</v>
      </c>
      <c r="E300" s="311" t="e">
        <f ca="1">C299*'Crédito de Vivienda UVR'!$E$17</f>
        <v>#VALUE!</v>
      </c>
      <c r="F300" s="322" t="e">
        <f ca="1">IF(B300=" ",0,PMT('Crédito de Vivienda UVR'!$E$17,'Crédito de Vivienda UVR'!$C$18,-'Crédito de Vivienda UVR'!$C$20,,))</f>
        <v>#VALUE!</v>
      </c>
      <c r="G300" s="320" t="e">
        <f ca="1">C299*(VLOOKUP('Crédito de Vivienda UVR'!$C$24,Seguros_Oblig!$A$3:$B$55,2,FALSE))</f>
        <v>#VALUE!</v>
      </c>
      <c r="H300" s="313" t="e">
        <f ca="1">C299*(VLOOKUP('Crédito de Vivienda UVR'!$C$25,Seguros_Oblig!$A$3:$B$55,2,FALSE))</f>
        <v>#VALUE!</v>
      </c>
      <c r="I300" s="313" t="e">
        <f ca="1">C299*(VLOOKUP('Crédito de Vivienda UVR'!$C$26,Seguros_Oblig!$A$3:$B$55,2,FALSE))</f>
        <v>#VALUE!</v>
      </c>
      <c r="J300" s="313" t="e">
        <f ca="1">C299*(VLOOKUP('Crédito de Vivienda UVR'!$C$27,Seguros_Oblig!$A$3:$B$55,2,FALSE))</f>
        <v>#VALUE!</v>
      </c>
      <c r="K300" s="35">
        <f ca="1">_xlfn.AGGREGATE(9,6,G300:J300)*'Crédito de Vivienda UVR'!$C$19</f>
        <v>0</v>
      </c>
      <c r="L300" s="7" t="e">
        <f ca="1">IF(C299&lt;1,"0",Seguros_Oblig!$K$2*('Crédito de Vivienda UVR'!$C$12*90%))</f>
        <v>#VALUE!</v>
      </c>
      <c r="M300" s="35" t="e">
        <f ca="1">K300+L300+(F300*'Crédito de Vivienda UVR'!$C$19)</f>
        <v>#VALUE!</v>
      </c>
      <c r="N300" s="316"/>
    </row>
    <row r="301" spans="2:14" ht="15.5" x14ac:dyDescent="0.35">
      <c r="B301" s="6" t="e">
        <f t="shared" ca="1" si="14"/>
        <v>#VALUE!</v>
      </c>
      <c r="C301" s="311" t="e">
        <f t="shared" ca="1" si="13"/>
        <v>#VALUE!</v>
      </c>
      <c r="D301" s="311" t="e">
        <f t="shared" ca="1" si="15"/>
        <v>#VALUE!</v>
      </c>
      <c r="E301" s="311" t="e">
        <f ca="1">C300*'Crédito de Vivienda UVR'!$E$17</f>
        <v>#VALUE!</v>
      </c>
      <c r="F301" s="322" t="e">
        <f ca="1">IF(B301=" ",0,PMT('Crédito de Vivienda UVR'!$E$17,'Crédito de Vivienda UVR'!$C$18,-'Crédito de Vivienda UVR'!$C$20,,))</f>
        <v>#VALUE!</v>
      </c>
      <c r="G301" s="320" t="e">
        <f ca="1">C300*(VLOOKUP('Crédito de Vivienda UVR'!$C$24,Seguros_Oblig!$A$3:$B$55,2,FALSE))</f>
        <v>#VALUE!</v>
      </c>
      <c r="H301" s="313" t="e">
        <f ca="1">C300*(VLOOKUP('Crédito de Vivienda UVR'!$C$25,Seguros_Oblig!$A$3:$B$55,2,FALSE))</f>
        <v>#VALUE!</v>
      </c>
      <c r="I301" s="313" t="e">
        <f ca="1">C300*(VLOOKUP('Crédito de Vivienda UVR'!$C$26,Seguros_Oblig!$A$3:$B$55,2,FALSE))</f>
        <v>#VALUE!</v>
      </c>
      <c r="J301" s="313" t="e">
        <f ca="1">C300*(VLOOKUP('Crédito de Vivienda UVR'!$C$27,Seguros_Oblig!$A$3:$B$55,2,FALSE))</f>
        <v>#VALUE!</v>
      </c>
      <c r="K301" s="35">
        <f ca="1">_xlfn.AGGREGATE(9,6,G301:J301)*'Crédito de Vivienda UVR'!$C$19</f>
        <v>0</v>
      </c>
      <c r="L301" s="7" t="e">
        <f ca="1">IF(C300&lt;1,"0",Seguros_Oblig!$K$2*('Crédito de Vivienda UVR'!$C$12*90%))</f>
        <v>#VALUE!</v>
      </c>
      <c r="M301" s="35" t="e">
        <f ca="1">K301+L301+(F301*'Crédito de Vivienda UVR'!$C$19)</f>
        <v>#VALUE!</v>
      </c>
      <c r="N301" s="316"/>
    </row>
    <row r="302" spans="2:14" ht="15.5" x14ac:dyDescent="0.35">
      <c r="B302" s="6" t="e">
        <f t="shared" ca="1" si="14"/>
        <v>#VALUE!</v>
      </c>
      <c r="C302" s="311" t="e">
        <f t="shared" ca="1" si="13"/>
        <v>#VALUE!</v>
      </c>
      <c r="D302" s="311" t="e">
        <f t="shared" ca="1" si="15"/>
        <v>#VALUE!</v>
      </c>
      <c r="E302" s="311" t="e">
        <f ca="1">C301*'Crédito de Vivienda UVR'!$E$17</f>
        <v>#VALUE!</v>
      </c>
      <c r="F302" s="322" t="e">
        <f ca="1">IF(B302=" ",0,PMT('Crédito de Vivienda UVR'!$E$17,'Crédito de Vivienda UVR'!$C$18,-'Crédito de Vivienda UVR'!$C$20,,))</f>
        <v>#VALUE!</v>
      </c>
      <c r="G302" s="320" t="e">
        <f ca="1">C301*(VLOOKUP('Crédito de Vivienda UVR'!$C$24,Seguros_Oblig!$A$3:$B$55,2,FALSE))</f>
        <v>#VALUE!</v>
      </c>
      <c r="H302" s="313" t="e">
        <f ca="1">C301*(VLOOKUP('Crédito de Vivienda UVR'!$C$25,Seguros_Oblig!$A$3:$B$55,2,FALSE))</f>
        <v>#VALUE!</v>
      </c>
      <c r="I302" s="313" t="e">
        <f ca="1">C301*(VLOOKUP('Crédito de Vivienda UVR'!$C$26,Seguros_Oblig!$A$3:$B$55,2,FALSE))</f>
        <v>#VALUE!</v>
      </c>
      <c r="J302" s="313" t="e">
        <f ca="1">C301*(VLOOKUP('Crédito de Vivienda UVR'!$C$27,Seguros_Oblig!$A$3:$B$55,2,FALSE))</f>
        <v>#VALUE!</v>
      </c>
      <c r="K302" s="35">
        <f ca="1">_xlfn.AGGREGATE(9,6,G302:J302)*'Crédito de Vivienda UVR'!$C$19</f>
        <v>0</v>
      </c>
      <c r="L302" s="7" t="e">
        <f ca="1">IF(C301&lt;1,"0",Seguros_Oblig!$K$2*('Crédito de Vivienda UVR'!$C$12*90%))</f>
        <v>#VALUE!</v>
      </c>
      <c r="M302" s="35" t="e">
        <f ca="1">K302+L302+(F302*'Crédito de Vivienda UVR'!$C$19)</f>
        <v>#VALUE!</v>
      </c>
      <c r="N302" s="316"/>
    </row>
    <row r="303" spans="2:14" ht="15.5" x14ac:dyDescent="0.35">
      <c r="B303" s="6" t="e">
        <f t="shared" ca="1" si="14"/>
        <v>#VALUE!</v>
      </c>
      <c r="C303" s="311" t="e">
        <f t="shared" ca="1" si="13"/>
        <v>#VALUE!</v>
      </c>
      <c r="D303" s="311" t="e">
        <f t="shared" ca="1" si="15"/>
        <v>#VALUE!</v>
      </c>
      <c r="E303" s="311" t="e">
        <f ca="1">C302*'Crédito de Vivienda UVR'!$E$17</f>
        <v>#VALUE!</v>
      </c>
      <c r="F303" s="322" t="e">
        <f ca="1">IF(B303=" ",0,PMT('Crédito de Vivienda UVR'!$E$17,'Crédito de Vivienda UVR'!$C$18,-'Crédito de Vivienda UVR'!$C$20,,))</f>
        <v>#VALUE!</v>
      </c>
      <c r="G303" s="320" t="e">
        <f ca="1">C302*(VLOOKUP('Crédito de Vivienda UVR'!$C$24,Seguros_Oblig!$A$3:$B$55,2,FALSE))</f>
        <v>#VALUE!</v>
      </c>
      <c r="H303" s="313" t="e">
        <f ca="1">C302*(VLOOKUP('Crédito de Vivienda UVR'!$C$25,Seguros_Oblig!$A$3:$B$55,2,FALSE))</f>
        <v>#VALUE!</v>
      </c>
      <c r="I303" s="313" t="e">
        <f ca="1">C302*(VLOOKUP('Crédito de Vivienda UVR'!$C$26,Seguros_Oblig!$A$3:$B$55,2,FALSE))</f>
        <v>#VALUE!</v>
      </c>
      <c r="J303" s="313" t="e">
        <f ca="1">C302*(VLOOKUP('Crédito de Vivienda UVR'!$C$27,Seguros_Oblig!$A$3:$B$55,2,FALSE))</f>
        <v>#VALUE!</v>
      </c>
      <c r="K303" s="35">
        <f ca="1">_xlfn.AGGREGATE(9,6,G303:J303)*'Crédito de Vivienda UVR'!$C$19</f>
        <v>0</v>
      </c>
      <c r="L303" s="7" t="e">
        <f ca="1">IF(C302&lt;1,"0",Seguros_Oblig!$K$2*('Crédito de Vivienda UVR'!$C$12*90%))</f>
        <v>#VALUE!</v>
      </c>
      <c r="M303" s="35" t="e">
        <f ca="1">K303+L303+(F303*'Crédito de Vivienda UVR'!$C$19)</f>
        <v>#VALUE!</v>
      </c>
      <c r="N303" s="316"/>
    </row>
    <row r="304" spans="2:14" ht="15.5" x14ac:dyDescent="0.35">
      <c r="B304" s="6" t="e">
        <f t="shared" ca="1" si="14"/>
        <v>#VALUE!</v>
      </c>
      <c r="C304" s="311" t="e">
        <f t="shared" ca="1" si="13"/>
        <v>#VALUE!</v>
      </c>
      <c r="D304" s="311" t="e">
        <f t="shared" ca="1" si="15"/>
        <v>#VALUE!</v>
      </c>
      <c r="E304" s="311" t="e">
        <f ca="1">C303*'Crédito de Vivienda UVR'!$E$17</f>
        <v>#VALUE!</v>
      </c>
      <c r="F304" s="322" t="e">
        <f ca="1">IF(B304=" ",0,PMT('Crédito de Vivienda UVR'!$E$17,'Crédito de Vivienda UVR'!$C$18,-'Crédito de Vivienda UVR'!$C$20,,))</f>
        <v>#VALUE!</v>
      </c>
      <c r="G304" s="320" t="e">
        <f ca="1">C303*(VLOOKUP('Crédito de Vivienda UVR'!$C$24,Seguros_Oblig!$A$3:$B$55,2,FALSE))</f>
        <v>#VALUE!</v>
      </c>
      <c r="H304" s="313" t="e">
        <f ca="1">C303*(VLOOKUP('Crédito de Vivienda UVR'!$C$25,Seguros_Oblig!$A$3:$B$55,2,FALSE))</f>
        <v>#VALUE!</v>
      </c>
      <c r="I304" s="313" t="e">
        <f ca="1">C303*(VLOOKUP('Crédito de Vivienda UVR'!$C$26,Seguros_Oblig!$A$3:$B$55,2,FALSE))</f>
        <v>#VALUE!</v>
      </c>
      <c r="J304" s="313" t="e">
        <f ca="1">C303*(VLOOKUP('Crédito de Vivienda UVR'!$C$27,Seguros_Oblig!$A$3:$B$55,2,FALSE))</f>
        <v>#VALUE!</v>
      </c>
      <c r="K304" s="35">
        <f ca="1">_xlfn.AGGREGATE(9,6,G304:J304)*'Crédito de Vivienda UVR'!$C$19</f>
        <v>0</v>
      </c>
      <c r="L304" s="7" t="e">
        <f ca="1">IF(C303&lt;1,"0",Seguros_Oblig!$K$2*('Crédito de Vivienda UVR'!$C$12*90%))</f>
        <v>#VALUE!</v>
      </c>
      <c r="M304" s="35" t="e">
        <f ca="1">K304+L304+(F304*'Crédito de Vivienda UVR'!$C$19)</f>
        <v>#VALUE!</v>
      </c>
      <c r="N304" s="316"/>
    </row>
    <row r="305" spans="2:14" ht="15.5" x14ac:dyDescent="0.35">
      <c r="B305" s="6" t="e">
        <f t="shared" ca="1" si="14"/>
        <v>#VALUE!</v>
      </c>
      <c r="C305" s="311" t="e">
        <f t="shared" ca="1" si="13"/>
        <v>#VALUE!</v>
      </c>
      <c r="D305" s="311" t="e">
        <f t="shared" ca="1" si="15"/>
        <v>#VALUE!</v>
      </c>
      <c r="E305" s="311" t="e">
        <f ca="1">C304*'Crédito de Vivienda UVR'!$E$17</f>
        <v>#VALUE!</v>
      </c>
      <c r="F305" s="322" t="e">
        <f ca="1">IF(B305=" ",0,PMT('Crédito de Vivienda UVR'!$E$17,'Crédito de Vivienda UVR'!$C$18,-'Crédito de Vivienda UVR'!$C$20,,))</f>
        <v>#VALUE!</v>
      </c>
      <c r="G305" s="320" t="e">
        <f ca="1">C304*(VLOOKUP('Crédito de Vivienda UVR'!$C$24,Seguros_Oblig!$A$3:$B$55,2,FALSE))</f>
        <v>#VALUE!</v>
      </c>
      <c r="H305" s="313" t="e">
        <f ca="1">C304*(VLOOKUP('Crédito de Vivienda UVR'!$C$25,Seguros_Oblig!$A$3:$B$55,2,FALSE))</f>
        <v>#VALUE!</v>
      </c>
      <c r="I305" s="313" t="e">
        <f ca="1">C304*(VLOOKUP('Crédito de Vivienda UVR'!$C$26,Seguros_Oblig!$A$3:$B$55,2,FALSE))</f>
        <v>#VALUE!</v>
      </c>
      <c r="J305" s="313" t="e">
        <f ca="1">C304*(VLOOKUP('Crédito de Vivienda UVR'!$C$27,Seguros_Oblig!$A$3:$B$55,2,FALSE))</f>
        <v>#VALUE!</v>
      </c>
      <c r="K305" s="35">
        <f ca="1">_xlfn.AGGREGATE(9,6,G305:J305)*'Crédito de Vivienda UVR'!$C$19</f>
        <v>0</v>
      </c>
      <c r="L305" s="7" t="e">
        <f ca="1">IF(C304&lt;1,"0",Seguros_Oblig!$K$2*('Crédito de Vivienda UVR'!$C$12*90%))</f>
        <v>#VALUE!</v>
      </c>
      <c r="M305" s="35" t="e">
        <f ca="1">K305+L305+(F305*'Crédito de Vivienda UVR'!$C$19)</f>
        <v>#VALUE!</v>
      </c>
      <c r="N305" s="316"/>
    </row>
    <row r="306" spans="2:14" ht="15.5" x14ac:dyDescent="0.35">
      <c r="B306" s="6" t="e">
        <f t="shared" ca="1" si="14"/>
        <v>#VALUE!</v>
      </c>
      <c r="C306" s="311" t="e">
        <f t="shared" ca="1" si="13"/>
        <v>#VALUE!</v>
      </c>
      <c r="D306" s="311" t="e">
        <f t="shared" ca="1" si="15"/>
        <v>#VALUE!</v>
      </c>
      <c r="E306" s="311" t="e">
        <f ca="1">C305*'Crédito de Vivienda UVR'!$E$17</f>
        <v>#VALUE!</v>
      </c>
      <c r="F306" s="322" t="e">
        <f ca="1">IF(B306=" ",0,PMT('Crédito de Vivienda UVR'!$E$17,'Crédito de Vivienda UVR'!$C$18,-'Crédito de Vivienda UVR'!$C$20,,))</f>
        <v>#VALUE!</v>
      </c>
      <c r="G306" s="320" t="e">
        <f ca="1">C305*(VLOOKUP('Crédito de Vivienda UVR'!$C$24,Seguros_Oblig!$A$3:$B$55,2,FALSE))</f>
        <v>#VALUE!</v>
      </c>
      <c r="H306" s="313" t="e">
        <f ca="1">C305*(VLOOKUP('Crédito de Vivienda UVR'!$C$25,Seguros_Oblig!$A$3:$B$55,2,FALSE))</f>
        <v>#VALUE!</v>
      </c>
      <c r="I306" s="313" t="e">
        <f ca="1">C305*(VLOOKUP('Crédito de Vivienda UVR'!$C$26,Seguros_Oblig!$A$3:$B$55,2,FALSE))</f>
        <v>#VALUE!</v>
      </c>
      <c r="J306" s="313" t="e">
        <f ca="1">C305*(VLOOKUP('Crédito de Vivienda UVR'!$C$27,Seguros_Oblig!$A$3:$B$55,2,FALSE))</f>
        <v>#VALUE!</v>
      </c>
      <c r="K306" s="35">
        <f ca="1">_xlfn.AGGREGATE(9,6,G306:J306)*'Crédito de Vivienda UVR'!$C$19</f>
        <v>0</v>
      </c>
      <c r="L306" s="7" t="e">
        <f ca="1">IF(C305&lt;1,"0",Seguros_Oblig!$K$2*('Crédito de Vivienda UVR'!$C$12*90%))</f>
        <v>#VALUE!</v>
      </c>
      <c r="M306" s="35" t="e">
        <f ca="1">K306+L306+(F306*'Crédito de Vivienda UVR'!$C$19)</f>
        <v>#VALUE!</v>
      </c>
      <c r="N306" s="316"/>
    </row>
    <row r="307" spans="2:14" ht="15.5" x14ac:dyDescent="0.35">
      <c r="B307" s="6" t="e">
        <f t="shared" ca="1" si="14"/>
        <v>#VALUE!</v>
      </c>
      <c r="C307" s="311" t="e">
        <f t="shared" ca="1" si="13"/>
        <v>#VALUE!</v>
      </c>
      <c r="D307" s="311" t="e">
        <f t="shared" ca="1" si="15"/>
        <v>#VALUE!</v>
      </c>
      <c r="E307" s="311" t="e">
        <f ca="1">C306*'Crédito de Vivienda UVR'!$E$17</f>
        <v>#VALUE!</v>
      </c>
      <c r="F307" s="322" t="e">
        <f ca="1">IF(B307=" ",0,PMT('Crédito de Vivienda UVR'!$E$17,'Crédito de Vivienda UVR'!$C$18,-'Crédito de Vivienda UVR'!$C$20,,))</f>
        <v>#VALUE!</v>
      </c>
      <c r="G307" s="320" t="e">
        <f ca="1">C306*(VLOOKUP('Crédito de Vivienda UVR'!$C$24,Seguros_Oblig!$A$3:$B$55,2,FALSE))</f>
        <v>#VALUE!</v>
      </c>
      <c r="H307" s="313" t="e">
        <f ca="1">C306*(VLOOKUP('Crédito de Vivienda UVR'!$C$25,Seguros_Oblig!$A$3:$B$55,2,FALSE))</f>
        <v>#VALUE!</v>
      </c>
      <c r="I307" s="313" t="e">
        <f ca="1">C306*(VLOOKUP('Crédito de Vivienda UVR'!$C$26,Seguros_Oblig!$A$3:$B$55,2,FALSE))</f>
        <v>#VALUE!</v>
      </c>
      <c r="J307" s="313" t="e">
        <f ca="1">C306*(VLOOKUP('Crédito de Vivienda UVR'!$C$27,Seguros_Oblig!$A$3:$B$55,2,FALSE))</f>
        <v>#VALUE!</v>
      </c>
      <c r="K307" s="35">
        <f ca="1">_xlfn.AGGREGATE(9,6,G307:J307)*'Crédito de Vivienda UVR'!$C$19</f>
        <v>0</v>
      </c>
      <c r="L307" s="7" t="e">
        <f ca="1">IF(C306&lt;1,"0",Seguros_Oblig!$K$2*('Crédito de Vivienda UVR'!$C$12*90%))</f>
        <v>#VALUE!</v>
      </c>
      <c r="M307" s="35" t="e">
        <f ca="1">K307+L307+(F307*'Crédito de Vivienda UVR'!$C$19)</f>
        <v>#VALUE!</v>
      </c>
      <c r="N307" s="316"/>
    </row>
    <row r="308" spans="2:14" ht="15.5" x14ac:dyDescent="0.35">
      <c r="B308" s="6" t="e">
        <f t="shared" ca="1" si="14"/>
        <v>#VALUE!</v>
      </c>
      <c r="C308" s="311" t="e">
        <f t="shared" ca="1" si="13"/>
        <v>#VALUE!</v>
      </c>
      <c r="D308" s="311" t="e">
        <f t="shared" ca="1" si="15"/>
        <v>#VALUE!</v>
      </c>
      <c r="E308" s="311" t="e">
        <f ca="1">C307*'Crédito de Vivienda UVR'!$E$17</f>
        <v>#VALUE!</v>
      </c>
      <c r="F308" s="322" t="e">
        <f ca="1">IF(B308=" ",0,PMT('Crédito de Vivienda UVR'!$E$17,'Crédito de Vivienda UVR'!$C$18,-'Crédito de Vivienda UVR'!$C$20,,))</f>
        <v>#VALUE!</v>
      </c>
      <c r="G308" s="320" t="e">
        <f ca="1">C307*(VLOOKUP('Crédito de Vivienda UVR'!$C$24,Seguros_Oblig!$A$3:$B$55,2,FALSE))</f>
        <v>#VALUE!</v>
      </c>
      <c r="H308" s="313" t="e">
        <f ca="1">C307*(VLOOKUP('Crédito de Vivienda UVR'!$C$25,Seguros_Oblig!$A$3:$B$55,2,FALSE))</f>
        <v>#VALUE!</v>
      </c>
      <c r="I308" s="313" t="e">
        <f ca="1">C307*(VLOOKUP('Crédito de Vivienda UVR'!$C$26,Seguros_Oblig!$A$3:$B$55,2,FALSE))</f>
        <v>#VALUE!</v>
      </c>
      <c r="J308" s="313" t="e">
        <f ca="1">C307*(VLOOKUP('Crédito de Vivienda UVR'!$C$27,Seguros_Oblig!$A$3:$B$55,2,FALSE))</f>
        <v>#VALUE!</v>
      </c>
      <c r="K308" s="35">
        <f ca="1">_xlfn.AGGREGATE(9,6,G308:J308)*'Crédito de Vivienda UVR'!$C$19</f>
        <v>0</v>
      </c>
      <c r="L308" s="7" t="e">
        <f ca="1">IF(C307&lt;1,"0",Seguros_Oblig!$K$2*('Crédito de Vivienda UVR'!$C$12*90%))</f>
        <v>#VALUE!</v>
      </c>
      <c r="M308" s="35" t="e">
        <f ca="1">K308+L308+(F308*'Crédito de Vivienda UVR'!$C$19)</f>
        <v>#VALUE!</v>
      </c>
      <c r="N308" s="316"/>
    </row>
    <row r="309" spans="2:14" ht="15.5" x14ac:dyDescent="0.35">
      <c r="B309" s="6" t="e">
        <f t="shared" ca="1" si="14"/>
        <v>#VALUE!</v>
      </c>
      <c r="C309" s="311" t="e">
        <f t="shared" ca="1" si="13"/>
        <v>#VALUE!</v>
      </c>
      <c r="D309" s="311" t="e">
        <f t="shared" ca="1" si="15"/>
        <v>#VALUE!</v>
      </c>
      <c r="E309" s="311" t="e">
        <f ca="1">C308*'Crédito de Vivienda UVR'!$E$17</f>
        <v>#VALUE!</v>
      </c>
      <c r="F309" s="322" t="e">
        <f ca="1">IF(B309=" ",0,PMT('Crédito de Vivienda UVR'!$E$17,'Crédito de Vivienda UVR'!$C$18,-'Crédito de Vivienda UVR'!$C$20,,))</f>
        <v>#VALUE!</v>
      </c>
      <c r="G309" s="320" t="e">
        <f ca="1">C308*(VLOOKUP('Crédito de Vivienda UVR'!$C$24,Seguros_Oblig!$A$3:$B$55,2,FALSE))</f>
        <v>#VALUE!</v>
      </c>
      <c r="H309" s="313" t="e">
        <f ca="1">C308*(VLOOKUP('Crédito de Vivienda UVR'!$C$25,Seguros_Oblig!$A$3:$B$55,2,FALSE))</f>
        <v>#VALUE!</v>
      </c>
      <c r="I309" s="313" t="e">
        <f ca="1">C308*(VLOOKUP('Crédito de Vivienda UVR'!$C$26,Seguros_Oblig!$A$3:$B$55,2,FALSE))</f>
        <v>#VALUE!</v>
      </c>
      <c r="J309" s="313" t="e">
        <f ca="1">C308*(VLOOKUP('Crédito de Vivienda UVR'!$C$27,Seguros_Oblig!$A$3:$B$55,2,FALSE))</f>
        <v>#VALUE!</v>
      </c>
      <c r="K309" s="35">
        <f ca="1">_xlfn.AGGREGATE(9,6,G309:J309)*'Crédito de Vivienda UVR'!$C$19</f>
        <v>0</v>
      </c>
      <c r="L309" s="7" t="e">
        <f ca="1">IF(C308&lt;1,"0",Seguros_Oblig!$K$2*('Crédito de Vivienda UVR'!$C$12*90%))</f>
        <v>#VALUE!</v>
      </c>
      <c r="M309" s="35" t="e">
        <f ca="1">K309+L309+(F309*'Crédito de Vivienda UVR'!$C$19)</f>
        <v>#VALUE!</v>
      </c>
      <c r="N309" s="316"/>
    </row>
    <row r="310" spans="2:14" ht="15.5" x14ac:dyDescent="0.35">
      <c r="B310" s="6" t="e">
        <f t="shared" ca="1" si="14"/>
        <v>#VALUE!</v>
      </c>
      <c r="C310" s="311" t="e">
        <f t="shared" ca="1" si="13"/>
        <v>#VALUE!</v>
      </c>
      <c r="D310" s="311" t="e">
        <f t="shared" ca="1" si="15"/>
        <v>#VALUE!</v>
      </c>
      <c r="E310" s="311" t="e">
        <f ca="1">C309*'Crédito de Vivienda UVR'!$E$17</f>
        <v>#VALUE!</v>
      </c>
      <c r="F310" s="322" t="e">
        <f ca="1">IF(B310=" ",0,PMT('Crédito de Vivienda UVR'!$E$17,'Crédito de Vivienda UVR'!$C$18,-'Crédito de Vivienda UVR'!$C$20,,))</f>
        <v>#VALUE!</v>
      </c>
      <c r="G310" s="320" t="e">
        <f ca="1">C309*(VLOOKUP('Crédito de Vivienda UVR'!$C$24,Seguros_Oblig!$A$3:$B$55,2,FALSE))</f>
        <v>#VALUE!</v>
      </c>
      <c r="H310" s="313" t="e">
        <f ca="1">C309*(VLOOKUP('Crédito de Vivienda UVR'!$C$25,Seguros_Oblig!$A$3:$B$55,2,FALSE))</f>
        <v>#VALUE!</v>
      </c>
      <c r="I310" s="313" t="e">
        <f ca="1">C309*(VLOOKUP('Crédito de Vivienda UVR'!$C$26,Seguros_Oblig!$A$3:$B$55,2,FALSE))</f>
        <v>#VALUE!</v>
      </c>
      <c r="J310" s="313" t="e">
        <f ca="1">C309*(VLOOKUP('Crédito de Vivienda UVR'!$C$27,Seguros_Oblig!$A$3:$B$55,2,FALSE))</f>
        <v>#VALUE!</v>
      </c>
      <c r="K310" s="35">
        <f ca="1">_xlfn.AGGREGATE(9,6,G310:J310)*'Crédito de Vivienda UVR'!$C$19</f>
        <v>0</v>
      </c>
      <c r="L310" s="7" t="e">
        <f ca="1">IF(C309&lt;1,"0",Seguros_Oblig!$K$2*('Crédito de Vivienda UVR'!$C$12*90%))</f>
        <v>#VALUE!</v>
      </c>
      <c r="M310" s="35" t="e">
        <f ca="1">K310+L310+(F310*'Crédito de Vivienda UVR'!$C$19)</f>
        <v>#VALUE!</v>
      </c>
      <c r="N310" s="316"/>
    </row>
    <row r="311" spans="2:14" ht="15.5" x14ac:dyDescent="0.35">
      <c r="B311" s="6" t="e">
        <f t="shared" ca="1" si="14"/>
        <v>#VALUE!</v>
      </c>
      <c r="C311" s="311" t="e">
        <f t="shared" ca="1" si="13"/>
        <v>#VALUE!</v>
      </c>
      <c r="D311" s="311" t="e">
        <f t="shared" ca="1" si="15"/>
        <v>#VALUE!</v>
      </c>
      <c r="E311" s="311" t="e">
        <f ca="1">C310*'Crédito de Vivienda UVR'!$E$17</f>
        <v>#VALUE!</v>
      </c>
      <c r="F311" s="322" t="e">
        <f ca="1">IF(B311=" ",0,PMT('Crédito de Vivienda UVR'!$E$17,'Crédito de Vivienda UVR'!$C$18,-'Crédito de Vivienda UVR'!$C$20,,))</f>
        <v>#VALUE!</v>
      </c>
      <c r="G311" s="320" t="e">
        <f ca="1">C310*(VLOOKUP('Crédito de Vivienda UVR'!$C$24,Seguros_Oblig!$A$3:$B$55,2,FALSE))</f>
        <v>#VALUE!</v>
      </c>
      <c r="H311" s="313" t="e">
        <f ca="1">C310*(VLOOKUP('Crédito de Vivienda UVR'!$C$25,Seguros_Oblig!$A$3:$B$55,2,FALSE))</f>
        <v>#VALUE!</v>
      </c>
      <c r="I311" s="313" t="e">
        <f ca="1">C310*(VLOOKUP('Crédito de Vivienda UVR'!$C$26,Seguros_Oblig!$A$3:$B$55,2,FALSE))</f>
        <v>#VALUE!</v>
      </c>
      <c r="J311" s="313" t="e">
        <f ca="1">C310*(VLOOKUP('Crédito de Vivienda UVR'!$C$27,Seguros_Oblig!$A$3:$B$55,2,FALSE))</f>
        <v>#VALUE!</v>
      </c>
      <c r="K311" s="35">
        <f ca="1">_xlfn.AGGREGATE(9,6,G311:J311)*'Crédito de Vivienda UVR'!$C$19</f>
        <v>0</v>
      </c>
      <c r="L311" s="7" t="e">
        <f ca="1">IF(C310&lt;1,"0",Seguros_Oblig!$K$2*('Crédito de Vivienda UVR'!$C$12*90%))</f>
        <v>#VALUE!</v>
      </c>
      <c r="M311" s="35" t="e">
        <f ca="1">K311+L311+(F311*'Crédito de Vivienda UVR'!$C$19)</f>
        <v>#VALUE!</v>
      </c>
      <c r="N311" s="316"/>
    </row>
    <row r="312" spans="2:14" ht="15.5" x14ac:dyDescent="0.35">
      <c r="B312" s="6" t="e">
        <f t="shared" ca="1" si="14"/>
        <v>#VALUE!</v>
      </c>
      <c r="C312" s="311" t="e">
        <f t="shared" ca="1" si="13"/>
        <v>#VALUE!</v>
      </c>
      <c r="D312" s="311" t="e">
        <f t="shared" ca="1" si="15"/>
        <v>#VALUE!</v>
      </c>
      <c r="E312" s="311" t="e">
        <f ca="1">C311*'Crédito de Vivienda UVR'!$E$17</f>
        <v>#VALUE!</v>
      </c>
      <c r="F312" s="322" t="e">
        <f ca="1">IF(B312=" ",0,PMT('Crédito de Vivienda UVR'!$E$17,'Crédito de Vivienda UVR'!$C$18,-'Crédito de Vivienda UVR'!$C$20,,))</f>
        <v>#VALUE!</v>
      </c>
      <c r="G312" s="320" t="e">
        <f ca="1">C311*(VLOOKUP('Crédito de Vivienda UVR'!$C$24,Seguros_Oblig!$A$3:$B$55,2,FALSE))</f>
        <v>#VALUE!</v>
      </c>
      <c r="H312" s="313" t="e">
        <f ca="1">C311*(VLOOKUP('Crédito de Vivienda UVR'!$C$25,Seguros_Oblig!$A$3:$B$55,2,FALSE))</f>
        <v>#VALUE!</v>
      </c>
      <c r="I312" s="313" t="e">
        <f ca="1">C311*(VLOOKUP('Crédito de Vivienda UVR'!$C$26,Seguros_Oblig!$A$3:$B$55,2,FALSE))</f>
        <v>#VALUE!</v>
      </c>
      <c r="J312" s="313" t="e">
        <f ca="1">C311*(VLOOKUP('Crédito de Vivienda UVR'!$C$27,Seguros_Oblig!$A$3:$B$55,2,FALSE))</f>
        <v>#VALUE!</v>
      </c>
      <c r="K312" s="35">
        <f ca="1">_xlfn.AGGREGATE(9,6,G312:J312)*'Crédito de Vivienda UVR'!$C$19</f>
        <v>0</v>
      </c>
      <c r="L312" s="7" t="e">
        <f ca="1">IF(C311&lt;1,"0",Seguros_Oblig!$K$2*('Crédito de Vivienda UVR'!$C$12*90%))</f>
        <v>#VALUE!</v>
      </c>
      <c r="M312" s="35" t="e">
        <f ca="1">K312+L312+(F312*'Crédito de Vivienda UVR'!$C$19)</f>
        <v>#VALUE!</v>
      </c>
      <c r="N312" s="316"/>
    </row>
    <row r="313" spans="2:14" ht="15.5" x14ac:dyDescent="0.35">
      <c r="B313" s="6" t="e">
        <f t="shared" ca="1" si="14"/>
        <v>#VALUE!</v>
      </c>
      <c r="C313" s="311" t="e">
        <f t="shared" ca="1" si="13"/>
        <v>#VALUE!</v>
      </c>
      <c r="D313" s="311" t="e">
        <f t="shared" ca="1" si="15"/>
        <v>#VALUE!</v>
      </c>
      <c r="E313" s="311" t="e">
        <f ca="1">C312*'Crédito de Vivienda UVR'!$E$17</f>
        <v>#VALUE!</v>
      </c>
      <c r="F313" s="322" t="e">
        <f ca="1">IF(B313=" ",0,PMT('Crédito de Vivienda UVR'!$E$17,'Crédito de Vivienda UVR'!$C$18,-'Crédito de Vivienda UVR'!$C$20,,))</f>
        <v>#VALUE!</v>
      </c>
      <c r="G313" s="320" t="e">
        <f ca="1">C312*(VLOOKUP('Crédito de Vivienda UVR'!$C$24,Seguros_Oblig!$A$3:$B$55,2,FALSE))</f>
        <v>#VALUE!</v>
      </c>
      <c r="H313" s="313" t="e">
        <f ca="1">C312*(VLOOKUP('Crédito de Vivienda UVR'!$C$25,Seguros_Oblig!$A$3:$B$55,2,FALSE))</f>
        <v>#VALUE!</v>
      </c>
      <c r="I313" s="313" t="e">
        <f ca="1">C312*(VLOOKUP('Crédito de Vivienda UVR'!$C$26,Seguros_Oblig!$A$3:$B$55,2,FALSE))</f>
        <v>#VALUE!</v>
      </c>
      <c r="J313" s="313" t="e">
        <f ca="1">C312*(VLOOKUP('Crédito de Vivienda UVR'!$C$27,Seguros_Oblig!$A$3:$B$55,2,FALSE))</f>
        <v>#VALUE!</v>
      </c>
      <c r="K313" s="35">
        <f ca="1">_xlfn.AGGREGATE(9,6,G313:J313)*'Crédito de Vivienda UVR'!$C$19</f>
        <v>0</v>
      </c>
      <c r="L313" s="7" t="e">
        <f ca="1">IF(C312&lt;1,"0",Seguros_Oblig!$K$2*('Crédito de Vivienda UVR'!$C$12*90%))</f>
        <v>#VALUE!</v>
      </c>
      <c r="M313" s="35" t="e">
        <f ca="1">K313+L313+(F313*'Crédito de Vivienda UVR'!$C$19)</f>
        <v>#VALUE!</v>
      </c>
      <c r="N313" s="316"/>
    </row>
    <row r="314" spans="2:14" ht="15.5" x14ac:dyDescent="0.35">
      <c r="B314" s="6" t="e">
        <f t="shared" ca="1" si="14"/>
        <v>#VALUE!</v>
      </c>
      <c r="C314" s="311" t="e">
        <f t="shared" ca="1" si="13"/>
        <v>#VALUE!</v>
      </c>
      <c r="D314" s="311" t="e">
        <f t="shared" ca="1" si="15"/>
        <v>#VALUE!</v>
      </c>
      <c r="E314" s="311" t="e">
        <f ca="1">C313*'Crédito de Vivienda UVR'!$E$17</f>
        <v>#VALUE!</v>
      </c>
      <c r="F314" s="322" t="e">
        <f ca="1">IF(B314=" ",0,PMT('Crédito de Vivienda UVR'!$E$17,'Crédito de Vivienda UVR'!$C$18,-'Crédito de Vivienda UVR'!$C$20,,))</f>
        <v>#VALUE!</v>
      </c>
      <c r="G314" s="320" t="e">
        <f ca="1">C313*(VLOOKUP('Crédito de Vivienda UVR'!$C$24,Seguros_Oblig!$A$3:$B$55,2,FALSE))</f>
        <v>#VALUE!</v>
      </c>
      <c r="H314" s="313" t="e">
        <f ca="1">C313*(VLOOKUP('Crédito de Vivienda UVR'!$C$25,Seguros_Oblig!$A$3:$B$55,2,FALSE))</f>
        <v>#VALUE!</v>
      </c>
      <c r="I314" s="313" t="e">
        <f ca="1">C313*(VLOOKUP('Crédito de Vivienda UVR'!$C$26,Seguros_Oblig!$A$3:$B$55,2,FALSE))</f>
        <v>#VALUE!</v>
      </c>
      <c r="J314" s="313" t="e">
        <f ca="1">C313*(VLOOKUP('Crédito de Vivienda UVR'!$C$27,Seguros_Oblig!$A$3:$B$55,2,FALSE))</f>
        <v>#VALUE!</v>
      </c>
      <c r="K314" s="35">
        <f ca="1">_xlfn.AGGREGATE(9,6,G314:J314)*'Crédito de Vivienda UVR'!$C$19</f>
        <v>0</v>
      </c>
      <c r="L314" s="7" t="e">
        <f ca="1">IF(C313&lt;1,"0",Seguros_Oblig!$K$2*('Crédito de Vivienda UVR'!$C$12*90%))</f>
        <v>#VALUE!</v>
      </c>
      <c r="M314" s="35" t="e">
        <f ca="1">K314+L314+(F314*'Crédito de Vivienda UVR'!$C$19)</f>
        <v>#VALUE!</v>
      </c>
      <c r="N314" s="316"/>
    </row>
    <row r="315" spans="2:14" ht="15.5" x14ac:dyDescent="0.35">
      <c r="B315" s="6" t="e">
        <f t="shared" ca="1" si="14"/>
        <v>#VALUE!</v>
      </c>
      <c r="C315" s="311" t="e">
        <f t="shared" ca="1" si="13"/>
        <v>#VALUE!</v>
      </c>
      <c r="D315" s="311" t="e">
        <f t="shared" ca="1" si="15"/>
        <v>#VALUE!</v>
      </c>
      <c r="E315" s="311" t="e">
        <f ca="1">C314*'Crédito de Vivienda UVR'!$E$17</f>
        <v>#VALUE!</v>
      </c>
      <c r="F315" s="322" t="e">
        <f ca="1">IF(B315=" ",0,PMT('Crédito de Vivienda UVR'!$E$17,'Crédito de Vivienda UVR'!$C$18,-'Crédito de Vivienda UVR'!$C$20,,))</f>
        <v>#VALUE!</v>
      </c>
      <c r="G315" s="320" t="e">
        <f ca="1">C314*(VLOOKUP('Crédito de Vivienda UVR'!$C$24,Seguros_Oblig!$A$3:$B$55,2,FALSE))</f>
        <v>#VALUE!</v>
      </c>
      <c r="H315" s="313" t="e">
        <f ca="1">C314*(VLOOKUP('Crédito de Vivienda UVR'!$C$25,Seguros_Oblig!$A$3:$B$55,2,FALSE))</f>
        <v>#VALUE!</v>
      </c>
      <c r="I315" s="313" t="e">
        <f ca="1">C314*(VLOOKUP('Crédito de Vivienda UVR'!$C$26,Seguros_Oblig!$A$3:$B$55,2,FALSE))</f>
        <v>#VALUE!</v>
      </c>
      <c r="J315" s="313" t="e">
        <f ca="1">C314*(VLOOKUP('Crédito de Vivienda UVR'!$C$27,Seguros_Oblig!$A$3:$B$55,2,FALSE))</f>
        <v>#VALUE!</v>
      </c>
      <c r="K315" s="35">
        <f ca="1">_xlfn.AGGREGATE(9,6,G315:J315)*'Crédito de Vivienda UVR'!$C$19</f>
        <v>0</v>
      </c>
      <c r="L315" s="7" t="e">
        <f ca="1">IF(C314&lt;1,"0",Seguros_Oblig!$K$2*('Crédito de Vivienda UVR'!$C$12*90%))</f>
        <v>#VALUE!</v>
      </c>
      <c r="M315" s="35" t="e">
        <f ca="1">K315+L315+(F315*'Crédito de Vivienda UVR'!$C$19)</f>
        <v>#VALUE!</v>
      </c>
      <c r="N315" s="316"/>
    </row>
    <row r="316" spans="2:14" ht="15.5" x14ac:dyDescent="0.35">
      <c r="B316" s="6" t="e">
        <f t="shared" ca="1" si="14"/>
        <v>#VALUE!</v>
      </c>
      <c r="C316" s="311" t="e">
        <f t="shared" ca="1" si="13"/>
        <v>#VALUE!</v>
      </c>
      <c r="D316" s="311" t="e">
        <f t="shared" ca="1" si="15"/>
        <v>#VALUE!</v>
      </c>
      <c r="E316" s="311" t="e">
        <f ca="1">C315*'Crédito de Vivienda UVR'!$E$17</f>
        <v>#VALUE!</v>
      </c>
      <c r="F316" s="322" t="e">
        <f ca="1">IF(B316=" ",0,PMT('Crédito de Vivienda UVR'!$E$17,'Crédito de Vivienda UVR'!$C$18,-'Crédito de Vivienda UVR'!$C$20,,))</f>
        <v>#VALUE!</v>
      </c>
      <c r="G316" s="320" t="e">
        <f ca="1">C315*(VLOOKUP('Crédito de Vivienda UVR'!$C$24,Seguros_Oblig!$A$3:$B$55,2,FALSE))</f>
        <v>#VALUE!</v>
      </c>
      <c r="H316" s="313" t="e">
        <f ca="1">C315*(VLOOKUP('Crédito de Vivienda UVR'!$C$25,Seguros_Oblig!$A$3:$B$55,2,FALSE))</f>
        <v>#VALUE!</v>
      </c>
      <c r="I316" s="313" t="e">
        <f ca="1">C315*(VLOOKUP('Crédito de Vivienda UVR'!$C$26,Seguros_Oblig!$A$3:$B$55,2,FALSE))</f>
        <v>#VALUE!</v>
      </c>
      <c r="J316" s="313" t="e">
        <f ca="1">C315*(VLOOKUP('Crédito de Vivienda UVR'!$C$27,Seguros_Oblig!$A$3:$B$55,2,FALSE))</f>
        <v>#VALUE!</v>
      </c>
      <c r="K316" s="35">
        <f ca="1">_xlfn.AGGREGATE(9,6,G316:J316)*'Crédito de Vivienda UVR'!$C$19</f>
        <v>0</v>
      </c>
      <c r="L316" s="7" t="e">
        <f ca="1">IF(C315&lt;1,"0",Seguros_Oblig!$K$2*('Crédito de Vivienda UVR'!$C$12*90%))</f>
        <v>#VALUE!</v>
      </c>
      <c r="M316" s="35" t="e">
        <f ca="1">K316+L316+(F316*'Crédito de Vivienda UVR'!$C$19)</f>
        <v>#VALUE!</v>
      </c>
      <c r="N316" s="316"/>
    </row>
    <row r="317" spans="2:14" ht="15.5" x14ac:dyDescent="0.35">
      <c r="B317" s="6" t="e">
        <f t="shared" ca="1" si="14"/>
        <v>#VALUE!</v>
      </c>
      <c r="C317" s="311" t="e">
        <f t="shared" ca="1" si="13"/>
        <v>#VALUE!</v>
      </c>
      <c r="D317" s="311" t="e">
        <f t="shared" ca="1" si="15"/>
        <v>#VALUE!</v>
      </c>
      <c r="E317" s="311" t="e">
        <f ca="1">C316*'Crédito de Vivienda UVR'!$E$17</f>
        <v>#VALUE!</v>
      </c>
      <c r="F317" s="322" t="e">
        <f ca="1">IF(B317=" ",0,PMT('Crédito de Vivienda UVR'!$E$17,'Crédito de Vivienda UVR'!$C$18,-'Crédito de Vivienda UVR'!$C$20,,))</f>
        <v>#VALUE!</v>
      </c>
      <c r="G317" s="320" t="e">
        <f ca="1">C316*(VLOOKUP('Crédito de Vivienda UVR'!$C$24,Seguros_Oblig!$A$3:$B$55,2,FALSE))</f>
        <v>#VALUE!</v>
      </c>
      <c r="H317" s="313" t="e">
        <f ca="1">C316*(VLOOKUP('Crédito de Vivienda UVR'!$C$25,Seguros_Oblig!$A$3:$B$55,2,FALSE))</f>
        <v>#VALUE!</v>
      </c>
      <c r="I317" s="313" t="e">
        <f ca="1">C316*(VLOOKUP('Crédito de Vivienda UVR'!$C$26,Seguros_Oblig!$A$3:$B$55,2,FALSE))</f>
        <v>#VALUE!</v>
      </c>
      <c r="J317" s="313" t="e">
        <f ca="1">C316*(VLOOKUP('Crédito de Vivienda UVR'!$C$27,Seguros_Oblig!$A$3:$B$55,2,FALSE))</f>
        <v>#VALUE!</v>
      </c>
      <c r="K317" s="35">
        <f ca="1">_xlfn.AGGREGATE(9,6,G317:J317)*'Crédito de Vivienda UVR'!$C$19</f>
        <v>0</v>
      </c>
      <c r="L317" s="7" t="e">
        <f ca="1">IF(C316&lt;1,"0",Seguros_Oblig!$K$2*('Crédito de Vivienda UVR'!$C$12*90%))</f>
        <v>#VALUE!</v>
      </c>
      <c r="M317" s="35" t="e">
        <f ca="1">K317+L317+(F317*'Crédito de Vivienda UVR'!$C$19)</f>
        <v>#VALUE!</v>
      </c>
      <c r="N317" s="316"/>
    </row>
    <row r="318" spans="2:14" ht="15.5" x14ac:dyDescent="0.35">
      <c r="B318" s="6" t="e">
        <f t="shared" ca="1" si="14"/>
        <v>#VALUE!</v>
      </c>
      <c r="C318" s="311" t="e">
        <f t="shared" ca="1" si="13"/>
        <v>#VALUE!</v>
      </c>
      <c r="D318" s="311" t="e">
        <f t="shared" ca="1" si="15"/>
        <v>#VALUE!</v>
      </c>
      <c r="E318" s="311" t="e">
        <f ca="1">C317*'Crédito de Vivienda UVR'!$E$17</f>
        <v>#VALUE!</v>
      </c>
      <c r="F318" s="322" t="e">
        <f ca="1">IF(B318=" ",0,PMT('Crédito de Vivienda UVR'!$E$17,'Crédito de Vivienda UVR'!$C$18,-'Crédito de Vivienda UVR'!$C$20,,))</f>
        <v>#VALUE!</v>
      </c>
      <c r="G318" s="320" t="e">
        <f ca="1">C317*(VLOOKUP('Crédito de Vivienda UVR'!$C$24,Seguros_Oblig!$A$3:$B$55,2,FALSE))</f>
        <v>#VALUE!</v>
      </c>
      <c r="H318" s="313" t="e">
        <f ca="1">C317*(VLOOKUP('Crédito de Vivienda UVR'!$C$25,Seguros_Oblig!$A$3:$B$55,2,FALSE))</f>
        <v>#VALUE!</v>
      </c>
      <c r="I318" s="313" t="e">
        <f ca="1">C317*(VLOOKUP('Crédito de Vivienda UVR'!$C$26,Seguros_Oblig!$A$3:$B$55,2,FALSE))</f>
        <v>#VALUE!</v>
      </c>
      <c r="J318" s="313" t="e">
        <f ca="1">C317*(VLOOKUP('Crédito de Vivienda UVR'!$C$27,Seguros_Oblig!$A$3:$B$55,2,FALSE))</f>
        <v>#VALUE!</v>
      </c>
      <c r="K318" s="35">
        <f ca="1">_xlfn.AGGREGATE(9,6,G318:J318)*'Crédito de Vivienda UVR'!$C$19</f>
        <v>0</v>
      </c>
      <c r="L318" s="7" t="e">
        <f ca="1">IF(C317&lt;1,"0",Seguros_Oblig!$K$2*('Crédito de Vivienda UVR'!$C$12*90%))</f>
        <v>#VALUE!</v>
      </c>
      <c r="M318" s="35" t="e">
        <f ca="1">K318+L318+(F318*'Crédito de Vivienda UVR'!$C$19)</f>
        <v>#VALUE!</v>
      </c>
      <c r="N318" s="316"/>
    </row>
    <row r="319" spans="2:14" ht="15.5" x14ac:dyDescent="0.35">
      <c r="B319" s="6" t="e">
        <f t="shared" ca="1" si="14"/>
        <v>#VALUE!</v>
      </c>
      <c r="C319" s="311" t="e">
        <f t="shared" ca="1" si="13"/>
        <v>#VALUE!</v>
      </c>
      <c r="D319" s="311" t="e">
        <f t="shared" ca="1" si="15"/>
        <v>#VALUE!</v>
      </c>
      <c r="E319" s="311" t="e">
        <f ca="1">C318*'Crédito de Vivienda UVR'!$E$17</f>
        <v>#VALUE!</v>
      </c>
      <c r="F319" s="322" t="e">
        <f ca="1">IF(B319=" ",0,PMT('Crédito de Vivienda UVR'!$E$17,'Crédito de Vivienda UVR'!$C$18,-'Crédito de Vivienda UVR'!$C$20,,))</f>
        <v>#VALUE!</v>
      </c>
      <c r="G319" s="320" t="e">
        <f ca="1">C318*(VLOOKUP('Crédito de Vivienda UVR'!$C$24,Seguros_Oblig!$A$3:$B$55,2,FALSE))</f>
        <v>#VALUE!</v>
      </c>
      <c r="H319" s="313" t="e">
        <f ca="1">C318*(VLOOKUP('Crédito de Vivienda UVR'!$C$25,Seguros_Oblig!$A$3:$B$55,2,FALSE))</f>
        <v>#VALUE!</v>
      </c>
      <c r="I319" s="313" t="e">
        <f ca="1">C318*(VLOOKUP('Crédito de Vivienda UVR'!$C$26,Seguros_Oblig!$A$3:$B$55,2,FALSE))</f>
        <v>#VALUE!</v>
      </c>
      <c r="J319" s="313" t="e">
        <f ca="1">C318*(VLOOKUP('Crédito de Vivienda UVR'!$C$27,Seguros_Oblig!$A$3:$B$55,2,FALSE))</f>
        <v>#VALUE!</v>
      </c>
      <c r="K319" s="35">
        <f ca="1">_xlfn.AGGREGATE(9,6,G319:J319)*'Crédito de Vivienda UVR'!$C$19</f>
        <v>0</v>
      </c>
      <c r="L319" s="7" t="e">
        <f ca="1">IF(C318&lt;1,"0",Seguros_Oblig!$K$2*('Crédito de Vivienda UVR'!$C$12*90%))</f>
        <v>#VALUE!</v>
      </c>
      <c r="M319" s="35" t="e">
        <f ca="1">K319+L319+(F319*'Crédito de Vivienda UVR'!$C$19)</f>
        <v>#VALUE!</v>
      </c>
      <c r="N319" s="316"/>
    </row>
    <row r="320" spans="2:14" ht="15.5" x14ac:dyDescent="0.35">
      <c r="B320" s="6" t="e">
        <f t="shared" ca="1" si="14"/>
        <v>#VALUE!</v>
      </c>
      <c r="C320" s="311" t="e">
        <f t="shared" ca="1" si="13"/>
        <v>#VALUE!</v>
      </c>
      <c r="D320" s="311" t="e">
        <f t="shared" ca="1" si="15"/>
        <v>#VALUE!</v>
      </c>
      <c r="E320" s="311" t="e">
        <f ca="1">C319*'Crédito de Vivienda UVR'!$E$17</f>
        <v>#VALUE!</v>
      </c>
      <c r="F320" s="322" t="e">
        <f ca="1">IF(B320=" ",0,PMT('Crédito de Vivienda UVR'!$E$17,'Crédito de Vivienda UVR'!$C$18,-'Crédito de Vivienda UVR'!$C$20,,))</f>
        <v>#VALUE!</v>
      </c>
      <c r="G320" s="320" t="e">
        <f ca="1">C319*(VLOOKUP('Crédito de Vivienda UVR'!$C$24,Seguros_Oblig!$A$3:$B$55,2,FALSE))</f>
        <v>#VALUE!</v>
      </c>
      <c r="H320" s="313" t="e">
        <f ca="1">C319*(VLOOKUP('Crédito de Vivienda UVR'!$C$25,Seguros_Oblig!$A$3:$B$55,2,FALSE))</f>
        <v>#VALUE!</v>
      </c>
      <c r="I320" s="313" t="e">
        <f ca="1">C319*(VLOOKUP('Crédito de Vivienda UVR'!$C$26,Seguros_Oblig!$A$3:$B$55,2,FALSE))</f>
        <v>#VALUE!</v>
      </c>
      <c r="J320" s="313" t="e">
        <f ca="1">C319*(VLOOKUP('Crédito de Vivienda UVR'!$C$27,Seguros_Oblig!$A$3:$B$55,2,FALSE))</f>
        <v>#VALUE!</v>
      </c>
      <c r="K320" s="35">
        <f ca="1">_xlfn.AGGREGATE(9,6,G320:J320)*'Crédito de Vivienda UVR'!$C$19</f>
        <v>0</v>
      </c>
      <c r="L320" s="7" t="e">
        <f ca="1">IF(C319&lt;1,"0",Seguros_Oblig!$K$2*('Crédito de Vivienda UVR'!$C$12*90%))</f>
        <v>#VALUE!</v>
      </c>
      <c r="M320" s="35" t="e">
        <f ca="1">K320+L320+(F320*'Crédito de Vivienda UVR'!$C$19)</f>
        <v>#VALUE!</v>
      </c>
      <c r="N320" s="316"/>
    </row>
    <row r="321" spans="2:14" ht="15.5" x14ac:dyDescent="0.35">
      <c r="B321" s="6" t="e">
        <f t="shared" ca="1" si="14"/>
        <v>#VALUE!</v>
      </c>
      <c r="C321" s="311" t="e">
        <f t="shared" ca="1" si="13"/>
        <v>#VALUE!</v>
      </c>
      <c r="D321" s="311" t="e">
        <f t="shared" ca="1" si="15"/>
        <v>#VALUE!</v>
      </c>
      <c r="E321" s="311" t="e">
        <f ca="1">C320*'Crédito de Vivienda UVR'!$E$17</f>
        <v>#VALUE!</v>
      </c>
      <c r="F321" s="322" t="e">
        <f ca="1">IF(B321=" ",0,PMT('Crédito de Vivienda UVR'!$E$17,'Crédito de Vivienda UVR'!$C$18,-'Crédito de Vivienda UVR'!$C$20,,))</f>
        <v>#VALUE!</v>
      </c>
      <c r="G321" s="320" t="e">
        <f ca="1">C320*(VLOOKUP('Crédito de Vivienda UVR'!$C$24,Seguros_Oblig!$A$3:$B$55,2,FALSE))</f>
        <v>#VALUE!</v>
      </c>
      <c r="H321" s="313" t="e">
        <f ca="1">C320*(VLOOKUP('Crédito de Vivienda UVR'!$C$25,Seguros_Oblig!$A$3:$B$55,2,FALSE))</f>
        <v>#VALUE!</v>
      </c>
      <c r="I321" s="313" t="e">
        <f ca="1">C320*(VLOOKUP('Crédito de Vivienda UVR'!$C$26,Seguros_Oblig!$A$3:$B$55,2,FALSE))</f>
        <v>#VALUE!</v>
      </c>
      <c r="J321" s="313" t="e">
        <f ca="1">C320*(VLOOKUP('Crédito de Vivienda UVR'!$C$27,Seguros_Oblig!$A$3:$B$55,2,FALSE))</f>
        <v>#VALUE!</v>
      </c>
      <c r="K321" s="35">
        <f ca="1">_xlfn.AGGREGATE(9,6,G321:J321)*'Crédito de Vivienda UVR'!$C$19</f>
        <v>0</v>
      </c>
      <c r="L321" s="7" t="e">
        <f ca="1">IF(C320&lt;1,"0",Seguros_Oblig!$K$2*('Crédito de Vivienda UVR'!$C$12*90%))</f>
        <v>#VALUE!</v>
      </c>
      <c r="M321" s="35" t="e">
        <f ca="1">K321+L321+(F321*'Crédito de Vivienda UVR'!$C$19)</f>
        <v>#VALUE!</v>
      </c>
      <c r="N321" s="316"/>
    </row>
    <row r="322" spans="2:14" ht="15.5" x14ac:dyDescent="0.35">
      <c r="B322" s="6" t="e">
        <f t="shared" ca="1" si="14"/>
        <v>#VALUE!</v>
      </c>
      <c r="C322" s="311" t="e">
        <f t="shared" ca="1" si="13"/>
        <v>#VALUE!</v>
      </c>
      <c r="D322" s="311" t="e">
        <f t="shared" ca="1" si="15"/>
        <v>#VALUE!</v>
      </c>
      <c r="E322" s="311" t="e">
        <f ca="1">C321*'Crédito de Vivienda UVR'!$E$17</f>
        <v>#VALUE!</v>
      </c>
      <c r="F322" s="322" t="e">
        <f ca="1">IF(B322=" ",0,PMT('Crédito de Vivienda UVR'!$E$17,'Crédito de Vivienda UVR'!$C$18,-'Crédito de Vivienda UVR'!$C$20,,))</f>
        <v>#VALUE!</v>
      </c>
      <c r="G322" s="320" t="e">
        <f ca="1">C321*(VLOOKUP('Crédito de Vivienda UVR'!$C$24,Seguros_Oblig!$A$3:$B$55,2,FALSE))</f>
        <v>#VALUE!</v>
      </c>
      <c r="H322" s="313" t="e">
        <f ca="1">C321*(VLOOKUP('Crédito de Vivienda UVR'!$C$25,Seguros_Oblig!$A$3:$B$55,2,FALSE))</f>
        <v>#VALUE!</v>
      </c>
      <c r="I322" s="313" t="e">
        <f ca="1">C321*(VLOOKUP('Crédito de Vivienda UVR'!$C$26,Seguros_Oblig!$A$3:$B$55,2,FALSE))</f>
        <v>#VALUE!</v>
      </c>
      <c r="J322" s="313" t="e">
        <f ca="1">C321*(VLOOKUP('Crédito de Vivienda UVR'!$C$27,Seguros_Oblig!$A$3:$B$55,2,FALSE))</f>
        <v>#VALUE!</v>
      </c>
      <c r="K322" s="35">
        <f ca="1">_xlfn.AGGREGATE(9,6,G322:J322)*'Crédito de Vivienda UVR'!$C$19</f>
        <v>0</v>
      </c>
      <c r="L322" s="7" t="e">
        <f ca="1">IF(C321&lt;1,"0",Seguros_Oblig!$K$2*('Crédito de Vivienda UVR'!$C$12*90%))</f>
        <v>#VALUE!</v>
      </c>
      <c r="M322" s="35" t="e">
        <f ca="1">K322+L322+(F322*'Crédito de Vivienda UVR'!$C$19)</f>
        <v>#VALUE!</v>
      </c>
      <c r="N322" s="316"/>
    </row>
    <row r="323" spans="2:14" ht="15.5" x14ac:dyDescent="0.35">
      <c r="B323" s="6" t="e">
        <f t="shared" ca="1" si="14"/>
        <v>#VALUE!</v>
      </c>
      <c r="C323" s="311" t="e">
        <f t="shared" ca="1" si="13"/>
        <v>#VALUE!</v>
      </c>
      <c r="D323" s="311" t="e">
        <f t="shared" ca="1" si="15"/>
        <v>#VALUE!</v>
      </c>
      <c r="E323" s="311" t="e">
        <f ca="1">C322*'Crédito de Vivienda UVR'!$E$17</f>
        <v>#VALUE!</v>
      </c>
      <c r="F323" s="322" t="e">
        <f ca="1">IF(B323=" ",0,PMT('Crédito de Vivienda UVR'!$E$17,'Crédito de Vivienda UVR'!$C$18,-'Crédito de Vivienda UVR'!$C$20,,))</f>
        <v>#VALUE!</v>
      </c>
      <c r="G323" s="320" t="e">
        <f ca="1">C322*(VLOOKUP('Crédito de Vivienda UVR'!$C$24,Seguros_Oblig!$A$3:$B$55,2,FALSE))</f>
        <v>#VALUE!</v>
      </c>
      <c r="H323" s="313" t="e">
        <f ca="1">C322*(VLOOKUP('Crédito de Vivienda UVR'!$C$25,Seguros_Oblig!$A$3:$B$55,2,FALSE))</f>
        <v>#VALUE!</v>
      </c>
      <c r="I323" s="313" t="e">
        <f ca="1">C322*(VLOOKUP('Crédito de Vivienda UVR'!$C$26,Seguros_Oblig!$A$3:$B$55,2,FALSE))</f>
        <v>#VALUE!</v>
      </c>
      <c r="J323" s="313" t="e">
        <f ca="1">C322*(VLOOKUP('Crédito de Vivienda UVR'!$C$27,Seguros_Oblig!$A$3:$B$55,2,FALSE))</f>
        <v>#VALUE!</v>
      </c>
      <c r="K323" s="35">
        <f ca="1">_xlfn.AGGREGATE(9,6,G323:J323)*'Crédito de Vivienda UVR'!$C$19</f>
        <v>0</v>
      </c>
      <c r="L323" s="7" t="e">
        <f ca="1">IF(C322&lt;1,"0",Seguros_Oblig!$K$2*('Crédito de Vivienda UVR'!$C$12*90%))</f>
        <v>#VALUE!</v>
      </c>
      <c r="M323" s="35" t="e">
        <f ca="1">K323+L323+(F323*'Crédito de Vivienda UVR'!$C$19)</f>
        <v>#VALUE!</v>
      </c>
      <c r="N323" s="316"/>
    </row>
    <row r="324" spans="2:14" ht="15.5" x14ac:dyDescent="0.35">
      <c r="B324" s="6" t="e">
        <f t="shared" ca="1" si="14"/>
        <v>#VALUE!</v>
      </c>
      <c r="C324" s="311" t="e">
        <f t="shared" ca="1" si="13"/>
        <v>#VALUE!</v>
      </c>
      <c r="D324" s="311" t="e">
        <f t="shared" ca="1" si="15"/>
        <v>#VALUE!</v>
      </c>
      <c r="E324" s="311" t="e">
        <f ca="1">C323*'Crédito de Vivienda UVR'!$E$17</f>
        <v>#VALUE!</v>
      </c>
      <c r="F324" s="322" t="e">
        <f ca="1">IF(B324=" ",0,PMT('Crédito de Vivienda UVR'!$E$17,'Crédito de Vivienda UVR'!$C$18,-'Crédito de Vivienda UVR'!$C$20,,))</f>
        <v>#VALUE!</v>
      </c>
      <c r="G324" s="320" t="e">
        <f ca="1">C323*(VLOOKUP('Crédito de Vivienda UVR'!$C$24,Seguros_Oblig!$A$3:$B$55,2,FALSE))</f>
        <v>#VALUE!</v>
      </c>
      <c r="H324" s="313" t="e">
        <f ca="1">C323*(VLOOKUP('Crédito de Vivienda UVR'!$C$25,Seguros_Oblig!$A$3:$B$55,2,FALSE))</f>
        <v>#VALUE!</v>
      </c>
      <c r="I324" s="313" t="e">
        <f ca="1">C323*(VLOOKUP('Crédito de Vivienda UVR'!$C$26,Seguros_Oblig!$A$3:$B$55,2,FALSE))</f>
        <v>#VALUE!</v>
      </c>
      <c r="J324" s="313" t="e">
        <f ca="1">C323*(VLOOKUP('Crédito de Vivienda UVR'!$C$27,Seguros_Oblig!$A$3:$B$55,2,FALSE))</f>
        <v>#VALUE!</v>
      </c>
      <c r="K324" s="35">
        <f ca="1">_xlfn.AGGREGATE(9,6,G324:J324)*'Crédito de Vivienda UVR'!$C$19</f>
        <v>0</v>
      </c>
      <c r="L324" s="7" t="e">
        <f ca="1">IF(C323&lt;1,"0",Seguros_Oblig!$K$2*('Crédito de Vivienda UVR'!$C$12*90%))</f>
        <v>#VALUE!</v>
      </c>
      <c r="M324" s="35" t="e">
        <f ca="1">K324+L324+(F324*'Crédito de Vivienda UVR'!$C$19)</f>
        <v>#VALUE!</v>
      </c>
      <c r="N324" s="316"/>
    </row>
    <row r="325" spans="2:14" ht="15.5" x14ac:dyDescent="0.35">
      <c r="B325" s="6" t="e">
        <f t="shared" ca="1" si="14"/>
        <v>#VALUE!</v>
      </c>
      <c r="C325" s="311" t="e">
        <f t="shared" ca="1" si="13"/>
        <v>#VALUE!</v>
      </c>
      <c r="D325" s="311" t="e">
        <f t="shared" ca="1" si="15"/>
        <v>#VALUE!</v>
      </c>
      <c r="E325" s="311" t="e">
        <f ca="1">C324*'Crédito de Vivienda UVR'!$E$17</f>
        <v>#VALUE!</v>
      </c>
      <c r="F325" s="322" t="e">
        <f ca="1">IF(B325=" ",0,PMT('Crédito de Vivienda UVR'!$E$17,'Crédito de Vivienda UVR'!$C$18,-'Crédito de Vivienda UVR'!$C$20,,))</f>
        <v>#VALUE!</v>
      </c>
      <c r="G325" s="320" t="e">
        <f ca="1">C324*(VLOOKUP('Crédito de Vivienda UVR'!$C$24,Seguros_Oblig!$A$3:$B$55,2,FALSE))</f>
        <v>#VALUE!</v>
      </c>
      <c r="H325" s="313" t="e">
        <f ca="1">C324*(VLOOKUP('Crédito de Vivienda UVR'!$C$25,Seguros_Oblig!$A$3:$B$55,2,FALSE))</f>
        <v>#VALUE!</v>
      </c>
      <c r="I325" s="313" t="e">
        <f ca="1">C324*(VLOOKUP('Crédito de Vivienda UVR'!$C$26,Seguros_Oblig!$A$3:$B$55,2,FALSE))</f>
        <v>#VALUE!</v>
      </c>
      <c r="J325" s="313" t="e">
        <f ca="1">C324*(VLOOKUP('Crédito de Vivienda UVR'!$C$27,Seguros_Oblig!$A$3:$B$55,2,FALSE))</f>
        <v>#VALUE!</v>
      </c>
      <c r="K325" s="35">
        <f ca="1">_xlfn.AGGREGATE(9,6,G325:J325)*'Crédito de Vivienda UVR'!$C$19</f>
        <v>0</v>
      </c>
      <c r="L325" s="7" t="e">
        <f ca="1">IF(C324&lt;1,"0",Seguros_Oblig!$K$2*('Crédito de Vivienda UVR'!$C$12*90%))</f>
        <v>#VALUE!</v>
      </c>
      <c r="M325" s="35" t="e">
        <f ca="1">K325+L325+(F325*'Crédito de Vivienda UVR'!$C$19)</f>
        <v>#VALUE!</v>
      </c>
      <c r="N325" s="316"/>
    </row>
    <row r="326" spans="2:14" ht="15.5" x14ac:dyDescent="0.35">
      <c r="B326" s="6" t="e">
        <f t="shared" ca="1" si="14"/>
        <v>#VALUE!</v>
      </c>
      <c r="C326" s="311" t="e">
        <f t="shared" ca="1" si="13"/>
        <v>#VALUE!</v>
      </c>
      <c r="D326" s="311" t="e">
        <f t="shared" ca="1" si="15"/>
        <v>#VALUE!</v>
      </c>
      <c r="E326" s="311" t="e">
        <f ca="1">C325*'Crédito de Vivienda UVR'!$E$17</f>
        <v>#VALUE!</v>
      </c>
      <c r="F326" s="322" t="e">
        <f ca="1">IF(B326=" ",0,PMT('Crédito de Vivienda UVR'!$E$17,'Crédito de Vivienda UVR'!$C$18,-'Crédito de Vivienda UVR'!$C$20,,))</f>
        <v>#VALUE!</v>
      </c>
      <c r="G326" s="320" t="e">
        <f ca="1">C325*(VLOOKUP('Crédito de Vivienda UVR'!$C$24,Seguros_Oblig!$A$3:$B$55,2,FALSE))</f>
        <v>#VALUE!</v>
      </c>
      <c r="H326" s="313" t="e">
        <f ca="1">C325*(VLOOKUP('Crédito de Vivienda UVR'!$C$25,Seguros_Oblig!$A$3:$B$55,2,FALSE))</f>
        <v>#VALUE!</v>
      </c>
      <c r="I326" s="313" t="e">
        <f ca="1">C325*(VLOOKUP('Crédito de Vivienda UVR'!$C$26,Seguros_Oblig!$A$3:$B$55,2,FALSE))</f>
        <v>#VALUE!</v>
      </c>
      <c r="J326" s="313" t="e">
        <f ca="1">C325*(VLOOKUP('Crédito de Vivienda UVR'!$C$27,Seguros_Oblig!$A$3:$B$55,2,FALSE))</f>
        <v>#VALUE!</v>
      </c>
      <c r="K326" s="35">
        <f ca="1">_xlfn.AGGREGATE(9,6,G326:J326)*'Crédito de Vivienda UVR'!$C$19</f>
        <v>0</v>
      </c>
      <c r="L326" s="7" t="e">
        <f ca="1">IF(C325&lt;1,"0",Seguros_Oblig!$K$2*('Crédito de Vivienda UVR'!$C$12*90%))</f>
        <v>#VALUE!</v>
      </c>
      <c r="M326" s="35" t="e">
        <f ca="1">K326+L326+(F326*'Crédito de Vivienda UVR'!$C$19)</f>
        <v>#VALUE!</v>
      </c>
      <c r="N326" s="316"/>
    </row>
    <row r="327" spans="2:14" ht="15.5" x14ac:dyDescent="0.35">
      <c r="B327" s="6" t="e">
        <f t="shared" ca="1" si="14"/>
        <v>#VALUE!</v>
      </c>
      <c r="C327" s="311" t="e">
        <f t="shared" ca="1" si="13"/>
        <v>#VALUE!</v>
      </c>
      <c r="D327" s="311" t="e">
        <f t="shared" ca="1" si="15"/>
        <v>#VALUE!</v>
      </c>
      <c r="E327" s="311" t="e">
        <f ca="1">C326*'Crédito de Vivienda UVR'!$E$17</f>
        <v>#VALUE!</v>
      </c>
      <c r="F327" s="322" t="e">
        <f ca="1">IF(B327=" ",0,PMT('Crédito de Vivienda UVR'!$E$17,'Crédito de Vivienda UVR'!$C$18,-'Crédito de Vivienda UVR'!$C$20,,))</f>
        <v>#VALUE!</v>
      </c>
      <c r="G327" s="320" t="e">
        <f ca="1">C326*(VLOOKUP('Crédito de Vivienda UVR'!$C$24,Seguros_Oblig!$A$3:$B$55,2,FALSE))</f>
        <v>#VALUE!</v>
      </c>
      <c r="H327" s="313" t="e">
        <f ca="1">C326*(VLOOKUP('Crédito de Vivienda UVR'!$C$25,Seguros_Oblig!$A$3:$B$55,2,FALSE))</f>
        <v>#VALUE!</v>
      </c>
      <c r="I327" s="313" t="e">
        <f ca="1">C326*(VLOOKUP('Crédito de Vivienda UVR'!$C$26,Seguros_Oblig!$A$3:$B$55,2,FALSE))</f>
        <v>#VALUE!</v>
      </c>
      <c r="J327" s="313" t="e">
        <f ca="1">C326*(VLOOKUP('Crédito de Vivienda UVR'!$C$27,Seguros_Oblig!$A$3:$B$55,2,FALSE))</f>
        <v>#VALUE!</v>
      </c>
      <c r="K327" s="35">
        <f ca="1">_xlfn.AGGREGATE(9,6,G327:J327)*'Crédito de Vivienda UVR'!$C$19</f>
        <v>0</v>
      </c>
      <c r="L327" s="7" t="e">
        <f ca="1">IF(C326&lt;1,"0",Seguros_Oblig!$K$2*('Crédito de Vivienda UVR'!$C$12*90%))</f>
        <v>#VALUE!</v>
      </c>
      <c r="M327" s="35" t="e">
        <f ca="1">K327+L327+(F327*'Crédito de Vivienda UVR'!$C$19)</f>
        <v>#VALUE!</v>
      </c>
      <c r="N327" s="316"/>
    </row>
    <row r="328" spans="2:14" ht="15.5" x14ac:dyDescent="0.35">
      <c r="B328" s="6" t="e">
        <f t="shared" ca="1" si="14"/>
        <v>#VALUE!</v>
      </c>
      <c r="C328" s="311" t="e">
        <f t="shared" ca="1" si="13"/>
        <v>#VALUE!</v>
      </c>
      <c r="D328" s="311" t="e">
        <f t="shared" ca="1" si="15"/>
        <v>#VALUE!</v>
      </c>
      <c r="E328" s="311" t="e">
        <f ca="1">C327*'Crédito de Vivienda UVR'!$E$17</f>
        <v>#VALUE!</v>
      </c>
      <c r="F328" s="322" t="e">
        <f ca="1">IF(B328=" ",0,PMT('Crédito de Vivienda UVR'!$E$17,'Crédito de Vivienda UVR'!$C$18,-'Crédito de Vivienda UVR'!$C$20,,))</f>
        <v>#VALUE!</v>
      </c>
      <c r="G328" s="320" t="e">
        <f ca="1">C327*(VLOOKUP('Crédito de Vivienda UVR'!$C$24,Seguros_Oblig!$A$3:$B$55,2,FALSE))</f>
        <v>#VALUE!</v>
      </c>
      <c r="H328" s="313" t="e">
        <f ca="1">C327*(VLOOKUP('Crédito de Vivienda UVR'!$C$25,Seguros_Oblig!$A$3:$B$55,2,FALSE))</f>
        <v>#VALUE!</v>
      </c>
      <c r="I328" s="313" t="e">
        <f ca="1">C327*(VLOOKUP('Crédito de Vivienda UVR'!$C$26,Seguros_Oblig!$A$3:$B$55,2,FALSE))</f>
        <v>#VALUE!</v>
      </c>
      <c r="J328" s="313" t="e">
        <f ca="1">C327*(VLOOKUP('Crédito de Vivienda UVR'!$C$27,Seguros_Oblig!$A$3:$B$55,2,FALSE))</f>
        <v>#VALUE!</v>
      </c>
      <c r="K328" s="35">
        <f ca="1">_xlfn.AGGREGATE(9,6,G328:J328)*'Crédito de Vivienda UVR'!$C$19</f>
        <v>0</v>
      </c>
      <c r="L328" s="7" t="e">
        <f ca="1">IF(C327&lt;1,"0",Seguros_Oblig!$K$2*('Crédito de Vivienda UVR'!$C$12*90%))</f>
        <v>#VALUE!</v>
      </c>
      <c r="M328" s="35" t="e">
        <f ca="1">K328+L328+(F328*'Crédito de Vivienda UVR'!$C$19)</f>
        <v>#VALUE!</v>
      </c>
      <c r="N328" s="316"/>
    </row>
    <row r="329" spans="2:14" ht="15.5" x14ac:dyDescent="0.35">
      <c r="B329" s="6" t="e">
        <f t="shared" ca="1" si="14"/>
        <v>#VALUE!</v>
      </c>
      <c r="C329" s="311" t="e">
        <f t="shared" ca="1" si="13"/>
        <v>#VALUE!</v>
      </c>
      <c r="D329" s="311" t="e">
        <f t="shared" ca="1" si="15"/>
        <v>#VALUE!</v>
      </c>
      <c r="E329" s="311" t="e">
        <f ca="1">C328*'Crédito de Vivienda UVR'!$E$17</f>
        <v>#VALUE!</v>
      </c>
      <c r="F329" s="322" t="e">
        <f ca="1">IF(B329=" ",0,PMT('Crédito de Vivienda UVR'!$E$17,'Crédito de Vivienda UVR'!$C$18,-'Crédito de Vivienda UVR'!$C$20,,))</f>
        <v>#VALUE!</v>
      </c>
      <c r="G329" s="320" t="e">
        <f ca="1">C328*(VLOOKUP('Crédito de Vivienda UVR'!$C$24,Seguros_Oblig!$A$3:$B$55,2,FALSE))</f>
        <v>#VALUE!</v>
      </c>
      <c r="H329" s="313" t="e">
        <f ca="1">C328*(VLOOKUP('Crédito de Vivienda UVR'!$C$25,Seguros_Oblig!$A$3:$B$55,2,FALSE))</f>
        <v>#VALUE!</v>
      </c>
      <c r="I329" s="313" t="e">
        <f ca="1">C328*(VLOOKUP('Crédito de Vivienda UVR'!$C$26,Seguros_Oblig!$A$3:$B$55,2,FALSE))</f>
        <v>#VALUE!</v>
      </c>
      <c r="J329" s="313" t="e">
        <f ca="1">C328*(VLOOKUP('Crédito de Vivienda UVR'!$C$27,Seguros_Oblig!$A$3:$B$55,2,FALSE))</f>
        <v>#VALUE!</v>
      </c>
      <c r="K329" s="35">
        <f ca="1">_xlfn.AGGREGATE(9,6,G329:J329)*'Crédito de Vivienda UVR'!$C$19</f>
        <v>0</v>
      </c>
      <c r="L329" s="7" t="e">
        <f ca="1">IF(C328&lt;1,"0",Seguros_Oblig!$K$2*('Crédito de Vivienda UVR'!$C$12*90%))</f>
        <v>#VALUE!</v>
      </c>
      <c r="M329" s="35" t="e">
        <f ca="1">K329+L329+(F329*'Crédito de Vivienda UVR'!$C$19)</f>
        <v>#VALUE!</v>
      </c>
      <c r="N329" s="316"/>
    </row>
    <row r="330" spans="2:14" ht="15.5" x14ac:dyDescent="0.35">
      <c r="B330" s="6" t="e">
        <f t="shared" ca="1" si="14"/>
        <v>#VALUE!</v>
      </c>
      <c r="C330" s="311" t="e">
        <f t="shared" ca="1" si="13"/>
        <v>#VALUE!</v>
      </c>
      <c r="D330" s="311" t="e">
        <f t="shared" ca="1" si="15"/>
        <v>#VALUE!</v>
      </c>
      <c r="E330" s="311" t="e">
        <f ca="1">C329*'Crédito de Vivienda UVR'!$E$17</f>
        <v>#VALUE!</v>
      </c>
      <c r="F330" s="322" t="e">
        <f ca="1">IF(B330=" ",0,PMT('Crédito de Vivienda UVR'!$E$17,'Crédito de Vivienda UVR'!$C$18,-'Crédito de Vivienda UVR'!$C$20,,))</f>
        <v>#VALUE!</v>
      </c>
      <c r="G330" s="320" t="e">
        <f ca="1">C329*(VLOOKUP('Crédito de Vivienda UVR'!$C$24,Seguros_Oblig!$A$3:$B$55,2,FALSE))</f>
        <v>#VALUE!</v>
      </c>
      <c r="H330" s="313" t="e">
        <f ca="1">C329*(VLOOKUP('Crédito de Vivienda UVR'!$C$25,Seguros_Oblig!$A$3:$B$55,2,FALSE))</f>
        <v>#VALUE!</v>
      </c>
      <c r="I330" s="313" t="e">
        <f ca="1">C329*(VLOOKUP('Crédito de Vivienda UVR'!$C$26,Seguros_Oblig!$A$3:$B$55,2,FALSE))</f>
        <v>#VALUE!</v>
      </c>
      <c r="J330" s="313" t="e">
        <f ca="1">C329*(VLOOKUP('Crédito de Vivienda UVR'!$C$27,Seguros_Oblig!$A$3:$B$55,2,FALSE))</f>
        <v>#VALUE!</v>
      </c>
      <c r="K330" s="35">
        <f ca="1">_xlfn.AGGREGATE(9,6,G330:J330)*'Crédito de Vivienda UVR'!$C$19</f>
        <v>0</v>
      </c>
      <c r="L330" s="7" t="e">
        <f ca="1">IF(C329&lt;1,"0",Seguros_Oblig!$K$2*('Crédito de Vivienda UVR'!$C$12*90%))</f>
        <v>#VALUE!</v>
      </c>
      <c r="M330" s="35" t="e">
        <f ca="1">K330+L330+(F330*'Crédito de Vivienda UVR'!$C$19)</f>
        <v>#VALUE!</v>
      </c>
      <c r="N330" s="316"/>
    </row>
    <row r="331" spans="2:14" ht="15.5" x14ac:dyDescent="0.35">
      <c r="B331" s="6" t="e">
        <f t="shared" ca="1" si="14"/>
        <v>#VALUE!</v>
      </c>
      <c r="C331" s="311" t="e">
        <f t="shared" ca="1" si="13"/>
        <v>#VALUE!</v>
      </c>
      <c r="D331" s="311" t="e">
        <f t="shared" ca="1" si="15"/>
        <v>#VALUE!</v>
      </c>
      <c r="E331" s="311" t="e">
        <f ca="1">C330*'Crédito de Vivienda UVR'!$E$17</f>
        <v>#VALUE!</v>
      </c>
      <c r="F331" s="322" t="e">
        <f ca="1">IF(B331=" ",0,PMT('Crédito de Vivienda UVR'!$E$17,'Crédito de Vivienda UVR'!$C$18,-'Crédito de Vivienda UVR'!$C$20,,))</f>
        <v>#VALUE!</v>
      </c>
      <c r="G331" s="320" t="e">
        <f ca="1">C330*(VLOOKUP('Crédito de Vivienda UVR'!$C$24,Seguros_Oblig!$A$3:$B$55,2,FALSE))</f>
        <v>#VALUE!</v>
      </c>
      <c r="H331" s="313" t="e">
        <f ca="1">C330*(VLOOKUP('Crédito de Vivienda UVR'!$C$25,Seguros_Oblig!$A$3:$B$55,2,FALSE))</f>
        <v>#VALUE!</v>
      </c>
      <c r="I331" s="313" t="e">
        <f ca="1">C330*(VLOOKUP('Crédito de Vivienda UVR'!$C$26,Seguros_Oblig!$A$3:$B$55,2,FALSE))</f>
        <v>#VALUE!</v>
      </c>
      <c r="J331" s="313" t="e">
        <f ca="1">C330*(VLOOKUP('Crédito de Vivienda UVR'!$C$27,Seguros_Oblig!$A$3:$B$55,2,FALSE))</f>
        <v>#VALUE!</v>
      </c>
      <c r="K331" s="35">
        <f ca="1">_xlfn.AGGREGATE(9,6,G331:J331)*'Crédito de Vivienda UVR'!$C$19</f>
        <v>0</v>
      </c>
      <c r="L331" s="7" t="e">
        <f ca="1">IF(C330&lt;1,"0",Seguros_Oblig!$K$2*('Crédito de Vivienda UVR'!$C$12*90%))</f>
        <v>#VALUE!</v>
      </c>
      <c r="M331" s="35" t="e">
        <f ca="1">K331+L331+(F331*'Crédito de Vivienda UVR'!$C$19)</f>
        <v>#VALUE!</v>
      </c>
      <c r="N331" s="316"/>
    </row>
    <row r="332" spans="2:14" ht="15.5" x14ac:dyDescent="0.35">
      <c r="B332" s="6" t="e">
        <f t="shared" ca="1" si="14"/>
        <v>#VALUE!</v>
      </c>
      <c r="C332" s="311" t="e">
        <f t="shared" ca="1" si="13"/>
        <v>#VALUE!</v>
      </c>
      <c r="D332" s="311" t="e">
        <f t="shared" ca="1" si="15"/>
        <v>#VALUE!</v>
      </c>
      <c r="E332" s="311" t="e">
        <f ca="1">C331*'Crédito de Vivienda UVR'!$E$17</f>
        <v>#VALUE!</v>
      </c>
      <c r="F332" s="322" t="e">
        <f ca="1">IF(B332=" ",0,PMT('Crédito de Vivienda UVR'!$E$17,'Crédito de Vivienda UVR'!$C$18,-'Crédito de Vivienda UVR'!$C$20,,))</f>
        <v>#VALUE!</v>
      </c>
      <c r="G332" s="320" t="e">
        <f ca="1">C331*(VLOOKUP('Crédito de Vivienda UVR'!$C$24,Seguros_Oblig!$A$3:$B$55,2,FALSE))</f>
        <v>#VALUE!</v>
      </c>
      <c r="H332" s="313" t="e">
        <f ca="1">C331*(VLOOKUP('Crédito de Vivienda UVR'!$C$25,Seguros_Oblig!$A$3:$B$55,2,FALSE))</f>
        <v>#VALUE!</v>
      </c>
      <c r="I332" s="313" t="e">
        <f ca="1">C331*(VLOOKUP('Crédito de Vivienda UVR'!$C$26,Seguros_Oblig!$A$3:$B$55,2,FALSE))</f>
        <v>#VALUE!</v>
      </c>
      <c r="J332" s="313" t="e">
        <f ca="1">C331*(VLOOKUP('Crédito de Vivienda UVR'!$C$27,Seguros_Oblig!$A$3:$B$55,2,FALSE))</f>
        <v>#VALUE!</v>
      </c>
      <c r="K332" s="35">
        <f ca="1">_xlfn.AGGREGATE(9,6,G332:J332)*'Crédito de Vivienda UVR'!$C$19</f>
        <v>0</v>
      </c>
      <c r="L332" s="7" t="e">
        <f ca="1">IF(C331&lt;1,"0",Seguros_Oblig!$K$2*('Crédito de Vivienda UVR'!$C$12*90%))</f>
        <v>#VALUE!</v>
      </c>
      <c r="M332" s="35" t="e">
        <f ca="1">K332+L332+(F332*'Crédito de Vivienda UVR'!$C$19)</f>
        <v>#VALUE!</v>
      </c>
      <c r="N332" s="316"/>
    </row>
    <row r="333" spans="2:14" ht="15.5" x14ac:dyDescent="0.35">
      <c r="B333" s="6" t="e">
        <f t="shared" ca="1" si="14"/>
        <v>#VALUE!</v>
      </c>
      <c r="C333" s="311" t="e">
        <f t="shared" ca="1" si="13"/>
        <v>#VALUE!</v>
      </c>
      <c r="D333" s="311" t="e">
        <f t="shared" ca="1" si="15"/>
        <v>#VALUE!</v>
      </c>
      <c r="E333" s="311" t="e">
        <f ca="1">C332*'Crédito de Vivienda UVR'!$E$17</f>
        <v>#VALUE!</v>
      </c>
      <c r="F333" s="322" t="e">
        <f ca="1">IF(B333=" ",0,PMT('Crédito de Vivienda UVR'!$E$17,'Crédito de Vivienda UVR'!$C$18,-'Crédito de Vivienda UVR'!$C$20,,))</f>
        <v>#VALUE!</v>
      </c>
      <c r="G333" s="320" t="e">
        <f ca="1">C332*(VLOOKUP('Crédito de Vivienda UVR'!$C$24,Seguros_Oblig!$A$3:$B$55,2,FALSE))</f>
        <v>#VALUE!</v>
      </c>
      <c r="H333" s="313" t="e">
        <f ca="1">C332*(VLOOKUP('Crédito de Vivienda UVR'!$C$25,Seguros_Oblig!$A$3:$B$55,2,FALSE))</f>
        <v>#VALUE!</v>
      </c>
      <c r="I333" s="313" t="e">
        <f ca="1">C332*(VLOOKUP('Crédito de Vivienda UVR'!$C$26,Seguros_Oblig!$A$3:$B$55,2,FALSE))</f>
        <v>#VALUE!</v>
      </c>
      <c r="J333" s="313" t="e">
        <f ca="1">C332*(VLOOKUP('Crédito de Vivienda UVR'!$C$27,Seguros_Oblig!$A$3:$B$55,2,FALSE))</f>
        <v>#VALUE!</v>
      </c>
      <c r="K333" s="35">
        <f ca="1">_xlfn.AGGREGATE(9,6,G333:J333)*'Crédito de Vivienda UVR'!$C$19</f>
        <v>0</v>
      </c>
      <c r="L333" s="7" t="e">
        <f ca="1">IF(C332&lt;1,"0",Seguros_Oblig!$K$2*('Crédito de Vivienda UVR'!$C$12*90%))</f>
        <v>#VALUE!</v>
      </c>
      <c r="M333" s="35" t="e">
        <f ca="1">K333+L333+(F333*'Crédito de Vivienda UVR'!$C$19)</f>
        <v>#VALUE!</v>
      </c>
      <c r="N333" s="316"/>
    </row>
    <row r="334" spans="2:14" ht="15.5" x14ac:dyDescent="0.35">
      <c r="B334" s="6" t="e">
        <f t="shared" ca="1" si="14"/>
        <v>#VALUE!</v>
      </c>
      <c r="C334" s="311" t="e">
        <f t="shared" ca="1" si="13"/>
        <v>#VALUE!</v>
      </c>
      <c r="D334" s="311" t="e">
        <f t="shared" ca="1" si="15"/>
        <v>#VALUE!</v>
      </c>
      <c r="E334" s="311" t="e">
        <f ca="1">C333*'Crédito de Vivienda UVR'!$E$17</f>
        <v>#VALUE!</v>
      </c>
      <c r="F334" s="322" t="e">
        <f ca="1">IF(B334=" ",0,PMT('Crédito de Vivienda UVR'!$E$17,'Crédito de Vivienda UVR'!$C$18,-'Crédito de Vivienda UVR'!$C$20,,))</f>
        <v>#VALUE!</v>
      </c>
      <c r="G334" s="320" t="e">
        <f ca="1">C333*(VLOOKUP('Crédito de Vivienda UVR'!$C$24,Seguros_Oblig!$A$3:$B$55,2,FALSE))</f>
        <v>#VALUE!</v>
      </c>
      <c r="H334" s="313" t="e">
        <f ca="1">C333*(VLOOKUP('Crédito de Vivienda UVR'!$C$25,Seguros_Oblig!$A$3:$B$55,2,FALSE))</f>
        <v>#VALUE!</v>
      </c>
      <c r="I334" s="313" t="e">
        <f ca="1">C333*(VLOOKUP('Crédito de Vivienda UVR'!$C$26,Seguros_Oblig!$A$3:$B$55,2,FALSE))</f>
        <v>#VALUE!</v>
      </c>
      <c r="J334" s="313" t="e">
        <f ca="1">C333*(VLOOKUP('Crédito de Vivienda UVR'!$C$27,Seguros_Oblig!$A$3:$B$55,2,FALSE))</f>
        <v>#VALUE!</v>
      </c>
      <c r="K334" s="35">
        <f ca="1">_xlfn.AGGREGATE(9,6,G334:J334)*'Crédito de Vivienda UVR'!$C$19</f>
        <v>0</v>
      </c>
      <c r="L334" s="7" t="e">
        <f ca="1">IF(C333&lt;1,"0",Seguros_Oblig!$K$2*('Crédito de Vivienda UVR'!$C$12*90%))</f>
        <v>#VALUE!</v>
      </c>
      <c r="M334" s="35" t="e">
        <f ca="1">K334+L334+(F334*'Crédito de Vivienda UVR'!$C$19)</f>
        <v>#VALUE!</v>
      </c>
      <c r="N334" s="316"/>
    </row>
    <row r="335" spans="2:14" ht="15.5" x14ac:dyDescent="0.35">
      <c r="B335" s="6" t="e">
        <f t="shared" ca="1" si="14"/>
        <v>#VALUE!</v>
      </c>
      <c r="C335" s="311" t="e">
        <f t="shared" ca="1" si="13"/>
        <v>#VALUE!</v>
      </c>
      <c r="D335" s="311" t="e">
        <f t="shared" ca="1" si="15"/>
        <v>#VALUE!</v>
      </c>
      <c r="E335" s="311" t="e">
        <f ca="1">C334*'Crédito de Vivienda UVR'!$E$17</f>
        <v>#VALUE!</v>
      </c>
      <c r="F335" s="322" t="e">
        <f ca="1">IF(B335=" ",0,PMT('Crédito de Vivienda UVR'!$E$17,'Crédito de Vivienda UVR'!$C$18,-'Crédito de Vivienda UVR'!$C$20,,))</f>
        <v>#VALUE!</v>
      </c>
      <c r="G335" s="320" t="e">
        <f ca="1">C334*(VLOOKUP('Crédito de Vivienda UVR'!$C$24,Seguros_Oblig!$A$3:$B$55,2,FALSE))</f>
        <v>#VALUE!</v>
      </c>
      <c r="H335" s="313" t="e">
        <f ca="1">C334*(VLOOKUP('Crédito de Vivienda UVR'!$C$25,Seguros_Oblig!$A$3:$B$55,2,FALSE))</f>
        <v>#VALUE!</v>
      </c>
      <c r="I335" s="313" t="e">
        <f ca="1">C334*(VLOOKUP('Crédito de Vivienda UVR'!$C$26,Seguros_Oblig!$A$3:$B$55,2,FALSE))</f>
        <v>#VALUE!</v>
      </c>
      <c r="J335" s="313" t="e">
        <f ca="1">C334*(VLOOKUP('Crédito de Vivienda UVR'!$C$27,Seguros_Oblig!$A$3:$B$55,2,FALSE))</f>
        <v>#VALUE!</v>
      </c>
      <c r="K335" s="35">
        <f ca="1">_xlfn.AGGREGATE(9,6,G335:J335)*'Crédito de Vivienda UVR'!$C$19</f>
        <v>0</v>
      </c>
      <c r="L335" s="7" t="e">
        <f ca="1">IF(C334&lt;1,"0",Seguros_Oblig!$K$2*('Crédito de Vivienda UVR'!$C$12*90%))</f>
        <v>#VALUE!</v>
      </c>
      <c r="M335" s="35" t="e">
        <f ca="1">K335+L335+(F335*'Crédito de Vivienda UVR'!$C$19)</f>
        <v>#VALUE!</v>
      </c>
      <c r="N335" s="316"/>
    </row>
    <row r="336" spans="2:14" ht="15.5" x14ac:dyDescent="0.35">
      <c r="B336" s="6" t="e">
        <f t="shared" ca="1" si="14"/>
        <v>#VALUE!</v>
      </c>
      <c r="C336" s="311" t="e">
        <f t="shared" ca="1" si="13"/>
        <v>#VALUE!</v>
      </c>
      <c r="D336" s="311" t="e">
        <f t="shared" ca="1" si="15"/>
        <v>#VALUE!</v>
      </c>
      <c r="E336" s="311" t="e">
        <f ca="1">C335*'Crédito de Vivienda UVR'!$E$17</f>
        <v>#VALUE!</v>
      </c>
      <c r="F336" s="322" t="e">
        <f ca="1">IF(B336=" ",0,PMT('Crédito de Vivienda UVR'!$E$17,'Crédito de Vivienda UVR'!$C$18,-'Crédito de Vivienda UVR'!$C$20,,))</f>
        <v>#VALUE!</v>
      </c>
      <c r="G336" s="320" t="e">
        <f ca="1">C335*(VLOOKUP('Crédito de Vivienda UVR'!$C$24,Seguros_Oblig!$A$3:$B$55,2,FALSE))</f>
        <v>#VALUE!</v>
      </c>
      <c r="H336" s="313" t="e">
        <f ca="1">C335*(VLOOKUP('Crédito de Vivienda UVR'!$C$25,Seguros_Oblig!$A$3:$B$55,2,FALSE))</f>
        <v>#VALUE!</v>
      </c>
      <c r="I336" s="313" t="e">
        <f ca="1">C335*(VLOOKUP('Crédito de Vivienda UVR'!$C$26,Seguros_Oblig!$A$3:$B$55,2,FALSE))</f>
        <v>#VALUE!</v>
      </c>
      <c r="J336" s="313" t="e">
        <f ca="1">C335*(VLOOKUP('Crédito de Vivienda UVR'!$C$27,Seguros_Oblig!$A$3:$B$55,2,FALSE))</f>
        <v>#VALUE!</v>
      </c>
      <c r="K336" s="35">
        <f ca="1">_xlfn.AGGREGATE(9,6,G336:J336)*'Crédito de Vivienda UVR'!$C$19</f>
        <v>0</v>
      </c>
      <c r="L336" s="7" t="e">
        <f ca="1">IF(C335&lt;1,"0",Seguros_Oblig!$K$2*('Crédito de Vivienda UVR'!$C$12*90%))</f>
        <v>#VALUE!</v>
      </c>
      <c r="M336" s="35" t="e">
        <f ca="1">K336+L336+(F336*'Crédito de Vivienda UVR'!$C$19)</f>
        <v>#VALUE!</v>
      </c>
      <c r="N336" s="316"/>
    </row>
    <row r="337" spans="2:14" ht="15.5" x14ac:dyDescent="0.35">
      <c r="B337" s="6" t="e">
        <f t="shared" ca="1" si="14"/>
        <v>#VALUE!</v>
      </c>
      <c r="C337" s="311" t="e">
        <f t="shared" ca="1" si="13"/>
        <v>#VALUE!</v>
      </c>
      <c r="D337" s="311" t="e">
        <f t="shared" ca="1" si="15"/>
        <v>#VALUE!</v>
      </c>
      <c r="E337" s="311" t="e">
        <f ca="1">C336*'Crédito de Vivienda UVR'!$E$17</f>
        <v>#VALUE!</v>
      </c>
      <c r="F337" s="322" t="e">
        <f ca="1">IF(B337=" ",0,PMT('Crédito de Vivienda UVR'!$E$17,'Crédito de Vivienda UVR'!$C$18,-'Crédito de Vivienda UVR'!$C$20,,))</f>
        <v>#VALUE!</v>
      </c>
      <c r="G337" s="320" t="e">
        <f ca="1">C336*(VLOOKUP('Crédito de Vivienda UVR'!$C$24,Seguros_Oblig!$A$3:$B$55,2,FALSE))</f>
        <v>#VALUE!</v>
      </c>
      <c r="H337" s="313" t="e">
        <f ca="1">C336*(VLOOKUP('Crédito de Vivienda UVR'!$C$25,Seguros_Oblig!$A$3:$B$55,2,FALSE))</f>
        <v>#VALUE!</v>
      </c>
      <c r="I337" s="313" t="e">
        <f ca="1">C336*(VLOOKUP('Crédito de Vivienda UVR'!$C$26,Seguros_Oblig!$A$3:$B$55,2,FALSE))</f>
        <v>#VALUE!</v>
      </c>
      <c r="J337" s="313" t="e">
        <f ca="1">C336*(VLOOKUP('Crédito de Vivienda UVR'!$C$27,Seguros_Oblig!$A$3:$B$55,2,FALSE))</f>
        <v>#VALUE!</v>
      </c>
      <c r="K337" s="35">
        <f ca="1">_xlfn.AGGREGATE(9,6,G337:J337)*'Crédito de Vivienda UVR'!$C$19</f>
        <v>0</v>
      </c>
      <c r="L337" s="7" t="e">
        <f ca="1">IF(C336&lt;1,"0",Seguros_Oblig!$K$2*('Crédito de Vivienda UVR'!$C$12*90%))</f>
        <v>#VALUE!</v>
      </c>
      <c r="M337" s="35" t="e">
        <f ca="1">K337+L337+(F337*'Crédito de Vivienda UVR'!$C$19)</f>
        <v>#VALUE!</v>
      </c>
      <c r="N337" s="316"/>
    </row>
    <row r="338" spans="2:14" ht="15.5" x14ac:dyDescent="0.35">
      <c r="B338" s="6" t="e">
        <f t="shared" ca="1" si="14"/>
        <v>#VALUE!</v>
      </c>
      <c r="C338" s="311" t="e">
        <f t="shared" ca="1" si="13"/>
        <v>#VALUE!</v>
      </c>
      <c r="D338" s="311" t="e">
        <f t="shared" ca="1" si="15"/>
        <v>#VALUE!</v>
      </c>
      <c r="E338" s="311" t="e">
        <f ca="1">C337*'Crédito de Vivienda UVR'!$E$17</f>
        <v>#VALUE!</v>
      </c>
      <c r="F338" s="322" t="e">
        <f ca="1">IF(B338=" ",0,PMT('Crédito de Vivienda UVR'!$E$17,'Crédito de Vivienda UVR'!$C$18,-'Crédito de Vivienda UVR'!$C$20,,))</f>
        <v>#VALUE!</v>
      </c>
      <c r="G338" s="320" t="e">
        <f ca="1">C337*(VLOOKUP('Crédito de Vivienda UVR'!$C$24,Seguros_Oblig!$A$3:$B$55,2,FALSE))</f>
        <v>#VALUE!</v>
      </c>
      <c r="H338" s="313" t="e">
        <f ca="1">C337*(VLOOKUP('Crédito de Vivienda UVR'!$C$25,Seguros_Oblig!$A$3:$B$55,2,FALSE))</f>
        <v>#VALUE!</v>
      </c>
      <c r="I338" s="313" t="e">
        <f ca="1">C337*(VLOOKUP('Crédito de Vivienda UVR'!$C$26,Seguros_Oblig!$A$3:$B$55,2,FALSE))</f>
        <v>#VALUE!</v>
      </c>
      <c r="J338" s="313" t="e">
        <f ca="1">C337*(VLOOKUP('Crédito de Vivienda UVR'!$C$27,Seguros_Oblig!$A$3:$B$55,2,FALSE))</f>
        <v>#VALUE!</v>
      </c>
      <c r="K338" s="35">
        <f ca="1">_xlfn.AGGREGATE(9,6,G338:J338)*'Crédito de Vivienda UVR'!$C$19</f>
        <v>0</v>
      </c>
      <c r="L338" s="7" t="e">
        <f ca="1">IF(C337&lt;1,"0",Seguros_Oblig!$K$2*('Crédito de Vivienda UVR'!$C$12*90%))</f>
        <v>#VALUE!</v>
      </c>
      <c r="M338" s="35" t="e">
        <f ca="1">K338+L338+(F338*'Crédito de Vivienda UVR'!$C$19)</f>
        <v>#VALUE!</v>
      </c>
      <c r="N338" s="316"/>
    </row>
    <row r="339" spans="2:14" ht="15.5" x14ac:dyDescent="0.35">
      <c r="B339" s="6" t="e">
        <f t="shared" ca="1" si="14"/>
        <v>#VALUE!</v>
      </c>
      <c r="C339" s="311" t="e">
        <f t="shared" ca="1" si="13"/>
        <v>#VALUE!</v>
      </c>
      <c r="D339" s="311" t="e">
        <f t="shared" ca="1" si="15"/>
        <v>#VALUE!</v>
      </c>
      <c r="E339" s="311" t="e">
        <f ca="1">C338*'Crédito de Vivienda UVR'!$E$17</f>
        <v>#VALUE!</v>
      </c>
      <c r="F339" s="322" t="e">
        <f ca="1">IF(B339=" ",0,PMT('Crédito de Vivienda UVR'!$E$17,'Crédito de Vivienda UVR'!$C$18,-'Crédito de Vivienda UVR'!$C$20,,))</f>
        <v>#VALUE!</v>
      </c>
      <c r="G339" s="320" t="e">
        <f ca="1">C338*(VLOOKUP('Crédito de Vivienda UVR'!$C$24,Seguros_Oblig!$A$3:$B$55,2,FALSE))</f>
        <v>#VALUE!</v>
      </c>
      <c r="H339" s="313" t="e">
        <f ca="1">C338*(VLOOKUP('Crédito de Vivienda UVR'!$C$25,Seguros_Oblig!$A$3:$B$55,2,FALSE))</f>
        <v>#VALUE!</v>
      </c>
      <c r="I339" s="313" t="e">
        <f ca="1">C338*(VLOOKUP('Crédito de Vivienda UVR'!$C$26,Seguros_Oblig!$A$3:$B$55,2,FALSE))</f>
        <v>#VALUE!</v>
      </c>
      <c r="J339" s="313" t="e">
        <f ca="1">C338*(VLOOKUP('Crédito de Vivienda UVR'!$C$27,Seguros_Oblig!$A$3:$B$55,2,FALSE))</f>
        <v>#VALUE!</v>
      </c>
      <c r="K339" s="35">
        <f ca="1">_xlfn.AGGREGATE(9,6,G339:J339)*'Crédito de Vivienda UVR'!$C$19</f>
        <v>0</v>
      </c>
      <c r="L339" s="7" t="e">
        <f ca="1">IF(C338&lt;1,"0",Seguros_Oblig!$K$2*('Crédito de Vivienda UVR'!$C$12*90%))</f>
        <v>#VALUE!</v>
      </c>
      <c r="M339" s="35" t="e">
        <f ca="1">K339+L339+(F339*'Crédito de Vivienda UVR'!$C$19)</f>
        <v>#VALUE!</v>
      </c>
      <c r="N339" s="316"/>
    </row>
    <row r="340" spans="2:14" ht="15.5" x14ac:dyDescent="0.35">
      <c r="B340" s="6" t="e">
        <f t="shared" ca="1" si="14"/>
        <v>#VALUE!</v>
      </c>
      <c r="C340" s="311" t="e">
        <f t="shared" ref="C340:C378" ca="1" si="16">C339-D340</f>
        <v>#VALUE!</v>
      </c>
      <c r="D340" s="311" t="e">
        <f t="shared" ca="1" si="15"/>
        <v>#VALUE!</v>
      </c>
      <c r="E340" s="311" t="e">
        <f ca="1">C339*'Crédito de Vivienda UVR'!$E$17</f>
        <v>#VALUE!</v>
      </c>
      <c r="F340" s="322" t="e">
        <f ca="1">IF(B340=" ",0,PMT('Crédito de Vivienda UVR'!$E$17,'Crédito de Vivienda UVR'!$C$18,-'Crédito de Vivienda UVR'!$C$20,,))</f>
        <v>#VALUE!</v>
      </c>
      <c r="G340" s="320" t="e">
        <f ca="1">C339*(VLOOKUP('Crédito de Vivienda UVR'!$C$24,Seguros_Oblig!$A$3:$B$55,2,FALSE))</f>
        <v>#VALUE!</v>
      </c>
      <c r="H340" s="313" t="e">
        <f ca="1">C339*(VLOOKUP('Crédito de Vivienda UVR'!$C$25,Seguros_Oblig!$A$3:$B$55,2,FALSE))</f>
        <v>#VALUE!</v>
      </c>
      <c r="I340" s="313" t="e">
        <f ca="1">C339*(VLOOKUP('Crédito de Vivienda UVR'!$C$26,Seguros_Oblig!$A$3:$B$55,2,FALSE))</f>
        <v>#VALUE!</v>
      </c>
      <c r="J340" s="313" t="e">
        <f ca="1">C339*(VLOOKUP('Crédito de Vivienda UVR'!$C$27,Seguros_Oblig!$A$3:$B$55,2,FALSE))</f>
        <v>#VALUE!</v>
      </c>
      <c r="K340" s="35">
        <f ca="1">_xlfn.AGGREGATE(9,6,G340:J340)*'Crédito de Vivienda UVR'!$C$19</f>
        <v>0</v>
      </c>
      <c r="L340" s="7" t="e">
        <f ca="1">IF(C339&lt;1,"0",Seguros_Oblig!$K$2*('Crédito de Vivienda UVR'!$C$12*90%))</f>
        <v>#VALUE!</v>
      </c>
      <c r="M340" s="35" t="e">
        <f ca="1">K340+L340+(F340*'Crédito de Vivienda UVR'!$C$19)</f>
        <v>#VALUE!</v>
      </c>
      <c r="N340" s="316"/>
    </row>
    <row r="341" spans="2:14" ht="15.5" x14ac:dyDescent="0.35">
      <c r="B341" s="6" t="e">
        <f t="shared" ca="1" si="14"/>
        <v>#VALUE!</v>
      </c>
      <c r="C341" s="311" t="e">
        <f t="shared" ca="1" si="16"/>
        <v>#VALUE!</v>
      </c>
      <c r="D341" s="311" t="e">
        <f t="shared" ca="1" si="15"/>
        <v>#VALUE!</v>
      </c>
      <c r="E341" s="311" t="e">
        <f ca="1">C340*'Crédito de Vivienda UVR'!$E$17</f>
        <v>#VALUE!</v>
      </c>
      <c r="F341" s="322" t="e">
        <f ca="1">IF(B341=" ",0,PMT('Crédito de Vivienda UVR'!$E$17,'Crédito de Vivienda UVR'!$C$18,-'Crédito de Vivienda UVR'!$C$20,,))</f>
        <v>#VALUE!</v>
      </c>
      <c r="G341" s="320" t="e">
        <f ca="1">C340*(VLOOKUP('Crédito de Vivienda UVR'!$C$24,Seguros_Oblig!$A$3:$B$55,2,FALSE))</f>
        <v>#VALUE!</v>
      </c>
      <c r="H341" s="313" t="e">
        <f ca="1">C340*(VLOOKUP('Crédito de Vivienda UVR'!$C$25,Seguros_Oblig!$A$3:$B$55,2,FALSE))</f>
        <v>#VALUE!</v>
      </c>
      <c r="I341" s="313" t="e">
        <f ca="1">C340*(VLOOKUP('Crédito de Vivienda UVR'!$C$26,Seguros_Oblig!$A$3:$B$55,2,FALSE))</f>
        <v>#VALUE!</v>
      </c>
      <c r="J341" s="313" t="e">
        <f ca="1">C340*(VLOOKUP('Crédito de Vivienda UVR'!$C$27,Seguros_Oblig!$A$3:$B$55,2,FALSE))</f>
        <v>#VALUE!</v>
      </c>
      <c r="K341" s="35">
        <f ca="1">_xlfn.AGGREGATE(9,6,G341:J341)*'Crédito de Vivienda UVR'!$C$19</f>
        <v>0</v>
      </c>
      <c r="L341" s="7" t="e">
        <f ca="1">IF(C340&lt;1,"0",Seguros_Oblig!$K$2*('Crédito de Vivienda UVR'!$C$12*90%))</f>
        <v>#VALUE!</v>
      </c>
      <c r="M341" s="35" t="e">
        <f ca="1">K341+L341+(F341*'Crédito de Vivienda UVR'!$C$19)</f>
        <v>#VALUE!</v>
      </c>
      <c r="N341" s="316"/>
    </row>
    <row r="342" spans="2:14" ht="15.5" x14ac:dyDescent="0.35">
      <c r="B342" s="6" t="e">
        <f t="shared" ca="1" si="14"/>
        <v>#VALUE!</v>
      </c>
      <c r="C342" s="311" t="e">
        <f t="shared" ca="1" si="16"/>
        <v>#VALUE!</v>
      </c>
      <c r="D342" s="311" t="e">
        <f t="shared" ca="1" si="15"/>
        <v>#VALUE!</v>
      </c>
      <c r="E342" s="311" t="e">
        <f ca="1">C341*'Crédito de Vivienda UVR'!$E$17</f>
        <v>#VALUE!</v>
      </c>
      <c r="F342" s="322" t="e">
        <f ca="1">IF(B342=" ",0,PMT('Crédito de Vivienda UVR'!$E$17,'Crédito de Vivienda UVR'!$C$18,-'Crédito de Vivienda UVR'!$C$20,,))</f>
        <v>#VALUE!</v>
      </c>
      <c r="G342" s="320" t="e">
        <f ca="1">C341*(VLOOKUP('Crédito de Vivienda UVR'!$C$24,Seguros_Oblig!$A$3:$B$55,2,FALSE))</f>
        <v>#VALUE!</v>
      </c>
      <c r="H342" s="313" t="e">
        <f ca="1">C341*(VLOOKUP('Crédito de Vivienda UVR'!$C$25,Seguros_Oblig!$A$3:$B$55,2,FALSE))</f>
        <v>#VALUE!</v>
      </c>
      <c r="I342" s="313" t="e">
        <f ca="1">C341*(VLOOKUP('Crédito de Vivienda UVR'!$C$26,Seguros_Oblig!$A$3:$B$55,2,FALSE))</f>
        <v>#VALUE!</v>
      </c>
      <c r="J342" s="313" t="e">
        <f ca="1">C341*(VLOOKUP('Crédito de Vivienda UVR'!$C$27,Seguros_Oblig!$A$3:$B$55,2,FALSE))</f>
        <v>#VALUE!</v>
      </c>
      <c r="K342" s="35">
        <f ca="1">_xlfn.AGGREGATE(9,6,G342:J342)*'Crédito de Vivienda UVR'!$C$19</f>
        <v>0</v>
      </c>
      <c r="L342" s="7" t="e">
        <f ca="1">IF(C341&lt;1,"0",Seguros_Oblig!$K$2*('Crédito de Vivienda UVR'!$C$12*90%))</f>
        <v>#VALUE!</v>
      </c>
      <c r="M342" s="35" t="e">
        <f ca="1">K342+L342+(F342*'Crédito de Vivienda UVR'!$C$19)</f>
        <v>#VALUE!</v>
      </c>
      <c r="N342" s="316"/>
    </row>
    <row r="343" spans="2:14" ht="15.5" x14ac:dyDescent="0.35">
      <c r="B343" s="6" t="e">
        <f t="shared" ca="1" si="14"/>
        <v>#VALUE!</v>
      </c>
      <c r="C343" s="311" t="e">
        <f t="shared" ca="1" si="16"/>
        <v>#VALUE!</v>
      </c>
      <c r="D343" s="311" t="e">
        <f t="shared" ca="1" si="15"/>
        <v>#VALUE!</v>
      </c>
      <c r="E343" s="311" t="e">
        <f ca="1">C342*'Crédito de Vivienda UVR'!$E$17</f>
        <v>#VALUE!</v>
      </c>
      <c r="F343" s="322" t="e">
        <f ca="1">IF(B343=" ",0,PMT('Crédito de Vivienda UVR'!$E$17,'Crédito de Vivienda UVR'!$C$18,-'Crédito de Vivienda UVR'!$C$20,,))</f>
        <v>#VALUE!</v>
      </c>
      <c r="G343" s="320" t="e">
        <f ca="1">C342*(VLOOKUP('Crédito de Vivienda UVR'!$C$24,Seguros_Oblig!$A$3:$B$55,2,FALSE))</f>
        <v>#VALUE!</v>
      </c>
      <c r="H343" s="313" t="e">
        <f ca="1">C342*(VLOOKUP('Crédito de Vivienda UVR'!$C$25,Seguros_Oblig!$A$3:$B$55,2,FALSE))</f>
        <v>#VALUE!</v>
      </c>
      <c r="I343" s="313" t="e">
        <f ca="1">C342*(VLOOKUP('Crédito de Vivienda UVR'!$C$26,Seguros_Oblig!$A$3:$B$55,2,FALSE))</f>
        <v>#VALUE!</v>
      </c>
      <c r="J343" s="313" t="e">
        <f ca="1">C342*(VLOOKUP('Crédito de Vivienda UVR'!$C$27,Seguros_Oblig!$A$3:$B$55,2,FALSE))</f>
        <v>#VALUE!</v>
      </c>
      <c r="K343" s="35">
        <f ca="1">_xlfn.AGGREGATE(9,6,G343:J343)*'Crédito de Vivienda UVR'!$C$19</f>
        <v>0</v>
      </c>
      <c r="L343" s="7" t="e">
        <f ca="1">IF(C342&lt;1,"0",Seguros_Oblig!$K$2*('Crédito de Vivienda UVR'!$C$12*90%))</f>
        <v>#VALUE!</v>
      </c>
      <c r="M343" s="35" t="e">
        <f ca="1">K343+L343+(F343*'Crédito de Vivienda UVR'!$C$19)</f>
        <v>#VALUE!</v>
      </c>
      <c r="N343" s="316"/>
    </row>
    <row r="344" spans="2:14" ht="15.5" x14ac:dyDescent="0.35">
      <c r="B344" s="6" t="e">
        <f t="shared" ca="1" si="14"/>
        <v>#VALUE!</v>
      </c>
      <c r="C344" s="311" t="e">
        <f t="shared" ca="1" si="16"/>
        <v>#VALUE!</v>
      </c>
      <c r="D344" s="311" t="e">
        <f t="shared" ca="1" si="15"/>
        <v>#VALUE!</v>
      </c>
      <c r="E344" s="311" t="e">
        <f ca="1">C343*'Crédito de Vivienda UVR'!$E$17</f>
        <v>#VALUE!</v>
      </c>
      <c r="F344" s="322" t="e">
        <f ca="1">IF(B344=" ",0,PMT('Crédito de Vivienda UVR'!$E$17,'Crédito de Vivienda UVR'!$C$18,-'Crédito de Vivienda UVR'!$C$20,,))</f>
        <v>#VALUE!</v>
      </c>
      <c r="G344" s="320" t="e">
        <f ca="1">C343*(VLOOKUP('Crédito de Vivienda UVR'!$C$24,Seguros_Oblig!$A$3:$B$55,2,FALSE))</f>
        <v>#VALUE!</v>
      </c>
      <c r="H344" s="313" t="e">
        <f ca="1">C343*(VLOOKUP('Crédito de Vivienda UVR'!$C$25,Seguros_Oblig!$A$3:$B$55,2,FALSE))</f>
        <v>#VALUE!</v>
      </c>
      <c r="I344" s="313" t="e">
        <f ca="1">C343*(VLOOKUP('Crédito de Vivienda UVR'!$C$26,Seguros_Oblig!$A$3:$B$55,2,FALSE))</f>
        <v>#VALUE!</v>
      </c>
      <c r="J344" s="313" t="e">
        <f ca="1">C343*(VLOOKUP('Crédito de Vivienda UVR'!$C$27,Seguros_Oblig!$A$3:$B$55,2,FALSE))</f>
        <v>#VALUE!</v>
      </c>
      <c r="K344" s="35">
        <f ca="1">_xlfn.AGGREGATE(9,6,G344:J344)*'Crédito de Vivienda UVR'!$C$19</f>
        <v>0</v>
      </c>
      <c r="L344" s="7" t="e">
        <f ca="1">IF(C343&lt;1,"0",Seguros_Oblig!$K$2*('Crédito de Vivienda UVR'!$C$12*90%))</f>
        <v>#VALUE!</v>
      </c>
      <c r="M344" s="35" t="e">
        <f ca="1">K344+L344+(F344*'Crédito de Vivienda UVR'!$C$19)</f>
        <v>#VALUE!</v>
      </c>
      <c r="N344" s="316"/>
    </row>
    <row r="345" spans="2:14" ht="15.5" x14ac:dyDescent="0.35">
      <c r="B345" s="6" t="e">
        <f t="shared" ref="B345:B378" ca="1" si="17">IF(C344&gt;1,B344+1," ")</f>
        <v>#VALUE!</v>
      </c>
      <c r="C345" s="311" t="e">
        <f t="shared" ca="1" si="16"/>
        <v>#VALUE!</v>
      </c>
      <c r="D345" s="311" t="e">
        <f t="shared" ca="1" si="15"/>
        <v>#VALUE!</v>
      </c>
      <c r="E345" s="311" t="e">
        <f ca="1">C344*'Crédito de Vivienda UVR'!$E$17</f>
        <v>#VALUE!</v>
      </c>
      <c r="F345" s="322" t="e">
        <f ca="1">IF(B345=" ",0,PMT('Crédito de Vivienda UVR'!$E$17,'Crédito de Vivienda UVR'!$C$18,-'Crédito de Vivienda UVR'!$C$20,,))</f>
        <v>#VALUE!</v>
      </c>
      <c r="G345" s="320" t="e">
        <f ca="1">C344*(VLOOKUP('Crédito de Vivienda UVR'!$C$24,Seguros_Oblig!$A$3:$B$55,2,FALSE))</f>
        <v>#VALUE!</v>
      </c>
      <c r="H345" s="313" t="e">
        <f ca="1">C344*(VLOOKUP('Crédito de Vivienda UVR'!$C$25,Seguros_Oblig!$A$3:$B$55,2,FALSE))</f>
        <v>#VALUE!</v>
      </c>
      <c r="I345" s="313" t="e">
        <f ca="1">C344*(VLOOKUP('Crédito de Vivienda UVR'!$C$26,Seguros_Oblig!$A$3:$B$55,2,FALSE))</f>
        <v>#VALUE!</v>
      </c>
      <c r="J345" s="313" t="e">
        <f ca="1">C344*(VLOOKUP('Crédito de Vivienda UVR'!$C$27,Seguros_Oblig!$A$3:$B$55,2,FALSE))</f>
        <v>#VALUE!</v>
      </c>
      <c r="K345" s="35">
        <f ca="1">_xlfn.AGGREGATE(9,6,G345:J345)*'Crédito de Vivienda UVR'!$C$19</f>
        <v>0</v>
      </c>
      <c r="L345" s="7" t="e">
        <f ca="1">IF(C344&lt;1,"0",Seguros_Oblig!$K$2*('Crédito de Vivienda UVR'!$C$12*90%))</f>
        <v>#VALUE!</v>
      </c>
      <c r="M345" s="35" t="e">
        <f ca="1">K345+L345+(F345*'Crédito de Vivienda UVR'!$C$19)</f>
        <v>#VALUE!</v>
      </c>
      <c r="N345" s="316"/>
    </row>
    <row r="346" spans="2:14" ht="15.5" x14ac:dyDescent="0.35">
      <c r="B346" s="6" t="e">
        <f t="shared" ca="1" si="17"/>
        <v>#VALUE!</v>
      </c>
      <c r="C346" s="311" t="e">
        <f t="shared" ca="1" si="16"/>
        <v>#VALUE!</v>
      </c>
      <c r="D346" s="311" t="e">
        <f t="shared" ca="1" si="15"/>
        <v>#VALUE!</v>
      </c>
      <c r="E346" s="311" t="e">
        <f ca="1">C345*'Crédito de Vivienda UVR'!$E$17</f>
        <v>#VALUE!</v>
      </c>
      <c r="F346" s="322" t="e">
        <f ca="1">IF(B346=" ",0,PMT('Crédito de Vivienda UVR'!$E$17,'Crédito de Vivienda UVR'!$C$18,-'Crédito de Vivienda UVR'!$C$20,,))</f>
        <v>#VALUE!</v>
      </c>
      <c r="G346" s="320" t="e">
        <f ca="1">C345*(VLOOKUP('Crédito de Vivienda UVR'!$C$24,Seguros_Oblig!$A$3:$B$55,2,FALSE))</f>
        <v>#VALUE!</v>
      </c>
      <c r="H346" s="313" t="e">
        <f ca="1">C345*(VLOOKUP('Crédito de Vivienda UVR'!$C$25,Seguros_Oblig!$A$3:$B$55,2,FALSE))</f>
        <v>#VALUE!</v>
      </c>
      <c r="I346" s="313" t="e">
        <f ca="1">C345*(VLOOKUP('Crédito de Vivienda UVR'!$C$26,Seguros_Oblig!$A$3:$B$55,2,FALSE))</f>
        <v>#VALUE!</v>
      </c>
      <c r="J346" s="313" t="e">
        <f ca="1">C345*(VLOOKUP('Crédito de Vivienda UVR'!$C$27,Seguros_Oblig!$A$3:$B$55,2,FALSE))</f>
        <v>#VALUE!</v>
      </c>
      <c r="K346" s="35">
        <f ca="1">_xlfn.AGGREGATE(9,6,G346:J346)*'Crédito de Vivienda UVR'!$C$19</f>
        <v>0</v>
      </c>
      <c r="L346" s="7" t="e">
        <f ca="1">IF(C345&lt;1,"0",Seguros_Oblig!$K$2*('Crédito de Vivienda UVR'!$C$12*90%))</f>
        <v>#VALUE!</v>
      </c>
      <c r="M346" s="35" t="e">
        <f ca="1">K346+L346+(F346*'Crédito de Vivienda UVR'!$C$19)</f>
        <v>#VALUE!</v>
      </c>
      <c r="N346" s="316"/>
    </row>
    <row r="347" spans="2:14" ht="15.5" x14ac:dyDescent="0.35">
      <c r="B347" s="6" t="e">
        <f t="shared" ca="1" si="17"/>
        <v>#VALUE!</v>
      </c>
      <c r="C347" s="311" t="e">
        <f t="shared" ca="1" si="16"/>
        <v>#VALUE!</v>
      </c>
      <c r="D347" s="311" t="e">
        <f t="shared" ca="1" si="15"/>
        <v>#VALUE!</v>
      </c>
      <c r="E347" s="311" t="e">
        <f ca="1">C346*'Crédito de Vivienda UVR'!$E$17</f>
        <v>#VALUE!</v>
      </c>
      <c r="F347" s="322" t="e">
        <f ca="1">IF(B347=" ",0,PMT('Crédito de Vivienda UVR'!$E$17,'Crédito de Vivienda UVR'!$C$18,-'Crédito de Vivienda UVR'!$C$20,,))</f>
        <v>#VALUE!</v>
      </c>
      <c r="G347" s="320" t="e">
        <f ca="1">C346*(VLOOKUP('Crédito de Vivienda UVR'!$C$24,Seguros_Oblig!$A$3:$B$55,2,FALSE))</f>
        <v>#VALUE!</v>
      </c>
      <c r="H347" s="313" t="e">
        <f ca="1">C346*(VLOOKUP('Crédito de Vivienda UVR'!$C$25,Seguros_Oblig!$A$3:$B$55,2,FALSE))</f>
        <v>#VALUE!</v>
      </c>
      <c r="I347" s="313" t="e">
        <f ca="1">C346*(VLOOKUP('Crédito de Vivienda UVR'!$C$26,Seguros_Oblig!$A$3:$B$55,2,FALSE))</f>
        <v>#VALUE!</v>
      </c>
      <c r="J347" s="313" t="e">
        <f ca="1">C346*(VLOOKUP('Crédito de Vivienda UVR'!$C$27,Seguros_Oblig!$A$3:$B$55,2,FALSE))</f>
        <v>#VALUE!</v>
      </c>
      <c r="K347" s="35">
        <f ca="1">_xlfn.AGGREGATE(9,6,G347:J347)*'Crédito de Vivienda UVR'!$C$19</f>
        <v>0</v>
      </c>
      <c r="L347" s="7" t="e">
        <f ca="1">IF(C346&lt;1,"0",Seguros_Oblig!$K$2*('Crédito de Vivienda UVR'!$C$12*90%))</f>
        <v>#VALUE!</v>
      </c>
      <c r="M347" s="35" t="e">
        <f ca="1">K347+L347+(F347*'Crédito de Vivienda UVR'!$C$19)</f>
        <v>#VALUE!</v>
      </c>
      <c r="N347" s="316"/>
    </row>
    <row r="348" spans="2:14" ht="15.5" x14ac:dyDescent="0.35">
      <c r="B348" s="6" t="e">
        <f t="shared" ca="1" si="17"/>
        <v>#VALUE!</v>
      </c>
      <c r="C348" s="311" t="e">
        <f t="shared" ca="1" si="16"/>
        <v>#VALUE!</v>
      </c>
      <c r="D348" s="311" t="e">
        <f t="shared" ca="1" si="15"/>
        <v>#VALUE!</v>
      </c>
      <c r="E348" s="311" t="e">
        <f ca="1">C347*'Crédito de Vivienda UVR'!$E$17</f>
        <v>#VALUE!</v>
      </c>
      <c r="F348" s="322" t="e">
        <f ca="1">IF(B348=" ",0,PMT('Crédito de Vivienda UVR'!$E$17,'Crédito de Vivienda UVR'!$C$18,-'Crédito de Vivienda UVR'!$C$20,,))</f>
        <v>#VALUE!</v>
      </c>
      <c r="G348" s="320" t="e">
        <f ca="1">C347*(VLOOKUP('Crédito de Vivienda UVR'!$C$24,Seguros_Oblig!$A$3:$B$55,2,FALSE))</f>
        <v>#VALUE!</v>
      </c>
      <c r="H348" s="313" t="e">
        <f ca="1">C347*(VLOOKUP('Crédito de Vivienda UVR'!$C$25,Seguros_Oblig!$A$3:$B$55,2,FALSE))</f>
        <v>#VALUE!</v>
      </c>
      <c r="I348" s="313" t="e">
        <f ca="1">C347*(VLOOKUP('Crédito de Vivienda UVR'!$C$26,Seguros_Oblig!$A$3:$B$55,2,FALSE))</f>
        <v>#VALUE!</v>
      </c>
      <c r="J348" s="313" t="e">
        <f ca="1">C347*(VLOOKUP('Crédito de Vivienda UVR'!$C$27,Seguros_Oblig!$A$3:$B$55,2,FALSE))</f>
        <v>#VALUE!</v>
      </c>
      <c r="K348" s="35">
        <f ca="1">_xlfn.AGGREGATE(9,6,G348:J348)*'Crédito de Vivienda UVR'!$C$19</f>
        <v>0</v>
      </c>
      <c r="L348" s="7" t="e">
        <f ca="1">IF(C347&lt;1,"0",Seguros_Oblig!$K$2*('Crédito de Vivienda UVR'!$C$12*90%))</f>
        <v>#VALUE!</v>
      </c>
      <c r="M348" s="35" t="e">
        <f ca="1">K348+L348+(F348*'Crédito de Vivienda UVR'!$C$19)</f>
        <v>#VALUE!</v>
      </c>
      <c r="N348" s="316"/>
    </row>
    <row r="349" spans="2:14" ht="15.5" x14ac:dyDescent="0.35">
      <c r="B349" s="6" t="e">
        <f t="shared" ca="1" si="17"/>
        <v>#VALUE!</v>
      </c>
      <c r="C349" s="311" t="e">
        <f t="shared" ca="1" si="16"/>
        <v>#VALUE!</v>
      </c>
      <c r="D349" s="311" t="e">
        <f t="shared" ca="1" si="15"/>
        <v>#VALUE!</v>
      </c>
      <c r="E349" s="311" t="e">
        <f ca="1">C348*'Crédito de Vivienda UVR'!$E$17</f>
        <v>#VALUE!</v>
      </c>
      <c r="F349" s="322" t="e">
        <f ca="1">IF(B349=" ",0,PMT('Crédito de Vivienda UVR'!$E$17,'Crédito de Vivienda UVR'!$C$18,-'Crédito de Vivienda UVR'!$C$20,,))</f>
        <v>#VALUE!</v>
      </c>
      <c r="G349" s="320" t="e">
        <f ca="1">C348*(VLOOKUP('Crédito de Vivienda UVR'!$C$24,Seguros_Oblig!$A$3:$B$55,2,FALSE))</f>
        <v>#VALUE!</v>
      </c>
      <c r="H349" s="313" t="e">
        <f ca="1">C348*(VLOOKUP('Crédito de Vivienda UVR'!$C$25,Seguros_Oblig!$A$3:$B$55,2,FALSE))</f>
        <v>#VALUE!</v>
      </c>
      <c r="I349" s="313" t="e">
        <f ca="1">C348*(VLOOKUP('Crédito de Vivienda UVR'!$C$26,Seguros_Oblig!$A$3:$B$55,2,FALSE))</f>
        <v>#VALUE!</v>
      </c>
      <c r="J349" s="313" t="e">
        <f ca="1">C348*(VLOOKUP('Crédito de Vivienda UVR'!$C$27,Seguros_Oblig!$A$3:$B$55,2,FALSE))</f>
        <v>#VALUE!</v>
      </c>
      <c r="K349" s="35">
        <f ca="1">_xlfn.AGGREGATE(9,6,G349:J349)*'Crédito de Vivienda UVR'!$C$19</f>
        <v>0</v>
      </c>
      <c r="L349" s="7" t="e">
        <f ca="1">IF(C348&lt;1,"0",Seguros_Oblig!$K$2*('Crédito de Vivienda UVR'!$C$12*90%))</f>
        <v>#VALUE!</v>
      </c>
      <c r="M349" s="35" t="e">
        <f ca="1">K349+L349+(F349*'Crédito de Vivienda UVR'!$C$19)</f>
        <v>#VALUE!</v>
      </c>
      <c r="N349" s="316"/>
    </row>
    <row r="350" spans="2:14" ht="15.5" x14ac:dyDescent="0.35">
      <c r="B350" s="6" t="e">
        <f t="shared" ca="1" si="17"/>
        <v>#VALUE!</v>
      </c>
      <c r="C350" s="311" t="e">
        <f t="shared" ca="1" si="16"/>
        <v>#VALUE!</v>
      </c>
      <c r="D350" s="311" t="e">
        <f t="shared" ca="1" si="15"/>
        <v>#VALUE!</v>
      </c>
      <c r="E350" s="311" t="e">
        <f ca="1">C349*'Crédito de Vivienda UVR'!$E$17</f>
        <v>#VALUE!</v>
      </c>
      <c r="F350" s="322" t="e">
        <f ca="1">IF(B350=" ",0,PMT('Crédito de Vivienda UVR'!$E$17,'Crédito de Vivienda UVR'!$C$18,-'Crédito de Vivienda UVR'!$C$20,,))</f>
        <v>#VALUE!</v>
      </c>
      <c r="G350" s="320" t="e">
        <f ca="1">C349*(VLOOKUP('Crédito de Vivienda UVR'!$C$24,Seguros_Oblig!$A$3:$B$55,2,FALSE))</f>
        <v>#VALUE!</v>
      </c>
      <c r="H350" s="313" t="e">
        <f ca="1">C349*(VLOOKUP('Crédito de Vivienda UVR'!$C$25,Seguros_Oblig!$A$3:$B$55,2,FALSE))</f>
        <v>#VALUE!</v>
      </c>
      <c r="I350" s="313" t="e">
        <f ca="1">C349*(VLOOKUP('Crédito de Vivienda UVR'!$C$26,Seguros_Oblig!$A$3:$B$55,2,FALSE))</f>
        <v>#VALUE!</v>
      </c>
      <c r="J350" s="313" t="e">
        <f ca="1">C349*(VLOOKUP('Crédito de Vivienda UVR'!$C$27,Seguros_Oblig!$A$3:$B$55,2,FALSE))</f>
        <v>#VALUE!</v>
      </c>
      <c r="K350" s="35">
        <f ca="1">_xlfn.AGGREGATE(9,6,G350:J350)*'Crédito de Vivienda UVR'!$C$19</f>
        <v>0</v>
      </c>
      <c r="L350" s="7" t="e">
        <f ca="1">IF(C349&lt;1,"0",Seguros_Oblig!$K$2*('Crédito de Vivienda UVR'!$C$12*90%))</f>
        <v>#VALUE!</v>
      </c>
      <c r="M350" s="35" t="e">
        <f ca="1">K350+L350+(F350*'Crédito de Vivienda UVR'!$C$19)</f>
        <v>#VALUE!</v>
      </c>
      <c r="N350" s="316"/>
    </row>
    <row r="351" spans="2:14" ht="15.5" x14ac:dyDescent="0.35">
      <c r="B351" s="6" t="e">
        <f t="shared" ca="1" si="17"/>
        <v>#VALUE!</v>
      </c>
      <c r="C351" s="311" t="e">
        <f t="shared" ca="1" si="16"/>
        <v>#VALUE!</v>
      </c>
      <c r="D351" s="311" t="e">
        <f t="shared" ref="D351:D378" ca="1" si="18">IF(C350&lt;1,"0",F351-E351)</f>
        <v>#VALUE!</v>
      </c>
      <c r="E351" s="311" t="e">
        <f ca="1">C350*'Crédito de Vivienda UVR'!$E$17</f>
        <v>#VALUE!</v>
      </c>
      <c r="F351" s="322" t="e">
        <f ca="1">IF(B351=" ",0,PMT('Crédito de Vivienda UVR'!$E$17,'Crédito de Vivienda UVR'!$C$18,-'Crédito de Vivienda UVR'!$C$20,,))</f>
        <v>#VALUE!</v>
      </c>
      <c r="G351" s="320" t="e">
        <f ca="1">C350*(VLOOKUP('Crédito de Vivienda UVR'!$C$24,Seguros_Oblig!$A$3:$B$55,2,FALSE))</f>
        <v>#VALUE!</v>
      </c>
      <c r="H351" s="313" t="e">
        <f ca="1">C350*(VLOOKUP('Crédito de Vivienda UVR'!$C$25,Seguros_Oblig!$A$3:$B$55,2,FALSE))</f>
        <v>#VALUE!</v>
      </c>
      <c r="I351" s="313" t="e">
        <f ca="1">C350*(VLOOKUP('Crédito de Vivienda UVR'!$C$26,Seguros_Oblig!$A$3:$B$55,2,FALSE))</f>
        <v>#VALUE!</v>
      </c>
      <c r="J351" s="313" t="e">
        <f ca="1">C350*(VLOOKUP('Crédito de Vivienda UVR'!$C$27,Seguros_Oblig!$A$3:$B$55,2,FALSE))</f>
        <v>#VALUE!</v>
      </c>
      <c r="K351" s="35">
        <f ca="1">_xlfn.AGGREGATE(9,6,G351:J351)*'Crédito de Vivienda UVR'!$C$19</f>
        <v>0</v>
      </c>
      <c r="L351" s="7" t="e">
        <f ca="1">IF(C350&lt;1,"0",Seguros_Oblig!$K$2*('Crédito de Vivienda UVR'!$C$12*90%))</f>
        <v>#VALUE!</v>
      </c>
      <c r="M351" s="35" t="e">
        <f ca="1">K351+L351+(F351*'Crédito de Vivienda UVR'!$C$19)</f>
        <v>#VALUE!</v>
      </c>
      <c r="N351" s="316"/>
    </row>
    <row r="352" spans="2:14" ht="15.5" x14ac:dyDescent="0.35">
      <c r="B352" s="6" t="e">
        <f t="shared" ca="1" si="17"/>
        <v>#VALUE!</v>
      </c>
      <c r="C352" s="311" t="e">
        <f t="shared" ca="1" si="16"/>
        <v>#VALUE!</v>
      </c>
      <c r="D352" s="311" t="e">
        <f t="shared" ca="1" si="18"/>
        <v>#VALUE!</v>
      </c>
      <c r="E352" s="311" t="e">
        <f ca="1">C351*'Crédito de Vivienda UVR'!$E$17</f>
        <v>#VALUE!</v>
      </c>
      <c r="F352" s="322" t="e">
        <f ca="1">IF(B352=" ",0,PMT('Crédito de Vivienda UVR'!$E$17,'Crédito de Vivienda UVR'!$C$18,-'Crédito de Vivienda UVR'!$C$20,,))</f>
        <v>#VALUE!</v>
      </c>
      <c r="G352" s="320" t="e">
        <f ca="1">C351*(VLOOKUP('Crédito de Vivienda UVR'!$C$24,Seguros_Oblig!$A$3:$B$55,2,FALSE))</f>
        <v>#VALUE!</v>
      </c>
      <c r="H352" s="313" t="e">
        <f ca="1">C351*(VLOOKUP('Crédito de Vivienda UVR'!$C$25,Seguros_Oblig!$A$3:$B$55,2,FALSE))</f>
        <v>#VALUE!</v>
      </c>
      <c r="I352" s="313" t="e">
        <f ca="1">C351*(VLOOKUP('Crédito de Vivienda UVR'!$C$26,Seguros_Oblig!$A$3:$B$55,2,FALSE))</f>
        <v>#VALUE!</v>
      </c>
      <c r="J352" s="313" t="e">
        <f ca="1">C351*(VLOOKUP('Crédito de Vivienda UVR'!$C$27,Seguros_Oblig!$A$3:$B$55,2,FALSE))</f>
        <v>#VALUE!</v>
      </c>
      <c r="K352" s="35">
        <f ca="1">_xlfn.AGGREGATE(9,6,G352:J352)*'Crédito de Vivienda UVR'!$C$19</f>
        <v>0</v>
      </c>
      <c r="L352" s="7" t="e">
        <f ca="1">IF(C351&lt;1,"0",Seguros_Oblig!$K$2*('Crédito de Vivienda UVR'!$C$12*90%))</f>
        <v>#VALUE!</v>
      </c>
      <c r="M352" s="35" t="e">
        <f ca="1">K352+L352+(F352*'Crédito de Vivienda UVR'!$C$19)</f>
        <v>#VALUE!</v>
      </c>
      <c r="N352" s="316"/>
    </row>
    <row r="353" spans="2:14" ht="15.5" x14ac:dyDescent="0.35">
      <c r="B353" s="6" t="e">
        <f t="shared" ca="1" si="17"/>
        <v>#VALUE!</v>
      </c>
      <c r="C353" s="311" t="e">
        <f t="shared" ca="1" si="16"/>
        <v>#VALUE!</v>
      </c>
      <c r="D353" s="311" t="e">
        <f t="shared" ca="1" si="18"/>
        <v>#VALUE!</v>
      </c>
      <c r="E353" s="311" t="e">
        <f ca="1">C352*'Crédito de Vivienda UVR'!$E$17</f>
        <v>#VALUE!</v>
      </c>
      <c r="F353" s="322" t="e">
        <f ca="1">IF(B353=" ",0,PMT('Crédito de Vivienda UVR'!$E$17,'Crédito de Vivienda UVR'!$C$18,-'Crédito de Vivienda UVR'!$C$20,,))</f>
        <v>#VALUE!</v>
      </c>
      <c r="G353" s="320" t="e">
        <f ca="1">C352*(VLOOKUP('Crédito de Vivienda UVR'!$C$24,Seguros_Oblig!$A$3:$B$55,2,FALSE))</f>
        <v>#VALUE!</v>
      </c>
      <c r="H353" s="313" t="e">
        <f ca="1">C352*(VLOOKUP('Crédito de Vivienda UVR'!$C$25,Seguros_Oblig!$A$3:$B$55,2,FALSE))</f>
        <v>#VALUE!</v>
      </c>
      <c r="I353" s="313" t="e">
        <f ca="1">C352*(VLOOKUP('Crédito de Vivienda UVR'!$C$26,Seguros_Oblig!$A$3:$B$55,2,FALSE))</f>
        <v>#VALUE!</v>
      </c>
      <c r="J353" s="313" t="e">
        <f ca="1">C352*(VLOOKUP('Crédito de Vivienda UVR'!$C$27,Seguros_Oblig!$A$3:$B$55,2,FALSE))</f>
        <v>#VALUE!</v>
      </c>
      <c r="K353" s="35">
        <f ca="1">_xlfn.AGGREGATE(9,6,G353:J353)*'Crédito de Vivienda UVR'!$C$19</f>
        <v>0</v>
      </c>
      <c r="L353" s="7" t="e">
        <f ca="1">IF(C352&lt;1,"0",Seguros_Oblig!$K$2*('Crédito de Vivienda UVR'!$C$12*90%))</f>
        <v>#VALUE!</v>
      </c>
      <c r="M353" s="35" t="e">
        <f ca="1">K353+L353+(F353*'Crédito de Vivienda UVR'!$C$19)</f>
        <v>#VALUE!</v>
      </c>
      <c r="N353" s="316"/>
    </row>
    <row r="354" spans="2:14" ht="15.5" x14ac:dyDescent="0.35">
      <c r="B354" s="6" t="e">
        <f t="shared" ca="1" si="17"/>
        <v>#VALUE!</v>
      </c>
      <c r="C354" s="311" t="e">
        <f t="shared" ca="1" si="16"/>
        <v>#VALUE!</v>
      </c>
      <c r="D354" s="311" t="e">
        <f t="shared" ca="1" si="18"/>
        <v>#VALUE!</v>
      </c>
      <c r="E354" s="311" t="e">
        <f ca="1">C353*'Crédito de Vivienda UVR'!$E$17</f>
        <v>#VALUE!</v>
      </c>
      <c r="F354" s="322" t="e">
        <f ca="1">IF(B354=" ",0,PMT('Crédito de Vivienda UVR'!$E$17,'Crédito de Vivienda UVR'!$C$18,-'Crédito de Vivienda UVR'!$C$20,,))</f>
        <v>#VALUE!</v>
      </c>
      <c r="G354" s="320" t="e">
        <f ca="1">C353*(VLOOKUP('Crédito de Vivienda UVR'!$C$24,Seguros_Oblig!$A$3:$B$55,2,FALSE))</f>
        <v>#VALUE!</v>
      </c>
      <c r="H354" s="313" t="e">
        <f ca="1">C353*(VLOOKUP('Crédito de Vivienda UVR'!$C$25,Seguros_Oblig!$A$3:$B$55,2,FALSE))</f>
        <v>#VALUE!</v>
      </c>
      <c r="I354" s="313" t="e">
        <f ca="1">C353*(VLOOKUP('Crédito de Vivienda UVR'!$C$26,Seguros_Oblig!$A$3:$B$55,2,FALSE))</f>
        <v>#VALUE!</v>
      </c>
      <c r="J354" s="313" t="e">
        <f ca="1">C353*(VLOOKUP('Crédito de Vivienda UVR'!$C$27,Seguros_Oblig!$A$3:$B$55,2,FALSE))</f>
        <v>#VALUE!</v>
      </c>
      <c r="K354" s="35">
        <f ca="1">_xlfn.AGGREGATE(9,6,G354:J354)*'Crédito de Vivienda UVR'!$C$19</f>
        <v>0</v>
      </c>
      <c r="L354" s="7" t="e">
        <f ca="1">IF(C353&lt;1,"0",Seguros_Oblig!$K$2*('Crédito de Vivienda UVR'!$C$12*90%))</f>
        <v>#VALUE!</v>
      </c>
      <c r="M354" s="35" t="e">
        <f ca="1">K354+L354+(F354*'Crédito de Vivienda UVR'!$C$19)</f>
        <v>#VALUE!</v>
      </c>
      <c r="N354" s="316"/>
    </row>
    <row r="355" spans="2:14" ht="15.5" x14ac:dyDescent="0.35">
      <c r="B355" s="6" t="e">
        <f t="shared" ca="1" si="17"/>
        <v>#VALUE!</v>
      </c>
      <c r="C355" s="311" t="e">
        <f t="shared" ca="1" si="16"/>
        <v>#VALUE!</v>
      </c>
      <c r="D355" s="311" t="e">
        <f t="shared" ca="1" si="18"/>
        <v>#VALUE!</v>
      </c>
      <c r="E355" s="311" t="e">
        <f ca="1">C354*'Crédito de Vivienda UVR'!$E$17</f>
        <v>#VALUE!</v>
      </c>
      <c r="F355" s="322" t="e">
        <f ca="1">IF(B355=" ",0,PMT('Crédito de Vivienda UVR'!$E$17,'Crédito de Vivienda UVR'!$C$18,-'Crédito de Vivienda UVR'!$C$20,,))</f>
        <v>#VALUE!</v>
      </c>
      <c r="G355" s="320" t="e">
        <f ca="1">C354*(VLOOKUP('Crédito de Vivienda UVR'!$C$24,Seguros_Oblig!$A$3:$B$55,2,FALSE))</f>
        <v>#VALUE!</v>
      </c>
      <c r="H355" s="313" t="e">
        <f ca="1">C354*(VLOOKUP('Crédito de Vivienda UVR'!$C$25,Seguros_Oblig!$A$3:$B$55,2,FALSE))</f>
        <v>#VALUE!</v>
      </c>
      <c r="I355" s="313" t="e">
        <f ca="1">C354*(VLOOKUP('Crédito de Vivienda UVR'!$C$26,Seguros_Oblig!$A$3:$B$55,2,FALSE))</f>
        <v>#VALUE!</v>
      </c>
      <c r="J355" s="313" t="e">
        <f ca="1">C354*(VLOOKUP('Crédito de Vivienda UVR'!$C$27,Seguros_Oblig!$A$3:$B$55,2,FALSE))</f>
        <v>#VALUE!</v>
      </c>
      <c r="K355" s="35">
        <f ca="1">_xlfn.AGGREGATE(9,6,G355:J355)*'Crédito de Vivienda UVR'!$C$19</f>
        <v>0</v>
      </c>
      <c r="L355" s="7" t="e">
        <f ca="1">IF(C354&lt;1,"0",Seguros_Oblig!$K$2*('Crédito de Vivienda UVR'!$C$12*90%))</f>
        <v>#VALUE!</v>
      </c>
      <c r="M355" s="35" t="e">
        <f ca="1">K355+L355+(F355*'Crédito de Vivienda UVR'!$C$19)</f>
        <v>#VALUE!</v>
      </c>
      <c r="N355" s="316"/>
    </row>
    <row r="356" spans="2:14" ht="15.5" x14ac:dyDescent="0.35">
      <c r="B356" s="6" t="e">
        <f t="shared" ca="1" si="17"/>
        <v>#VALUE!</v>
      </c>
      <c r="C356" s="311" t="e">
        <f t="shared" ca="1" si="16"/>
        <v>#VALUE!</v>
      </c>
      <c r="D356" s="311" t="e">
        <f t="shared" ca="1" si="18"/>
        <v>#VALUE!</v>
      </c>
      <c r="E356" s="311" t="e">
        <f ca="1">C355*'Crédito de Vivienda UVR'!$E$17</f>
        <v>#VALUE!</v>
      </c>
      <c r="F356" s="322" t="e">
        <f ca="1">IF(B356=" ",0,PMT('Crédito de Vivienda UVR'!$E$17,'Crédito de Vivienda UVR'!$C$18,-'Crédito de Vivienda UVR'!$C$20,,))</f>
        <v>#VALUE!</v>
      </c>
      <c r="G356" s="320" t="e">
        <f ca="1">C355*(VLOOKUP('Crédito de Vivienda UVR'!$C$24,Seguros_Oblig!$A$3:$B$55,2,FALSE))</f>
        <v>#VALUE!</v>
      </c>
      <c r="H356" s="313" t="e">
        <f ca="1">C355*(VLOOKUP('Crédito de Vivienda UVR'!$C$25,Seguros_Oblig!$A$3:$B$55,2,FALSE))</f>
        <v>#VALUE!</v>
      </c>
      <c r="I356" s="313" t="e">
        <f ca="1">C355*(VLOOKUP('Crédito de Vivienda UVR'!$C$26,Seguros_Oblig!$A$3:$B$55,2,FALSE))</f>
        <v>#VALUE!</v>
      </c>
      <c r="J356" s="313" t="e">
        <f ca="1">C355*(VLOOKUP('Crédito de Vivienda UVR'!$C$27,Seguros_Oblig!$A$3:$B$55,2,FALSE))</f>
        <v>#VALUE!</v>
      </c>
      <c r="K356" s="35">
        <f ca="1">_xlfn.AGGREGATE(9,6,G356:J356)*'Crédito de Vivienda UVR'!$C$19</f>
        <v>0</v>
      </c>
      <c r="L356" s="7" t="e">
        <f ca="1">IF(C355&lt;1,"0",Seguros_Oblig!$K$2*('Crédito de Vivienda UVR'!$C$12*90%))</f>
        <v>#VALUE!</v>
      </c>
      <c r="M356" s="35" t="e">
        <f ca="1">K356+L356+(F356*'Crédito de Vivienda UVR'!$C$19)</f>
        <v>#VALUE!</v>
      </c>
      <c r="N356" s="316"/>
    </row>
    <row r="357" spans="2:14" ht="15.5" x14ac:dyDescent="0.35">
      <c r="B357" s="6" t="e">
        <f t="shared" ca="1" si="17"/>
        <v>#VALUE!</v>
      </c>
      <c r="C357" s="311" t="e">
        <f t="shared" ca="1" si="16"/>
        <v>#VALUE!</v>
      </c>
      <c r="D357" s="311" t="e">
        <f t="shared" ca="1" si="18"/>
        <v>#VALUE!</v>
      </c>
      <c r="E357" s="311" t="e">
        <f ca="1">C356*'Crédito de Vivienda UVR'!$E$17</f>
        <v>#VALUE!</v>
      </c>
      <c r="F357" s="322" t="e">
        <f ca="1">IF(B357=" ",0,PMT('Crédito de Vivienda UVR'!$E$17,'Crédito de Vivienda UVR'!$C$18,-'Crédito de Vivienda UVR'!$C$20,,))</f>
        <v>#VALUE!</v>
      </c>
      <c r="G357" s="320" t="e">
        <f ca="1">C356*(VLOOKUP('Crédito de Vivienda UVR'!$C$24,Seguros_Oblig!$A$3:$B$55,2,FALSE))</f>
        <v>#VALUE!</v>
      </c>
      <c r="H357" s="313" t="e">
        <f ca="1">C356*(VLOOKUP('Crédito de Vivienda UVR'!$C$25,Seguros_Oblig!$A$3:$B$55,2,FALSE))</f>
        <v>#VALUE!</v>
      </c>
      <c r="I357" s="313" t="e">
        <f ca="1">C356*(VLOOKUP('Crédito de Vivienda UVR'!$C$26,Seguros_Oblig!$A$3:$B$55,2,FALSE))</f>
        <v>#VALUE!</v>
      </c>
      <c r="J357" s="313" t="e">
        <f ca="1">C356*(VLOOKUP('Crédito de Vivienda UVR'!$C$27,Seguros_Oblig!$A$3:$B$55,2,FALSE))</f>
        <v>#VALUE!</v>
      </c>
      <c r="K357" s="35">
        <f ca="1">_xlfn.AGGREGATE(9,6,G357:J357)*'Crédito de Vivienda UVR'!$C$19</f>
        <v>0</v>
      </c>
      <c r="L357" s="7" t="e">
        <f ca="1">IF(C356&lt;1,"0",Seguros_Oblig!$K$2*('Crédito de Vivienda UVR'!$C$12*90%))</f>
        <v>#VALUE!</v>
      </c>
      <c r="M357" s="35" t="e">
        <f ca="1">K357+L357+(F357*'Crédito de Vivienda UVR'!$C$19)</f>
        <v>#VALUE!</v>
      </c>
      <c r="N357" s="316"/>
    </row>
    <row r="358" spans="2:14" ht="15.5" x14ac:dyDescent="0.35">
      <c r="B358" s="6" t="e">
        <f t="shared" ca="1" si="17"/>
        <v>#VALUE!</v>
      </c>
      <c r="C358" s="311" t="e">
        <f t="shared" ca="1" si="16"/>
        <v>#VALUE!</v>
      </c>
      <c r="D358" s="311" t="e">
        <f t="shared" ca="1" si="18"/>
        <v>#VALUE!</v>
      </c>
      <c r="E358" s="311" t="e">
        <f ca="1">C357*'Crédito de Vivienda UVR'!$E$17</f>
        <v>#VALUE!</v>
      </c>
      <c r="F358" s="322" t="e">
        <f ca="1">IF(B358=" ",0,PMT('Crédito de Vivienda UVR'!$E$17,'Crédito de Vivienda UVR'!$C$18,-'Crédito de Vivienda UVR'!$C$20,,))</f>
        <v>#VALUE!</v>
      </c>
      <c r="G358" s="320" t="e">
        <f ca="1">C357*(VLOOKUP('Crédito de Vivienda UVR'!$C$24,Seguros_Oblig!$A$3:$B$55,2,FALSE))</f>
        <v>#VALUE!</v>
      </c>
      <c r="H358" s="313" t="e">
        <f ca="1">C357*(VLOOKUP('Crédito de Vivienda UVR'!$C$25,Seguros_Oblig!$A$3:$B$55,2,FALSE))</f>
        <v>#VALUE!</v>
      </c>
      <c r="I358" s="313" t="e">
        <f ca="1">C357*(VLOOKUP('Crédito de Vivienda UVR'!$C$26,Seguros_Oblig!$A$3:$B$55,2,FALSE))</f>
        <v>#VALUE!</v>
      </c>
      <c r="J358" s="313" t="e">
        <f ca="1">C357*(VLOOKUP('Crédito de Vivienda UVR'!$C$27,Seguros_Oblig!$A$3:$B$55,2,FALSE))</f>
        <v>#VALUE!</v>
      </c>
      <c r="K358" s="35">
        <f ca="1">_xlfn.AGGREGATE(9,6,G358:J358)*'Crédito de Vivienda UVR'!$C$19</f>
        <v>0</v>
      </c>
      <c r="L358" s="7" t="e">
        <f ca="1">IF(C357&lt;1,"0",Seguros_Oblig!$K$2*('Crédito de Vivienda UVR'!$C$12*90%))</f>
        <v>#VALUE!</v>
      </c>
      <c r="M358" s="35" t="e">
        <f ca="1">K358+L358+(F358*'Crédito de Vivienda UVR'!$C$19)</f>
        <v>#VALUE!</v>
      </c>
      <c r="N358" s="316"/>
    </row>
    <row r="359" spans="2:14" ht="15.5" x14ac:dyDescent="0.35">
      <c r="B359" s="6" t="e">
        <f t="shared" ca="1" si="17"/>
        <v>#VALUE!</v>
      </c>
      <c r="C359" s="311" t="e">
        <f t="shared" ca="1" si="16"/>
        <v>#VALUE!</v>
      </c>
      <c r="D359" s="311" t="e">
        <f t="shared" ca="1" si="18"/>
        <v>#VALUE!</v>
      </c>
      <c r="E359" s="311" t="e">
        <f ca="1">C358*'Crédito de Vivienda UVR'!$E$17</f>
        <v>#VALUE!</v>
      </c>
      <c r="F359" s="322" t="e">
        <f ca="1">IF(B359=" ",0,PMT('Crédito de Vivienda UVR'!$E$17,'Crédito de Vivienda UVR'!$C$18,-'Crédito de Vivienda UVR'!$C$20,,))</f>
        <v>#VALUE!</v>
      </c>
      <c r="G359" s="320" t="e">
        <f ca="1">C358*(VLOOKUP('Crédito de Vivienda UVR'!$C$24,Seguros_Oblig!$A$3:$B$55,2,FALSE))</f>
        <v>#VALUE!</v>
      </c>
      <c r="H359" s="313" t="e">
        <f ca="1">C358*(VLOOKUP('Crédito de Vivienda UVR'!$C$25,Seguros_Oblig!$A$3:$B$55,2,FALSE))</f>
        <v>#VALUE!</v>
      </c>
      <c r="I359" s="313" t="e">
        <f ca="1">C358*(VLOOKUP('Crédito de Vivienda UVR'!$C$26,Seguros_Oblig!$A$3:$B$55,2,FALSE))</f>
        <v>#VALUE!</v>
      </c>
      <c r="J359" s="313" t="e">
        <f ca="1">C358*(VLOOKUP('Crédito de Vivienda UVR'!$C$27,Seguros_Oblig!$A$3:$B$55,2,FALSE))</f>
        <v>#VALUE!</v>
      </c>
      <c r="K359" s="35">
        <f ca="1">_xlfn.AGGREGATE(9,6,G359:J359)*'Crédito de Vivienda UVR'!$C$19</f>
        <v>0</v>
      </c>
      <c r="L359" s="7" t="e">
        <f ca="1">IF(C358&lt;1,"0",Seguros_Oblig!$K$2*('Crédito de Vivienda UVR'!$C$12*90%))</f>
        <v>#VALUE!</v>
      </c>
      <c r="M359" s="35" t="e">
        <f ca="1">K359+L359+(F359*'Crédito de Vivienda UVR'!$C$19)</f>
        <v>#VALUE!</v>
      </c>
      <c r="N359" s="316"/>
    </row>
    <row r="360" spans="2:14" ht="15.5" x14ac:dyDescent="0.35">
      <c r="B360" s="6" t="e">
        <f t="shared" ca="1" si="17"/>
        <v>#VALUE!</v>
      </c>
      <c r="C360" s="311" t="e">
        <f t="shared" ca="1" si="16"/>
        <v>#VALUE!</v>
      </c>
      <c r="D360" s="311" t="e">
        <f t="shared" ca="1" si="18"/>
        <v>#VALUE!</v>
      </c>
      <c r="E360" s="311" t="e">
        <f ca="1">C359*'Crédito de Vivienda UVR'!$E$17</f>
        <v>#VALUE!</v>
      </c>
      <c r="F360" s="322" t="e">
        <f ca="1">IF(B360=" ",0,PMT('Crédito de Vivienda UVR'!$E$17,'Crédito de Vivienda UVR'!$C$18,-'Crédito de Vivienda UVR'!$C$20,,))</f>
        <v>#VALUE!</v>
      </c>
      <c r="G360" s="320" t="e">
        <f ca="1">C359*(VLOOKUP('Crédito de Vivienda UVR'!$C$24,Seguros_Oblig!$A$3:$B$55,2,FALSE))</f>
        <v>#VALUE!</v>
      </c>
      <c r="H360" s="313" t="e">
        <f ca="1">C359*(VLOOKUP('Crédito de Vivienda UVR'!$C$25,Seguros_Oblig!$A$3:$B$55,2,FALSE))</f>
        <v>#VALUE!</v>
      </c>
      <c r="I360" s="313" t="e">
        <f ca="1">C359*(VLOOKUP('Crédito de Vivienda UVR'!$C$26,Seguros_Oblig!$A$3:$B$55,2,FALSE))</f>
        <v>#VALUE!</v>
      </c>
      <c r="J360" s="313" t="e">
        <f ca="1">C359*(VLOOKUP('Crédito de Vivienda UVR'!$C$27,Seguros_Oblig!$A$3:$B$55,2,FALSE))</f>
        <v>#VALUE!</v>
      </c>
      <c r="K360" s="35">
        <f ca="1">_xlfn.AGGREGATE(9,6,G360:J360)*'Crédito de Vivienda UVR'!$C$19</f>
        <v>0</v>
      </c>
      <c r="L360" s="7" t="e">
        <f ca="1">IF(C359&lt;1,"0",Seguros_Oblig!$K$2*('Crédito de Vivienda UVR'!$C$12*90%))</f>
        <v>#VALUE!</v>
      </c>
      <c r="M360" s="35" t="e">
        <f ca="1">K360+L360+(F360*'Crédito de Vivienda UVR'!$C$19)</f>
        <v>#VALUE!</v>
      </c>
      <c r="N360" s="316"/>
    </row>
    <row r="361" spans="2:14" ht="15.5" x14ac:dyDescent="0.35">
      <c r="B361" s="6" t="e">
        <f t="shared" ca="1" si="17"/>
        <v>#VALUE!</v>
      </c>
      <c r="C361" s="311" t="e">
        <f t="shared" ca="1" si="16"/>
        <v>#VALUE!</v>
      </c>
      <c r="D361" s="311" t="e">
        <f t="shared" ca="1" si="18"/>
        <v>#VALUE!</v>
      </c>
      <c r="E361" s="311" t="e">
        <f ca="1">C360*'Crédito de Vivienda UVR'!$E$17</f>
        <v>#VALUE!</v>
      </c>
      <c r="F361" s="322" t="e">
        <f ca="1">IF(B361=" ",0,PMT('Crédito de Vivienda UVR'!$E$17,'Crédito de Vivienda UVR'!$C$18,-'Crédito de Vivienda UVR'!$C$20,,))</f>
        <v>#VALUE!</v>
      </c>
      <c r="G361" s="320" t="e">
        <f ca="1">C360*(VLOOKUP('Crédito de Vivienda UVR'!$C$24,Seguros_Oblig!$A$3:$B$55,2,FALSE))</f>
        <v>#VALUE!</v>
      </c>
      <c r="H361" s="313" t="e">
        <f ca="1">C360*(VLOOKUP('Crédito de Vivienda UVR'!$C$25,Seguros_Oblig!$A$3:$B$55,2,FALSE))</f>
        <v>#VALUE!</v>
      </c>
      <c r="I361" s="313" t="e">
        <f ca="1">C360*(VLOOKUP('Crédito de Vivienda UVR'!$C$26,Seguros_Oblig!$A$3:$B$55,2,FALSE))</f>
        <v>#VALUE!</v>
      </c>
      <c r="J361" s="313" t="e">
        <f ca="1">C360*(VLOOKUP('Crédito de Vivienda UVR'!$C$27,Seguros_Oblig!$A$3:$B$55,2,FALSE))</f>
        <v>#VALUE!</v>
      </c>
      <c r="K361" s="35">
        <f ca="1">_xlfn.AGGREGATE(9,6,G361:J361)*'Crédito de Vivienda UVR'!$C$19</f>
        <v>0</v>
      </c>
      <c r="L361" s="7" t="e">
        <f ca="1">IF(C360&lt;1,"0",Seguros_Oblig!$K$2*('Crédito de Vivienda UVR'!$C$12*90%))</f>
        <v>#VALUE!</v>
      </c>
      <c r="M361" s="35" t="e">
        <f ca="1">K361+L361+(F361*'Crédito de Vivienda UVR'!$C$19)</f>
        <v>#VALUE!</v>
      </c>
      <c r="N361" s="316"/>
    </row>
    <row r="362" spans="2:14" ht="15.5" x14ac:dyDescent="0.35">
      <c r="B362" s="6" t="e">
        <f t="shared" ca="1" si="17"/>
        <v>#VALUE!</v>
      </c>
      <c r="C362" s="311" t="e">
        <f t="shared" ca="1" si="16"/>
        <v>#VALUE!</v>
      </c>
      <c r="D362" s="311" t="e">
        <f t="shared" ca="1" si="18"/>
        <v>#VALUE!</v>
      </c>
      <c r="E362" s="311" t="e">
        <f ca="1">C361*'Crédito de Vivienda UVR'!$E$17</f>
        <v>#VALUE!</v>
      </c>
      <c r="F362" s="322" t="e">
        <f ca="1">IF(B362=" ",0,PMT('Crédito de Vivienda UVR'!$E$17,'Crédito de Vivienda UVR'!$C$18,-'Crédito de Vivienda UVR'!$C$20,,))</f>
        <v>#VALUE!</v>
      </c>
      <c r="G362" s="320" t="e">
        <f ca="1">C361*(VLOOKUP('Crédito de Vivienda UVR'!$C$24,Seguros_Oblig!$A$3:$B$55,2,FALSE))</f>
        <v>#VALUE!</v>
      </c>
      <c r="H362" s="313" t="e">
        <f ca="1">C361*(VLOOKUP('Crédito de Vivienda UVR'!$C$25,Seguros_Oblig!$A$3:$B$55,2,FALSE))</f>
        <v>#VALUE!</v>
      </c>
      <c r="I362" s="313" t="e">
        <f ca="1">C361*(VLOOKUP('Crédito de Vivienda UVR'!$C$26,Seguros_Oblig!$A$3:$B$55,2,FALSE))</f>
        <v>#VALUE!</v>
      </c>
      <c r="J362" s="313" t="e">
        <f ca="1">C361*(VLOOKUP('Crédito de Vivienda UVR'!$C$27,Seguros_Oblig!$A$3:$B$55,2,FALSE))</f>
        <v>#VALUE!</v>
      </c>
      <c r="K362" s="35">
        <f ca="1">_xlfn.AGGREGATE(9,6,G362:J362)*'Crédito de Vivienda UVR'!$C$19</f>
        <v>0</v>
      </c>
      <c r="L362" s="7" t="e">
        <f ca="1">IF(C361&lt;1,"0",Seguros_Oblig!$K$2*('Crédito de Vivienda UVR'!$C$12*90%))</f>
        <v>#VALUE!</v>
      </c>
      <c r="M362" s="35" t="e">
        <f ca="1">K362+L362+(F362*'Crédito de Vivienda UVR'!$C$19)</f>
        <v>#VALUE!</v>
      </c>
      <c r="N362" s="316"/>
    </row>
    <row r="363" spans="2:14" ht="15.5" x14ac:dyDescent="0.35">
      <c r="B363" s="6" t="e">
        <f t="shared" ca="1" si="17"/>
        <v>#VALUE!</v>
      </c>
      <c r="C363" s="311" t="e">
        <f t="shared" ca="1" si="16"/>
        <v>#VALUE!</v>
      </c>
      <c r="D363" s="311" t="e">
        <f t="shared" ca="1" si="18"/>
        <v>#VALUE!</v>
      </c>
      <c r="E363" s="311" t="e">
        <f ca="1">C362*'Crédito de Vivienda UVR'!$E$17</f>
        <v>#VALUE!</v>
      </c>
      <c r="F363" s="322" t="e">
        <f ca="1">IF(B363=" ",0,PMT('Crédito de Vivienda UVR'!$E$17,'Crédito de Vivienda UVR'!$C$18,-'Crédito de Vivienda UVR'!$C$20,,))</f>
        <v>#VALUE!</v>
      </c>
      <c r="G363" s="320" t="e">
        <f ca="1">C362*(VLOOKUP('Crédito de Vivienda UVR'!$C$24,Seguros_Oblig!$A$3:$B$55,2,FALSE))</f>
        <v>#VALUE!</v>
      </c>
      <c r="H363" s="313" t="e">
        <f ca="1">C362*(VLOOKUP('Crédito de Vivienda UVR'!$C$25,Seguros_Oblig!$A$3:$B$55,2,FALSE))</f>
        <v>#VALUE!</v>
      </c>
      <c r="I363" s="313" t="e">
        <f ca="1">C362*(VLOOKUP('Crédito de Vivienda UVR'!$C$26,Seguros_Oblig!$A$3:$B$55,2,FALSE))</f>
        <v>#VALUE!</v>
      </c>
      <c r="J363" s="313" t="e">
        <f ca="1">C362*(VLOOKUP('Crédito de Vivienda UVR'!$C$27,Seguros_Oblig!$A$3:$B$55,2,FALSE))</f>
        <v>#VALUE!</v>
      </c>
      <c r="K363" s="35">
        <f ca="1">_xlfn.AGGREGATE(9,6,G363:J363)*'Crédito de Vivienda UVR'!$C$19</f>
        <v>0</v>
      </c>
      <c r="L363" s="7" t="e">
        <f ca="1">IF(C362&lt;1,"0",Seguros_Oblig!$K$2*('Crédito de Vivienda UVR'!$C$12*90%))</f>
        <v>#VALUE!</v>
      </c>
      <c r="M363" s="35" t="e">
        <f ca="1">K363+L363+(F363*'Crédito de Vivienda UVR'!$C$19)</f>
        <v>#VALUE!</v>
      </c>
      <c r="N363" s="316"/>
    </row>
    <row r="364" spans="2:14" ht="15.5" x14ac:dyDescent="0.35">
      <c r="B364" s="6" t="e">
        <f t="shared" ca="1" si="17"/>
        <v>#VALUE!</v>
      </c>
      <c r="C364" s="311" t="e">
        <f t="shared" ca="1" si="16"/>
        <v>#VALUE!</v>
      </c>
      <c r="D364" s="311" t="e">
        <f t="shared" ca="1" si="18"/>
        <v>#VALUE!</v>
      </c>
      <c r="E364" s="311" t="e">
        <f ca="1">C363*'Crédito de Vivienda UVR'!$E$17</f>
        <v>#VALUE!</v>
      </c>
      <c r="F364" s="322" t="e">
        <f ca="1">IF(B364=" ",0,PMT('Crédito de Vivienda UVR'!$E$17,'Crédito de Vivienda UVR'!$C$18,-'Crédito de Vivienda UVR'!$C$20,,))</f>
        <v>#VALUE!</v>
      </c>
      <c r="G364" s="320" t="e">
        <f ca="1">C363*(VLOOKUP('Crédito de Vivienda UVR'!$C$24,Seguros_Oblig!$A$3:$B$55,2,FALSE))</f>
        <v>#VALUE!</v>
      </c>
      <c r="H364" s="313" t="e">
        <f ca="1">C363*(VLOOKUP('Crédito de Vivienda UVR'!$C$25,Seguros_Oblig!$A$3:$B$55,2,FALSE))</f>
        <v>#VALUE!</v>
      </c>
      <c r="I364" s="313" t="e">
        <f ca="1">C363*(VLOOKUP('Crédito de Vivienda UVR'!$C$26,Seguros_Oblig!$A$3:$B$55,2,FALSE))</f>
        <v>#VALUE!</v>
      </c>
      <c r="J364" s="313" t="e">
        <f ca="1">C363*(VLOOKUP('Crédito de Vivienda UVR'!$C$27,Seguros_Oblig!$A$3:$B$55,2,FALSE))</f>
        <v>#VALUE!</v>
      </c>
      <c r="K364" s="35">
        <f ca="1">_xlfn.AGGREGATE(9,6,G364:J364)*'Crédito de Vivienda UVR'!$C$19</f>
        <v>0</v>
      </c>
      <c r="L364" s="7" t="e">
        <f ca="1">IF(C363&lt;1,"0",Seguros_Oblig!$K$2*('Crédito de Vivienda UVR'!$C$12*90%))</f>
        <v>#VALUE!</v>
      </c>
      <c r="M364" s="35" t="e">
        <f ca="1">K364+L364+(F364*'Crédito de Vivienda UVR'!$C$19)</f>
        <v>#VALUE!</v>
      </c>
      <c r="N364" s="316"/>
    </row>
    <row r="365" spans="2:14" ht="15.5" x14ac:dyDescent="0.35">
      <c r="B365" s="6" t="e">
        <f t="shared" ca="1" si="17"/>
        <v>#VALUE!</v>
      </c>
      <c r="C365" s="311" t="e">
        <f t="shared" ca="1" si="16"/>
        <v>#VALUE!</v>
      </c>
      <c r="D365" s="311" t="e">
        <f t="shared" ca="1" si="18"/>
        <v>#VALUE!</v>
      </c>
      <c r="E365" s="311" t="e">
        <f ca="1">C364*'Crédito de Vivienda UVR'!$E$17</f>
        <v>#VALUE!</v>
      </c>
      <c r="F365" s="322" t="e">
        <f ca="1">IF(B365=" ",0,PMT('Crédito de Vivienda UVR'!$E$17,'Crédito de Vivienda UVR'!$C$18,-'Crédito de Vivienda UVR'!$C$20,,))</f>
        <v>#VALUE!</v>
      </c>
      <c r="G365" s="320" t="e">
        <f ca="1">C364*(VLOOKUP('Crédito de Vivienda UVR'!$C$24,Seguros_Oblig!$A$3:$B$55,2,FALSE))</f>
        <v>#VALUE!</v>
      </c>
      <c r="H365" s="313" t="e">
        <f ca="1">C364*(VLOOKUP('Crédito de Vivienda UVR'!$C$25,Seguros_Oblig!$A$3:$B$55,2,FALSE))</f>
        <v>#VALUE!</v>
      </c>
      <c r="I365" s="313" t="e">
        <f ca="1">C364*(VLOOKUP('Crédito de Vivienda UVR'!$C$26,Seguros_Oblig!$A$3:$B$55,2,FALSE))</f>
        <v>#VALUE!</v>
      </c>
      <c r="J365" s="313" t="e">
        <f ca="1">C364*(VLOOKUP('Crédito de Vivienda UVR'!$C$27,Seguros_Oblig!$A$3:$B$55,2,FALSE))</f>
        <v>#VALUE!</v>
      </c>
      <c r="K365" s="35">
        <f ca="1">_xlfn.AGGREGATE(9,6,G365:J365)*'Crédito de Vivienda UVR'!$C$19</f>
        <v>0</v>
      </c>
      <c r="L365" s="7" t="e">
        <f ca="1">IF(C364&lt;1,"0",Seguros_Oblig!$K$2*('Crédito de Vivienda UVR'!$C$12*90%))</f>
        <v>#VALUE!</v>
      </c>
      <c r="M365" s="35" t="e">
        <f ca="1">K365+L365+(F365*'Crédito de Vivienda UVR'!$C$19)</f>
        <v>#VALUE!</v>
      </c>
      <c r="N365" s="316"/>
    </row>
    <row r="366" spans="2:14" ht="15.5" x14ac:dyDescent="0.35">
      <c r="B366" s="6" t="e">
        <f t="shared" ca="1" si="17"/>
        <v>#VALUE!</v>
      </c>
      <c r="C366" s="311" t="e">
        <f t="shared" ca="1" si="16"/>
        <v>#VALUE!</v>
      </c>
      <c r="D366" s="311" t="e">
        <f t="shared" ca="1" si="18"/>
        <v>#VALUE!</v>
      </c>
      <c r="E366" s="311" t="e">
        <f ca="1">C365*'Crédito de Vivienda UVR'!$E$17</f>
        <v>#VALUE!</v>
      </c>
      <c r="F366" s="322" t="e">
        <f ca="1">IF(B366=" ",0,PMT('Crédito de Vivienda UVR'!$E$17,'Crédito de Vivienda UVR'!$C$18,-'Crédito de Vivienda UVR'!$C$20,,))</f>
        <v>#VALUE!</v>
      </c>
      <c r="G366" s="320" t="e">
        <f ca="1">C365*(VLOOKUP('Crédito de Vivienda UVR'!$C$24,Seguros_Oblig!$A$3:$B$55,2,FALSE))</f>
        <v>#VALUE!</v>
      </c>
      <c r="H366" s="313" t="e">
        <f ca="1">C365*(VLOOKUP('Crédito de Vivienda UVR'!$C$25,Seguros_Oblig!$A$3:$B$55,2,FALSE))</f>
        <v>#VALUE!</v>
      </c>
      <c r="I366" s="313" t="e">
        <f ca="1">C365*(VLOOKUP('Crédito de Vivienda UVR'!$C$26,Seguros_Oblig!$A$3:$B$55,2,FALSE))</f>
        <v>#VALUE!</v>
      </c>
      <c r="J366" s="313" t="e">
        <f ca="1">C365*(VLOOKUP('Crédito de Vivienda UVR'!$C$27,Seguros_Oblig!$A$3:$B$55,2,FALSE))</f>
        <v>#VALUE!</v>
      </c>
      <c r="K366" s="35">
        <f ca="1">_xlfn.AGGREGATE(9,6,G366:J366)*'Crédito de Vivienda UVR'!$C$19</f>
        <v>0</v>
      </c>
      <c r="L366" s="7" t="e">
        <f ca="1">IF(C365&lt;1,"0",Seguros_Oblig!$K$2*('Crédito de Vivienda UVR'!$C$12*90%))</f>
        <v>#VALUE!</v>
      </c>
      <c r="M366" s="35" t="e">
        <f ca="1">K366+L366+(F366*'Crédito de Vivienda UVR'!$C$19)</f>
        <v>#VALUE!</v>
      </c>
      <c r="N366" s="316"/>
    </row>
    <row r="367" spans="2:14" ht="15.5" x14ac:dyDescent="0.35">
      <c r="B367" s="6" t="e">
        <f t="shared" ca="1" si="17"/>
        <v>#VALUE!</v>
      </c>
      <c r="C367" s="311" t="e">
        <f t="shared" ca="1" si="16"/>
        <v>#VALUE!</v>
      </c>
      <c r="D367" s="311" t="e">
        <f t="shared" ca="1" si="18"/>
        <v>#VALUE!</v>
      </c>
      <c r="E367" s="311" t="e">
        <f ca="1">C366*'Crédito de Vivienda UVR'!$E$17</f>
        <v>#VALUE!</v>
      </c>
      <c r="F367" s="322" t="e">
        <f ca="1">IF(B367=" ",0,PMT('Crédito de Vivienda UVR'!$E$17,'Crédito de Vivienda UVR'!$C$18,-'Crédito de Vivienda UVR'!$C$20,,))</f>
        <v>#VALUE!</v>
      </c>
      <c r="G367" s="320" t="e">
        <f ca="1">C366*(VLOOKUP('Crédito de Vivienda UVR'!$C$24,Seguros_Oblig!$A$3:$B$55,2,FALSE))</f>
        <v>#VALUE!</v>
      </c>
      <c r="H367" s="313" t="e">
        <f ca="1">C366*(VLOOKUP('Crédito de Vivienda UVR'!$C$25,Seguros_Oblig!$A$3:$B$55,2,FALSE))</f>
        <v>#VALUE!</v>
      </c>
      <c r="I367" s="313" t="e">
        <f ca="1">C366*(VLOOKUP('Crédito de Vivienda UVR'!$C$26,Seguros_Oblig!$A$3:$B$55,2,FALSE))</f>
        <v>#VALUE!</v>
      </c>
      <c r="J367" s="313" t="e">
        <f ca="1">C366*(VLOOKUP('Crédito de Vivienda UVR'!$C$27,Seguros_Oblig!$A$3:$B$55,2,FALSE))</f>
        <v>#VALUE!</v>
      </c>
      <c r="K367" s="35">
        <f ca="1">_xlfn.AGGREGATE(9,6,G367:J367)*'Crédito de Vivienda UVR'!$C$19</f>
        <v>0</v>
      </c>
      <c r="L367" s="7" t="e">
        <f ca="1">IF(C366&lt;1,"0",Seguros_Oblig!$K$2*('Crédito de Vivienda UVR'!$C$12*90%))</f>
        <v>#VALUE!</v>
      </c>
      <c r="M367" s="35" t="e">
        <f ca="1">K367+L367+(F367*'Crédito de Vivienda UVR'!$C$19)</f>
        <v>#VALUE!</v>
      </c>
      <c r="N367" s="316"/>
    </row>
    <row r="368" spans="2:14" ht="15.5" x14ac:dyDescent="0.35">
      <c r="B368" s="6" t="e">
        <f t="shared" ca="1" si="17"/>
        <v>#VALUE!</v>
      </c>
      <c r="C368" s="311" t="e">
        <f t="shared" ca="1" si="16"/>
        <v>#VALUE!</v>
      </c>
      <c r="D368" s="311" t="e">
        <f t="shared" ca="1" si="18"/>
        <v>#VALUE!</v>
      </c>
      <c r="E368" s="311" t="e">
        <f ca="1">C367*'Crédito de Vivienda UVR'!$E$17</f>
        <v>#VALUE!</v>
      </c>
      <c r="F368" s="322" t="e">
        <f ca="1">IF(B368=" ",0,PMT('Crédito de Vivienda UVR'!$E$17,'Crédito de Vivienda UVR'!$C$18,-'Crédito de Vivienda UVR'!$C$20,,))</f>
        <v>#VALUE!</v>
      </c>
      <c r="G368" s="320" t="e">
        <f ca="1">C367*(VLOOKUP('Crédito de Vivienda UVR'!$C$24,Seguros_Oblig!$A$3:$B$55,2,FALSE))</f>
        <v>#VALUE!</v>
      </c>
      <c r="H368" s="313" t="e">
        <f ca="1">C367*(VLOOKUP('Crédito de Vivienda UVR'!$C$25,Seguros_Oblig!$A$3:$B$55,2,FALSE))</f>
        <v>#VALUE!</v>
      </c>
      <c r="I368" s="313" t="e">
        <f ca="1">C367*(VLOOKUP('Crédito de Vivienda UVR'!$C$26,Seguros_Oblig!$A$3:$B$55,2,FALSE))</f>
        <v>#VALUE!</v>
      </c>
      <c r="J368" s="313" t="e">
        <f ca="1">C367*(VLOOKUP('Crédito de Vivienda UVR'!$C$27,Seguros_Oblig!$A$3:$B$55,2,FALSE))</f>
        <v>#VALUE!</v>
      </c>
      <c r="K368" s="35">
        <f ca="1">_xlfn.AGGREGATE(9,6,G368:J368)*'Crédito de Vivienda UVR'!$C$19</f>
        <v>0</v>
      </c>
      <c r="L368" s="7" t="e">
        <f ca="1">IF(C367&lt;1,"0",Seguros_Oblig!$K$2*('Crédito de Vivienda UVR'!$C$12*90%))</f>
        <v>#VALUE!</v>
      </c>
      <c r="M368" s="35" t="e">
        <f ca="1">K368+L368+(F368*'Crédito de Vivienda UVR'!$C$19)</f>
        <v>#VALUE!</v>
      </c>
      <c r="N368" s="316"/>
    </row>
    <row r="369" spans="2:14" ht="15.5" x14ac:dyDescent="0.35">
      <c r="B369" s="6" t="e">
        <f t="shared" ca="1" si="17"/>
        <v>#VALUE!</v>
      </c>
      <c r="C369" s="311" t="e">
        <f t="shared" ca="1" si="16"/>
        <v>#VALUE!</v>
      </c>
      <c r="D369" s="311" t="e">
        <f t="shared" ca="1" si="18"/>
        <v>#VALUE!</v>
      </c>
      <c r="E369" s="311" t="e">
        <f ca="1">C368*'Crédito de Vivienda UVR'!$E$17</f>
        <v>#VALUE!</v>
      </c>
      <c r="F369" s="322" t="e">
        <f ca="1">IF(B369=" ",0,PMT('Crédito de Vivienda UVR'!$E$17,'Crédito de Vivienda UVR'!$C$18,-'Crédito de Vivienda UVR'!$C$20,,))</f>
        <v>#VALUE!</v>
      </c>
      <c r="G369" s="320" t="e">
        <f ca="1">C368*(VLOOKUP('Crédito de Vivienda UVR'!$C$24,Seguros_Oblig!$A$3:$B$55,2,FALSE))</f>
        <v>#VALUE!</v>
      </c>
      <c r="H369" s="313" t="e">
        <f ca="1">C368*(VLOOKUP('Crédito de Vivienda UVR'!$C$25,Seguros_Oblig!$A$3:$B$55,2,FALSE))</f>
        <v>#VALUE!</v>
      </c>
      <c r="I369" s="313" t="e">
        <f ca="1">C368*(VLOOKUP('Crédito de Vivienda UVR'!$C$26,Seguros_Oblig!$A$3:$B$55,2,FALSE))</f>
        <v>#VALUE!</v>
      </c>
      <c r="J369" s="313" t="e">
        <f ca="1">C368*(VLOOKUP('Crédito de Vivienda UVR'!$C$27,Seguros_Oblig!$A$3:$B$55,2,FALSE))</f>
        <v>#VALUE!</v>
      </c>
      <c r="K369" s="35">
        <f ca="1">_xlfn.AGGREGATE(9,6,G369:J369)*'Crédito de Vivienda UVR'!$C$19</f>
        <v>0</v>
      </c>
      <c r="L369" s="7" t="e">
        <f ca="1">IF(C368&lt;1,"0",Seguros_Oblig!$K$2*('Crédito de Vivienda UVR'!$C$12*90%))</f>
        <v>#VALUE!</v>
      </c>
      <c r="M369" s="35" t="e">
        <f ca="1">K369+L369+(F369*'Crédito de Vivienda UVR'!$C$19)</f>
        <v>#VALUE!</v>
      </c>
      <c r="N369" s="316"/>
    </row>
    <row r="370" spans="2:14" ht="15.5" x14ac:dyDescent="0.35">
      <c r="B370" s="6" t="e">
        <f t="shared" ca="1" si="17"/>
        <v>#VALUE!</v>
      </c>
      <c r="C370" s="311" t="e">
        <f t="shared" ca="1" si="16"/>
        <v>#VALUE!</v>
      </c>
      <c r="D370" s="311" t="e">
        <f t="shared" ca="1" si="18"/>
        <v>#VALUE!</v>
      </c>
      <c r="E370" s="311" t="e">
        <f ca="1">C369*'Crédito de Vivienda UVR'!$E$17</f>
        <v>#VALUE!</v>
      </c>
      <c r="F370" s="322" t="e">
        <f ca="1">IF(B370=" ",0,PMT('Crédito de Vivienda UVR'!$E$17,'Crédito de Vivienda UVR'!$C$18,-'Crédito de Vivienda UVR'!$C$20,,))</f>
        <v>#VALUE!</v>
      </c>
      <c r="G370" s="320" t="e">
        <f ca="1">C369*(VLOOKUP('Crédito de Vivienda UVR'!$C$24,Seguros_Oblig!$A$3:$B$55,2,FALSE))</f>
        <v>#VALUE!</v>
      </c>
      <c r="H370" s="313" t="e">
        <f ca="1">C369*(VLOOKUP('Crédito de Vivienda UVR'!$C$25,Seguros_Oblig!$A$3:$B$55,2,FALSE))</f>
        <v>#VALUE!</v>
      </c>
      <c r="I370" s="313" t="e">
        <f ca="1">C369*(VLOOKUP('Crédito de Vivienda UVR'!$C$26,Seguros_Oblig!$A$3:$B$55,2,FALSE))</f>
        <v>#VALUE!</v>
      </c>
      <c r="J370" s="313" t="e">
        <f ca="1">C369*(VLOOKUP('Crédito de Vivienda UVR'!$C$27,Seguros_Oblig!$A$3:$B$55,2,FALSE))</f>
        <v>#VALUE!</v>
      </c>
      <c r="K370" s="35">
        <f ca="1">_xlfn.AGGREGATE(9,6,G370:J370)*'Crédito de Vivienda UVR'!$C$19</f>
        <v>0</v>
      </c>
      <c r="L370" s="7" t="e">
        <f ca="1">IF(C369&lt;1,"0",Seguros_Oblig!$K$2*('Crédito de Vivienda UVR'!$C$12*90%))</f>
        <v>#VALUE!</v>
      </c>
      <c r="M370" s="35" t="e">
        <f ca="1">K370+L370+(F370*'Crédito de Vivienda UVR'!$C$19)</f>
        <v>#VALUE!</v>
      </c>
      <c r="N370" s="316"/>
    </row>
    <row r="371" spans="2:14" ht="15.5" x14ac:dyDescent="0.35">
      <c r="B371" s="6" t="e">
        <f t="shared" ca="1" si="17"/>
        <v>#VALUE!</v>
      </c>
      <c r="C371" s="311" t="e">
        <f t="shared" ca="1" si="16"/>
        <v>#VALUE!</v>
      </c>
      <c r="D371" s="311" t="e">
        <f t="shared" ca="1" si="18"/>
        <v>#VALUE!</v>
      </c>
      <c r="E371" s="311" t="e">
        <f ca="1">C370*'Crédito de Vivienda UVR'!$E$17</f>
        <v>#VALUE!</v>
      </c>
      <c r="F371" s="322" t="e">
        <f ca="1">IF(B371=" ",0,PMT('Crédito de Vivienda UVR'!$E$17,'Crédito de Vivienda UVR'!$C$18,-'Crédito de Vivienda UVR'!$C$20,,))</f>
        <v>#VALUE!</v>
      </c>
      <c r="G371" s="320" t="e">
        <f ca="1">C370*(VLOOKUP('Crédito de Vivienda UVR'!$C$24,Seguros_Oblig!$A$3:$B$55,2,FALSE))</f>
        <v>#VALUE!</v>
      </c>
      <c r="H371" s="313" t="e">
        <f ca="1">C370*(VLOOKUP('Crédito de Vivienda UVR'!$C$25,Seguros_Oblig!$A$3:$B$55,2,FALSE))</f>
        <v>#VALUE!</v>
      </c>
      <c r="I371" s="313" t="e">
        <f ca="1">C370*(VLOOKUP('Crédito de Vivienda UVR'!$C$26,Seguros_Oblig!$A$3:$B$55,2,FALSE))</f>
        <v>#VALUE!</v>
      </c>
      <c r="J371" s="313" t="e">
        <f ca="1">C370*(VLOOKUP('Crédito de Vivienda UVR'!$C$27,Seguros_Oblig!$A$3:$B$55,2,FALSE))</f>
        <v>#VALUE!</v>
      </c>
      <c r="K371" s="35">
        <f ca="1">_xlfn.AGGREGATE(9,6,G371:J371)*'Crédito de Vivienda UVR'!$C$19</f>
        <v>0</v>
      </c>
      <c r="L371" s="7" t="e">
        <f ca="1">IF(C370&lt;1,"0",Seguros_Oblig!$K$2*('Crédito de Vivienda UVR'!$C$12*90%))</f>
        <v>#VALUE!</v>
      </c>
      <c r="M371" s="35" t="e">
        <f ca="1">K371+L371+(F371*'Crédito de Vivienda UVR'!$C$19)</f>
        <v>#VALUE!</v>
      </c>
      <c r="N371" s="316"/>
    </row>
    <row r="372" spans="2:14" ht="15.5" x14ac:dyDescent="0.35">
      <c r="B372" s="6" t="e">
        <f t="shared" ca="1" si="17"/>
        <v>#VALUE!</v>
      </c>
      <c r="C372" s="311" t="e">
        <f t="shared" ca="1" si="16"/>
        <v>#VALUE!</v>
      </c>
      <c r="D372" s="311" t="e">
        <f t="shared" ca="1" si="18"/>
        <v>#VALUE!</v>
      </c>
      <c r="E372" s="311" t="e">
        <f ca="1">C371*'Crédito de Vivienda UVR'!$E$17</f>
        <v>#VALUE!</v>
      </c>
      <c r="F372" s="322" t="e">
        <f ca="1">IF(B372=" ",0,PMT('Crédito de Vivienda UVR'!$E$17,'Crédito de Vivienda UVR'!$C$18,-'Crédito de Vivienda UVR'!$C$20,,))</f>
        <v>#VALUE!</v>
      </c>
      <c r="G372" s="320" t="e">
        <f ca="1">C371*(VLOOKUP('Crédito de Vivienda UVR'!$C$24,Seguros_Oblig!$A$3:$B$55,2,FALSE))</f>
        <v>#VALUE!</v>
      </c>
      <c r="H372" s="313" t="e">
        <f ca="1">C371*(VLOOKUP('Crédito de Vivienda UVR'!$C$25,Seguros_Oblig!$A$3:$B$55,2,FALSE))</f>
        <v>#VALUE!</v>
      </c>
      <c r="I372" s="313" t="e">
        <f ca="1">C371*(VLOOKUP('Crédito de Vivienda UVR'!$C$26,Seguros_Oblig!$A$3:$B$55,2,FALSE))</f>
        <v>#VALUE!</v>
      </c>
      <c r="J372" s="313" t="e">
        <f ca="1">C371*(VLOOKUP('Crédito de Vivienda UVR'!$C$27,Seguros_Oblig!$A$3:$B$55,2,FALSE))</f>
        <v>#VALUE!</v>
      </c>
      <c r="K372" s="35">
        <f ca="1">_xlfn.AGGREGATE(9,6,G372:J372)*'Crédito de Vivienda UVR'!$C$19</f>
        <v>0</v>
      </c>
      <c r="L372" s="7" t="e">
        <f ca="1">IF(C371&lt;1,"0",Seguros_Oblig!$K$2*('Crédito de Vivienda UVR'!$C$12*90%))</f>
        <v>#VALUE!</v>
      </c>
      <c r="M372" s="35" t="e">
        <f ca="1">K372+L372+(F372*'Crédito de Vivienda UVR'!$C$19)</f>
        <v>#VALUE!</v>
      </c>
      <c r="N372" s="316"/>
    </row>
    <row r="373" spans="2:14" ht="15.5" x14ac:dyDescent="0.35">
      <c r="B373" s="6" t="e">
        <f t="shared" ca="1" si="17"/>
        <v>#VALUE!</v>
      </c>
      <c r="C373" s="311" t="e">
        <f t="shared" ca="1" si="16"/>
        <v>#VALUE!</v>
      </c>
      <c r="D373" s="311" t="e">
        <f t="shared" ca="1" si="18"/>
        <v>#VALUE!</v>
      </c>
      <c r="E373" s="311" t="e">
        <f ca="1">C372*'Crédito de Vivienda UVR'!$E$17</f>
        <v>#VALUE!</v>
      </c>
      <c r="F373" s="322" t="e">
        <f ca="1">IF(B373=" ",0,PMT('Crédito de Vivienda UVR'!$E$17,'Crédito de Vivienda UVR'!$C$18,-'Crédito de Vivienda UVR'!$C$20,,))</f>
        <v>#VALUE!</v>
      </c>
      <c r="G373" s="320" t="e">
        <f ca="1">C372*(VLOOKUP('Crédito de Vivienda UVR'!$C$24,Seguros_Oblig!$A$3:$B$55,2,FALSE))</f>
        <v>#VALUE!</v>
      </c>
      <c r="H373" s="313" t="e">
        <f ca="1">C372*(VLOOKUP('Crédito de Vivienda UVR'!$C$25,Seguros_Oblig!$A$3:$B$55,2,FALSE))</f>
        <v>#VALUE!</v>
      </c>
      <c r="I373" s="313" t="e">
        <f ca="1">C372*(VLOOKUP('Crédito de Vivienda UVR'!$C$26,Seguros_Oblig!$A$3:$B$55,2,FALSE))</f>
        <v>#VALUE!</v>
      </c>
      <c r="J373" s="313" t="e">
        <f ca="1">C372*(VLOOKUP('Crédito de Vivienda UVR'!$C$27,Seguros_Oblig!$A$3:$B$55,2,FALSE))</f>
        <v>#VALUE!</v>
      </c>
      <c r="K373" s="35">
        <f ca="1">_xlfn.AGGREGATE(9,6,G373:J373)*'Crédito de Vivienda UVR'!$C$19</f>
        <v>0</v>
      </c>
      <c r="L373" s="7" t="e">
        <f ca="1">IF(C372&lt;1,"0",Seguros_Oblig!$K$2*('Crédito de Vivienda UVR'!$C$12*90%))</f>
        <v>#VALUE!</v>
      </c>
      <c r="M373" s="35" t="e">
        <f ca="1">K373+L373+(F373*'Crédito de Vivienda UVR'!$C$19)</f>
        <v>#VALUE!</v>
      </c>
      <c r="N373" s="316"/>
    </row>
    <row r="374" spans="2:14" ht="15.5" x14ac:dyDescent="0.35">
      <c r="B374" s="6" t="e">
        <f t="shared" ca="1" si="17"/>
        <v>#VALUE!</v>
      </c>
      <c r="C374" s="311" t="e">
        <f t="shared" ca="1" si="16"/>
        <v>#VALUE!</v>
      </c>
      <c r="D374" s="311" t="e">
        <f t="shared" ca="1" si="18"/>
        <v>#VALUE!</v>
      </c>
      <c r="E374" s="311" t="e">
        <f ca="1">C373*'Crédito de Vivienda UVR'!$E$17</f>
        <v>#VALUE!</v>
      </c>
      <c r="F374" s="322" t="e">
        <f ca="1">IF(B374=" ",0,PMT('Crédito de Vivienda UVR'!$E$17,'Crédito de Vivienda UVR'!$C$18,-'Crédito de Vivienda UVR'!$C$20,,))</f>
        <v>#VALUE!</v>
      </c>
      <c r="G374" s="320" t="e">
        <f ca="1">C373*(VLOOKUP('Crédito de Vivienda UVR'!$C$24,Seguros_Oblig!$A$3:$B$55,2,FALSE))</f>
        <v>#VALUE!</v>
      </c>
      <c r="H374" s="313" t="e">
        <f ca="1">C373*(VLOOKUP('Crédito de Vivienda UVR'!$C$25,Seguros_Oblig!$A$3:$B$55,2,FALSE))</f>
        <v>#VALUE!</v>
      </c>
      <c r="I374" s="313" t="e">
        <f ca="1">C373*(VLOOKUP('Crédito de Vivienda UVR'!$C$26,Seguros_Oblig!$A$3:$B$55,2,FALSE))</f>
        <v>#VALUE!</v>
      </c>
      <c r="J374" s="313" t="e">
        <f ca="1">C373*(VLOOKUP('Crédito de Vivienda UVR'!$C$27,Seguros_Oblig!$A$3:$B$55,2,FALSE))</f>
        <v>#VALUE!</v>
      </c>
      <c r="K374" s="35">
        <f ca="1">_xlfn.AGGREGATE(9,6,G374:J374)*'Crédito de Vivienda UVR'!$C$19</f>
        <v>0</v>
      </c>
      <c r="L374" s="7" t="e">
        <f ca="1">IF(C373&lt;1,"0",Seguros_Oblig!$K$2*('Crédito de Vivienda UVR'!$C$12*90%))</f>
        <v>#VALUE!</v>
      </c>
      <c r="M374" s="35" t="e">
        <f ca="1">K374+L374+(F374*'Crédito de Vivienda UVR'!$C$19)</f>
        <v>#VALUE!</v>
      </c>
      <c r="N374" s="316"/>
    </row>
    <row r="375" spans="2:14" ht="15.5" x14ac:dyDescent="0.35">
      <c r="B375" s="6" t="e">
        <f t="shared" ca="1" si="17"/>
        <v>#VALUE!</v>
      </c>
      <c r="C375" s="311" t="e">
        <f t="shared" ca="1" si="16"/>
        <v>#VALUE!</v>
      </c>
      <c r="D375" s="311" t="e">
        <f t="shared" ca="1" si="18"/>
        <v>#VALUE!</v>
      </c>
      <c r="E375" s="311" t="e">
        <f ca="1">C374*'Crédito de Vivienda UVR'!$E$17</f>
        <v>#VALUE!</v>
      </c>
      <c r="F375" s="322" t="e">
        <f ca="1">IF(B375=" ",0,PMT('Crédito de Vivienda UVR'!$E$17,'Crédito de Vivienda UVR'!$C$18,-'Crédito de Vivienda UVR'!$C$20,,))</f>
        <v>#VALUE!</v>
      </c>
      <c r="G375" s="320" t="e">
        <f ca="1">C374*(VLOOKUP('Crédito de Vivienda UVR'!$C$24,Seguros_Oblig!$A$3:$B$55,2,FALSE))</f>
        <v>#VALUE!</v>
      </c>
      <c r="H375" s="313" t="e">
        <f ca="1">C374*(VLOOKUP('Crédito de Vivienda UVR'!$C$25,Seguros_Oblig!$A$3:$B$55,2,FALSE))</f>
        <v>#VALUE!</v>
      </c>
      <c r="I375" s="313" t="e">
        <f ca="1">C374*(VLOOKUP('Crédito de Vivienda UVR'!$C$26,Seguros_Oblig!$A$3:$B$55,2,FALSE))</f>
        <v>#VALUE!</v>
      </c>
      <c r="J375" s="313" t="e">
        <f ca="1">C374*(VLOOKUP('Crédito de Vivienda UVR'!$C$27,Seguros_Oblig!$A$3:$B$55,2,FALSE))</f>
        <v>#VALUE!</v>
      </c>
      <c r="K375" s="35">
        <f ca="1">_xlfn.AGGREGATE(9,6,G375:J375)*'Crédito de Vivienda UVR'!$C$19</f>
        <v>0</v>
      </c>
      <c r="L375" s="7" t="e">
        <f ca="1">IF(C374&lt;1,"0",Seguros_Oblig!$K$2*('Crédito de Vivienda UVR'!$C$12*90%))</f>
        <v>#VALUE!</v>
      </c>
      <c r="M375" s="35" t="e">
        <f ca="1">K375+L375+(F375*'Crédito de Vivienda UVR'!$C$19)</f>
        <v>#VALUE!</v>
      </c>
      <c r="N375" s="316"/>
    </row>
    <row r="376" spans="2:14" ht="15.5" x14ac:dyDescent="0.35">
      <c r="B376" s="6" t="e">
        <f t="shared" ca="1" si="17"/>
        <v>#VALUE!</v>
      </c>
      <c r="C376" s="311" t="e">
        <f t="shared" ca="1" si="16"/>
        <v>#VALUE!</v>
      </c>
      <c r="D376" s="311" t="e">
        <f t="shared" ca="1" si="18"/>
        <v>#VALUE!</v>
      </c>
      <c r="E376" s="311" t="e">
        <f ca="1">C375*'Crédito de Vivienda UVR'!$E$17</f>
        <v>#VALUE!</v>
      </c>
      <c r="F376" s="322" t="e">
        <f ca="1">IF(B376=" ",0,PMT('Crédito de Vivienda UVR'!$E$17,'Crédito de Vivienda UVR'!$C$18,-'Crédito de Vivienda UVR'!$C$20,,))</f>
        <v>#VALUE!</v>
      </c>
      <c r="G376" s="320" t="e">
        <f ca="1">C375*(VLOOKUP('Crédito de Vivienda UVR'!$C$24,Seguros_Oblig!$A$3:$B$55,2,FALSE))</f>
        <v>#VALUE!</v>
      </c>
      <c r="H376" s="313" t="e">
        <f ca="1">C375*(VLOOKUP('Crédito de Vivienda UVR'!$C$25,Seguros_Oblig!$A$3:$B$55,2,FALSE))</f>
        <v>#VALUE!</v>
      </c>
      <c r="I376" s="313" t="e">
        <f ca="1">C375*(VLOOKUP('Crédito de Vivienda UVR'!$C$26,Seguros_Oblig!$A$3:$B$55,2,FALSE))</f>
        <v>#VALUE!</v>
      </c>
      <c r="J376" s="313" t="e">
        <f ca="1">C375*(VLOOKUP('Crédito de Vivienda UVR'!$C$27,Seguros_Oblig!$A$3:$B$55,2,FALSE))</f>
        <v>#VALUE!</v>
      </c>
      <c r="K376" s="35">
        <f ca="1">_xlfn.AGGREGATE(9,6,G376:J376)*'Crédito de Vivienda UVR'!$C$19</f>
        <v>0</v>
      </c>
      <c r="L376" s="7" t="e">
        <f ca="1">IF(C375&lt;1,"0",Seguros_Oblig!$K$2*('Crédito de Vivienda UVR'!$C$12*90%))</f>
        <v>#VALUE!</v>
      </c>
      <c r="M376" s="35" t="e">
        <f ca="1">K376+L376+(F376*'Crédito de Vivienda UVR'!$C$19)</f>
        <v>#VALUE!</v>
      </c>
      <c r="N376" s="316"/>
    </row>
    <row r="377" spans="2:14" ht="15.5" x14ac:dyDescent="0.35">
      <c r="B377" s="6" t="e">
        <f t="shared" ca="1" si="17"/>
        <v>#VALUE!</v>
      </c>
      <c r="C377" s="311" t="e">
        <f t="shared" ca="1" si="16"/>
        <v>#VALUE!</v>
      </c>
      <c r="D377" s="311" t="e">
        <f t="shared" ca="1" si="18"/>
        <v>#VALUE!</v>
      </c>
      <c r="E377" s="311" t="e">
        <f ca="1">C376*'Crédito de Vivienda UVR'!$E$17</f>
        <v>#VALUE!</v>
      </c>
      <c r="F377" s="322" t="e">
        <f ca="1">IF(B377=" ",0,PMT('Crédito de Vivienda UVR'!$E$17,'Crédito de Vivienda UVR'!$C$18,-'Crédito de Vivienda UVR'!$C$20,,))</f>
        <v>#VALUE!</v>
      </c>
      <c r="G377" s="320" t="e">
        <f ca="1">C376*(VLOOKUP('Crédito de Vivienda UVR'!$C$24,Seguros_Oblig!$A$3:$B$55,2,FALSE))</f>
        <v>#VALUE!</v>
      </c>
      <c r="H377" s="313" t="e">
        <f ca="1">C376*(VLOOKUP('Crédito de Vivienda UVR'!$C$25,Seguros_Oblig!$A$3:$B$55,2,FALSE))</f>
        <v>#VALUE!</v>
      </c>
      <c r="I377" s="313" t="e">
        <f ca="1">C376*(VLOOKUP('Crédito de Vivienda UVR'!$C$26,Seguros_Oblig!$A$3:$B$55,2,FALSE))</f>
        <v>#VALUE!</v>
      </c>
      <c r="J377" s="313" t="e">
        <f ca="1">C376*(VLOOKUP('Crédito de Vivienda UVR'!$C$27,Seguros_Oblig!$A$3:$B$55,2,FALSE))</f>
        <v>#VALUE!</v>
      </c>
      <c r="K377" s="35">
        <f ca="1">_xlfn.AGGREGATE(9,6,G377:J377)*'Crédito de Vivienda UVR'!$C$19</f>
        <v>0</v>
      </c>
      <c r="L377" s="7" t="e">
        <f ca="1">IF(C376&lt;1,"0",Seguros_Oblig!$K$2*('Crédito de Vivienda UVR'!$C$12*90%))</f>
        <v>#VALUE!</v>
      </c>
      <c r="M377" s="35" t="e">
        <f ca="1">K377+L377+(F377*'Crédito de Vivienda UVR'!$C$19)</f>
        <v>#VALUE!</v>
      </c>
      <c r="N377" s="316"/>
    </row>
    <row r="378" spans="2:14" ht="15.5" x14ac:dyDescent="0.35">
      <c r="B378" s="6" t="e">
        <f t="shared" ca="1" si="17"/>
        <v>#VALUE!</v>
      </c>
      <c r="C378" s="311" t="e">
        <f t="shared" ca="1" si="16"/>
        <v>#VALUE!</v>
      </c>
      <c r="D378" s="311" t="e">
        <f t="shared" ca="1" si="18"/>
        <v>#VALUE!</v>
      </c>
      <c r="E378" s="311" t="e">
        <f ca="1">C377*'Crédito de Vivienda UVR'!$E$17</f>
        <v>#VALUE!</v>
      </c>
      <c r="F378" s="322" t="e">
        <f ca="1">IF(B378=" ",0,PMT('Crédito de Vivienda UVR'!$E$17,'Crédito de Vivienda UVR'!$C$18,-'Crédito de Vivienda UVR'!$C$20,,))</f>
        <v>#VALUE!</v>
      </c>
      <c r="G378" s="320" t="e">
        <f ca="1">C377*(VLOOKUP('Crédito de Vivienda UVR'!$C$24,Seguros_Oblig!$A$3:$B$55,2,FALSE))</f>
        <v>#VALUE!</v>
      </c>
      <c r="H378" s="313" t="e">
        <f ca="1">C377*(VLOOKUP('Crédito de Vivienda UVR'!$C$25,Seguros_Oblig!$A$3:$B$55,2,FALSE))</f>
        <v>#VALUE!</v>
      </c>
      <c r="I378" s="313" t="e">
        <f ca="1">C377*(VLOOKUP('Crédito de Vivienda UVR'!$C$26,Seguros_Oblig!$A$3:$B$55,2,FALSE))</f>
        <v>#VALUE!</v>
      </c>
      <c r="J378" s="313" t="e">
        <f ca="1">C377*(VLOOKUP('Crédito de Vivienda UVR'!$C$27,Seguros_Oblig!$A$3:$B$55,2,FALSE))</f>
        <v>#VALUE!</v>
      </c>
      <c r="K378" s="35">
        <f ca="1">_xlfn.AGGREGATE(9,6,G378:J378)*'Crédito de Vivienda UVR'!$C$19</f>
        <v>0</v>
      </c>
      <c r="L378" s="7" t="e">
        <f ca="1">IF(C377&lt;1,"0",Seguros_Oblig!$K$2*('Crédito de Vivienda UVR'!$C$12*90%))</f>
        <v>#VALUE!</v>
      </c>
      <c r="M378" s="35" t="e">
        <f ca="1">K378+L378+(F378*'Crédito de Vivienda UVR'!$C$19)</f>
        <v>#VALUE!</v>
      </c>
      <c r="N378" s="316"/>
    </row>
  </sheetData>
  <sheetProtection algorithmName="SHA-512" hashValue="zMDH/QX/yhMA3ccUb0qfzaPp9BQC14fJXEP/Hz8/PfVkwLKTmYDPIsJThfQnpe/bJ3anTdnIa7UovUkwP3QOnA==" saltValue="NuHeOG3MTv0URk3WeAGzXw==" spinCount="100000" sheet="1" objects="1" scenarios="1"/>
  <mergeCells count="6">
    <mergeCell ref="O1:P4"/>
    <mergeCell ref="E2:M3"/>
    <mergeCell ref="C16:F16"/>
    <mergeCell ref="G16:M16"/>
    <mergeCell ref="B5:P11"/>
    <mergeCell ref="B12:P13"/>
  </mergeCells>
  <conditionalFormatting sqref="B18:B378">
    <cfRule type="cellIs" dxfId="95" priority="9" stopIfTrue="1" operator="greaterThan">
      <formula>$E$24</formula>
    </cfRule>
  </conditionalFormatting>
  <conditionalFormatting sqref="C18 M18 K19:M19 C19:D378 L20:L31 K20:K378 M20:M378">
    <cfRule type="cellIs" dxfId="94" priority="6" operator="lessThan">
      <formula>0</formula>
    </cfRule>
  </conditionalFormatting>
  <conditionalFormatting sqref="E18:F378">
    <cfRule type="cellIs" dxfId="93" priority="4" operator="lessThan">
      <formula>0</formula>
    </cfRule>
  </conditionalFormatting>
  <conditionalFormatting sqref="F19:J378">
    <cfRule type="cellIs" dxfId="92" priority="2" operator="lessThan">
      <formula>0</formula>
    </cfRule>
  </conditionalFormatting>
  <pageMargins left="0.7" right="0.7" top="0.75" bottom="0.75" header="0.3" footer="0.3"/>
  <pageSetup paperSize="9" scale="53"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316B3-C7AC-49A6-8F8B-BAE1C2628E1F}">
  <sheetPr codeName="Hoja28"/>
  <dimension ref="A2:M55"/>
  <sheetViews>
    <sheetView showGridLines="0" zoomScale="55" zoomScaleNormal="55" workbookViewId="0">
      <selection activeCell="B24" sqref="B24"/>
    </sheetView>
  </sheetViews>
  <sheetFormatPr baseColWidth="10" defaultColWidth="11.453125" defaultRowHeight="14.5" x14ac:dyDescent="0.35"/>
  <cols>
    <col min="1" max="1" width="16.81640625" style="125" customWidth="1"/>
    <col min="2" max="5" width="11.453125" style="2"/>
    <col min="6" max="6" width="23.81640625" style="2" bestFit="1" customWidth="1"/>
    <col min="7" max="7" width="5" style="2" customWidth="1"/>
    <col min="8" max="16384" width="11.453125" style="2"/>
  </cols>
  <sheetData>
    <row r="2" spans="1:13" x14ac:dyDescent="0.35">
      <c r="A2" s="125" t="e">
        <f>'CV UVR'!B5&amp;'CV UVR'!F14</f>
        <v>#N/A</v>
      </c>
    </row>
    <row r="3" spans="1:13" x14ac:dyDescent="0.35">
      <c r="A3" s="125" t="str">
        <f>'CV UVR'!D24&amp;'CV UVR'!D14&amp;'CV UVR'!D11&amp;'CV UVR'!F20&amp;'CV UVR'!D22</f>
        <v>&lt;789Asalariado y Pensionado</v>
      </c>
    </row>
    <row r="5" spans="1:13" x14ac:dyDescent="0.35">
      <c r="H5" s="2" t="s">
        <v>2607</v>
      </c>
      <c r="I5" s="2" t="s">
        <v>2608</v>
      </c>
      <c r="J5" s="2" t="s">
        <v>2609</v>
      </c>
      <c r="K5" s="2" t="s">
        <v>2610</v>
      </c>
      <c r="L5" s="2" t="s">
        <v>2611</v>
      </c>
      <c r="M5" s="2" t="s">
        <v>2612</v>
      </c>
    </row>
    <row r="6" spans="1:13" ht="18.5" x14ac:dyDescent="0.45">
      <c r="B6" s="126" t="s">
        <v>30</v>
      </c>
      <c r="H6" s="463" t="s">
        <v>36</v>
      </c>
      <c r="I6" s="463"/>
      <c r="J6" s="463"/>
      <c r="K6" s="463"/>
      <c r="L6" s="463"/>
      <c r="M6" s="463"/>
    </row>
    <row r="7" spans="1:13" ht="29" x14ac:dyDescent="0.35">
      <c r="B7" s="127" t="s">
        <v>37</v>
      </c>
      <c r="C7" s="127" t="s">
        <v>38</v>
      </c>
      <c r="D7" s="127" t="s">
        <v>39</v>
      </c>
      <c r="E7" s="127" t="s">
        <v>40</v>
      </c>
      <c r="F7" s="127" t="s">
        <v>41</v>
      </c>
      <c r="H7" s="127" t="s">
        <v>42</v>
      </c>
      <c r="I7" s="127" t="s">
        <v>43</v>
      </c>
      <c r="J7" s="127" t="s">
        <v>44</v>
      </c>
      <c r="K7" s="127" t="s">
        <v>45</v>
      </c>
      <c r="L7" s="127" t="s">
        <v>46</v>
      </c>
      <c r="M7" s="127" t="s">
        <v>48</v>
      </c>
    </row>
    <row r="8" spans="1:13" x14ac:dyDescent="0.35">
      <c r="A8" s="125" t="s">
        <v>49</v>
      </c>
      <c r="B8" s="130" t="s">
        <v>50</v>
      </c>
      <c r="C8" s="130" t="s">
        <v>51</v>
      </c>
      <c r="D8" s="130" t="s">
        <v>52</v>
      </c>
      <c r="E8" s="130" t="s">
        <v>53</v>
      </c>
      <c r="F8" s="130" t="s">
        <v>54</v>
      </c>
      <c r="H8" s="328">
        <f>'Tasas inteligentes'!AQ8</f>
        <v>7.6990210897167399E-2</v>
      </c>
      <c r="I8" s="328">
        <f>'Tasas inteligentes'!AR8</f>
        <v>7.9561870720073591E-2</v>
      </c>
      <c r="J8" s="328">
        <f>'Tasas inteligentes'!AS8</f>
        <v>8.3429916117545799E-2</v>
      </c>
      <c r="K8" s="328">
        <f>'Tasas inteligentes'!AT8</f>
        <v>8.4722085025153548E-2</v>
      </c>
      <c r="L8" s="328">
        <f>'Tasas inteligentes'!AU8</f>
        <v>8.6015666489925202E-2</v>
      </c>
      <c r="M8" s="328">
        <f>'Tasas inteligentes'!AV8</f>
        <v>8.7310661915505294E-2</v>
      </c>
    </row>
    <row r="9" spans="1:13" x14ac:dyDescent="0.35">
      <c r="A9" s="125" t="s">
        <v>55</v>
      </c>
      <c r="B9" s="130" t="s">
        <v>50</v>
      </c>
      <c r="C9" s="130" t="s">
        <v>51</v>
      </c>
      <c r="D9" s="130" t="s">
        <v>52</v>
      </c>
      <c r="E9" s="130" t="s">
        <v>53</v>
      </c>
      <c r="F9" s="130" t="s">
        <v>56</v>
      </c>
      <c r="H9" s="328">
        <f>'Tasas inteligentes'!AQ9</f>
        <v>7.827533802975073E-2</v>
      </c>
      <c r="I9" s="328">
        <f>'Tasas inteligentes'!AR9</f>
        <v>7.9561870720073591E-2</v>
      </c>
      <c r="J9" s="328">
        <f>'Tasas inteligentes'!AS9</f>
        <v>8.4722085025153548E-2</v>
      </c>
      <c r="K9" s="328">
        <f>'Tasas inteligentes'!AT9</f>
        <v>8.6015666489925202E-2</v>
      </c>
      <c r="L9" s="328">
        <f>'Tasas inteligentes'!AU9</f>
        <v>8.7310661915505294E-2</v>
      </c>
      <c r="M9" s="328">
        <f>'Tasas inteligentes'!AV9</f>
        <v>8.8607072706796242E-2</v>
      </c>
    </row>
    <row r="10" spans="1:13" x14ac:dyDescent="0.35">
      <c r="A10" s="125" t="s">
        <v>57</v>
      </c>
      <c r="B10" s="130" t="s">
        <v>50</v>
      </c>
      <c r="C10" s="130" t="s">
        <v>51</v>
      </c>
      <c r="D10" s="130" t="s">
        <v>52</v>
      </c>
      <c r="E10" s="130" t="s">
        <v>58</v>
      </c>
      <c r="F10" s="130" t="s">
        <v>54</v>
      </c>
      <c r="H10" s="328">
        <f>'Tasas inteligentes'!AQ10</f>
        <v>7.9561870720073591E-2</v>
      </c>
      <c r="I10" s="328">
        <f>'Tasas inteligentes'!AR10</f>
        <v>8.0849810365514863E-2</v>
      </c>
      <c r="J10" s="328">
        <f>'Tasas inteligentes'!AS10</f>
        <v>8.6015666489925202E-2</v>
      </c>
      <c r="K10" s="328">
        <f>'Tasas inteligentes'!AT10</f>
        <v>8.7310661915505294E-2</v>
      </c>
      <c r="L10" s="328">
        <f>'Tasas inteligentes'!AU10</f>
        <v>8.8607072706796242E-2</v>
      </c>
      <c r="M10" s="328">
        <f>'Tasas inteligentes'!AV10</f>
        <v>8.8607072706796242E-2</v>
      </c>
    </row>
    <row r="11" spans="1:13" x14ac:dyDescent="0.35">
      <c r="A11" s="125" t="s">
        <v>59</v>
      </c>
      <c r="B11" s="130" t="s">
        <v>50</v>
      </c>
      <c r="C11" s="130" t="s">
        <v>51</v>
      </c>
      <c r="D11" s="130" t="s">
        <v>52</v>
      </c>
      <c r="E11" s="130" t="s">
        <v>58</v>
      </c>
      <c r="F11" s="130" t="s">
        <v>56</v>
      </c>
      <c r="H11" s="328">
        <f>'Tasas inteligentes'!AQ11</f>
        <v>8.6015666489925202E-2</v>
      </c>
      <c r="I11" s="328">
        <f>'Tasas inteligentes'!AR11</f>
        <v>8.8607072706796242E-2</v>
      </c>
      <c r="J11" s="328">
        <f>'Tasas inteligentes'!AS11</f>
        <v>9.3806897670984268E-2</v>
      </c>
      <c r="K11" s="328">
        <f>'Tasas inteligentes'!AT11</f>
        <v>9.5110406408293935E-2</v>
      </c>
      <c r="L11" s="328">
        <f>'Tasas inteligentes'!AU11</f>
        <v>9.5110406408293935E-2</v>
      </c>
      <c r="M11" s="328">
        <f>'Tasas inteligentes'!AV11</f>
        <v>9.6415338967120068E-2</v>
      </c>
    </row>
    <row r="12" spans="1:13" x14ac:dyDescent="0.35">
      <c r="A12" s="125" t="s">
        <v>60</v>
      </c>
      <c r="B12" s="130" t="s">
        <v>50</v>
      </c>
      <c r="C12" s="130" t="s">
        <v>51</v>
      </c>
      <c r="D12" s="130" t="s">
        <v>61</v>
      </c>
      <c r="E12" s="130" t="s">
        <v>53</v>
      </c>
      <c r="F12" s="130" t="s">
        <v>54</v>
      </c>
      <c r="H12" s="328">
        <f>'Tasas inteligentes'!AQ12</f>
        <v>7.827533802975073E-2</v>
      </c>
      <c r="I12" s="328">
        <f>'Tasas inteligentes'!AR12</f>
        <v>7.9561870720073591E-2</v>
      </c>
      <c r="J12" s="328">
        <f>'Tasas inteligentes'!AS12</f>
        <v>8.4722085025153548E-2</v>
      </c>
      <c r="K12" s="328">
        <f>'Tasas inteligentes'!AT12</f>
        <v>8.6015666489925202E-2</v>
      </c>
      <c r="L12" s="328">
        <f>'Tasas inteligentes'!AU12</f>
        <v>8.7310661915505294E-2</v>
      </c>
      <c r="M12" s="328">
        <f>'Tasas inteligentes'!AV12</f>
        <v>8.7310661915505294E-2</v>
      </c>
    </row>
    <row r="13" spans="1:13" x14ac:dyDescent="0.35">
      <c r="A13" s="125" t="s">
        <v>62</v>
      </c>
      <c r="B13" s="130" t="s">
        <v>50</v>
      </c>
      <c r="C13" s="130" t="s">
        <v>51</v>
      </c>
      <c r="D13" s="130" t="s">
        <v>61</v>
      </c>
      <c r="E13" s="130" t="s">
        <v>53</v>
      </c>
      <c r="F13" s="130" t="s">
        <v>56</v>
      </c>
      <c r="H13" s="328">
        <f>'Tasas inteligentes'!AQ13</f>
        <v>7.827533802975073E-2</v>
      </c>
      <c r="I13" s="328">
        <f>'Tasas inteligentes'!AR13</f>
        <v>8.0849810365514863E-2</v>
      </c>
      <c r="J13" s="328">
        <f>'Tasas inteligentes'!AS13</f>
        <v>8.6015666489925202E-2</v>
      </c>
      <c r="K13" s="328">
        <f>'Tasas inteligentes'!AT13</f>
        <v>8.7310661915505294E-2</v>
      </c>
      <c r="L13" s="328">
        <f>'Tasas inteligentes'!AU13</f>
        <v>8.8607072706796242E-2</v>
      </c>
      <c r="M13" s="328">
        <f>'Tasas inteligentes'!AV13</f>
        <v>8.8607072706796242E-2</v>
      </c>
    </row>
    <row r="14" spans="1:13" x14ac:dyDescent="0.35">
      <c r="A14" s="125" t="s">
        <v>63</v>
      </c>
      <c r="B14" s="130" t="s">
        <v>50</v>
      </c>
      <c r="C14" s="130" t="s">
        <v>51</v>
      </c>
      <c r="D14" s="130" t="s">
        <v>61</v>
      </c>
      <c r="E14" s="130" t="s">
        <v>58</v>
      </c>
      <c r="F14" s="130" t="s">
        <v>54</v>
      </c>
      <c r="H14" s="328">
        <f>'Tasas inteligentes'!AQ14</f>
        <v>7.9561870720073591E-2</v>
      </c>
      <c r="I14" s="328">
        <f>'Tasas inteligentes'!AR14</f>
        <v>8.2139158364710863E-2</v>
      </c>
      <c r="J14" s="328">
        <f>'Tasas inteligentes'!AS14</f>
        <v>8.6015666489925202E-2</v>
      </c>
      <c r="K14" s="328">
        <f>'Tasas inteligentes'!AT14</f>
        <v>8.8607072706796242E-2</v>
      </c>
      <c r="L14" s="328">
        <f>'Tasas inteligentes'!AU14</f>
        <v>8.8607072706796242E-2</v>
      </c>
      <c r="M14" s="328">
        <f>'Tasas inteligentes'!AV14</f>
        <v>8.9904900269945021E-2</v>
      </c>
    </row>
    <row r="15" spans="1:13" x14ac:dyDescent="0.35">
      <c r="A15" s="125" t="s">
        <v>64</v>
      </c>
      <c r="B15" s="130" t="s">
        <v>50</v>
      </c>
      <c r="C15" s="130" t="s">
        <v>51</v>
      </c>
      <c r="D15" s="130" t="s">
        <v>61</v>
      </c>
      <c r="E15" s="130" t="s">
        <v>58</v>
      </c>
      <c r="F15" s="130" t="s">
        <v>56</v>
      </c>
      <c r="H15" s="328">
        <f>'Tasas inteligentes'!AQ15</f>
        <v>8.7310661915505294E-2</v>
      </c>
      <c r="I15" s="328">
        <f>'Tasas inteligentes'!AR15</f>
        <v>8.9904900269945021E-2</v>
      </c>
      <c r="J15" s="328">
        <f>'Tasas inteligentes'!AS15</f>
        <v>9.3806897670984268E-2</v>
      </c>
      <c r="K15" s="328">
        <f>'Tasas inteligentes'!AT15</f>
        <v>9.5110406408293935E-2</v>
      </c>
      <c r="L15" s="328">
        <f>'Tasas inteligentes'!AU15</f>
        <v>9.6415338967120068E-2</v>
      </c>
      <c r="M15" s="328">
        <f>'Tasas inteligentes'!AV15</f>
        <v>9.7721696761175814E-2</v>
      </c>
    </row>
    <row r="16" spans="1:13" x14ac:dyDescent="0.35">
      <c r="A16" s="125" t="s">
        <v>65</v>
      </c>
      <c r="B16" s="130" t="s">
        <v>50</v>
      </c>
      <c r="C16" s="130" t="s">
        <v>66</v>
      </c>
      <c r="D16" s="130" t="s">
        <v>52</v>
      </c>
      <c r="E16" s="130" t="s">
        <v>53</v>
      </c>
      <c r="F16" s="130" t="s">
        <v>54</v>
      </c>
      <c r="H16" s="328">
        <f>'Tasas inteligentes'!AQ16</f>
        <v>7.570648792618595E-2</v>
      </c>
      <c r="I16" s="328">
        <f>'Tasas inteligentes'!AR16</f>
        <v>7.6990210897167399E-2</v>
      </c>
      <c r="J16" s="328">
        <f>'Tasas inteligentes'!AS16</f>
        <v>8.2139158364710863E-2</v>
      </c>
      <c r="K16" s="328">
        <f>'Tasas inteligentes'!AT16</f>
        <v>8.3429916117545799E-2</v>
      </c>
      <c r="L16" s="328">
        <f>'Tasas inteligentes'!AU16</f>
        <v>8.4722085025153548E-2</v>
      </c>
      <c r="M16" s="328">
        <f>'Tasas inteligentes'!AV16</f>
        <v>8.4722085025153548E-2</v>
      </c>
    </row>
    <row r="17" spans="1:13" x14ac:dyDescent="0.35">
      <c r="A17" s="125" t="s">
        <v>67</v>
      </c>
      <c r="B17" s="130" t="s">
        <v>50</v>
      </c>
      <c r="C17" s="130" t="s">
        <v>66</v>
      </c>
      <c r="D17" s="130" t="s">
        <v>52</v>
      </c>
      <c r="E17" s="130" t="s">
        <v>53</v>
      </c>
      <c r="F17" s="130" t="s">
        <v>56</v>
      </c>
      <c r="H17" s="328">
        <f>'Tasas inteligentes'!AQ17</f>
        <v>7.570648792618595E-2</v>
      </c>
      <c r="I17" s="328">
        <f>'Tasas inteligentes'!AR17</f>
        <v>7.6990210897167399E-2</v>
      </c>
      <c r="J17" s="328">
        <f>'Tasas inteligentes'!AS17</f>
        <v>8.2139158364710863E-2</v>
      </c>
      <c r="K17" s="328">
        <f>'Tasas inteligentes'!AT17</f>
        <v>8.3429916117545799E-2</v>
      </c>
      <c r="L17" s="328">
        <f>'Tasas inteligentes'!AU17</f>
        <v>8.4722085025153548E-2</v>
      </c>
      <c r="M17" s="328">
        <f>'Tasas inteligentes'!AV17</f>
        <v>8.4722085025153548E-2</v>
      </c>
    </row>
    <row r="18" spans="1:13" x14ac:dyDescent="0.35">
      <c r="A18" s="125" t="s">
        <v>68</v>
      </c>
      <c r="B18" s="130" t="s">
        <v>50</v>
      </c>
      <c r="C18" s="130" t="s">
        <v>66</v>
      </c>
      <c r="D18" s="130" t="s">
        <v>52</v>
      </c>
      <c r="E18" s="130" t="s">
        <v>58</v>
      </c>
      <c r="F18" s="130" t="s">
        <v>54</v>
      </c>
      <c r="H18" s="328">
        <f>'Tasas inteligentes'!AQ18</f>
        <v>7.570648792618595E-2</v>
      </c>
      <c r="I18" s="328">
        <f>'Tasas inteligentes'!AR18</f>
        <v>7.6990210897167399E-2</v>
      </c>
      <c r="J18" s="328">
        <f>'Tasas inteligentes'!AS18</f>
        <v>8.2139158364710863E-2</v>
      </c>
      <c r="K18" s="328">
        <f>'Tasas inteligentes'!AT18</f>
        <v>8.3429916117545799E-2</v>
      </c>
      <c r="L18" s="328">
        <f>'Tasas inteligentes'!AU18</f>
        <v>8.4722085025153548E-2</v>
      </c>
      <c r="M18" s="328">
        <f>'Tasas inteligentes'!AV18</f>
        <v>8.4722085025153548E-2</v>
      </c>
    </row>
    <row r="19" spans="1:13" x14ac:dyDescent="0.35">
      <c r="A19" s="125" t="s">
        <v>69</v>
      </c>
      <c r="B19" s="130" t="s">
        <v>50</v>
      </c>
      <c r="C19" s="130" t="s">
        <v>66</v>
      </c>
      <c r="D19" s="130" t="s">
        <v>52</v>
      </c>
      <c r="E19" s="130" t="s">
        <v>58</v>
      </c>
      <c r="F19" s="130" t="s">
        <v>56</v>
      </c>
      <c r="H19" s="328">
        <f>'Tasas inteligentes'!AQ19</f>
        <v>7.6990210897167399E-2</v>
      </c>
      <c r="I19" s="328">
        <f>'Tasas inteligentes'!AR19</f>
        <v>7.827533802975073E-2</v>
      </c>
      <c r="J19" s="328">
        <f>'Tasas inteligentes'!AS19</f>
        <v>8.3429916117545799E-2</v>
      </c>
      <c r="K19" s="328">
        <f>'Tasas inteligentes'!AT19</f>
        <v>8.4722085025153548E-2</v>
      </c>
      <c r="L19" s="328">
        <f>'Tasas inteligentes'!AU19</f>
        <v>8.6015666489925202E-2</v>
      </c>
      <c r="M19" s="328">
        <f>'Tasas inteligentes'!AV19</f>
        <v>8.6015666489925202E-2</v>
      </c>
    </row>
    <row r="20" spans="1:13" x14ac:dyDescent="0.35">
      <c r="A20" s="125" t="s">
        <v>70</v>
      </c>
      <c r="B20" s="130" t="s">
        <v>50</v>
      </c>
      <c r="C20" s="130" t="s">
        <v>66</v>
      </c>
      <c r="D20" s="130" t="s">
        <v>61</v>
      </c>
      <c r="E20" s="130" t="s">
        <v>53</v>
      </c>
      <c r="F20" s="130" t="s">
        <v>54</v>
      </c>
      <c r="H20" s="328">
        <f>'Tasas inteligentes'!AQ20</f>
        <v>7.570648792618595E-2</v>
      </c>
      <c r="I20" s="328">
        <f>'Tasas inteligentes'!AR20</f>
        <v>7.827533802975073E-2</v>
      </c>
      <c r="J20" s="328">
        <f>'Tasas inteligentes'!AS20</f>
        <v>8.2139158364710863E-2</v>
      </c>
      <c r="K20" s="328">
        <f>'Tasas inteligentes'!AT20</f>
        <v>8.3429916117545799E-2</v>
      </c>
      <c r="L20" s="328">
        <f>'Tasas inteligentes'!AU20</f>
        <v>8.4722085025153548E-2</v>
      </c>
      <c r="M20" s="328">
        <f>'Tasas inteligentes'!AV20</f>
        <v>8.6015666489925202E-2</v>
      </c>
    </row>
    <row r="21" spans="1:13" x14ac:dyDescent="0.35">
      <c r="A21" s="125" t="s">
        <v>71</v>
      </c>
      <c r="B21" s="130" t="s">
        <v>50</v>
      </c>
      <c r="C21" s="130" t="s">
        <v>66</v>
      </c>
      <c r="D21" s="130" t="s">
        <v>61</v>
      </c>
      <c r="E21" s="130" t="s">
        <v>53</v>
      </c>
      <c r="F21" s="130" t="s">
        <v>56</v>
      </c>
      <c r="H21" s="328">
        <f>'Tasas inteligentes'!AQ21</f>
        <v>7.570648792618595E-2</v>
      </c>
      <c r="I21" s="328">
        <f>'Tasas inteligentes'!AR21</f>
        <v>7.827533802975073E-2</v>
      </c>
      <c r="J21" s="328">
        <f>'Tasas inteligentes'!AS21</f>
        <v>8.2139158364710863E-2</v>
      </c>
      <c r="K21" s="328">
        <f>'Tasas inteligentes'!AT21</f>
        <v>8.3429916117545799E-2</v>
      </c>
      <c r="L21" s="328">
        <f>'Tasas inteligentes'!AU21</f>
        <v>8.4722085025153548E-2</v>
      </c>
      <c r="M21" s="328">
        <f>'Tasas inteligentes'!AV21</f>
        <v>8.6015666489925202E-2</v>
      </c>
    </row>
    <row r="22" spans="1:13" x14ac:dyDescent="0.35">
      <c r="A22" s="125" t="s">
        <v>72</v>
      </c>
      <c r="B22" s="130" t="s">
        <v>50</v>
      </c>
      <c r="C22" s="130" t="s">
        <v>66</v>
      </c>
      <c r="D22" s="130" t="s">
        <v>61</v>
      </c>
      <c r="E22" s="130" t="s">
        <v>58</v>
      </c>
      <c r="F22" s="130" t="s">
        <v>54</v>
      </c>
      <c r="H22" s="328">
        <f>'Tasas inteligentes'!AQ22</f>
        <v>7.570648792618595E-2</v>
      </c>
      <c r="I22" s="328">
        <f>'Tasas inteligentes'!AR22</f>
        <v>7.827533802975073E-2</v>
      </c>
      <c r="J22" s="328">
        <f>'Tasas inteligentes'!AS22</f>
        <v>8.2139158364710863E-2</v>
      </c>
      <c r="K22" s="328">
        <f>'Tasas inteligentes'!AT22</f>
        <v>8.4722085025153548E-2</v>
      </c>
      <c r="L22" s="328">
        <f>'Tasas inteligentes'!AU22</f>
        <v>8.4722085025153548E-2</v>
      </c>
      <c r="M22" s="328">
        <f>'Tasas inteligentes'!AV22</f>
        <v>8.6015666489925202E-2</v>
      </c>
    </row>
    <row r="23" spans="1:13" x14ac:dyDescent="0.35">
      <c r="A23" s="125" t="s">
        <v>73</v>
      </c>
      <c r="B23" s="130" t="s">
        <v>50</v>
      </c>
      <c r="C23" s="130" t="s">
        <v>66</v>
      </c>
      <c r="D23" s="130" t="s">
        <v>61</v>
      </c>
      <c r="E23" s="130" t="s">
        <v>58</v>
      </c>
      <c r="F23" s="130" t="s">
        <v>56</v>
      </c>
      <c r="H23" s="328">
        <f>'Tasas inteligentes'!AQ23</f>
        <v>7.6990210897167399E-2</v>
      </c>
      <c r="I23" s="328">
        <f>'Tasas inteligentes'!AR23</f>
        <v>7.9561870720073591E-2</v>
      </c>
      <c r="J23" s="328">
        <f>'Tasas inteligentes'!AS23</f>
        <v>8.3429916117545799E-2</v>
      </c>
      <c r="K23" s="328">
        <f>'Tasas inteligentes'!AT23</f>
        <v>8.4722085025153548E-2</v>
      </c>
      <c r="L23" s="328">
        <f>'Tasas inteligentes'!AU23</f>
        <v>8.6015666489925202E-2</v>
      </c>
      <c r="M23" s="328">
        <f>'Tasas inteligentes'!AV23</f>
        <v>8.7310661915505294E-2</v>
      </c>
    </row>
    <row r="24" spans="1:13" x14ac:dyDescent="0.35">
      <c r="A24" s="125" t="s">
        <v>74</v>
      </c>
      <c r="B24" s="130" t="s">
        <v>75</v>
      </c>
      <c r="C24" s="130" t="s">
        <v>51</v>
      </c>
      <c r="D24" s="130" t="s">
        <v>52</v>
      </c>
      <c r="E24" s="130" t="s">
        <v>53</v>
      </c>
      <c r="F24" s="130" t="s">
        <v>54</v>
      </c>
      <c r="H24" s="328">
        <f>'Tasas inteligentes'!AQ24</f>
        <v>7.6990210897167399E-2</v>
      </c>
      <c r="I24" s="328">
        <f>'Tasas inteligentes'!AR24</f>
        <v>7.827533802975073E-2</v>
      </c>
      <c r="J24" s="328">
        <f>'Tasas inteligentes'!AS24</f>
        <v>8.3429916117545799E-2</v>
      </c>
      <c r="K24" s="328">
        <f>'Tasas inteligentes'!AT24</f>
        <v>8.4722085025153548E-2</v>
      </c>
      <c r="L24" s="328">
        <f>'Tasas inteligentes'!AU24</f>
        <v>8.6015666489925202E-2</v>
      </c>
      <c r="M24" s="328">
        <f>'Tasas inteligentes'!AV24</f>
        <v>8.6015666489925202E-2</v>
      </c>
    </row>
    <row r="25" spans="1:13" x14ac:dyDescent="0.35">
      <c r="A25" s="125" t="s">
        <v>76</v>
      </c>
      <c r="B25" s="130" t="s">
        <v>75</v>
      </c>
      <c r="C25" s="130" t="s">
        <v>51</v>
      </c>
      <c r="D25" s="130" t="s">
        <v>52</v>
      </c>
      <c r="E25" s="130" t="s">
        <v>53</v>
      </c>
      <c r="F25" s="130" t="s">
        <v>56</v>
      </c>
      <c r="H25" s="328">
        <f>'Tasas inteligentes'!AQ25</f>
        <v>7.827533802975073E-2</v>
      </c>
      <c r="I25" s="328">
        <f>'Tasas inteligentes'!AR25</f>
        <v>7.9561870720073591E-2</v>
      </c>
      <c r="J25" s="328">
        <f>'Tasas inteligentes'!AS25</f>
        <v>8.4722085025153548E-2</v>
      </c>
      <c r="K25" s="328">
        <f>'Tasas inteligentes'!AT25</f>
        <v>8.6015666489925202E-2</v>
      </c>
      <c r="L25" s="328">
        <f>'Tasas inteligentes'!AU25</f>
        <v>8.7310661915505294E-2</v>
      </c>
      <c r="M25" s="328">
        <f>'Tasas inteligentes'!AV25</f>
        <v>8.7310661915505294E-2</v>
      </c>
    </row>
    <row r="26" spans="1:13" x14ac:dyDescent="0.35">
      <c r="A26" s="125" t="s">
        <v>77</v>
      </c>
      <c r="B26" s="130" t="s">
        <v>75</v>
      </c>
      <c r="C26" s="130" t="s">
        <v>51</v>
      </c>
      <c r="D26" s="130" t="s">
        <v>52</v>
      </c>
      <c r="E26" s="130" t="s">
        <v>58</v>
      </c>
      <c r="F26" s="130" t="s">
        <v>54</v>
      </c>
      <c r="H26" s="328">
        <f>'Tasas inteligentes'!AQ26</f>
        <v>7.827533802975073E-2</v>
      </c>
      <c r="I26" s="328">
        <f>'Tasas inteligentes'!AR26</f>
        <v>8.0849810365514863E-2</v>
      </c>
      <c r="J26" s="328">
        <f>'Tasas inteligentes'!AS26</f>
        <v>8.4722085025153548E-2</v>
      </c>
      <c r="K26" s="328">
        <f>'Tasas inteligentes'!AT26</f>
        <v>8.6015666489925202E-2</v>
      </c>
      <c r="L26" s="328">
        <f>'Tasas inteligentes'!AU26</f>
        <v>8.7310661915505294E-2</v>
      </c>
      <c r="M26" s="328">
        <f>'Tasas inteligentes'!AV26</f>
        <v>8.8607072706796242E-2</v>
      </c>
    </row>
    <row r="27" spans="1:13" x14ac:dyDescent="0.35">
      <c r="A27" s="125" t="s">
        <v>78</v>
      </c>
      <c r="B27" s="130" t="s">
        <v>75</v>
      </c>
      <c r="C27" s="130" t="s">
        <v>51</v>
      </c>
      <c r="D27" s="130" t="s">
        <v>52</v>
      </c>
      <c r="E27" s="130" t="s">
        <v>58</v>
      </c>
      <c r="F27" s="130" t="s">
        <v>56</v>
      </c>
      <c r="H27" s="328">
        <f>'Tasas inteligentes'!AQ27</f>
        <v>8.6015666489925202E-2</v>
      </c>
      <c r="I27" s="328">
        <f>'Tasas inteligentes'!AR27</f>
        <v>8.7310661915505294E-2</v>
      </c>
      <c r="J27" s="328">
        <f>'Tasas inteligentes'!AS27</f>
        <v>9.2504811342739135E-2</v>
      </c>
      <c r="K27" s="328">
        <f>'Tasas inteligentes'!AT27</f>
        <v>9.3806897670984268E-2</v>
      </c>
      <c r="L27" s="328">
        <f>'Tasas inteligentes'!AU27</f>
        <v>9.5110406408293935E-2</v>
      </c>
      <c r="M27" s="328">
        <f>'Tasas inteligentes'!AV27</f>
        <v>9.6415338967120068E-2</v>
      </c>
    </row>
    <row r="28" spans="1:13" x14ac:dyDescent="0.35">
      <c r="A28" s="125" t="s">
        <v>79</v>
      </c>
      <c r="B28" s="130" t="s">
        <v>75</v>
      </c>
      <c r="C28" s="130" t="s">
        <v>51</v>
      </c>
      <c r="D28" s="130" t="s">
        <v>61</v>
      </c>
      <c r="E28" s="130" t="s">
        <v>53</v>
      </c>
      <c r="F28" s="130" t="s">
        <v>54</v>
      </c>
      <c r="H28" s="328">
        <f>'Tasas inteligentes'!AQ28</f>
        <v>7.6990210897167399E-2</v>
      </c>
      <c r="I28" s="328">
        <f>'Tasas inteligentes'!AR28</f>
        <v>7.9561870720073591E-2</v>
      </c>
      <c r="J28" s="328">
        <f>'Tasas inteligentes'!AS28</f>
        <v>8.3429916117545799E-2</v>
      </c>
      <c r="K28" s="328">
        <f>'Tasas inteligentes'!AT28</f>
        <v>8.4722085025153548E-2</v>
      </c>
      <c r="L28" s="328">
        <f>'Tasas inteligentes'!AU28</f>
        <v>8.6015666489925202E-2</v>
      </c>
      <c r="M28" s="328">
        <f>'Tasas inteligentes'!AV28</f>
        <v>8.7310661915505294E-2</v>
      </c>
    </row>
    <row r="29" spans="1:13" x14ac:dyDescent="0.35">
      <c r="A29" s="125" t="s">
        <v>80</v>
      </c>
      <c r="B29" s="130" t="s">
        <v>75</v>
      </c>
      <c r="C29" s="130" t="s">
        <v>51</v>
      </c>
      <c r="D29" s="130" t="s">
        <v>61</v>
      </c>
      <c r="E29" s="130" t="s">
        <v>53</v>
      </c>
      <c r="F29" s="130" t="s">
        <v>56</v>
      </c>
      <c r="H29" s="328">
        <f>'Tasas inteligentes'!AQ29</f>
        <v>7.827533802975073E-2</v>
      </c>
      <c r="I29" s="328">
        <f>'Tasas inteligentes'!AR29</f>
        <v>8.0849810365514863E-2</v>
      </c>
      <c r="J29" s="328">
        <f>'Tasas inteligentes'!AS29</f>
        <v>8.4722085025153548E-2</v>
      </c>
      <c r="K29" s="328">
        <f>'Tasas inteligentes'!AT29</f>
        <v>8.6015666489925202E-2</v>
      </c>
      <c r="L29" s="328">
        <f>'Tasas inteligentes'!AU29</f>
        <v>8.7310661915505294E-2</v>
      </c>
      <c r="M29" s="328">
        <f>'Tasas inteligentes'!AV29</f>
        <v>8.8607072706796242E-2</v>
      </c>
    </row>
    <row r="30" spans="1:13" x14ac:dyDescent="0.35">
      <c r="A30" s="125" t="s">
        <v>81</v>
      </c>
      <c r="B30" s="130" t="s">
        <v>75</v>
      </c>
      <c r="C30" s="130" t="s">
        <v>51</v>
      </c>
      <c r="D30" s="130" t="s">
        <v>61</v>
      </c>
      <c r="E30" s="130" t="s">
        <v>58</v>
      </c>
      <c r="F30" s="130" t="s">
        <v>54</v>
      </c>
      <c r="H30" s="328">
        <f>'Tasas inteligentes'!AQ30</f>
        <v>7.9561870720073591E-2</v>
      </c>
      <c r="I30" s="328">
        <f>'Tasas inteligentes'!AR30</f>
        <v>8.0849810365514863E-2</v>
      </c>
      <c r="J30" s="328">
        <f>'Tasas inteligentes'!AS30</f>
        <v>8.6015666489925202E-2</v>
      </c>
      <c r="K30" s="328">
        <f>'Tasas inteligentes'!AT30</f>
        <v>8.7310661915505294E-2</v>
      </c>
      <c r="L30" s="328">
        <f>'Tasas inteligentes'!AU30</f>
        <v>8.8607072706796242E-2</v>
      </c>
      <c r="M30" s="328">
        <f>'Tasas inteligentes'!AV30</f>
        <v>8.8607072706796242E-2</v>
      </c>
    </row>
    <row r="31" spans="1:13" x14ac:dyDescent="0.35">
      <c r="A31" s="125" t="s">
        <v>82</v>
      </c>
      <c r="B31" s="130" t="s">
        <v>75</v>
      </c>
      <c r="C31" s="130" t="s">
        <v>51</v>
      </c>
      <c r="D31" s="130" t="s">
        <v>61</v>
      </c>
      <c r="E31" s="130" t="s">
        <v>58</v>
      </c>
      <c r="F31" s="130" t="s">
        <v>56</v>
      </c>
      <c r="H31" s="328">
        <f>'Tasas inteligentes'!AQ31</f>
        <v>8.6015666489925202E-2</v>
      </c>
      <c r="I31" s="328">
        <f>'Tasas inteligentes'!AR31</f>
        <v>8.8607072706796242E-2</v>
      </c>
      <c r="J31" s="328">
        <f>'Tasas inteligentes'!AS31</f>
        <v>9.3806897670984268E-2</v>
      </c>
      <c r="K31" s="328">
        <f>'Tasas inteligentes'!AT31</f>
        <v>9.5110406408293935E-2</v>
      </c>
      <c r="L31" s="328">
        <f>'Tasas inteligentes'!AU31</f>
        <v>9.6415338967120068E-2</v>
      </c>
      <c r="M31" s="328">
        <f>'Tasas inteligentes'!AV31</f>
        <v>9.6415338967120068E-2</v>
      </c>
    </row>
    <row r="32" spans="1:13" x14ac:dyDescent="0.35">
      <c r="A32" s="125" t="s">
        <v>83</v>
      </c>
      <c r="B32" s="130" t="s">
        <v>75</v>
      </c>
      <c r="C32" s="130" t="s">
        <v>66</v>
      </c>
      <c r="D32" s="130" t="s">
        <v>52</v>
      </c>
      <c r="E32" s="130" t="s">
        <v>53</v>
      </c>
      <c r="F32" s="130" t="s">
        <v>54</v>
      </c>
      <c r="H32" s="328">
        <f>'Tasas inteligentes'!AQ32</f>
        <v>7.4424167721924617E-2</v>
      </c>
      <c r="I32" s="328">
        <f>'Tasas inteligentes'!AR32</f>
        <v>7.6990210897167399E-2</v>
      </c>
      <c r="J32" s="328">
        <f>'Tasas inteligentes'!AS32</f>
        <v>8.0849810365514863E-2</v>
      </c>
      <c r="K32" s="328">
        <f>'Tasas inteligentes'!AT32</f>
        <v>8.2139158364710863E-2</v>
      </c>
      <c r="L32" s="328">
        <f>'Tasas inteligentes'!AU32</f>
        <v>8.3429916117545799E-2</v>
      </c>
      <c r="M32" s="328">
        <f>'Tasas inteligentes'!AV32</f>
        <v>8.4722085025153548E-2</v>
      </c>
    </row>
    <row r="33" spans="1:13" x14ac:dyDescent="0.35">
      <c r="A33" s="125" t="s">
        <v>84</v>
      </c>
      <c r="B33" s="130" t="s">
        <v>75</v>
      </c>
      <c r="C33" s="130" t="s">
        <v>66</v>
      </c>
      <c r="D33" s="130" t="s">
        <v>52</v>
      </c>
      <c r="E33" s="130" t="s">
        <v>53</v>
      </c>
      <c r="F33" s="130" t="s">
        <v>56</v>
      </c>
      <c r="H33" s="328">
        <f>'Tasas inteligentes'!AQ33</f>
        <v>7.570648792618595E-2</v>
      </c>
      <c r="I33" s="328">
        <f>'Tasas inteligentes'!AR33</f>
        <v>7.6990210897167399E-2</v>
      </c>
      <c r="J33" s="328">
        <f>'Tasas inteligentes'!AS33</f>
        <v>8.2139158364710863E-2</v>
      </c>
      <c r="K33" s="328">
        <f>'Tasas inteligentes'!AT33</f>
        <v>8.3429916117545799E-2</v>
      </c>
      <c r="L33" s="328">
        <f>'Tasas inteligentes'!AU33</f>
        <v>8.4722085025153548E-2</v>
      </c>
      <c r="M33" s="328">
        <f>'Tasas inteligentes'!AV33</f>
        <v>8.4722085025153548E-2</v>
      </c>
    </row>
    <row r="34" spans="1:13" x14ac:dyDescent="0.35">
      <c r="A34" s="125" t="s">
        <v>85</v>
      </c>
      <c r="B34" s="130" t="s">
        <v>75</v>
      </c>
      <c r="C34" s="130" t="s">
        <v>66</v>
      </c>
      <c r="D34" s="130" t="s">
        <v>52</v>
      </c>
      <c r="E34" s="130" t="s">
        <v>58</v>
      </c>
      <c r="F34" s="130" t="s">
        <v>54</v>
      </c>
      <c r="H34" s="328">
        <f>'Tasas inteligentes'!AQ34</f>
        <v>7.570648792618595E-2</v>
      </c>
      <c r="I34" s="328">
        <f>'Tasas inteligentes'!AR34</f>
        <v>7.6990210897167399E-2</v>
      </c>
      <c r="J34" s="328">
        <f>'Tasas inteligentes'!AS34</f>
        <v>8.2139158364710863E-2</v>
      </c>
      <c r="K34" s="328">
        <f>'Tasas inteligentes'!AT34</f>
        <v>8.3429916117545799E-2</v>
      </c>
      <c r="L34" s="328">
        <f>'Tasas inteligentes'!AU34</f>
        <v>8.4722085025153548E-2</v>
      </c>
      <c r="M34" s="328">
        <f>'Tasas inteligentes'!AV34</f>
        <v>8.4722085025153548E-2</v>
      </c>
    </row>
    <row r="35" spans="1:13" x14ac:dyDescent="0.35">
      <c r="A35" s="125" t="s">
        <v>86</v>
      </c>
      <c r="B35" s="130" t="s">
        <v>75</v>
      </c>
      <c r="C35" s="130" t="s">
        <v>66</v>
      </c>
      <c r="D35" s="130" t="s">
        <v>52</v>
      </c>
      <c r="E35" s="130" t="s">
        <v>58</v>
      </c>
      <c r="F35" s="130" t="s">
        <v>56</v>
      </c>
      <c r="H35" s="328">
        <f>'Tasas inteligentes'!AQ35</f>
        <v>7.570648792618595E-2</v>
      </c>
      <c r="I35" s="328">
        <f>'Tasas inteligentes'!AR35</f>
        <v>7.827533802975073E-2</v>
      </c>
      <c r="J35" s="328">
        <f>'Tasas inteligentes'!AS35</f>
        <v>8.2139158364710863E-2</v>
      </c>
      <c r="K35" s="328">
        <f>'Tasas inteligentes'!AT35</f>
        <v>8.4722085025153548E-2</v>
      </c>
      <c r="L35" s="328">
        <f>'Tasas inteligentes'!AU35</f>
        <v>8.4722085025153548E-2</v>
      </c>
      <c r="M35" s="328">
        <f>'Tasas inteligentes'!AV35</f>
        <v>8.6015666489925202E-2</v>
      </c>
    </row>
    <row r="36" spans="1:13" x14ac:dyDescent="0.35">
      <c r="A36" s="125" t="s">
        <v>87</v>
      </c>
      <c r="B36" s="130" t="s">
        <v>75</v>
      </c>
      <c r="C36" s="130" t="s">
        <v>66</v>
      </c>
      <c r="D36" s="130" t="s">
        <v>61</v>
      </c>
      <c r="E36" s="130" t="s">
        <v>53</v>
      </c>
      <c r="F36" s="130" t="s">
        <v>54</v>
      </c>
      <c r="H36" s="328">
        <f>'Tasas inteligentes'!AQ36</f>
        <v>7.570648792618595E-2</v>
      </c>
      <c r="I36" s="328">
        <f>'Tasas inteligentes'!AR36</f>
        <v>7.6990210897167399E-2</v>
      </c>
      <c r="J36" s="328">
        <f>'Tasas inteligentes'!AS36</f>
        <v>8.2139158364710863E-2</v>
      </c>
      <c r="K36" s="328">
        <f>'Tasas inteligentes'!AT36</f>
        <v>8.3429916117545799E-2</v>
      </c>
      <c r="L36" s="328">
        <f>'Tasas inteligentes'!AU36</f>
        <v>8.4722085025153548E-2</v>
      </c>
      <c r="M36" s="328">
        <f>'Tasas inteligentes'!AV36</f>
        <v>8.4722085025153548E-2</v>
      </c>
    </row>
    <row r="37" spans="1:13" x14ac:dyDescent="0.35">
      <c r="A37" s="125" t="s">
        <v>88</v>
      </c>
      <c r="B37" s="130" t="s">
        <v>75</v>
      </c>
      <c r="C37" s="130" t="s">
        <v>66</v>
      </c>
      <c r="D37" s="130" t="s">
        <v>61</v>
      </c>
      <c r="E37" s="130" t="s">
        <v>53</v>
      </c>
      <c r="F37" s="130" t="s">
        <v>56</v>
      </c>
      <c r="H37" s="328">
        <f>'Tasas inteligentes'!AQ37</f>
        <v>7.570648792618595E-2</v>
      </c>
      <c r="I37" s="328">
        <f>'Tasas inteligentes'!AR37</f>
        <v>7.827533802975073E-2</v>
      </c>
      <c r="J37" s="328">
        <f>'Tasas inteligentes'!AS37</f>
        <v>8.2139158364710863E-2</v>
      </c>
      <c r="K37" s="328">
        <f>'Tasas inteligentes'!AT37</f>
        <v>8.3429916117545799E-2</v>
      </c>
      <c r="L37" s="328">
        <f>'Tasas inteligentes'!AU37</f>
        <v>8.4722085025153548E-2</v>
      </c>
      <c r="M37" s="328">
        <f>'Tasas inteligentes'!AV37</f>
        <v>8.6015666489925202E-2</v>
      </c>
    </row>
    <row r="38" spans="1:13" x14ac:dyDescent="0.35">
      <c r="A38" s="125" t="s">
        <v>89</v>
      </c>
      <c r="B38" s="130" t="s">
        <v>75</v>
      </c>
      <c r="C38" s="130" t="s">
        <v>66</v>
      </c>
      <c r="D38" s="130" t="s">
        <v>61</v>
      </c>
      <c r="E38" s="130" t="s">
        <v>58</v>
      </c>
      <c r="F38" s="130" t="s">
        <v>54</v>
      </c>
      <c r="H38" s="328">
        <f>'Tasas inteligentes'!AQ38</f>
        <v>7.570648792618595E-2</v>
      </c>
      <c r="I38" s="328">
        <f>'Tasas inteligentes'!AR38</f>
        <v>7.827533802975073E-2</v>
      </c>
      <c r="J38" s="328">
        <f>'Tasas inteligentes'!AS38</f>
        <v>8.2139158364710863E-2</v>
      </c>
      <c r="K38" s="328">
        <f>'Tasas inteligentes'!AT38</f>
        <v>8.3429916117545799E-2</v>
      </c>
      <c r="L38" s="328">
        <f>'Tasas inteligentes'!AU38</f>
        <v>8.4722085025153548E-2</v>
      </c>
      <c r="M38" s="328">
        <f>'Tasas inteligentes'!AV38</f>
        <v>8.6015666489925202E-2</v>
      </c>
    </row>
    <row r="39" spans="1:13" x14ac:dyDescent="0.35">
      <c r="A39" s="125" t="s">
        <v>90</v>
      </c>
      <c r="B39" s="130" t="s">
        <v>75</v>
      </c>
      <c r="C39" s="130" t="s">
        <v>66</v>
      </c>
      <c r="D39" s="130" t="s">
        <v>61</v>
      </c>
      <c r="E39" s="130" t="s">
        <v>58</v>
      </c>
      <c r="F39" s="130" t="s">
        <v>56</v>
      </c>
      <c r="H39" s="328">
        <f>'Tasas inteligentes'!AQ39</f>
        <v>7.6990210897167399E-2</v>
      </c>
      <c r="I39" s="328">
        <f>'Tasas inteligentes'!AR39</f>
        <v>7.827533802975073E-2</v>
      </c>
      <c r="J39" s="328">
        <f>'Tasas inteligentes'!AS39</f>
        <v>8.3429916117545799E-2</v>
      </c>
      <c r="K39" s="328">
        <f>'Tasas inteligentes'!AT39</f>
        <v>8.4722085025153548E-2</v>
      </c>
      <c r="L39" s="328">
        <f>'Tasas inteligentes'!AU39</f>
        <v>8.6015666489925202E-2</v>
      </c>
      <c r="M39" s="328">
        <f>'Tasas inteligentes'!AV39</f>
        <v>8.7310661915505294E-2</v>
      </c>
    </row>
    <row r="40" spans="1:13" x14ac:dyDescent="0.35">
      <c r="A40" s="125" t="s">
        <v>91</v>
      </c>
      <c r="B40" s="130" t="s">
        <v>92</v>
      </c>
      <c r="C40" s="130" t="s">
        <v>51</v>
      </c>
      <c r="D40" s="130" t="s">
        <v>52</v>
      </c>
      <c r="E40" s="130" t="s">
        <v>53</v>
      </c>
      <c r="F40" s="130" t="s">
        <v>54</v>
      </c>
      <c r="H40" s="328">
        <f>'Tasas inteligentes'!AQ40</f>
        <v>7.570648792618595E-2</v>
      </c>
      <c r="I40" s="328">
        <f>'Tasas inteligentes'!AR40</f>
        <v>7.827533802975073E-2</v>
      </c>
      <c r="J40" s="328">
        <f>'Tasas inteligentes'!AS40</f>
        <v>8.2139158364710863E-2</v>
      </c>
      <c r="K40" s="328">
        <f>'Tasas inteligentes'!AT40</f>
        <v>8.3429916117545799E-2</v>
      </c>
      <c r="L40" s="328">
        <f>'Tasas inteligentes'!AU40</f>
        <v>8.4722085025153548E-2</v>
      </c>
      <c r="M40" s="328">
        <f>'Tasas inteligentes'!AV40</f>
        <v>8.6015666489925202E-2</v>
      </c>
    </row>
    <row r="41" spans="1:13" x14ac:dyDescent="0.35">
      <c r="A41" s="125" t="s">
        <v>93</v>
      </c>
      <c r="B41" s="130" t="s">
        <v>92</v>
      </c>
      <c r="C41" s="130" t="s">
        <v>51</v>
      </c>
      <c r="D41" s="130" t="s">
        <v>52</v>
      </c>
      <c r="E41" s="130" t="s">
        <v>53</v>
      </c>
      <c r="F41" s="130" t="s">
        <v>56</v>
      </c>
      <c r="H41" s="328">
        <f>'Tasas inteligentes'!AQ41</f>
        <v>7.6990210897167399E-2</v>
      </c>
      <c r="I41" s="328">
        <f>'Tasas inteligentes'!AR41</f>
        <v>7.827533802975073E-2</v>
      </c>
      <c r="J41" s="328">
        <f>'Tasas inteligentes'!AS41</f>
        <v>8.3429916117545799E-2</v>
      </c>
      <c r="K41" s="328">
        <f>'Tasas inteligentes'!AT41</f>
        <v>8.4722085025153548E-2</v>
      </c>
      <c r="L41" s="328">
        <f>'Tasas inteligentes'!AU41</f>
        <v>8.6015666489925202E-2</v>
      </c>
      <c r="M41" s="328">
        <f>'Tasas inteligentes'!AV41</f>
        <v>8.6015666489925202E-2</v>
      </c>
    </row>
    <row r="42" spans="1:13" x14ac:dyDescent="0.35">
      <c r="A42" s="125" t="s">
        <v>94</v>
      </c>
      <c r="B42" s="130" t="s">
        <v>92</v>
      </c>
      <c r="C42" s="130" t="s">
        <v>51</v>
      </c>
      <c r="D42" s="130" t="s">
        <v>52</v>
      </c>
      <c r="E42" s="130" t="s">
        <v>58</v>
      </c>
      <c r="F42" s="130" t="s">
        <v>54</v>
      </c>
      <c r="H42" s="328">
        <f>'Tasas inteligentes'!AQ42</f>
        <v>7.6990210897167399E-2</v>
      </c>
      <c r="I42" s="328">
        <f>'Tasas inteligentes'!AR42</f>
        <v>7.9561870720073591E-2</v>
      </c>
      <c r="J42" s="328">
        <f>'Tasas inteligentes'!AS42</f>
        <v>8.3429916117545799E-2</v>
      </c>
      <c r="K42" s="328">
        <f>'Tasas inteligentes'!AT42</f>
        <v>8.4722085025153548E-2</v>
      </c>
      <c r="L42" s="328">
        <f>'Tasas inteligentes'!AU42</f>
        <v>8.6015666489925202E-2</v>
      </c>
      <c r="M42" s="328">
        <f>'Tasas inteligentes'!AV42</f>
        <v>8.7310661915505294E-2</v>
      </c>
    </row>
    <row r="43" spans="1:13" x14ac:dyDescent="0.35">
      <c r="A43" s="125" t="s">
        <v>95</v>
      </c>
      <c r="B43" s="130" t="s">
        <v>92</v>
      </c>
      <c r="C43" s="130" t="s">
        <v>51</v>
      </c>
      <c r="D43" s="130" t="s">
        <v>52</v>
      </c>
      <c r="E43" s="130" t="s">
        <v>58</v>
      </c>
      <c r="F43" s="130" t="s">
        <v>56</v>
      </c>
      <c r="H43" s="328">
        <f>'Tasas inteligentes'!AQ43</f>
        <v>8.3429916117545799E-2</v>
      </c>
      <c r="I43" s="328">
        <f>'Tasas inteligentes'!AR43</f>
        <v>8.4722085025153548E-2</v>
      </c>
      <c r="J43" s="328">
        <f>'Tasas inteligentes'!AS43</f>
        <v>8.9904900269945021E-2</v>
      </c>
      <c r="K43" s="328">
        <f>'Tasas inteligentes'!AT43</f>
        <v>9.1204146012370035E-2</v>
      </c>
      <c r="L43" s="328">
        <f>'Tasas inteligentes'!AU43</f>
        <v>9.2504811342739135E-2</v>
      </c>
      <c r="M43" s="328">
        <f>'Tasas inteligentes'!AV43</f>
        <v>9.2504811342739135E-2</v>
      </c>
    </row>
    <row r="44" spans="1:13" x14ac:dyDescent="0.35">
      <c r="A44" s="125" t="s">
        <v>96</v>
      </c>
      <c r="B44" s="130" t="s">
        <v>92</v>
      </c>
      <c r="C44" s="130" t="s">
        <v>51</v>
      </c>
      <c r="D44" s="130" t="s">
        <v>61</v>
      </c>
      <c r="E44" s="130" t="s">
        <v>53</v>
      </c>
      <c r="F44" s="130" t="s">
        <v>54</v>
      </c>
      <c r="H44" s="328">
        <f>'Tasas inteligentes'!AQ44</f>
        <v>7.6990210897167399E-2</v>
      </c>
      <c r="I44" s="328">
        <f>'Tasas inteligentes'!AR44</f>
        <v>7.827533802975073E-2</v>
      </c>
      <c r="J44" s="328">
        <f>'Tasas inteligentes'!AS44</f>
        <v>8.3429916117545799E-2</v>
      </c>
      <c r="K44" s="328">
        <f>'Tasas inteligentes'!AT44</f>
        <v>8.4722085025153548E-2</v>
      </c>
      <c r="L44" s="328">
        <f>'Tasas inteligentes'!AU44</f>
        <v>8.6015666489925202E-2</v>
      </c>
      <c r="M44" s="328">
        <f>'Tasas inteligentes'!AV44</f>
        <v>8.6015666489925202E-2</v>
      </c>
    </row>
    <row r="45" spans="1:13" x14ac:dyDescent="0.35">
      <c r="A45" s="125" t="s">
        <v>97</v>
      </c>
      <c r="B45" s="130" t="s">
        <v>92</v>
      </c>
      <c r="C45" s="130" t="s">
        <v>51</v>
      </c>
      <c r="D45" s="130" t="s">
        <v>61</v>
      </c>
      <c r="E45" s="130" t="s">
        <v>53</v>
      </c>
      <c r="F45" s="130" t="s">
        <v>56</v>
      </c>
      <c r="H45" s="328">
        <f>'Tasas inteligentes'!AQ45</f>
        <v>7.6990210897167399E-2</v>
      </c>
      <c r="I45" s="328">
        <f>'Tasas inteligentes'!AR45</f>
        <v>7.9561870720073591E-2</v>
      </c>
      <c r="J45" s="328">
        <f>'Tasas inteligentes'!AS45</f>
        <v>8.3429916117545799E-2</v>
      </c>
      <c r="K45" s="328">
        <f>'Tasas inteligentes'!AT45</f>
        <v>8.4722085025153548E-2</v>
      </c>
      <c r="L45" s="328">
        <f>'Tasas inteligentes'!AU45</f>
        <v>8.6015666489925202E-2</v>
      </c>
      <c r="M45" s="328">
        <f>'Tasas inteligentes'!AV45</f>
        <v>8.7310661915505294E-2</v>
      </c>
    </row>
    <row r="46" spans="1:13" x14ac:dyDescent="0.35">
      <c r="A46" s="125" t="s">
        <v>98</v>
      </c>
      <c r="B46" s="130" t="s">
        <v>92</v>
      </c>
      <c r="C46" s="130" t="s">
        <v>51</v>
      </c>
      <c r="D46" s="130" t="s">
        <v>61</v>
      </c>
      <c r="E46" s="130" t="s">
        <v>58</v>
      </c>
      <c r="F46" s="130" t="s">
        <v>54</v>
      </c>
      <c r="H46" s="328">
        <f>'Tasas inteligentes'!AQ46</f>
        <v>7.827533802975073E-2</v>
      </c>
      <c r="I46" s="328">
        <f>'Tasas inteligentes'!AR46</f>
        <v>7.9561870720073591E-2</v>
      </c>
      <c r="J46" s="328">
        <f>'Tasas inteligentes'!AS46</f>
        <v>8.4722085025153548E-2</v>
      </c>
      <c r="K46" s="328">
        <f>'Tasas inteligentes'!AT46</f>
        <v>8.6015666489925202E-2</v>
      </c>
      <c r="L46" s="328">
        <f>'Tasas inteligentes'!AU46</f>
        <v>8.7310661915505294E-2</v>
      </c>
      <c r="M46" s="328">
        <f>'Tasas inteligentes'!AV46</f>
        <v>8.7310661915505294E-2</v>
      </c>
    </row>
    <row r="47" spans="1:13" x14ac:dyDescent="0.35">
      <c r="A47" s="125" t="s">
        <v>99</v>
      </c>
      <c r="B47" s="130" t="s">
        <v>92</v>
      </c>
      <c r="C47" s="130" t="s">
        <v>51</v>
      </c>
      <c r="D47" s="130" t="s">
        <v>61</v>
      </c>
      <c r="E47" s="130" t="s">
        <v>58</v>
      </c>
      <c r="F47" s="130" t="s">
        <v>56</v>
      </c>
      <c r="H47" s="328">
        <f>'Tasas inteligentes'!AQ47</f>
        <v>8.3429916117545799E-2</v>
      </c>
      <c r="I47" s="328">
        <f>'Tasas inteligentes'!AR47</f>
        <v>8.6015666489925202E-2</v>
      </c>
      <c r="J47" s="328">
        <f>'Tasas inteligentes'!AS47</f>
        <v>8.9904900269945021E-2</v>
      </c>
      <c r="K47" s="328">
        <f>'Tasas inteligentes'!AT47</f>
        <v>9.2504811342739135E-2</v>
      </c>
      <c r="L47" s="328">
        <f>'Tasas inteligentes'!AU47</f>
        <v>9.2504811342739135E-2</v>
      </c>
      <c r="M47" s="328">
        <f>'Tasas inteligentes'!AV47</f>
        <v>9.3806897670984268E-2</v>
      </c>
    </row>
    <row r="48" spans="1:13" x14ac:dyDescent="0.35">
      <c r="A48" s="125" t="s">
        <v>100</v>
      </c>
      <c r="B48" s="130" t="s">
        <v>92</v>
      </c>
      <c r="C48" s="130" t="s">
        <v>66</v>
      </c>
      <c r="D48" s="130" t="s">
        <v>52</v>
      </c>
      <c r="E48" s="130" t="s">
        <v>53</v>
      </c>
      <c r="F48" s="130" t="s">
        <v>54</v>
      </c>
      <c r="H48" s="328">
        <f>'Tasas inteligentes'!AQ48</f>
        <v>7.1863730040249596E-2</v>
      </c>
      <c r="I48" s="328">
        <f>'Tasas inteligentes'!AR48</f>
        <v>7.4424167721924617E-2</v>
      </c>
      <c r="J48" s="328">
        <f>'Tasas inteligentes'!AS48</f>
        <v>7.827533802975073E-2</v>
      </c>
      <c r="K48" s="328">
        <f>'Tasas inteligentes'!AT48</f>
        <v>8.0849810365514863E-2</v>
      </c>
      <c r="L48" s="328">
        <f>'Tasas inteligentes'!AU48</f>
        <v>8.0849810365514863E-2</v>
      </c>
      <c r="M48" s="328">
        <f>'Tasas inteligentes'!AV48</f>
        <v>8.2139158364710863E-2</v>
      </c>
    </row>
    <row r="49" spans="1:13" x14ac:dyDescent="0.35">
      <c r="A49" s="125" t="s">
        <v>101</v>
      </c>
      <c r="B49" s="130" t="s">
        <v>92</v>
      </c>
      <c r="C49" s="130" t="s">
        <v>66</v>
      </c>
      <c r="D49" s="130" t="s">
        <v>52</v>
      </c>
      <c r="E49" s="130" t="s">
        <v>53</v>
      </c>
      <c r="F49" s="130" t="s">
        <v>56</v>
      </c>
      <c r="H49" s="328">
        <f>'Tasas inteligentes'!AQ49</f>
        <v>7.3143248890743306E-2</v>
      </c>
      <c r="I49" s="328">
        <f>'Tasas inteligentes'!AR49</f>
        <v>7.570648792618595E-2</v>
      </c>
      <c r="J49" s="328">
        <f>'Tasas inteligentes'!AS49</f>
        <v>7.9561870720073591E-2</v>
      </c>
      <c r="K49" s="328">
        <f>'Tasas inteligentes'!AT49</f>
        <v>8.0849810365514863E-2</v>
      </c>
      <c r="L49" s="328">
        <f>'Tasas inteligentes'!AU49</f>
        <v>8.2139158364710863E-2</v>
      </c>
      <c r="M49" s="328">
        <f>'Tasas inteligentes'!AV49</f>
        <v>8.3429916117545799E-2</v>
      </c>
    </row>
    <row r="50" spans="1:13" x14ac:dyDescent="0.35">
      <c r="A50" s="125" t="s">
        <v>102</v>
      </c>
      <c r="B50" s="130" t="s">
        <v>92</v>
      </c>
      <c r="C50" s="130" t="s">
        <v>66</v>
      </c>
      <c r="D50" s="130" t="s">
        <v>52</v>
      </c>
      <c r="E50" s="130" t="s">
        <v>58</v>
      </c>
      <c r="F50" s="130" t="s">
        <v>54</v>
      </c>
      <c r="H50" s="328">
        <f>'Tasas inteligentes'!AQ50</f>
        <v>7.4424167721924617E-2</v>
      </c>
      <c r="I50" s="328">
        <f>'Tasas inteligentes'!AR50</f>
        <v>7.570648792618595E-2</v>
      </c>
      <c r="J50" s="328">
        <f>'Tasas inteligentes'!AS50</f>
        <v>8.0849810365514863E-2</v>
      </c>
      <c r="K50" s="328">
        <f>'Tasas inteligentes'!AT50</f>
        <v>8.2139158364710863E-2</v>
      </c>
      <c r="L50" s="328">
        <f>'Tasas inteligentes'!AU50</f>
        <v>8.3429916117545799E-2</v>
      </c>
      <c r="M50" s="328">
        <f>'Tasas inteligentes'!AV50</f>
        <v>8.3429916117545799E-2</v>
      </c>
    </row>
    <row r="51" spans="1:13" x14ac:dyDescent="0.35">
      <c r="A51" s="125" t="s">
        <v>103</v>
      </c>
      <c r="B51" s="130" t="s">
        <v>92</v>
      </c>
      <c r="C51" s="130" t="s">
        <v>66</v>
      </c>
      <c r="D51" s="130" t="s">
        <v>52</v>
      </c>
      <c r="E51" s="130" t="s">
        <v>58</v>
      </c>
      <c r="F51" s="130" t="s">
        <v>56</v>
      </c>
      <c r="H51" s="328">
        <f>'Tasas inteligentes'!AQ51</f>
        <v>7.4424167721924617E-2</v>
      </c>
      <c r="I51" s="328">
        <f>'Tasas inteligentes'!AR51</f>
        <v>7.570648792618595E-2</v>
      </c>
      <c r="J51" s="328">
        <f>'Tasas inteligentes'!AS51</f>
        <v>8.0849810365514863E-2</v>
      </c>
      <c r="K51" s="328">
        <f>'Tasas inteligentes'!AT51</f>
        <v>8.2139158364710863E-2</v>
      </c>
      <c r="L51" s="328">
        <f>'Tasas inteligentes'!AU51</f>
        <v>8.3429916117545799E-2</v>
      </c>
      <c r="M51" s="328">
        <f>'Tasas inteligentes'!AV51</f>
        <v>8.3429916117545799E-2</v>
      </c>
    </row>
    <row r="52" spans="1:13" x14ac:dyDescent="0.35">
      <c r="A52" s="125" t="s">
        <v>104</v>
      </c>
      <c r="B52" s="130" t="s">
        <v>92</v>
      </c>
      <c r="C52" s="130" t="s">
        <v>66</v>
      </c>
      <c r="D52" s="130" t="s">
        <v>61</v>
      </c>
      <c r="E52" s="130" t="s">
        <v>53</v>
      </c>
      <c r="F52" s="130" t="s">
        <v>54</v>
      </c>
      <c r="H52" s="328">
        <f>'Tasas inteligentes'!AQ52</f>
        <v>7.3143248890743306E-2</v>
      </c>
      <c r="I52" s="328">
        <f>'Tasas inteligentes'!AR52</f>
        <v>7.4424167721924617E-2</v>
      </c>
      <c r="J52" s="328">
        <f>'Tasas inteligentes'!AS52</f>
        <v>7.9561870720073591E-2</v>
      </c>
      <c r="K52" s="328">
        <f>'Tasas inteligentes'!AT52</f>
        <v>8.0849810365514863E-2</v>
      </c>
      <c r="L52" s="328">
        <f>'Tasas inteligentes'!AU52</f>
        <v>8.2139158364710863E-2</v>
      </c>
      <c r="M52" s="328">
        <f>'Tasas inteligentes'!AV52</f>
        <v>8.3429916117545799E-2</v>
      </c>
    </row>
    <row r="53" spans="1:13" x14ac:dyDescent="0.35">
      <c r="A53" s="125" t="s">
        <v>105</v>
      </c>
      <c r="B53" s="130" t="s">
        <v>92</v>
      </c>
      <c r="C53" s="130" t="s">
        <v>66</v>
      </c>
      <c r="D53" s="130" t="s">
        <v>61</v>
      </c>
      <c r="E53" s="130" t="s">
        <v>53</v>
      </c>
      <c r="F53" s="130" t="s">
        <v>56</v>
      </c>
      <c r="H53" s="328">
        <f>'Tasas inteligentes'!AQ53</f>
        <v>7.4424167721924617E-2</v>
      </c>
      <c r="I53" s="328">
        <f>'Tasas inteligentes'!AR53</f>
        <v>7.570648792618595E-2</v>
      </c>
      <c r="J53" s="328">
        <f>'Tasas inteligentes'!AS53</f>
        <v>8.0849810365514863E-2</v>
      </c>
      <c r="K53" s="328">
        <f>'Tasas inteligentes'!AT53</f>
        <v>8.2139158364710863E-2</v>
      </c>
      <c r="L53" s="328">
        <f>'Tasas inteligentes'!AU53</f>
        <v>8.3429916117545799E-2</v>
      </c>
      <c r="M53" s="328">
        <f>'Tasas inteligentes'!AV53</f>
        <v>8.3429916117545799E-2</v>
      </c>
    </row>
    <row r="54" spans="1:13" x14ac:dyDescent="0.35">
      <c r="A54" s="125" t="s">
        <v>106</v>
      </c>
      <c r="B54" s="130" t="s">
        <v>92</v>
      </c>
      <c r="C54" s="130" t="s">
        <v>66</v>
      </c>
      <c r="D54" s="130" t="s">
        <v>61</v>
      </c>
      <c r="E54" s="130" t="s">
        <v>58</v>
      </c>
      <c r="F54" s="130" t="s">
        <v>54</v>
      </c>
      <c r="H54" s="328">
        <f>'Tasas inteligentes'!AQ54</f>
        <v>7.4424167721924617E-2</v>
      </c>
      <c r="I54" s="328">
        <f>'Tasas inteligentes'!AR54</f>
        <v>7.6990210897167399E-2</v>
      </c>
      <c r="J54" s="328">
        <f>'Tasas inteligentes'!AS54</f>
        <v>8.0849810365514863E-2</v>
      </c>
      <c r="K54" s="328">
        <f>'Tasas inteligentes'!AT54</f>
        <v>8.2139158364710863E-2</v>
      </c>
      <c r="L54" s="328">
        <f>'Tasas inteligentes'!AU54</f>
        <v>8.3429916117545799E-2</v>
      </c>
      <c r="M54" s="328">
        <f>'Tasas inteligentes'!AV54</f>
        <v>8.4722085025153548E-2</v>
      </c>
    </row>
    <row r="55" spans="1:13" x14ac:dyDescent="0.35">
      <c r="A55" s="125" t="s">
        <v>107</v>
      </c>
      <c r="B55" s="130" t="s">
        <v>92</v>
      </c>
      <c r="C55" s="130" t="s">
        <v>66</v>
      </c>
      <c r="D55" s="130" t="s">
        <v>61</v>
      </c>
      <c r="E55" s="130" t="s">
        <v>58</v>
      </c>
      <c r="F55" s="130" t="s">
        <v>56</v>
      </c>
      <c r="H55" s="328">
        <f>'Tasas inteligentes'!AQ55</f>
        <v>7.4424167721924617E-2</v>
      </c>
      <c r="I55" s="328">
        <f>'Tasas inteligentes'!AR55</f>
        <v>7.6990210897167399E-2</v>
      </c>
      <c r="J55" s="328">
        <f>'Tasas inteligentes'!AS55</f>
        <v>8.2139158364710863E-2</v>
      </c>
      <c r="K55" s="328">
        <f>'Tasas inteligentes'!AT55</f>
        <v>8.3429916117545799E-2</v>
      </c>
      <c r="L55" s="328">
        <f>'Tasas inteligentes'!AU55</f>
        <v>8.3429916117545799E-2</v>
      </c>
      <c r="M55" s="328">
        <f>'Tasas inteligentes'!AV55</f>
        <v>8.4722085025153548E-2</v>
      </c>
    </row>
  </sheetData>
  <sheetProtection algorithmName="SHA-512" hashValue="0ii90vIibp/pKUmlkctskkpAjMPGIWYuV280Au0G5ypNHaq1rNYsGGwLHwBsrJHxxqltp88BwDCUZ5eunDWoDQ==" saltValue="iYth6Qnn9958/I3l/Hrteg==" spinCount="100000" sheet="1" objects="1" scenarios="1"/>
  <mergeCells count="1">
    <mergeCell ref="H6:M6"/>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DC7D3-0C63-4B41-9AA4-C6D71D569A8A}">
  <sheetPr codeName="Hoja29"/>
  <dimension ref="A1:H10630"/>
  <sheetViews>
    <sheetView showGridLines="0" zoomScaleNormal="100" workbookViewId="0">
      <selection activeCell="E13" sqref="E13"/>
    </sheetView>
  </sheetViews>
  <sheetFormatPr baseColWidth="10" defaultColWidth="9.1796875" defaultRowHeight="14.5" x14ac:dyDescent="0.35"/>
  <cols>
    <col min="1" max="1" width="36.26953125" style="310" customWidth="1"/>
    <col min="2" max="2" width="28.81640625" style="298" customWidth="1"/>
    <col min="3" max="3" width="18.81640625" style="298" customWidth="1"/>
    <col min="4" max="4" width="9.1796875" style="296"/>
    <col min="5" max="5" width="8" style="296" customWidth="1"/>
    <col min="6" max="6" width="17.54296875" style="296" customWidth="1"/>
    <col min="7" max="16384" width="9.1796875" style="296"/>
  </cols>
  <sheetData>
    <row r="1" spans="1:8" ht="15.5" x14ac:dyDescent="0.35">
      <c r="A1" s="572" t="s">
        <v>2613</v>
      </c>
      <c r="B1" s="572"/>
      <c r="C1" s="572"/>
    </row>
    <row r="2" spans="1:8" ht="15" thickBot="1" x14ac:dyDescent="0.4">
      <c r="A2" s="573" t="s">
        <v>2614</v>
      </c>
      <c r="B2" s="573"/>
      <c r="C2" s="573"/>
      <c r="F2" s="298"/>
      <c r="G2" s="574" t="s">
        <v>2615</v>
      </c>
      <c r="H2" s="575"/>
    </row>
    <row r="3" spans="1:8" ht="15" thickTop="1" x14ac:dyDescent="0.35">
      <c r="A3" s="297" t="s">
        <v>156</v>
      </c>
      <c r="F3" s="298"/>
      <c r="G3" s="314" t="s">
        <v>2616</v>
      </c>
      <c r="H3" s="314" t="s">
        <v>2617</v>
      </c>
    </row>
    <row r="4" spans="1:8" ht="23" x14ac:dyDescent="0.35">
      <c r="A4" s="299" t="s">
        <v>2618</v>
      </c>
      <c r="F4" s="314" t="s">
        <v>2619</v>
      </c>
      <c r="G4" s="314">
        <f>AVERAGE(C1:C100211)</f>
        <v>5.2458430875840607</v>
      </c>
      <c r="H4" s="315">
        <f>(G4/12)/100</f>
        <v>4.3715359063200504E-3</v>
      </c>
    </row>
    <row r="5" spans="1:8" x14ac:dyDescent="0.35">
      <c r="A5" s="299" t="s">
        <v>156</v>
      </c>
    </row>
    <row r="6" spans="1:8" ht="36" x14ac:dyDescent="0.35">
      <c r="A6" s="299" t="s">
        <v>2620</v>
      </c>
    </row>
    <row r="8" spans="1:8" ht="28" x14ac:dyDescent="0.35">
      <c r="A8" s="300" t="s">
        <v>2621</v>
      </c>
      <c r="B8" s="300" t="s">
        <v>2622</v>
      </c>
      <c r="C8" s="301" t="s">
        <v>2623</v>
      </c>
    </row>
    <row r="9" spans="1:8" x14ac:dyDescent="0.35">
      <c r="A9" s="305">
        <v>46157</v>
      </c>
      <c r="B9" s="306">
        <v>410.56040000000002</v>
      </c>
      <c r="C9" s="307">
        <v>5.56</v>
      </c>
    </row>
    <row r="10" spans="1:8" x14ac:dyDescent="0.35">
      <c r="A10" s="302">
        <v>46156</v>
      </c>
      <c r="B10" s="303">
        <v>410.45409999999998</v>
      </c>
      <c r="C10" s="304">
        <v>5.55</v>
      </c>
    </row>
    <row r="11" spans="1:8" x14ac:dyDescent="0.35">
      <c r="A11" s="305">
        <v>46155</v>
      </c>
      <c r="B11" s="306">
        <v>410.34780000000001</v>
      </c>
      <c r="C11" s="307">
        <v>5.54</v>
      </c>
    </row>
    <row r="12" spans="1:8" x14ac:dyDescent="0.35">
      <c r="A12" s="302">
        <v>46154</v>
      </c>
      <c r="B12" s="303">
        <v>410.24149999999997</v>
      </c>
      <c r="C12" s="304">
        <v>5.53</v>
      </c>
    </row>
    <row r="13" spans="1:8" x14ac:dyDescent="0.35">
      <c r="A13" s="305">
        <v>46153</v>
      </c>
      <c r="B13" s="306">
        <v>410.13529999999997</v>
      </c>
      <c r="C13" s="307">
        <v>5.52</v>
      </c>
    </row>
    <row r="14" spans="1:8" x14ac:dyDescent="0.35">
      <c r="A14" s="302">
        <v>46152</v>
      </c>
      <c r="B14" s="303">
        <v>410.02910000000003</v>
      </c>
      <c r="C14" s="304">
        <v>5.51</v>
      </c>
    </row>
    <row r="15" spans="1:8" x14ac:dyDescent="0.35">
      <c r="A15" s="305">
        <v>46151</v>
      </c>
      <c r="B15" s="306">
        <v>409.92290000000003</v>
      </c>
      <c r="C15" s="307">
        <v>5.5</v>
      </c>
    </row>
    <row r="16" spans="1:8" x14ac:dyDescent="0.35">
      <c r="A16" s="302">
        <v>46150</v>
      </c>
      <c r="B16" s="303">
        <v>409.81670000000003</v>
      </c>
      <c r="C16" s="304">
        <v>5.5</v>
      </c>
    </row>
    <row r="17" spans="1:3" x14ac:dyDescent="0.35">
      <c r="A17" s="305">
        <v>46149</v>
      </c>
      <c r="B17" s="306">
        <v>409.7106</v>
      </c>
      <c r="C17" s="307">
        <v>5.49</v>
      </c>
    </row>
    <row r="18" spans="1:3" x14ac:dyDescent="0.35">
      <c r="A18" s="302">
        <v>46148</v>
      </c>
      <c r="B18" s="303">
        <v>409.60449999999997</v>
      </c>
      <c r="C18" s="304">
        <v>5.48</v>
      </c>
    </row>
    <row r="19" spans="1:3" x14ac:dyDescent="0.35">
      <c r="A19" s="305">
        <v>46147</v>
      </c>
      <c r="B19" s="306">
        <v>409.4984</v>
      </c>
      <c r="C19" s="307">
        <v>5.47</v>
      </c>
    </row>
    <row r="20" spans="1:3" x14ac:dyDescent="0.35">
      <c r="A20" s="302">
        <v>46146</v>
      </c>
      <c r="B20" s="303">
        <v>409.39240000000001</v>
      </c>
      <c r="C20" s="304">
        <v>5.46</v>
      </c>
    </row>
    <row r="21" spans="1:3" x14ac:dyDescent="0.35">
      <c r="A21" s="305">
        <v>46145</v>
      </c>
      <c r="B21" s="306">
        <v>409.28640000000001</v>
      </c>
      <c r="C21" s="307">
        <v>5.45</v>
      </c>
    </row>
    <row r="22" spans="1:3" x14ac:dyDescent="0.35">
      <c r="A22" s="302">
        <v>46144</v>
      </c>
      <c r="B22" s="303">
        <v>409.18040000000002</v>
      </c>
      <c r="C22" s="304">
        <v>5.44</v>
      </c>
    </row>
    <row r="23" spans="1:3" x14ac:dyDescent="0.35">
      <c r="A23" s="305">
        <v>46143</v>
      </c>
      <c r="B23" s="306">
        <v>409.07440000000003</v>
      </c>
      <c r="C23" s="307">
        <v>5.43</v>
      </c>
    </row>
    <row r="24" spans="1:3" x14ac:dyDescent="0.35">
      <c r="A24" s="302">
        <v>46142</v>
      </c>
      <c r="B24" s="303">
        <v>408.96850000000001</v>
      </c>
      <c r="C24" s="304">
        <v>5.42</v>
      </c>
    </row>
    <row r="25" spans="1:3" x14ac:dyDescent="0.35">
      <c r="A25" s="305">
        <v>46141</v>
      </c>
      <c r="B25" s="306">
        <v>408.86259999999999</v>
      </c>
      <c r="C25" s="307">
        <v>5.41</v>
      </c>
    </row>
    <row r="26" spans="1:3" x14ac:dyDescent="0.35">
      <c r="A26" s="302">
        <v>46140</v>
      </c>
      <c r="B26" s="303">
        <v>408.75670000000002</v>
      </c>
      <c r="C26" s="304">
        <v>5.4</v>
      </c>
    </row>
    <row r="27" spans="1:3" x14ac:dyDescent="0.35">
      <c r="A27" s="305">
        <v>46139</v>
      </c>
      <c r="B27" s="306">
        <v>408.65089999999998</v>
      </c>
      <c r="C27" s="307">
        <v>5.4</v>
      </c>
    </row>
    <row r="28" spans="1:3" x14ac:dyDescent="0.35">
      <c r="A28" s="302">
        <v>46138</v>
      </c>
      <c r="B28" s="303">
        <v>408.54500000000002</v>
      </c>
      <c r="C28" s="304">
        <v>5.39</v>
      </c>
    </row>
    <row r="29" spans="1:3" x14ac:dyDescent="0.35">
      <c r="A29" s="305">
        <v>46137</v>
      </c>
      <c r="B29" s="306">
        <v>408.4393</v>
      </c>
      <c r="C29" s="307">
        <v>5.38</v>
      </c>
    </row>
    <row r="30" spans="1:3" x14ac:dyDescent="0.35">
      <c r="A30" s="302">
        <v>46136</v>
      </c>
      <c r="B30" s="303">
        <v>408.33350000000002</v>
      </c>
      <c r="C30" s="304">
        <v>5.37</v>
      </c>
    </row>
    <row r="31" spans="1:3" x14ac:dyDescent="0.35">
      <c r="A31" s="305">
        <v>46135</v>
      </c>
      <c r="B31" s="306">
        <v>408.22770000000003</v>
      </c>
      <c r="C31" s="307">
        <v>5.36</v>
      </c>
    </row>
    <row r="32" spans="1:3" x14ac:dyDescent="0.35">
      <c r="A32" s="302">
        <v>46134</v>
      </c>
      <c r="B32" s="303">
        <v>408.12200000000001</v>
      </c>
      <c r="C32" s="304">
        <v>5.35</v>
      </c>
    </row>
    <row r="33" spans="1:3" x14ac:dyDescent="0.35">
      <c r="A33" s="305">
        <v>46133</v>
      </c>
      <c r="B33" s="306">
        <v>408.0163</v>
      </c>
      <c r="C33" s="307">
        <v>5.34</v>
      </c>
    </row>
    <row r="34" spans="1:3" x14ac:dyDescent="0.35">
      <c r="A34" s="302">
        <v>46132</v>
      </c>
      <c r="B34" s="303">
        <v>407.91070000000002</v>
      </c>
      <c r="C34" s="304">
        <v>5.33</v>
      </c>
    </row>
    <row r="35" spans="1:3" x14ac:dyDescent="0.35">
      <c r="A35" s="305">
        <v>46131</v>
      </c>
      <c r="B35" s="306">
        <v>407.80509999999998</v>
      </c>
      <c r="C35" s="307">
        <v>5.32</v>
      </c>
    </row>
    <row r="36" spans="1:3" x14ac:dyDescent="0.35">
      <c r="A36" s="302">
        <v>46130</v>
      </c>
      <c r="B36" s="303">
        <v>407.69940000000003</v>
      </c>
      <c r="C36" s="304">
        <v>5.31</v>
      </c>
    </row>
    <row r="37" spans="1:3" x14ac:dyDescent="0.35">
      <c r="A37" s="305">
        <v>46129</v>
      </c>
      <c r="B37" s="306">
        <v>407.59390000000002</v>
      </c>
      <c r="C37" s="307">
        <v>5.3</v>
      </c>
    </row>
    <row r="38" spans="1:3" x14ac:dyDescent="0.35">
      <c r="A38" s="302">
        <v>46128</v>
      </c>
      <c r="B38" s="303">
        <v>407.48829999999998</v>
      </c>
      <c r="C38" s="304">
        <v>5.3</v>
      </c>
    </row>
    <row r="39" spans="1:3" x14ac:dyDescent="0.35">
      <c r="A39" s="305">
        <v>46127</v>
      </c>
      <c r="B39" s="306">
        <v>407.38279999999997</v>
      </c>
      <c r="C39" s="307">
        <v>5.29</v>
      </c>
    </row>
    <row r="40" spans="1:3" x14ac:dyDescent="0.35">
      <c r="A40" s="302">
        <v>46126</v>
      </c>
      <c r="B40" s="303">
        <v>407.24169999999998</v>
      </c>
      <c r="C40" s="304">
        <v>5.29</v>
      </c>
    </row>
    <row r="41" spans="1:3" x14ac:dyDescent="0.35">
      <c r="A41" s="305">
        <v>46125</v>
      </c>
      <c r="B41" s="306">
        <v>407.10059999999999</v>
      </c>
      <c r="C41" s="307">
        <v>5.29</v>
      </c>
    </row>
    <row r="42" spans="1:3" x14ac:dyDescent="0.35">
      <c r="A42" s="302">
        <v>46124</v>
      </c>
      <c r="B42" s="303">
        <v>406.95949999999999</v>
      </c>
      <c r="C42" s="304">
        <v>5.29</v>
      </c>
    </row>
    <row r="43" spans="1:3" x14ac:dyDescent="0.35">
      <c r="A43" s="305">
        <v>46123</v>
      </c>
      <c r="B43" s="306">
        <v>406.8186</v>
      </c>
      <c r="C43" s="307">
        <v>5.29</v>
      </c>
    </row>
    <row r="44" spans="1:3" x14ac:dyDescent="0.35">
      <c r="A44" s="302">
        <v>46122</v>
      </c>
      <c r="B44" s="303">
        <v>406.67759999999998</v>
      </c>
      <c r="C44" s="304">
        <v>5.3</v>
      </c>
    </row>
    <row r="45" spans="1:3" x14ac:dyDescent="0.35">
      <c r="A45" s="305">
        <v>46121</v>
      </c>
      <c r="B45" s="306">
        <v>406.5367</v>
      </c>
      <c r="C45" s="307">
        <v>5.3</v>
      </c>
    </row>
    <row r="46" spans="1:3" x14ac:dyDescent="0.35">
      <c r="A46" s="302">
        <v>46120</v>
      </c>
      <c r="B46" s="303">
        <v>406.39589999999998</v>
      </c>
      <c r="C46" s="304">
        <v>5.3</v>
      </c>
    </row>
    <row r="47" spans="1:3" x14ac:dyDescent="0.35">
      <c r="A47" s="305">
        <v>46119</v>
      </c>
      <c r="B47" s="306">
        <v>406.25510000000003</v>
      </c>
      <c r="C47" s="307">
        <v>5.3</v>
      </c>
    </row>
    <row r="48" spans="1:3" x14ac:dyDescent="0.35">
      <c r="A48" s="302">
        <v>46118</v>
      </c>
      <c r="B48" s="303">
        <v>406.11430000000001</v>
      </c>
      <c r="C48" s="304">
        <v>5.3</v>
      </c>
    </row>
    <row r="49" spans="1:3" x14ac:dyDescent="0.35">
      <c r="A49" s="305">
        <v>46117</v>
      </c>
      <c r="B49" s="306">
        <v>405.97359999999998</v>
      </c>
      <c r="C49" s="307">
        <v>5.31</v>
      </c>
    </row>
    <row r="50" spans="1:3" x14ac:dyDescent="0.35">
      <c r="A50" s="302">
        <v>46116</v>
      </c>
      <c r="B50" s="303">
        <v>405.83300000000003</v>
      </c>
      <c r="C50" s="304">
        <v>5.31</v>
      </c>
    </row>
    <row r="51" spans="1:3" x14ac:dyDescent="0.35">
      <c r="A51" s="305">
        <v>46115</v>
      </c>
      <c r="B51" s="306">
        <v>405.69240000000002</v>
      </c>
      <c r="C51" s="307">
        <v>5.31</v>
      </c>
    </row>
    <row r="52" spans="1:3" x14ac:dyDescent="0.35">
      <c r="A52" s="302">
        <v>46114</v>
      </c>
      <c r="B52" s="303">
        <v>405.55180000000001</v>
      </c>
      <c r="C52" s="304">
        <v>5.31</v>
      </c>
    </row>
    <row r="53" spans="1:3" x14ac:dyDescent="0.35">
      <c r="A53" s="305">
        <v>46113</v>
      </c>
      <c r="B53" s="306">
        <v>405.41129999999998</v>
      </c>
      <c r="C53" s="307">
        <v>5.31</v>
      </c>
    </row>
    <row r="54" spans="1:3" x14ac:dyDescent="0.35">
      <c r="A54" s="302">
        <v>46112</v>
      </c>
      <c r="B54" s="303">
        <v>405.27080000000001</v>
      </c>
      <c r="C54" s="304">
        <v>5.32</v>
      </c>
    </row>
    <row r="55" spans="1:3" x14ac:dyDescent="0.35">
      <c r="A55" s="305">
        <v>46111</v>
      </c>
      <c r="B55" s="306">
        <v>405.13040000000001</v>
      </c>
      <c r="C55" s="307">
        <v>5.32</v>
      </c>
    </row>
    <row r="56" spans="1:3" x14ac:dyDescent="0.35">
      <c r="A56" s="302">
        <v>46110</v>
      </c>
      <c r="B56" s="303">
        <v>404.99009999999998</v>
      </c>
      <c r="C56" s="304">
        <v>5.32</v>
      </c>
    </row>
    <row r="57" spans="1:3" x14ac:dyDescent="0.35">
      <c r="A57" s="305">
        <v>46109</v>
      </c>
      <c r="B57" s="306">
        <v>404.84969999999998</v>
      </c>
      <c r="C57" s="307">
        <v>5.32</v>
      </c>
    </row>
    <row r="58" spans="1:3" x14ac:dyDescent="0.35">
      <c r="A58" s="302">
        <v>46108</v>
      </c>
      <c r="B58" s="303">
        <v>404.70949999999999</v>
      </c>
      <c r="C58" s="304">
        <v>5.32</v>
      </c>
    </row>
    <row r="59" spans="1:3" x14ac:dyDescent="0.35">
      <c r="A59" s="305">
        <v>46107</v>
      </c>
      <c r="B59" s="306">
        <v>404.5693</v>
      </c>
      <c r="C59" s="307">
        <v>5.33</v>
      </c>
    </row>
    <row r="60" spans="1:3" x14ac:dyDescent="0.35">
      <c r="A60" s="302">
        <v>46106</v>
      </c>
      <c r="B60" s="303">
        <v>404.42910000000001</v>
      </c>
      <c r="C60" s="304">
        <v>5.33</v>
      </c>
    </row>
    <row r="61" spans="1:3" x14ac:dyDescent="0.35">
      <c r="A61" s="305">
        <v>46105</v>
      </c>
      <c r="B61" s="306">
        <v>404.28899999999999</v>
      </c>
      <c r="C61" s="307">
        <v>5.33</v>
      </c>
    </row>
    <row r="62" spans="1:3" x14ac:dyDescent="0.35">
      <c r="A62" s="302">
        <v>46104</v>
      </c>
      <c r="B62" s="303">
        <v>404.14890000000003</v>
      </c>
      <c r="C62" s="304">
        <v>5.33</v>
      </c>
    </row>
    <row r="63" spans="1:3" x14ac:dyDescent="0.35">
      <c r="A63" s="305">
        <v>46103</v>
      </c>
      <c r="B63" s="306">
        <v>404.00889999999998</v>
      </c>
      <c r="C63" s="307">
        <v>5.33</v>
      </c>
    </row>
    <row r="64" spans="1:3" x14ac:dyDescent="0.35">
      <c r="A64" s="302">
        <v>46102</v>
      </c>
      <c r="B64" s="303">
        <v>403.8689</v>
      </c>
      <c r="C64" s="304">
        <v>5.34</v>
      </c>
    </row>
    <row r="65" spans="1:3" x14ac:dyDescent="0.35">
      <c r="A65" s="305">
        <v>46101</v>
      </c>
      <c r="B65" s="306">
        <v>403.72899999999998</v>
      </c>
      <c r="C65" s="307">
        <v>5.34</v>
      </c>
    </row>
    <row r="66" spans="1:3" x14ac:dyDescent="0.35">
      <c r="A66" s="302">
        <v>46100</v>
      </c>
      <c r="B66" s="303">
        <v>403.58909999999997</v>
      </c>
      <c r="C66" s="304">
        <v>5.34</v>
      </c>
    </row>
    <row r="67" spans="1:3" x14ac:dyDescent="0.35">
      <c r="A67" s="305">
        <v>46099</v>
      </c>
      <c r="B67" s="306">
        <v>403.44929999999999</v>
      </c>
      <c r="C67" s="307">
        <v>5.34</v>
      </c>
    </row>
    <row r="68" spans="1:3" x14ac:dyDescent="0.35">
      <c r="A68" s="302">
        <v>46098</v>
      </c>
      <c r="B68" s="303">
        <v>403.30950000000001</v>
      </c>
      <c r="C68" s="304">
        <v>5.35</v>
      </c>
    </row>
    <row r="69" spans="1:3" x14ac:dyDescent="0.35">
      <c r="A69" s="305">
        <v>46097</v>
      </c>
      <c r="B69" s="306">
        <v>403.16980000000001</v>
      </c>
      <c r="C69" s="307">
        <v>5.35</v>
      </c>
    </row>
    <row r="70" spans="1:3" x14ac:dyDescent="0.35">
      <c r="A70" s="302">
        <v>46096</v>
      </c>
      <c r="B70" s="303">
        <v>403.0301</v>
      </c>
      <c r="C70" s="304">
        <v>5.35</v>
      </c>
    </row>
    <row r="71" spans="1:3" x14ac:dyDescent="0.35">
      <c r="A71" s="305">
        <v>46095</v>
      </c>
      <c r="B71" s="306">
        <v>402.86130000000003</v>
      </c>
      <c r="C71" s="307">
        <v>5.34</v>
      </c>
    </row>
    <row r="72" spans="1:3" x14ac:dyDescent="0.35">
      <c r="A72" s="302">
        <v>46094</v>
      </c>
      <c r="B72" s="303">
        <v>402.6925</v>
      </c>
      <c r="C72" s="304">
        <v>5.33</v>
      </c>
    </row>
    <row r="73" spans="1:3" x14ac:dyDescent="0.35">
      <c r="A73" s="305">
        <v>46093</v>
      </c>
      <c r="B73" s="306">
        <v>402.52379999999999</v>
      </c>
      <c r="C73" s="307">
        <v>5.32</v>
      </c>
    </row>
    <row r="74" spans="1:3" x14ac:dyDescent="0.35">
      <c r="A74" s="302">
        <v>46092</v>
      </c>
      <c r="B74" s="303">
        <v>402.35520000000002</v>
      </c>
      <c r="C74" s="304">
        <v>5.31</v>
      </c>
    </row>
    <row r="75" spans="1:3" x14ac:dyDescent="0.35">
      <c r="A75" s="305">
        <v>46091</v>
      </c>
      <c r="B75" s="306">
        <v>402.18669999999997</v>
      </c>
      <c r="C75" s="307">
        <v>5.3</v>
      </c>
    </row>
    <row r="76" spans="1:3" x14ac:dyDescent="0.35">
      <c r="A76" s="302">
        <v>46090</v>
      </c>
      <c r="B76" s="303">
        <v>402.01819999999998</v>
      </c>
      <c r="C76" s="304">
        <v>5.3</v>
      </c>
    </row>
    <row r="77" spans="1:3" x14ac:dyDescent="0.35">
      <c r="A77" s="305">
        <v>46089</v>
      </c>
      <c r="B77" s="306">
        <v>401.84980000000002</v>
      </c>
      <c r="C77" s="307">
        <v>5.29</v>
      </c>
    </row>
    <row r="78" spans="1:3" x14ac:dyDescent="0.35">
      <c r="A78" s="302">
        <v>46088</v>
      </c>
      <c r="B78" s="303">
        <v>401.68150000000003</v>
      </c>
      <c r="C78" s="304">
        <v>5.28</v>
      </c>
    </row>
    <row r="79" spans="1:3" x14ac:dyDescent="0.35">
      <c r="A79" s="305">
        <v>46087</v>
      </c>
      <c r="B79" s="306">
        <v>401.51330000000002</v>
      </c>
      <c r="C79" s="307">
        <v>5.27</v>
      </c>
    </row>
    <row r="80" spans="1:3" x14ac:dyDescent="0.35">
      <c r="A80" s="302">
        <v>46086</v>
      </c>
      <c r="B80" s="303">
        <v>401.3451</v>
      </c>
      <c r="C80" s="304">
        <v>5.26</v>
      </c>
    </row>
    <row r="81" spans="1:3" x14ac:dyDescent="0.35">
      <c r="A81" s="305">
        <v>46085</v>
      </c>
      <c r="B81" s="306">
        <v>401.17700000000002</v>
      </c>
      <c r="C81" s="307">
        <v>5.25</v>
      </c>
    </row>
    <row r="82" spans="1:3" x14ac:dyDescent="0.35">
      <c r="A82" s="302">
        <v>46084</v>
      </c>
      <c r="B82" s="303">
        <v>401.00889999999998</v>
      </c>
      <c r="C82" s="304">
        <v>5.24</v>
      </c>
    </row>
    <row r="83" spans="1:3" x14ac:dyDescent="0.35">
      <c r="A83" s="305">
        <v>46083</v>
      </c>
      <c r="B83" s="306">
        <v>400.84100000000001</v>
      </c>
      <c r="C83" s="307">
        <v>5.23</v>
      </c>
    </row>
    <row r="84" spans="1:3" x14ac:dyDescent="0.35">
      <c r="A84" s="302">
        <v>46082</v>
      </c>
      <c r="B84" s="303">
        <v>400.67309999999998</v>
      </c>
      <c r="C84" s="304">
        <v>5.22</v>
      </c>
    </row>
    <row r="85" spans="1:3" x14ac:dyDescent="0.35">
      <c r="A85" s="305">
        <v>46081</v>
      </c>
      <c r="B85" s="306">
        <v>400.5052</v>
      </c>
      <c r="C85" s="307">
        <v>5.22</v>
      </c>
    </row>
    <row r="86" spans="1:3" x14ac:dyDescent="0.35">
      <c r="A86" s="302">
        <v>46080</v>
      </c>
      <c r="B86" s="303">
        <v>400.33749999999998</v>
      </c>
      <c r="C86" s="304">
        <v>5.21</v>
      </c>
    </row>
    <row r="87" spans="1:3" x14ac:dyDescent="0.35">
      <c r="A87" s="305">
        <v>46079</v>
      </c>
      <c r="B87" s="306">
        <v>400.16980000000001</v>
      </c>
      <c r="C87" s="307">
        <v>5.2</v>
      </c>
    </row>
    <row r="88" spans="1:3" x14ac:dyDescent="0.35">
      <c r="A88" s="302">
        <v>46078</v>
      </c>
      <c r="B88" s="303">
        <v>400.00209999999998</v>
      </c>
      <c r="C88" s="304">
        <v>5.19</v>
      </c>
    </row>
    <row r="89" spans="1:3" x14ac:dyDescent="0.35">
      <c r="A89" s="305">
        <v>46077</v>
      </c>
      <c r="B89" s="306">
        <v>399.83460000000002</v>
      </c>
      <c r="C89" s="307">
        <v>5.18</v>
      </c>
    </row>
    <row r="90" spans="1:3" x14ac:dyDescent="0.35">
      <c r="A90" s="302">
        <v>46076</v>
      </c>
      <c r="B90" s="303">
        <v>399.6671</v>
      </c>
      <c r="C90" s="304">
        <v>5.17</v>
      </c>
    </row>
    <row r="91" spans="1:3" x14ac:dyDescent="0.35">
      <c r="A91" s="305">
        <v>46075</v>
      </c>
      <c r="B91" s="306">
        <v>399.49970000000002</v>
      </c>
      <c r="C91" s="307">
        <v>5.16</v>
      </c>
    </row>
    <row r="92" spans="1:3" x14ac:dyDescent="0.35">
      <c r="A92" s="302">
        <v>46074</v>
      </c>
      <c r="B92" s="303">
        <v>399.33240000000001</v>
      </c>
      <c r="C92" s="304">
        <v>5.15</v>
      </c>
    </row>
    <row r="93" spans="1:3" x14ac:dyDescent="0.35">
      <c r="A93" s="305">
        <v>46073</v>
      </c>
      <c r="B93" s="306">
        <v>399.1651</v>
      </c>
      <c r="C93" s="307">
        <v>5.14</v>
      </c>
    </row>
    <row r="94" spans="1:3" x14ac:dyDescent="0.35">
      <c r="A94" s="302">
        <v>46072</v>
      </c>
      <c r="B94" s="303">
        <v>398.99790000000002</v>
      </c>
      <c r="C94" s="304">
        <v>5.13</v>
      </c>
    </row>
    <row r="95" spans="1:3" x14ac:dyDescent="0.35">
      <c r="A95" s="305">
        <v>46071</v>
      </c>
      <c r="B95" s="306">
        <v>398.83080000000001</v>
      </c>
      <c r="C95" s="307">
        <v>5.13</v>
      </c>
    </row>
    <row r="96" spans="1:3" x14ac:dyDescent="0.35">
      <c r="A96" s="302">
        <v>46070</v>
      </c>
      <c r="B96" s="303">
        <v>398.66370000000001</v>
      </c>
      <c r="C96" s="304">
        <v>5.12</v>
      </c>
    </row>
    <row r="97" spans="1:3" x14ac:dyDescent="0.35">
      <c r="A97" s="305">
        <v>46069</v>
      </c>
      <c r="B97" s="306">
        <v>398.49669999999998</v>
      </c>
      <c r="C97" s="307">
        <v>5.1100000000000003</v>
      </c>
    </row>
    <row r="98" spans="1:3" x14ac:dyDescent="0.35">
      <c r="A98" s="302">
        <v>46068</v>
      </c>
      <c r="B98" s="303">
        <v>398.32979999999998</v>
      </c>
      <c r="C98" s="304">
        <v>5.0999999999999996</v>
      </c>
    </row>
    <row r="99" spans="1:3" x14ac:dyDescent="0.35">
      <c r="A99" s="305">
        <v>46067</v>
      </c>
      <c r="B99" s="306">
        <v>398.29509999999999</v>
      </c>
      <c r="C99" s="307">
        <v>5.1100000000000003</v>
      </c>
    </row>
    <row r="100" spans="1:3" x14ac:dyDescent="0.35">
      <c r="A100" s="302">
        <v>46066</v>
      </c>
      <c r="B100" s="303">
        <v>398.26049999999998</v>
      </c>
      <c r="C100" s="304">
        <v>5.1100000000000003</v>
      </c>
    </row>
    <row r="101" spans="1:3" x14ac:dyDescent="0.35">
      <c r="A101" s="305">
        <v>46065</v>
      </c>
      <c r="B101" s="306">
        <v>398.22590000000002</v>
      </c>
      <c r="C101" s="307">
        <v>5.12</v>
      </c>
    </row>
    <row r="102" spans="1:3" x14ac:dyDescent="0.35">
      <c r="A102" s="302">
        <v>46064</v>
      </c>
      <c r="B102" s="303">
        <v>398.19119999999998</v>
      </c>
      <c r="C102" s="304">
        <v>5.12</v>
      </c>
    </row>
    <row r="103" spans="1:3" x14ac:dyDescent="0.35">
      <c r="A103" s="305">
        <v>46063</v>
      </c>
      <c r="B103" s="306">
        <v>398.15660000000003</v>
      </c>
      <c r="C103" s="307">
        <v>5.13</v>
      </c>
    </row>
    <row r="104" spans="1:3" x14ac:dyDescent="0.35">
      <c r="A104" s="302">
        <v>46062</v>
      </c>
      <c r="B104" s="303">
        <v>398.12200000000001</v>
      </c>
      <c r="C104" s="304">
        <v>5.14</v>
      </c>
    </row>
    <row r="105" spans="1:3" x14ac:dyDescent="0.35">
      <c r="A105" s="305">
        <v>46061</v>
      </c>
      <c r="B105" s="306">
        <v>398.08730000000003</v>
      </c>
      <c r="C105" s="307">
        <v>5.14</v>
      </c>
    </row>
    <row r="106" spans="1:3" x14ac:dyDescent="0.35">
      <c r="A106" s="302">
        <v>46060</v>
      </c>
      <c r="B106" s="303">
        <v>398.05270000000002</v>
      </c>
      <c r="C106" s="304">
        <v>5.15</v>
      </c>
    </row>
    <row r="107" spans="1:3" x14ac:dyDescent="0.35">
      <c r="A107" s="305">
        <v>46059</v>
      </c>
      <c r="B107" s="306">
        <v>398.0181</v>
      </c>
      <c r="C107" s="307">
        <v>5.16</v>
      </c>
    </row>
    <row r="108" spans="1:3" x14ac:dyDescent="0.35">
      <c r="A108" s="302">
        <v>46058</v>
      </c>
      <c r="B108" s="303">
        <v>397.98349999999999</v>
      </c>
      <c r="C108" s="304">
        <v>5.16</v>
      </c>
    </row>
    <row r="109" spans="1:3" x14ac:dyDescent="0.35">
      <c r="A109" s="305">
        <v>46057</v>
      </c>
      <c r="B109" s="306">
        <v>397.94889999999998</v>
      </c>
      <c r="C109" s="307">
        <v>5.17</v>
      </c>
    </row>
    <row r="110" spans="1:3" x14ac:dyDescent="0.35">
      <c r="A110" s="302">
        <v>46056</v>
      </c>
      <c r="B110" s="303">
        <v>397.91430000000003</v>
      </c>
      <c r="C110" s="304">
        <v>5.18</v>
      </c>
    </row>
    <row r="111" spans="1:3" x14ac:dyDescent="0.35">
      <c r="A111" s="305">
        <v>46055</v>
      </c>
      <c r="B111" s="306">
        <v>397.87959999999998</v>
      </c>
      <c r="C111" s="307">
        <v>5.18</v>
      </c>
    </row>
    <row r="112" spans="1:3" x14ac:dyDescent="0.35">
      <c r="A112" s="302">
        <v>46054</v>
      </c>
      <c r="B112" s="303">
        <v>397.84500000000003</v>
      </c>
      <c r="C112" s="304">
        <v>5.19</v>
      </c>
    </row>
    <row r="113" spans="1:3" x14ac:dyDescent="0.35">
      <c r="A113" s="305">
        <v>46053</v>
      </c>
      <c r="B113" s="306">
        <v>397.81040000000002</v>
      </c>
      <c r="C113" s="307">
        <v>5.2</v>
      </c>
    </row>
    <row r="114" spans="1:3" x14ac:dyDescent="0.35">
      <c r="A114" s="302">
        <v>46052</v>
      </c>
      <c r="B114" s="303">
        <v>397.7758</v>
      </c>
      <c r="C114" s="304">
        <v>5.2</v>
      </c>
    </row>
    <row r="115" spans="1:3" x14ac:dyDescent="0.35">
      <c r="A115" s="305">
        <v>46051</v>
      </c>
      <c r="B115" s="306">
        <v>397.74119999999999</v>
      </c>
      <c r="C115" s="307">
        <v>5.21</v>
      </c>
    </row>
    <row r="116" spans="1:3" x14ac:dyDescent="0.35">
      <c r="A116" s="302">
        <v>46050</v>
      </c>
      <c r="B116" s="303">
        <v>397.70659999999998</v>
      </c>
      <c r="C116" s="304">
        <v>5.21</v>
      </c>
    </row>
    <row r="117" spans="1:3" x14ac:dyDescent="0.35">
      <c r="A117" s="305">
        <v>46049</v>
      </c>
      <c r="B117" s="306">
        <v>397.6721</v>
      </c>
      <c r="C117" s="307">
        <v>5.22</v>
      </c>
    </row>
    <row r="118" spans="1:3" x14ac:dyDescent="0.35">
      <c r="A118" s="302">
        <v>46048</v>
      </c>
      <c r="B118" s="303">
        <v>397.63749999999999</v>
      </c>
      <c r="C118" s="304">
        <v>5.23</v>
      </c>
    </row>
    <row r="119" spans="1:3" x14ac:dyDescent="0.35">
      <c r="A119" s="305">
        <v>46047</v>
      </c>
      <c r="B119" s="306">
        <v>397.60289999999998</v>
      </c>
      <c r="C119" s="307">
        <v>5.23</v>
      </c>
    </row>
    <row r="120" spans="1:3" x14ac:dyDescent="0.35">
      <c r="A120" s="302">
        <v>46046</v>
      </c>
      <c r="B120" s="303">
        <v>397.56830000000002</v>
      </c>
      <c r="C120" s="304">
        <v>5.24</v>
      </c>
    </row>
    <row r="121" spans="1:3" x14ac:dyDescent="0.35">
      <c r="A121" s="305">
        <v>46045</v>
      </c>
      <c r="B121" s="306">
        <v>397.53370000000001</v>
      </c>
      <c r="C121" s="307">
        <v>5.25</v>
      </c>
    </row>
    <row r="122" spans="1:3" x14ac:dyDescent="0.35">
      <c r="A122" s="302">
        <v>46044</v>
      </c>
      <c r="B122" s="303">
        <v>397.4991</v>
      </c>
      <c r="C122" s="304">
        <v>5.25</v>
      </c>
    </row>
    <row r="123" spans="1:3" x14ac:dyDescent="0.35">
      <c r="A123" s="305">
        <v>46043</v>
      </c>
      <c r="B123" s="306">
        <v>397.46460000000002</v>
      </c>
      <c r="C123" s="307">
        <v>5.26</v>
      </c>
    </row>
    <row r="124" spans="1:3" x14ac:dyDescent="0.35">
      <c r="A124" s="302">
        <v>46042</v>
      </c>
      <c r="B124" s="303">
        <v>397.43</v>
      </c>
      <c r="C124" s="304">
        <v>5.27</v>
      </c>
    </row>
    <row r="125" spans="1:3" x14ac:dyDescent="0.35">
      <c r="A125" s="305">
        <v>46041</v>
      </c>
      <c r="B125" s="306">
        <v>397.3954</v>
      </c>
      <c r="C125" s="307">
        <v>5.27</v>
      </c>
    </row>
    <row r="126" spans="1:3" x14ac:dyDescent="0.35">
      <c r="A126" s="302">
        <v>46040</v>
      </c>
      <c r="B126" s="303">
        <v>397.36090000000002</v>
      </c>
      <c r="C126" s="304">
        <v>5.28</v>
      </c>
    </row>
    <row r="127" spans="1:3" x14ac:dyDescent="0.35">
      <c r="A127" s="305">
        <v>46039</v>
      </c>
      <c r="B127" s="306">
        <v>397.3263</v>
      </c>
      <c r="C127" s="307">
        <v>5.29</v>
      </c>
    </row>
    <row r="128" spans="1:3" x14ac:dyDescent="0.35">
      <c r="A128" s="302">
        <v>46038</v>
      </c>
      <c r="B128" s="303">
        <v>397.29180000000002</v>
      </c>
      <c r="C128" s="304">
        <v>5.29</v>
      </c>
    </row>
    <row r="129" spans="1:3" x14ac:dyDescent="0.35">
      <c r="A129" s="305">
        <v>46037</v>
      </c>
      <c r="B129" s="306">
        <v>397.25720000000001</v>
      </c>
      <c r="C129" s="307">
        <v>5.3</v>
      </c>
    </row>
    <row r="130" spans="1:3" x14ac:dyDescent="0.35">
      <c r="A130" s="302">
        <v>46036</v>
      </c>
      <c r="B130" s="303">
        <v>397.2482</v>
      </c>
      <c r="C130" s="304">
        <v>5.31</v>
      </c>
    </row>
    <row r="131" spans="1:3" x14ac:dyDescent="0.35">
      <c r="A131" s="305">
        <v>46035</v>
      </c>
      <c r="B131" s="306">
        <v>397.23930000000001</v>
      </c>
      <c r="C131" s="307">
        <v>5.31</v>
      </c>
    </row>
    <row r="132" spans="1:3" x14ac:dyDescent="0.35">
      <c r="A132" s="302">
        <v>46034</v>
      </c>
      <c r="B132" s="303">
        <v>397.2303</v>
      </c>
      <c r="C132" s="304">
        <v>5.32</v>
      </c>
    </row>
    <row r="133" spans="1:3" x14ac:dyDescent="0.35">
      <c r="A133" s="305">
        <v>46033</v>
      </c>
      <c r="B133" s="306">
        <v>397.22129999999999</v>
      </c>
      <c r="C133" s="307">
        <v>5.33</v>
      </c>
    </row>
    <row r="134" spans="1:3" x14ac:dyDescent="0.35">
      <c r="A134" s="302">
        <v>46032</v>
      </c>
      <c r="B134" s="303">
        <v>397.2124</v>
      </c>
      <c r="C134" s="304">
        <v>5.33</v>
      </c>
    </row>
    <row r="135" spans="1:3" x14ac:dyDescent="0.35">
      <c r="A135" s="305">
        <v>46031</v>
      </c>
      <c r="B135" s="306">
        <v>397.20339999999999</v>
      </c>
      <c r="C135" s="307">
        <v>5.34</v>
      </c>
    </row>
    <row r="136" spans="1:3" x14ac:dyDescent="0.35">
      <c r="A136" s="302">
        <v>46030</v>
      </c>
      <c r="B136" s="303">
        <v>397.19439999999997</v>
      </c>
      <c r="C136" s="304">
        <v>5.35</v>
      </c>
    </row>
    <row r="137" spans="1:3" x14ac:dyDescent="0.35">
      <c r="A137" s="305">
        <v>46029</v>
      </c>
      <c r="B137" s="306">
        <v>397.18549999999999</v>
      </c>
      <c r="C137" s="307">
        <v>5.35</v>
      </c>
    </row>
    <row r="138" spans="1:3" x14ac:dyDescent="0.35">
      <c r="A138" s="302">
        <v>46028</v>
      </c>
      <c r="B138" s="303">
        <v>397.17649999999998</v>
      </c>
      <c r="C138" s="304">
        <v>5.36</v>
      </c>
    </row>
    <row r="139" spans="1:3" x14ac:dyDescent="0.35">
      <c r="A139" s="305">
        <v>46027</v>
      </c>
      <c r="B139" s="306">
        <v>397.16750000000002</v>
      </c>
      <c r="C139" s="307">
        <v>5.37</v>
      </c>
    </row>
    <row r="140" spans="1:3" x14ac:dyDescent="0.35">
      <c r="A140" s="302">
        <v>46026</v>
      </c>
      <c r="B140" s="303">
        <v>397.15859999999998</v>
      </c>
      <c r="C140" s="304">
        <v>5.37</v>
      </c>
    </row>
    <row r="141" spans="1:3" x14ac:dyDescent="0.35">
      <c r="A141" s="305">
        <v>46025</v>
      </c>
      <c r="B141" s="306">
        <v>397.14960000000002</v>
      </c>
      <c r="C141" s="307">
        <v>5.38</v>
      </c>
    </row>
    <row r="142" spans="1:3" x14ac:dyDescent="0.35">
      <c r="A142" s="302">
        <v>46024</v>
      </c>
      <c r="B142" s="303">
        <v>397.14060000000001</v>
      </c>
      <c r="C142" s="304">
        <v>5.39</v>
      </c>
    </row>
    <row r="143" spans="1:3" x14ac:dyDescent="0.35">
      <c r="A143" s="305">
        <v>46023</v>
      </c>
      <c r="B143" s="306">
        <v>397.13170000000002</v>
      </c>
      <c r="C143" s="307">
        <v>5.39</v>
      </c>
    </row>
    <row r="144" spans="1:3" x14ac:dyDescent="0.35">
      <c r="A144" s="302">
        <v>46022</v>
      </c>
      <c r="B144" s="303">
        <v>397.12270000000001</v>
      </c>
      <c r="C144" s="304">
        <v>5.4</v>
      </c>
    </row>
    <row r="145" spans="1:3" x14ac:dyDescent="0.35">
      <c r="A145" s="305">
        <v>46021</v>
      </c>
      <c r="B145" s="306">
        <v>397.11369999999999</v>
      </c>
      <c r="C145" s="307">
        <v>5.41</v>
      </c>
    </row>
    <row r="146" spans="1:3" x14ac:dyDescent="0.35">
      <c r="A146" s="302">
        <v>46020</v>
      </c>
      <c r="B146" s="303">
        <v>397.10480000000001</v>
      </c>
      <c r="C146" s="304">
        <v>5.41</v>
      </c>
    </row>
    <row r="147" spans="1:3" x14ac:dyDescent="0.35">
      <c r="A147" s="305">
        <v>46019</v>
      </c>
      <c r="B147" s="306">
        <v>397.0958</v>
      </c>
      <c r="C147" s="307">
        <v>5.42</v>
      </c>
    </row>
    <row r="148" spans="1:3" x14ac:dyDescent="0.35">
      <c r="A148" s="302">
        <v>46018</v>
      </c>
      <c r="B148" s="303">
        <v>397.08679999999998</v>
      </c>
      <c r="C148" s="304">
        <v>5.43</v>
      </c>
    </row>
    <row r="149" spans="1:3" x14ac:dyDescent="0.35">
      <c r="A149" s="305">
        <v>46017</v>
      </c>
      <c r="B149" s="306">
        <v>397.0779</v>
      </c>
      <c r="C149" s="307">
        <v>5.43</v>
      </c>
    </row>
    <row r="150" spans="1:3" x14ac:dyDescent="0.35">
      <c r="A150" s="302">
        <v>46016</v>
      </c>
      <c r="B150" s="303">
        <v>397.06889999999999</v>
      </c>
      <c r="C150" s="304">
        <v>5.44</v>
      </c>
    </row>
    <row r="151" spans="1:3" x14ac:dyDescent="0.35">
      <c r="A151" s="305">
        <v>46015</v>
      </c>
      <c r="B151" s="306">
        <v>397.06</v>
      </c>
      <c r="C151" s="307">
        <v>5.45</v>
      </c>
    </row>
    <row r="152" spans="1:3" x14ac:dyDescent="0.35">
      <c r="A152" s="302">
        <v>46014</v>
      </c>
      <c r="B152" s="303">
        <v>397.05099999999999</v>
      </c>
      <c r="C152" s="304">
        <v>5.45</v>
      </c>
    </row>
    <row r="153" spans="1:3" x14ac:dyDescent="0.35">
      <c r="A153" s="305">
        <v>46013</v>
      </c>
      <c r="B153" s="306">
        <v>397.04199999999997</v>
      </c>
      <c r="C153" s="307">
        <v>5.46</v>
      </c>
    </row>
    <row r="154" spans="1:3" x14ac:dyDescent="0.35">
      <c r="A154" s="302">
        <v>46012</v>
      </c>
      <c r="B154" s="303">
        <v>397.03309999999999</v>
      </c>
      <c r="C154" s="304">
        <v>5.47</v>
      </c>
    </row>
    <row r="155" spans="1:3" x14ac:dyDescent="0.35">
      <c r="A155" s="305">
        <v>46011</v>
      </c>
      <c r="B155" s="306">
        <v>397.02409999999998</v>
      </c>
      <c r="C155" s="307">
        <v>5.47</v>
      </c>
    </row>
    <row r="156" spans="1:3" x14ac:dyDescent="0.35">
      <c r="A156" s="302">
        <v>46010</v>
      </c>
      <c r="B156" s="303">
        <v>397.01510000000002</v>
      </c>
      <c r="C156" s="304">
        <v>5.48</v>
      </c>
    </row>
    <row r="157" spans="1:3" x14ac:dyDescent="0.35">
      <c r="A157" s="305">
        <v>46009</v>
      </c>
      <c r="B157" s="306">
        <v>397.00619999999998</v>
      </c>
      <c r="C157" s="307">
        <v>5.49</v>
      </c>
    </row>
    <row r="158" spans="1:3" x14ac:dyDescent="0.35">
      <c r="A158" s="302">
        <v>46008</v>
      </c>
      <c r="B158" s="303">
        <v>396.99720000000002</v>
      </c>
      <c r="C158" s="304">
        <v>5.5</v>
      </c>
    </row>
    <row r="159" spans="1:3" x14ac:dyDescent="0.35">
      <c r="A159" s="305">
        <v>46007</v>
      </c>
      <c r="B159" s="306">
        <v>396.98829999999998</v>
      </c>
      <c r="C159" s="307">
        <v>5.5</v>
      </c>
    </row>
    <row r="160" spans="1:3" x14ac:dyDescent="0.35">
      <c r="A160" s="302">
        <v>46006</v>
      </c>
      <c r="B160" s="303">
        <v>396.97930000000002</v>
      </c>
      <c r="C160" s="304">
        <v>5.51</v>
      </c>
    </row>
    <row r="161" spans="1:3" x14ac:dyDescent="0.35">
      <c r="A161" s="305">
        <v>46005</v>
      </c>
      <c r="B161" s="306">
        <v>396.95549999999997</v>
      </c>
      <c r="C161" s="307">
        <v>5.5</v>
      </c>
    </row>
    <row r="162" spans="1:3" x14ac:dyDescent="0.35">
      <c r="A162" s="302">
        <v>46004</v>
      </c>
      <c r="B162" s="303">
        <v>396.93169999999998</v>
      </c>
      <c r="C162" s="304">
        <v>5.49</v>
      </c>
    </row>
    <row r="163" spans="1:3" x14ac:dyDescent="0.35">
      <c r="A163" s="305">
        <v>46003</v>
      </c>
      <c r="B163" s="306">
        <v>396.90789999999998</v>
      </c>
      <c r="C163" s="307">
        <v>5.48</v>
      </c>
    </row>
    <row r="164" spans="1:3" x14ac:dyDescent="0.35">
      <c r="A164" s="302">
        <v>46002</v>
      </c>
      <c r="B164" s="303">
        <v>396.88409999999999</v>
      </c>
      <c r="C164" s="304">
        <v>5.47</v>
      </c>
    </row>
    <row r="165" spans="1:3" x14ac:dyDescent="0.35">
      <c r="A165" s="305">
        <v>46001</v>
      </c>
      <c r="B165" s="306">
        <v>396.8603</v>
      </c>
      <c r="C165" s="307">
        <v>5.45</v>
      </c>
    </row>
    <row r="166" spans="1:3" x14ac:dyDescent="0.35">
      <c r="A166" s="302">
        <v>46000</v>
      </c>
      <c r="B166" s="303">
        <v>396.8365</v>
      </c>
      <c r="C166" s="304">
        <v>5.44</v>
      </c>
    </row>
    <row r="167" spans="1:3" x14ac:dyDescent="0.35">
      <c r="A167" s="305">
        <v>45999</v>
      </c>
      <c r="B167" s="306">
        <v>396.81270000000001</v>
      </c>
      <c r="C167" s="307">
        <v>5.43</v>
      </c>
    </row>
    <row r="168" spans="1:3" x14ac:dyDescent="0.35">
      <c r="A168" s="302">
        <v>45998</v>
      </c>
      <c r="B168" s="303">
        <v>396.78890000000001</v>
      </c>
      <c r="C168" s="304">
        <v>5.42</v>
      </c>
    </row>
    <row r="169" spans="1:3" x14ac:dyDescent="0.35">
      <c r="A169" s="305">
        <v>45997</v>
      </c>
      <c r="B169" s="306">
        <v>396.76519999999999</v>
      </c>
      <c r="C169" s="307">
        <v>5.41</v>
      </c>
    </row>
    <row r="170" spans="1:3" x14ac:dyDescent="0.35">
      <c r="A170" s="302">
        <v>45996</v>
      </c>
      <c r="B170" s="303">
        <v>396.7414</v>
      </c>
      <c r="C170" s="304">
        <v>5.4</v>
      </c>
    </row>
    <row r="171" spans="1:3" x14ac:dyDescent="0.35">
      <c r="A171" s="305">
        <v>45995</v>
      </c>
      <c r="B171" s="306">
        <v>396.7176</v>
      </c>
      <c r="C171" s="307">
        <v>5.39</v>
      </c>
    </row>
    <row r="172" spans="1:3" x14ac:dyDescent="0.35">
      <c r="A172" s="302">
        <v>45994</v>
      </c>
      <c r="B172" s="303">
        <v>396.69380000000001</v>
      </c>
      <c r="C172" s="304">
        <v>5.38</v>
      </c>
    </row>
    <row r="173" spans="1:3" x14ac:dyDescent="0.35">
      <c r="A173" s="305">
        <v>45993</v>
      </c>
      <c r="B173" s="306">
        <v>396.67</v>
      </c>
      <c r="C173" s="307">
        <v>5.37</v>
      </c>
    </row>
    <row r="174" spans="1:3" x14ac:dyDescent="0.35">
      <c r="A174" s="302">
        <v>45992</v>
      </c>
      <c r="B174" s="303">
        <v>396.6463</v>
      </c>
      <c r="C174" s="304">
        <v>5.36</v>
      </c>
    </row>
    <row r="175" spans="1:3" x14ac:dyDescent="0.35">
      <c r="A175" s="305">
        <v>45991</v>
      </c>
      <c r="B175" s="306">
        <v>396.6225</v>
      </c>
      <c r="C175" s="307">
        <v>5.35</v>
      </c>
    </row>
    <row r="176" spans="1:3" x14ac:dyDescent="0.35">
      <c r="A176" s="302">
        <v>45990</v>
      </c>
      <c r="B176" s="303">
        <v>396.59870000000001</v>
      </c>
      <c r="C176" s="304">
        <v>5.33</v>
      </c>
    </row>
    <row r="177" spans="1:3" x14ac:dyDescent="0.35">
      <c r="A177" s="305">
        <v>45989</v>
      </c>
      <c r="B177" s="306">
        <v>396.57490000000001</v>
      </c>
      <c r="C177" s="307">
        <v>5.32</v>
      </c>
    </row>
    <row r="178" spans="1:3" x14ac:dyDescent="0.35">
      <c r="A178" s="302">
        <v>45988</v>
      </c>
      <c r="B178" s="303">
        <v>396.55119999999999</v>
      </c>
      <c r="C178" s="304">
        <v>5.31</v>
      </c>
    </row>
    <row r="179" spans="1:3" x14ac:dyDescent="0.35">
      <c r="A179" s="305">
        <v>45987</v>
      </c>
      <c r="B179" s="306">
        <v>396.5274</v>
      </c>
      <c r="C179" s="307">
        <v>5.3</v>
      </c>
    </row>
    <row r="180" spans="1:3" x14ac:dyDescent="0.35">
      <c r="A180" s="302">
        <v>45986</v>
      </c>
      <c r="B180" s="303">
        <v>396.50360000000001</v>
      </c>
      <c r="C180" s="304">
        <v>5.29</v>
      </c>
    </row>
    <row r="181" spans="1:3" x14ac:dyDescent="0.35">
      <c r="A181" s="305">
        <v>45985</v>
      </c>
      <c r="B181" s="306">
        <v>396.47980000000001</v>
      </c>
      <c r="C181" s="307">
        <v>5.28</v>
      </c>
    </row>
    <row r="182" spans="1:3" x14ac:dyDescent="0.35">
      <c r="A182" s="302">
        <v>45984</v>
      </c>
      <c r="B182" s="303">
        <v>396.45609999999999</v>
      </c>
      <c r="C182" s="304">
        <v>5.27</v>
      </c>
    </row>
    <row r="183" spans="1:3" x14ac:dyDescent="0.35">
      <c r="A183" s="305">
        <v>45983</v>
      </c>
      <c r="B183" s="306">
        <v>396.4323</v>
      </c>
      <c r="C183" s="307">
        <v>5.26</v>
      </c>
    </row>
    <row r="184" spans="1:3" x14ac:dyDescent="0.35">
      <c r="A184" s="302">
        <v>45982</v>
      </c>
      <c r="B184" s="303">
        <v>396.40859999999998</v>
      </c>
      <c r="C184" s="304">
        <v>5.25</v>
      </c>
    </row>
    <row r="185" spans="1:3" x14ac:dyDescent="0.35">
      <c r="A185" s="305">
        <v>45981</v>
      </c>
      <c r="B185" s="306">
        <v>396.38479999999998</v>
      </c>
      <c r="C185" s="307">
        <v>5.24</v>
      </c>
    </row>
    <row r="186" spans="1:3" x14ac:dyDescent="0.35">
      <c r="A186" s="302">
        <v>45980</v>
      </c>
      <c r="B186" s="303">
        <v>396.36099999999999</v>
      </c>
      <c r="C186" s="304">
        <v>5.23</v>
      </c>
    </row>
    <row r="187" spans="1:3" x14ac:dyDescent="0.35">
      <c r="A187" s="305">
        <v>45979</v>
      </c>
      <c r="B187" s="306">
        <v>396.33730000000003</v>
      </c>
      <c r="C187" s="307">
        <v>5.21</v>
      </c>
    </row>
    <row r="188" spans="1:3" x14ac:dyDescent="0.35">
      <c r="A188" s="302">
        <v>45978</v>
      </c>
      <c r="B188" s="303">
        <v>396.31349999999998</v>
      </c>
      <c r="C188" s="304">
        <v>5.2</v>
      </c>
    </row>
    <row r="189" spans="1:3" x14ac:dyDescent="0.35">
      <c r="A189" s="305">
        <v>45977</v>
      </c>
      <c r="B189" s="306">
        <v>396.28980000000001</v>
      </c>
      <c r="C189" s="307">
        <v>5.19</v>
      </c>
    </row>
    <row r="190" spans="1:3" x14ac:dyDescent="0.35">
      <c r="A190" s="302">
        <v>45976</v>
      </c>
      <c r="B190" s="303">
        <v>396.26600000000002</v>
      </c>
      <c r="C190" s="304">
        <v>5.18</v>
      </c>
    </row>
    <row r="191" spans="1:3" x14ac:dyDescent="0.35">
      <c r="A191" s="305">
        <v>45975</v>
      </c>
      <c r="B191" s="306">
        <v>396.22519999999997</v>
      </c>
      <c r="C191" s="307">
        <v>5.1795929527252804</v>
      </c>
    </row>
    <row r="192" spans="1:3" x14ac:dyDescent="0.35">
      <c r="A192" s="302">
        <v>45974</v>
      </c>
      <c r="B192" s="303">
        <v>396.18430000000001</v>
      </c>
      <c r="C192" s="304">
        <v>5.1768604923119899</v>
      </c>
    </row>
    <row r="193" spans="1:3" x14ac:dyDescent="0.35">
      <c r="A193" s="305">
        <v>45973</v>
      </c>
      <c r="B193" s="306">
        <v>396.14350000000002</v>
      </c>
      <c r="C193" s="307">
        <v>5.1741820824219102</v>
      </c>
    </row>
    <row r="194" spans="1:3" x14ac:dyDescent="0.35">
      <c r="A194" s="302">
        <v>45972</v>
      </c>
      <c r="B194" s="303">
        <v>396.10270000000003</v>
      </c>
      <c r="C194" s="304">
        <v>5.1714753325318297</v>
      </c>
    </row>
    <row r="195" spans="1:3" x14ac:dyDescent="0.35">
      <c r="A195" s="305">
        <v>45971</v>
      </c>
      <c r="B195" s="306">
        <v>396.06189999999998</v>
      </c>
      <c r="C195" s="307">
        <v>5.1687681643350398</v>
      </c>
    </row>
    <row r="196" spans="1:3" x14ac:dyDescent="0.35">
      <c r="A196" s="302">
        <v>45970</v>
      </c>
      <c r="B196" s="303">
        <v>396.02100000000002</v>
      </c>
      <c r="C196" s="304">
        <v>5.1660340220635099</v>
      </c>
    </row>
    <row r="197" spans="1:3" x14ac:dyDescent="0.35">
      <c r="A197" s="305">
        <v>45969</v>
      </c>
      <c r="B197" s="306">
        <v>395.98020000000002</v>
      </c>
      <c r="C197" s="307">
        <v>5.1633539439026404</v>
      </c>
    </row>
    <row r="198" spans="1:3" x14ac:dyDescent="0.35">
      <c r="A198" s="302">
        <v>45968</v>
      </c>
      <c r="B198" s="303">
        <v>395.93939999999998</v>
      </c>
      <c r="C198" s="304">
        <v>5.1606455195903598</v>
      </c>
    </row>
    <row r="199" spans="1:3" x14ac:dyDescent="0.35">
      <c r="A199" s="305">
        <v>45967</v>
      </c>
      <c r="B199" s="306">
        <v>395.89859999999999</v>
      </c>
      <c r="C199" s="307">
        <v>5.1579366765830903</v>
      </c>
    </row>
    <row r="200" spans="1:3" x14ac:dyDescent="0.35">
      <c r="A200" s="302">
        <v>45966</v>
      </c>
      <c r="B200" s="303">
        <v>395.8578</v>
      </c>
      <c r="C200" s="304">
        <v>5.1552274147837096</v>
      </c>
    </row>
    <row r="201" spans="1:3" x14ac:dyDescent="0.35">
      <c r="A201" s="305">
        <v>45965</v>
      </c>
      <c r="B201" s="306">
        <v>395.81700000000001</v>
      </c>
      <c r="C201" s="307">
        <v>5.1525177340950998</v>
      </c>
    </row>
    <row r="202" spans="1:3" x14ac:dyDescent="0.35">
      <c r="A202" s="302">
        <v>45964</v>
      </c>
      <c r="B202" s="303">
        <v>395.77620000000002</v>
      </c>
      <c r="C202" s="304">
        <v>5.1498076344201102</v>
      </c>
    </row>
    <row r="203" spans="1:3" x14ac:dyDescent="0.35">
      <c r="A203" s="305">
        <v>45963</v>
      </c>
      <c r="B203" s="306">
        <v>395.73540000000003</v>
      </c>
      <c r="C203" s="307">
        <v>5.1470971156615599</v>
      </c>
    </row>
    <row r="204" spans="1:3" x14ac:dyDescent="0.35">
      <c r="A204" s="302">
        <v>45962</v>
      </c>
      <c r="B204" s="303">
        <v>395.69470000000001</v>
      </c>
      <c r="C204" s="304">
        <v>5.1444127498276098</v>
      </c>
    </row>
    <row r="205" spans="1:3" x14ac:dyDescent="0.35">
      <c r="A205" s="305">
        <v>45961</v>
      </c>
      <c r="B205" s="306">
        <v>395.65390000000002</v>
      </c>
      <c r="C205" s="307">
        <v>5.1417013946650796</v>
      </c>
    </row>
    <row r="206" spans="1:3" x14ac:dyDescent="0.35">
      <c r="A206" s="302">
        <v>45960</v>
      </c>
      <c r="B206" s="303">
        <v>395.61309999999997</v>
      </c>
      <c r="C206" s="304">
        <v>5.1389896201275498</v>
      </c>
    </row>
    <row r="207" spans="1:3" x14ac:dyDescent="0.35">
      <c r="A207" s="305">
        <v>45959</v>
      </c>
      <c r="B207" s="306">
        <v>395.57229999999998</v>
      </c>
      <c r="C207" s="307">
        <v>5.1362774261177204</v>
      </c>
    </row>
    <row r="208" spans="1:3" x14ac:dyDescent="0.35">
      <c r="A208" s="302">
        <v>45958</v>
      </c>
      <c r="B208" s="303">
        <v>395.53160000000003</v>
      </c>
      <c r="C208" s="304">
        <v>5.1335913928649397</v>
      </c>
    </row>
    <row r="209" spans="1:3" x14ac:dyDescent="0.35">
      <c r="A209" s="305">
        <v>45957</v>
      </c>
      <c r="B209" s="306">
        <v>395.49079999999998</v>
      </c>
      <c r="C209" s="307">
        <v>5.1308783616745801</v>
      </c>
    </row>
    <row r="210" spans="1:3" x14ac:dyDescent="0.35">
      <c r="A210" s="302">
        <v>45956</v>
      </c>
      <c r="B210" s="303">
        <v>395.45010000000002</v>
      </c>
      <c r="C210" s="304">
        <v>5.1281914951593697</v>
      </c>
    </row>
    <row r="211" spans="1:3" x14ac:dyDescent="0.35">
      <c r="A211" s="305">
        <v>45955</v>
      </c>
      <c r="B211" s="306">
        <v>395.40929999999997</v>
      </c>
      <c r="C211" s="307">
        <v>5.1254776264001798</v>
      </c>
    </row>
    <row r="212" spans="1:3" x14ac:dyDescent="0.35">
      <c r="A212" s="302">
        <v>45954</v>
      </c>
      <c r="B212" s="303">
        <v>395.36860000000001</v>
      </c>
      <c r="C212" s="304">
        <v>5.1227619756140497</v>
      </c>
    </row>
    <row r="213" spans="1:3" x14ac:dyDescent="0.35">
      <c r="A213" s="305">
        <v>45953</v>
      </c>
      <c r="B213" s="306">
        <v>395.32780000000002</v>
      </c>
      <c r="C213" s="307">
        <v>5.1200472674565303</v>
      </c>
    </row>
    <row r="214" spans="1:3" x14ac:dyDescent="0.35">
      <c r="A214" s="302">
        <v>45952</v>
      </c>
      <c r="B214" s="303">
        <v>395.28710000000001</v>
      </c>
      <c r="C214" s="304">
        <v>5.1173587318066298</v>
      </c>
    </row>
    <row r="215" spans="1:3" x14ac:dyDescent="0.35">
      <c r="A215" s="305">
        <v>45951</v>
      </c>
      <c r="B215" s="306">
        <v>395.24630000000002</v>
      </c>
      <c r="C215" s="307">
        <v>5.1146431853026897</v>
      </c>
    </row>
    <row r="216" spans="1:3" x14ac:dyDescent="0.35">
      <c r="A216" s="302">
        <v>45950</v>
      </c>
      <c r="B216" s="303">
        <v>395.2056</v>
      </c>
      <c r="C216" s="304">
        <v>5.1119538152279302</v>
      </c>
    </row>
    <row r="217" spans="1:3" x14ac:dyDescent="0.35">
      <c r="A217" s="305">
        <v>45949</v>
      </c>
      <c r="B217" s="306">
        <v>395.16489999999999</v>
      </c>
      <c r="C217" s="307">
        <v>5.1092360709912104</v>
      </c>
    </row>
    <row r="218" spans="1:3" x14ac:dyDescent="0.35">
      <c r="A218" s="302">
        <v>45948</v>
      </c>
      <c r="B218" s="303">
        <v>395.1241</v>
      </c>
      <c r="C218" s="304">
        <v>5.1065192658261296</v>
      </c>
    </row>
    <row r="219" spans="1:3" x14ac:dyDescent="0.35">
      <c r="A219" s="305">
        <v>45947</v>
      </c>
      <c r="B219" s="306">
        <v>395.08339999999998</v>
      </c>
      <c r="C219" s="307">
        <v>5.1038286429676996</v>
      </c>
    </row>
    <row r="220" spans="1:3" x14ac:dyDescent="0.35">
      <c r="A220" s="302">
        <v>45946</v>
      </c>
      <c r="B220" s="303">
        <v>395.04270000000002</v>
      </c>
      <c r="C220" s="304">
        <v>5.1011096413326804</v>
      </c>
    </row>
    <row r="221" spans="1:3" x14ac:dyDescent="0.35">
      <c r="A221" s="302">
        <v>45945</v>
      </c>
      <c r="B221" s="303">
        <v>395.00200000000001</v>
      </c>
      <c r="C221" s="304">
        <v>5.0984181836903497</v>
      </c>
    </row>
    <row r="222" spans="1:3" x14ac:dyDescent="0.35">
      <c r="A222" s="305">
        <v>45944</v>
      </c>
      <c r="B222" s="306">
        <v>394.97699999999998</v>
      </c>
      <c r="C222" s="307">
        <v>5.0917664187509502</v>
      </c>
    </row>
    <row r="223" spans="1:3" x14ac:dyDescent="0.35">
      <c r="A223" s="302">
        <v>45943</v>
      </c>
      <c r="B223" s="303">
        <v>394.952</v>
      </c>
      <c r="C223" s="304">
        <v>5.0851146538115497</v>
      </c>
    </row>
    <row r="224" spans="1:3" x14ac:dyDescent="0.35">
      <c r="A224" s="305">
        <v>45942</v>
      </c>
      <c r="B224" s="306">
        <v>394.92700000000002</v>
      </c>
      <c r="C224" s="307">
        <v>5.0784628888721599</v>
      </c>
    </row>
    <row r="225" spans="1:3" x14ac:dyDescent="0.35">
      <c r="A225" s="302">
        <v>45941</v>
      </c>
      <c r="B225" s="303">
        <v>394.90199999999999</v>
      </c>
      <c r="C225" s="304">
        <v>5.0718111239327603</v>
      </c>
    </row>
    <row r="226" spans="1:3" x14ac:dyDescent="0.35">
      <c r="A226" s="305">
        <v>45940</v>
      </c>
      <c r="B226" s="306">
        <v>394.87700000000001</v>
      </c>
      <c r="C226" s="307">
        <v>5.0651593589933599</v>
      </c>
    </row>
    <row r="227" spans="1:3" x14ac:dyDescent="0.35">
      <c r="A227" s="302">
        <v>45939</v>
      </c>
      <c r="B227" s="303">
        <v>394.85210000000001</v>
      </c>
      <c r="C227" s="304">
        <v>5.0585342011137202</v>
      </c>
    </row>
    <row r="228" spans="1:3" x14ac:dyDescent="0.35">
      <c r="A228" s="305">
        <v>45938</v>
      </c>
      <c r="B228" s="306">
        <v>394.82709999999997</v>
      </c>
      <c r="C228" s="307">
        <v>5.0518824361743198</v>
      </c>
    </row>
    <row r="229" spans="1:3" x14ac:dyDescent="0.35">
      <c r="A229" s="302">
        <v>45937</v>
      </c>
      <c r="B229" s="303">
        <v>394.8021</v>
      </c>
      <c r="C229" s="304">
        <v>5.0452306712349202</v>
      </c>
    </row>
    <row r="230" spans="1:3" x14ac:dyDescent="0.35">
      <c r="A230" s="305">
        <v>45936</v>
      </c>
      <c r="B230" s="306">
        <v>394.77710000000002</v>
      </c>
      <c r="C230" s="307">
        <v>5.0385789062955197</v>
      </c>
    </row>
    <row r="231" spans="1:3" x14ac:dyDescent="0.35">
      <c r="A231" s="302">
        <v>45935</v>
      </c>
      <c r="B231" s="303">
        <v>394.75209999999998</v>
      </c>
      <c r="C231" s="304">
        <v>5.0319271413561202</v>
      </c>
    </row>
    <row r="232" spans="1:3" x14ac:dyDescent="0.35">
      <c r="A232" s="305">
        <v>45934</v>
      </c>
      <c r="B232" s="306">
        <v>394.72719999999998</v>
      </c>
      <c r="C232" s="307">
        <v>5.0253019834764796</v>
      </c>
    </row>
    <row r="233" spans="1:3" x14ac:dyDescent="0.35">
      <c r="A233" s="302">
        <v>45933</v>
      </c>
      <c r="B233" s="303">
        <v>394.7022</v>
      </c>
      <c r="C233" s="304">
        <v>5.0186502185370898</v>
      </c>
    </row>
    <row r="234" spans="1:3" x14ac:dyDescent="0.35">
      <c r="A234" s="305">
        <v>45932</v>
      </c>
      <c r="B234" s="306">
        <v>394.67720000000003</v>
      </c>
      <c r="C234" s="307">
        <v>5.0119984535976903</v>
      </c>
    </row>
    <row r="235" spans="1:3" x14ac:dyDescent="0.35">
      <c r="A235" s="302">
        <v>45931</v>
      </c>
      <c r="B235" s="303">
        <v>394.65219999999999</v>
      </c>
      <c r="C235" s="304">
        <v>5.0053466886582898</v>
      </c>
    </row>
    <row r="236" spans="1:3" x14ac:dyDescent="0.35">
      <c r="A236" s="305">
        <v>45930</v>
      </c>
      <c r="B236" s="306">
        <v>394.62729999999999</v>
      </c>
      <c r="C236" s="307">
        <v>4.9987215307786501</v>
      </c>
    </row>
    <row r="237" spans="1:3" x14ac:dyDescent="0.35">
      <c r="A237" s="302">
        <v>45929</v>
      </c>
      <c r="B237" s="303">
        <v>394.60230000000001</v>
      </c>
      <c r="C237" s="304">
        <v>4.9920697658392497</v>
      </c>
    </row>
    <row r="238" spans="1:3" x14ac:dyDescent="0.35">
      <c r="A238" s="305">
        <v>45928</v>
      </c>
      <c r="B238" s="306">
        <v>394.57729999999998</v>
      </c>
      <c r="C238" s="307">
        <v>4.9854180008998501</v>
      </c>
    </row>
    <row r="239" spans="1:3" x14ac:dyDescent="0.35">
      <c r="A239" s="302">
        <v>45927</v>
      </c>
      <c r="B239" s="303">
        <v>394.55239999999998</v>
      </c>
      <c r="C239" s="304">
        <v>4.9787928430202104</v>
      </c>
    </row>
    <row r="240" spans="1:3" x14ac:dyDescent="0.35">
      <c r="A240" s="305">
        <v>45926</v>
      </c>
      <c r="B240" s="306">
        <v>394.5274</v>
      </c>
      <c r="C240" s="307">
        <v>4.97214107808081</v>
      </c>
    </row>
    <row r="241" spans="1:3" x14ac:dyDescent="0.35">
      <c r="A241" s="302">
        <v>45925</v>
      </c>
      <c r="B241" s="303">
        <v>394.50240000000002</v>
      </c>
      <c r="C241" s="304">
        <v>4.9654893131414104</v>
      </c>
    </row>
    <row r="242" spans="1:3" x14ac:dyDescent="0.35">
      <c r="A242" s="305">
        <v>45924</v>
      </c>
      <c r="B242" s="306">
        <v>394.47750000000002</v>
      </c>
      <c r="C242" s="307">
        <v>4.9588641552617698</v>
      </c>
    </row>
    <row r="243" spans="1:3" x14ac:dyDescent="0.35">
      <c r="A243" s="302">
        <v>45923</v>
      </c>
      <c r="B243" s="303">
        <v>394.45249999999999</v>
      </c>
      <c r="C243" s="304">
        <v>4.9522123903223703</v>
      </c>
    </row>
    <row r="244" spans="1:3" x14ac:dyDescent="0.35">
      <c r="A244" s="305">
        <v>45922</v>
      </c>
      <c r="B244" s="306">
        <v>394.42759999999998</v>
      </c>
      <c r="C244" s="307">
        <v>4.9455872324427297</v>
      </c>
    </row>
    <row r="245" spans="1:3" x14ac:dyDescent="0.35">
      <c r="A245" s="302">
        <v>45921</v>
      </c>
      <c r="B245" s="303">
        <v>394.40260000000001</v>
      </c>
      <c r="C245" s="304">
        <v>4.9389354675033301</v>
      </c>
    </row>
    <row r="246" spans="1:3" x14ac:dyDescent="0.35">
      <c r="A246" s="305">
        <v>45920</v>
      </c>
      <c r="B246" s="306">
        <v>394.37759999999997</v>
      </c>
      <c r="C246" s="307">
        <v>4.9322837025639403</v>
      </c>
    </row>
    <row r="247" spans="1:3" x14ac:dyDescent="0.35">
      <c r="A247" s="302">
        <v>45919</v>
      </c>
      <c r="B247" s="303">
        <v>394.35270000000003</v>
      </c>
      <c r="C247" s="304">
        <v>4.9256585446842998</v>
      </c>
    </row>
    <row r="248" spans="1:3" x14ac:dyDescent="0.35">
      <c r="A248" s="305">
        <v>45918</v>
      </c>
      <c r="B248" s="306">
        <v>394.32769999999999</v>
      </c>
      <c r="C248" s="307">
        <v>4.9190067797449002</v>
      </c>
    </row>
    <row r="249" spans="1:3" x14ac:dyDescent="0.35">
      <c r="A249" s="302">
        <v>45917</v>
      </c>
      <c r="B249" s="303">
        <v>394.30279999999999</v>
      </c>
      <c r="C249" s="304">
        <v>4.9123816218652596</v>
      </c>
    </row>
    <row r="250" spans="1:3" x14ac:dyDescent="0.35">
      <c r="A250" s="305">
        <v>45916</v>
      </c>
      <c r="B250" s="306">
        <v>394.27780000000001</v>
      </c>
      <c r="C250" s="307">
        <v>4.9057298569258601</v>
      </c>
    </row>
    <row r="251" spans="1:3" x14ac:dyDescent="0.35">
      <c r="A251" s="302">
        <v>45915</v>
      </c>
      <c r="B251" s="303">
        <v>394.25290000000001</v>
      </c>
      <c r="C251" s="304">
        <v>4.8991046990462204</v>
      </c>
    </row>
    <row r="252" spans="1:3" x14ac:dyDescent="0.35">
      <c r="A252" s="305">
        <v>45914</v>
      </c>
      <c r="B252" s="306">
        <v>394.2174</v>
      </c>
      <c r="C252" s="307">
        <v>4.8964133768688303</v>
      </c>
    </row>
    <row r="253" spans="1:3" x14ac:dyDescent="0.35">
      <c r="A253" s="302">
        <v>45913</v>
      </c>
      <c r="B253" s="303">
        <v>394.18180000000001</v>
      </c>
      <c r="C253" s="304">
        <v>4.8937230103067799</v>
      </c>
    </row>
    <row r="254" spans="1:3" x14ac:dyDescent="0.35">
      <c r="A254" s="305">
        <v>45912</v>
      </c>
      <c r="B254" s="306">
        <v>394.1463</v>
      </c>
      <c r="C254" s="307">
        <v>4.8910309941735202</v>
      </c>
    </row>
    <row r="255" spans="1:3" x14ac:dyDescent="0.35">
      <c r="A255" s="302">
        <v>45911</v>
      </c>
      <c r="B255" s="303">
        <v>394.11070000000001</v>
      </c>
      <c r="C255" s="304">
        <v>4.8883120173565304</v>
      </c>
    </row>
    <row r="256" spans="1:3" x14ac:dyDescent="0.35">
      <c r="A256" s="305">
        <v>45910</v>
      </c>
      <c r="B256" s="306">
        <v>394.0752</v>
      </c>
      <c r="C256" s="307">
        <v>4.8856193059174498</v>
      </c>
    </row>
    <row r="257" spans="1:3" x14ac:dyDescent="0.35">
      <c r="A257" s="302">
        <v>45909</v>
      </c>
      <c r="B257" s="303">
        <v>394.03960000000001</v>
      </c>
      <c r="C257" s="304">
        <v>4.88289963023177</v>
      </c>
    </row>
    <row r="258" spans="1:3" x14ac:dyDescent="0.35">
      <c r="A258" s="305">
        <v>45908</v>
      </c>
      <c r="B258" s="306">
        <v>394.00409999999999</v>
      </c>
      <c r="C258" s="307">
        <v>4.8802062232178898</v>
      </c>
    </row>
    <row r="259" spans="1:3" x14ac:dyDescent="0.35">
      <c r="A259" s="302">
        <v>45907</v>
      </c>
      <c r="B259" s="303">
        <v>393.96850000000001</v>
      </c>
      <c r="C259" s="304">
        <v>4.8775137676053202</v>
      </c>
    </row>
    <row r="260" spans="1:3" x14ac:dyDescent="0.35">
      <c r="A260" s="305">
        <v>45906</v>
      </c>
      <c r="B260" s="306">
        <v>393.93299999999999</v>
      </c>
      <c r="C260" s="307">
        <v>4.8748196658290297</v>
      </c>
    </row>
    <row r="261" spans="1:3" x14ac:dyDescent="0.35">
      <c r="A261" s="302">
        <v>45905</v>
      </c>
      <c r="B261" s="303">
        <v>393.89749999999998</v>
      </c>
      <c r="C261" s="304">
        <v>4.8721252168875298</v>
      </c>
    </row>
    <row r="262" spans="1:3" x14ac:dyDescent="0.35">
      <c r="A262" s="305">
        <v>45904</v>
      </c>
      <c r="B262" s="306">
        <v>393.86200000000002</v>
      </c>
      <c r="C262" s="307">
        <v>4.8694304207136998</v>
      </c>
    </row>
    <row r="263" spans="1:3" x14ac:dyDescent="0.35">
      <c r="A263" s="302">
        <v>45903</v>
      </c>
      <c r="B263" s="303">
        <v>393.82639999999998</v>
      </c>
      <c r="C263" s="304">
        <v>4.8667086495921303</v>
      </c>
    </row>
    <row r="264" spans="1:3" x14ac:dyDescent="0.35">
      <c r="A264" s="305">
        <v>45902</v>
      </c>
      <c r="B264" s="306">
        <v>393.79090000000002</v>
      </c>
      <c r="C264" s="307">
        <v>4.8640131570362897</v>
      </c>
    </row>
    <row r="265" spans="1:3" x14ac:dyDescent="0.35">
      <c r="A265" s="302">
        <v>45901</v>
      </c>
      <c r="B265" s="303">
        <v>393.75540000000001</v>
      </c>
      <c r="C265" s="304">
        <v>4.8613173170464696</v>
      </c>
    </row>
    <row r="266" spans="1:3" x14ac:dyDescent="0.35">
      <c r="A266" s="305">
        <v>45900</v>
      </c>
      <c r="B266" s="306">
        <v>393.7199</v>
      </c>
      <c r="C266" s="307">
        <v>4.8586211295555097</v>
      </c>
    </row>
    <row r="267" spans="1:3" x14ac:dyDescent="0.35">
      <c r="A267" s="302">
        <v>45899</v>
      </c>
      <c r="B267" s="303">
        <v>393.68439999999998</v>
      </c>
      <c r="C267" s="304">
        <v>4.85592459449619</v>
      </c>
    </row>
    <row r="268" spans="1:3" x14ac:dyDescent="0.35">
      <c r="A268" s="305">
        <v>45898</v>
      </c>
      <c r="B268" s="306">
        <v>393.64890000000003</v>
      </c>
      <c r="C268" s="307">
        <v>4.8532277118013196</v>
      </c>
    </row>
    <row r="269" spans="1:3" x14ac:dyDescent="0.35">
      <c r="A269" s="302">
        <v>45897</v>
      </c>
      <c r="B269" s="303">
        <v>393.61340000000001</v>
      </c>
      <c r="C269" s="304">
        <v>4.8505304814036503</v>
      </c>
    </row>
    <row r="270" spans="1:3" x14ac:dyDescent="0.35">
      <c r="A270" s="305">
        <v>45896</v>
      </c>
      <c r="B270" s="306">
        <v>393.5779</v>
      </c>
      <c r="C270" s="307">
        <v>4.8478329032359504</v>
      </c>
    </row>
    <row r="271" spans="1:3" x14ac:dyDescent="0.35">
      <c r="A271" s="302">
        <v>45895</v>
      </c>
      <c r="B271" s="303">
        <v>393.54239999999999</v>
      </c>
      <c r="C271" s="304">
        <v>4.8451349772309404</v>
      </c>
    </row>
    <row r="272" spans="1:3" x14ac:dyDescent="0.35">
      <c r="A272" s="305">
        <v>45894</v>
      </c>
      <c r="B272" s="306">
        <v>393.50689999999997</v>
      </c>
      <c r="C272" s="307">
        <v>4.8424367033213596</v>
      </c>
    </row>
    <row r="273" spans="1:3" x14ac:dyDescent="0.35">
      <c r="A273" s="302">
        <v>45893</v>
      </c>
      <c r="B273" s="303">
        <v>393.47140000000002</v>
      </c>
      <c r="C273" s="304">
        <v>4.83973808143989</v>
      </c>
    </row>
    <row r="274" spans="1:3" x14ac:dyDescent="0.35">
      <c r="A274" s="305">
        <v>45892</v>
      </c>
      <c r="B274" s="306">
        <v>393.4359</v>
      </c>
      <c r="C274" s="307">
        <v>4.8370111760871897</v>
      </c>
    </row>
    <row r="275" spans="1:3" x14ac:dyDescent="0.35">
      <c r="A275" s="302">
        <v>45891</v>
      </c>
      <c r="B275" s="303">
        <v>393.40039999999999</v>
      </c>
      <c r="C275" s="304">
        <v>4.8343118569777896</v>
      </c>
    </row>
    <row r="276" spans="1:3" x14ac:dyDescent="0.35">
      <c r="A276" s="305">
        <v>45890</v>
      </c>
      <c r="B276" s="306">
        <v>393.36489999999998</v>
      </c>
      <c r="C276" s="307">
        <v>4.8316121896944599</v>
      </c>
    </row>
    <row r="277" spans="1:3" x14ac:dyDescent="0.35">
      <c r="A277" s="302">
        <v>45889</v>
      </c>
      <c r="B277" s="303">
        <v>393.32940000000002</v>
      </c>
      <c r="C277" s="304">
        <v>4.8289121741698304</v>
      </c>
    </row>
    <row r="278" spans="1:3" x14ac:dyDescent="0.35">
      <c r="A278" s="305">
        <v>45888</v>
      </c>
      <c r="B278" s="306">
        <v>393.29399999999998</v>
      </c>
      <c r="C278" s="307">
        <v>4.8262384637404399</v>
      </c>
    </row>
    <row r="279" spans="1:3" x14ac:dyDescent="0.35">
      <c r="A279" s="302">
        <v>45887</v>
      </c>
      <c r="B279" s="303">
        <v>393.25850000000003</v>
      </c>
      <c r="C279" s="304">
        <v>4.8235377532503296</v>
      </c>
    </row>
    <row r="280" spans="1:3" x14ac:dyDescent="0.35">
      <c r="A280" s="305">
        <v>45886</v>
      </c>
      <c r="B280" s="306">
        <v>393.22300000000001</v>
      </c>
      <c r="C280" s="307">
        <v>4.8208087523987802</v>
      </c>
    </row>
    <row r="281" spans="1:3" x14ac:dyDescent="0.35">
      <c r="A281" s="302">
        <v>45885</v>
      </c>
      <c r="B281" s="303">
        <v>393.18759999999997</v>
      </c>
      <c r="C281" s="304">
        <v>4.8181340024275299</v>
      </c>
    </row>
    <row r="282" spans="1:3" x14ac:dyDescent="0.35">
      <c r="A282" s="305">
        <v>45884</v>
      </c>
      <c r="B282" s="306">
        <v>393.15210000000002</v>
      </c>
      <c r="C282" s="307">
        <v>4.8154322470426401</v>
      </c>
    </row>
    <row r="283" spans="1:3" x14ac:dyDescent="0.35">
      <c r="A283" s="302">
        <v>45883</v>
      </c>
      <c r="B283" s="303">
        <v>393.13940000000002</v>
      </c>
      <c r="C283" s="304">
        <v>4.82286151864065</v>
      </c>
    </row>
    <row r="284" spans="1:3" x14ac:dyDescent="0.35">
      <c r="A284" s="305">
        <v>45882</v>
      </c>
      <c r="B284" s="306">
        <v>393.12670000000003</v>
      </c>
      <c r="C284" s="307">
        <v>4.8302643697838397</v>
      </c>
    </row>
    <row r="285" spans="1:3" x14ac:dyDescent="0.35">
      <c r="A285" s="302">
        <v>45881</v>
      </c>
      <c r="B285" s="303">
        <v>393.11399999999998</v>
      </c>
      <c r="C285" s="304">
        <v>4.8376967036905798</v>
      </c>
    </row>
    <row r="286" spans="1:3" x14ac:dyDescent="0.35">
      <c r="A286" s="305">
        <v>45880</v>
      </c>
      <c r="B286" s="306">
        <v>393.10140000000001</v>
      </c>
      <c r="C286" s="307">
        <v>4.84512927963838</v>
      </c>
    </row>
    <row r="287" spans="1:3" x14ac:dyDescent="0.35">
      <c r="A287" s="302">
        <v>45879</v>
      </c>
      <c r="B287" s="303">
        <v>393.08870000000002</v>
      </c>
      <c r="C287" s="304">
        <v>4.8525646805012403</v>
      </c>
    </row>
    <row r="288" spans="1:3" x14ac:dyDescent="0.35">
      <c r="A288" s="305">
        <v>45878</v>
      </c>
      <c r="B288" s="306">
        <v>393.07600000000002</v>
      </c>
      <c r="C288" s="307">
        <v>4.8599736433529497</v>
      </c>
    </row>
    <row r="289" spans="1:3" x14ac:dyDescent="0.35">
      <c r="A289" s="302">
        <v>45877</v>
      </c>
      <c r="B289" s="303">
        <v>393.06330000000003</v>
      </c>
      <c r="C289" s="304">
        <v>4.8673841321980698</v>
      </c>
    </row>
    <row r="290" spans="1:3" x14ac:dyDescent="0.35">
      <c r="A290" s="305">
        <v>45876</v>
      </c>
      <c r="B290" s="306">
        <v>393.05070000000001</v>
      </c>
      <c r="C290" s="307">
        <v>4.8748508127552999</v>
      </c>
    </row>
    <row r="291" spans="1:3" x14ac:dyDescent="0.35">
      <c r="A291" s="302">
        <v>45875</v>
      </c>
      <c r="B291" s="303">
        <v>393.03800000000001</v>
      </c>
      <c r="C291" s="304">
        <v>4.8822643626109796</v>
      </c>
    </row>
    <row r="292" spans="1:3" x14ac:dyDescent="0.35">
      <c r="A292" s="305">
        <v>45874</v>
      </c>
      <c r="B292" s="306">
        <v>393.02530000000002</v>
      </c>
      <c r="C292" s="307">
        <v>4.8896794398771304</v>
      </c>
    </row>
    <row r="293" spans="1:3" x14ac:dyDescent="0.35">
      <c r="A293" s="302">
        <v>45873</v>
      </c>
      <c r="B293" s="303">
        <v>393.01260000000002</v>
      </c>
      <c r="C293" s="304">
        <v>4.8970960450258403</v>
      </c>
    </row>
    <row r="294" spans="1:3" x14ac:dyDescent="0.35">
      <c r="A294" s="305">
        <v>45872</v>
      </c>
      <c r="B294" s="306">
        <v>393</v>
      </c>
      <c r="C294" s="307">
        <v>4.9045408717967698</v>
      </c>
    </row>
    <row r="295" spans="1:3" x14ac:dyDescent="0.35">
      <c r="A295" s="302">
        <v>45871</v>
      </c>
      <c r="B295" s="303">
        <v>392.9873</v>
      </c>
      <c r="C295" s="304">
        <v>4.9119605368782802</v>
      </c>
    </row>
    <row r="296" spans="1:3" x14ac:dyDescent="0.35">
      <c r="A296" s="305">
        <v>45870</v>
      </c>
      <c r="B296" s="306">
        <v>392.97460000000001</v>
      </c>
      <c r="C296" s="307">
        <v>4.9194097434514603</v>
      </c>
    </row>
    <row r="297" spans="1:3" x14ac:dyDescent="0.35">
      <c r="A297" s="302">
        <v>45869</v>
      </c>
      <c r="B297" s="303">
        <v>392.96199999999999</v>
      </c>
      <c r="C297" s="304">
        <v>4.9268591740042504</v>
      </c>
    </row>
    <row r="298" spans="1:3" x14ac:dyDescent="0.35">
      <c r="A298" s="305">
        <v>45868</v>
      </c>
      <c r="B298" s="306">
        <v>392.94929999999999</v>
      </c>
      <c r="C298" s="307">
        <v>4.9342554140911501</v>
      </c>
    </row>
    <row r="299" spans="1:3" x14ac:dyDescent="0.35">
      <c r="A299" s="302">
        <v>45867</v>
      </c>
      <c r="B299" s="303">
        <v>392.9366</v>
      </c>
      <c r="C299" s="304">
        <v>4.9416812019657401</v>
      </c>
    </row>
    <row r="300" spans="1:3" x14ac:dyDescent="0.35">
      <c r="A300" s="305">
        <v>45866</v>
      </c>
      <c r="B300" s="306">
        <v>392.92399999999998</v>
      </c>
      <c r="C300" s="307">
        <v>4.9491352308138996</v>
      </c>
    </row>
    <row r="301" spans="1:3" x14ac:dyDescent="0.35">
      <c r="A301" s="302">
        <v>45865</v>
      </c>
      <c r="B301" s="303">
        <v>392.91129999999998</v>
      </c>
      <c r="C301" s="304">
        <v>4.9565640843036904</v>
      </c>
    </row>
    <row r="302" spans="1:3" x14ac:dyDescent="0.35">
      <c r="A302" s="305">
        <v>45864</v>
      </c>
      <c r="B302" s="306">
        <v>392.89859999999999</v>
      </c>
      <c r="C302" s="307">
        <v>4.9639944699352796</v>
      </c>
    </row>
    <row r="303" spans="1:3" x14ac:dyDescent="0.35">
      <c r="A303" s="302">
        <v>45863</v>
      </c>
      <c r="B303" s="303">
        <v>392.88600000000002</v>
      </c>
      <c r="C303" s="304">
        <v>4.9714531062263996</v>
      </c>
    </row>
    <row r="304" spans="1:3" x14ac:dyDescent="0.35">
      <c r="A304" s="305">
        <v>45862</v>
      </c>
      <c r="B304" s="306">
        <v>392.87329999999997</v>
      </c>
      <c r="C304" s="307">
        <v>4.97885850912943</v>
      </c>
    </row>
    <row r="305" spans="1:3" x14ac:dyDescent="0.35">
      <c r="A305" s="302">
        <v>45861</v>
      </c>
      <c r="B305" s="303">
        <v>392.86059999999998</v>
      </c>
      <c r="C305" s="304">
        <v>4.9862934919073103</v>
      </c>
    </row>
    <row r="306" spans="1:3" x14ac:dyDescent="0.35">
      <c r="A306" s="305">
        <v>45860</v>
      </c>
      <c r="B306" s="306">
        <v>392.84800000000001</v>
      </c>
      <c r="C306" s="307">
        <v>4.99375673502899</v>
      </c>
    </row>
    <row r="307" spans="1:3" x14ac:dyDescent="0.35">
      <c r="A307" s="302">
        <v>45859</v>
      </c>
      <c r="B307" s="303">
        <v>392.83530000000002</v>
      </c>
      <c r="C307" s="304">
        <v>5.0011667232877199</v>
      </c>
    </row>
    <row r="308" spans="1:3" x14ac:dyDescent="0.35">
      <c r="A308" s="305">
        <v>45858</v>
      </c>
      <c r="B308" s="306">
        <v>392.82260000000002</v>
      </c>
      <c r="C308" s="307">
        <v>5.0086063074784102</v>
      </c>
    </row>
    <row r="309" spans="1:3" x14ac:dyDescent="0.35">
      <c r="A309" s="302">
        <v>45857</v>
      </c>
      <c r="B309" s="303">
        <v>392.81</v>
      </c>
      <c r="C309" s="304">
        <v>5.0160460861131</v>
      </c>
    </row>
    <row r="310" spans="1:3" x14ac:dyDescent="0.35">
      <c r="A310" s="305">
        <v>45856</v>
      </c>
      <c r="B310" s="306">
        <v>392.79730000000001</v>
      </c>
      <c r="C310" s="307">
        <v>5.0234887395757903</v>
      </c>
    </row>
    <row r="311" spans="1:3" x14ac:dyDescent="0.35">
      <c r="A311" s="302">
        <v>45855</v>
      </c>
      <c r="B311" s="303">
        <v>392.78460000000001</v>
      </c>
      <c r="C311" s="304">
        <v>5.0309048440986697</v>
      </c>
    </row>
    <row r="312" spans="1:3" x14ac:dyDescent="0.35">
      <c r="A312" s="305">
        <v>45854</v>
      </c>
      <c r="B312" s="306">
        <v>392.77199999999999</v>
      </c>
      <c r="C312" s="307">
        <v>5.0383773088094399</v>
      </c>
    </row>
    <row r="313" spans="1:3" x14ac:dyDescent="0.35">
      <c r="A313" s="302">
        <v>45853</v>
      </c>
      <c r="B313" s="303">
        <v>392.7593</v>
      </c>
      <c r="C313" s="304">
        <v>5.0457964756799702</v>
      </c>
    </row>
    <row r="314" spans="1:3" x14ac:dyDescent="0.35">
      <c r="A314" s="305">
        <v>45852</v>
      </c>
      <c r="B314" s="306">
        <v>392.71749999999997</v>
      </c>
      <c r="C314" s="307">
        <v>5.0496482585192197</v>
      </c>
    </row>
    <row r="315" spans="1:3" x14ac:dyDescent="0.35">
      <c r="A315" s="302">
        <v>45851</v>
      </c>
      <c r="B315" s="303">
        <v>392.67570000000001</v>
      </c>
      <c r="C315" s="304">
        <v>5.05350114396885</v>
      </c>
    </row>
    <row r="316" spans="1:3" x14ac:dyDescent="0.35">
      <c r="A316" s="305">
        <v>45850</v>
      </c>
      <c r="B316" s="306">
        <v>392.63389999999998</v>
      </c>
      <c r="C316" s="307">
        <v>5.0573270222324496</v>
      </c>
    </row>
    <row r="317" spans="1:3" x14ac:dyDescent="0.35">
      <c r="A317" s="302">
        <v>45849</v>
      </c>
      <c r="B317" s="303">
        <v>392.59199999999998</v>
      </c>
      <c r="C317" s="304">
        <v>5.0611553483667198</v>
      </c>
    </row>
    <row r="318" spans="1:3" x14ac:dyDescent="0.35">
      <c r="A318" s="305">
        <v>45848</v>
      </c>
      <c r="B318" s="306">
        <v>392.55020000000002</v>
      </c>
      <c r="C318" s="307">
        <v>5.0649834152378501</v>
      </c>
    </row>
    <row r="319" spans="1:3" x14ac:dyDescent="0.35">
      <c r="A319" s="302">
        <v>45847</v>
      </c>
      <c r="B319" s="303">
        <v>392.50839999999999</v>
      </c>
      <c r="C319" s="304">
        <v>5.0688407019144304</v>
      </c>
    </row>
    <row r="320" spans="1:3" x14ac:dyDescent="0.35">
      <c r="A320" s="305">
        <v>45846</v>
      </c>
      <c r="B320" s="306">
        <v>392.46660000000003</v>
      </c>
      <c r="C320" s="307">
        <v>5.0726709630990898</v>
      </c>
    </row>
    <row r="321" spans="1:3" x14ac:dyDescent="0.35">
      <c r="A321" s="302">
        <v>45845</v>
      </c>
      <c r="B321" s="303">
        <v>392.4248</v>
      </c>
      <c r="C321" s="304">
        <v>5.0765023196233798</v>
      </c>
    </row>
    <row r="322" spans="1:3" x14ac:dyDescent="0.35">
      <c r="A322" s="305">
        <v>45844</v>
      </c>
      <c r="B322" s="306">
        <v>392.38310000000001</v>
      </c>
      <c r="C322" s="307">
        <v>5.0803615519998804</v>
      </c>
    </row>
    <row r="323" spans="1:3" x14ac:dyDescent="0.35">
      <c r="A323" s="302">
        <v>45843</v>
      </c>
      <c r="B323" s="303">
        <v>392.34129999999999</v>
      </c>
      <c r="C323" s="304">
        <v>5.0841951044437099</v>
      </c>
    </row>
    <row r="324" spans="1:3" x14ac:dyDescent="0.35">
      <c r="A324" s="305">
        <v>45842</v>
      </c>
      <c r="B324" s="306">
        <v>392.29950000000002</v>
      </c>
      <c r="C324" s="307">
        <v>5.0880297536388399</v>
      </c>
    </row>
    <row r="325" spans="1:3" x14ac:dyDescent="0.35">
      <c r="A325" s="302">
        <v>45841</v>
      </c>
      <c r="B325" s="303">
        <v>392.2577</v>
      </c>
      <c r="C325" s="304">
        <v>5.0918655000559898</v>
      </c>
    </row>
    <row r="326" spans="1:3" x14ac:dyDescent="0.35">
      <c r="A326" s="305">
        <v>45840</v>
      </c>
      <c r="B326" s="306">
        <v>392.21589999999998</v>
      </c>
      <c r="C326" s="307">
        <v>5.0957023441661704</v>
      </c>
    </row>
    <row r="327" spans="1:3" x14ac:dyDescent="0.35">
      <c r="A327" s="302">
        <v>45839</v>
      </c>
      <c r="B327" s="303">
        <v>392.17419999999998</v>
      </c>
      <c r="C327" s="304">
        <v>5.0995670856454298</v>
      </c>
    </row>
    <row r="328" spans="1:3" x14ac:dyDescent="0.35">
      <c r="A328" s="305">
        <v>45838</v>
      </c>
      <c r="B328" s="306">
        <v>392.13240000000002</v>
      </c>
      <c r="C328" s="307">
        <v>5.1033779594904303</v>
      </c>
    </row>
    <row r="329" spans="1:3" x14ac:dyDescent="0.35">
      <c r="A329" s="302">
        <v>45837</v>
      </c>
      <c r="B329" s="303">
        <v>392.09070000000003</v>
      </c>
      <c r="C329" s="304">
        <v>5.1072449051532702</v>
      </c>
    </row>
    <row r="330" spans="1:3" x14ac:dyDescent="0.35">
      <c r="A330" s="305">
        <v>45836</v>
      </c>
      <c r="B330" s="306">
        <v>392.0489</v>
      </c>
      <c r="C330" s="307">
        <v>5.1110579663439903</v>
      </c>
    </row>
    <row r="331" spans="1:3" x14ac:dyDescent="0.35">
      <c r="A331" s="302">
        <v>45835</v>
      </c>
      <c r="B331" s="303">
        <v>392.00709999999998</v>
      </c>
      <c r="C331" s="304">
        <v>5.1149003035405904</v>
      </c>
    </row>
    <row r="332" spans="1:3" x14ac:dyDescent="0.35">
      <c r="A332" s="305">
        <v>45834</v>
      </c>
      <c r="B332" s="306">
        <v>391.96539999999999</v>
      </c>
      <c r="C332" s="307">
        <v>5.1187423684967799</v>
      </c>
    </row>
    <row r="333" spans="1:3" x14ac:dyDescent="0.35">
      <c r="A333" s="302">
        <v>45833</v>
      </c>
      <c r="B333" s="303">
        <v>391.9237</v>
      </c>
      <c r="C333" s="304">
        <v>5.1225855319943303</v>
      </c>
    </row>
    <row r="334" spans="1:3" x14ac:dyDescent="0.35">
      <c r="A334" s="305">
        <v>45832</v>
      </c>
      <c r="B334" s="306">
        <v>391.88189999999997</v>
      </c>
      <c r="C334" s="307">
        <v>5.12643116972305</v>
      </c>
    </row>
    <row r="335" spans="1:3" x14ac:dyDescent="0.35">
      <c r="A335" s="302">
        <v>45831</v>
      </c>
      <c r="B335" s="303">
        <v>391.84019999999998</v>
      </c>
      <c r="C335" s="304">
        <v>5.1302765329456204</v>
      </c>
    </row>
    <row r="336" spans="1:3" x14ac:dyDescent="0.35">
      <c r="A336" s="305">
        <v>45830</v>
      </c>
      <c r="B336" s="306">
        <v>391.79849999999999</v>
      </c>
      <c r="C336" s="307">
        <v>5.1341229961246704</v>
      </c>
    </row>
    <row r="337" spans="1:3" x14ac:dyDescent="0.35">
      <c r="A337" s="302">
        <v>45829</v>
      </c>
      <c r="B337" s="303">
        <v>391.75670000000002</v>
      </c>
      <c r="C337" s="304">
        <v>5.1379437221711299</v>
      </c>
    </row>
    <row r="338" spans="1:3" x14ac:dyDescent="0.35">
      <c r="A338" s="305">
        <v>45828</v>
      </c>
      <c r="B338" s="306">
        <v>391.71499999999997</v>
      </c>
      <c r="C338" s="307">
        <v>5.1417923828399701</v>
      </c>
    </row>
    <row r="339" spans="1:3" x14ac:dyDescent="0.35">
      <c r="A339" s="302">
        <v>45827</v>
      </c>
      <c r="B339" s="303">
        <v>391.67329999999998</v>
      </c>
      <c r="C339" s="304">
        <v>5.1456139182873999</v>
      </c>
    </row>
    <row r="340" spans="1:3" x14ac:dyDescent="0.35">
      <c r="A340" s="305">
        <v>45826</v>
      </c>
      <c r="B340" s="306">
        <v>391.63159999999999</v>
      </c>
      <c r="C340" s="307">
        <v>5.1494647771003201</v>
      </c>
    </row>
    <row r="341" spans="1:3" x14ac:dyDescent="0.35">
      <c r="A341" s="302">
        <v>45825</v>
      </c>
      <c r="B341" s="303">
        <v>391.5899</v>
      </c>
      <c r="C341" s="304">
        <v>5.1533167382296901</v>
      </c>
    </row>
    <row r="342" spans="1:3" x14ac:dyDescent="0.35">
      <c r="A342" s="305">
        <v>45824</v>
      </c>
      <c r="B342" s="306">
        <v>391.54820000000001</v>
      </c>
      <c r="C342" s="307">
        <v>5.1571415603452504</v>
      </c>
    </row>
    <row r="343" spans="1:3" x14ac:dyDescent="0.35">
      <c r="A343" s="302">
        <v>45823</v>
      </c>
      <c r="B343" s="303">
        <v>391.50650000000002</v>
      </c>
      <c r="C343" s="304">
        <v>5.1609957224494201</v>
      </c>
    </row>
    <row r="344" spans="1:3" x14ac:dyDescent="0.35">
      <c r="A344" s="305">
        <v>45822</v>
      </c>
      <c r="B344" s="306">
        <v>391.42340000000002</v>
      </c>
      <c r="C344" s="307">
        <v>5.1586164059664403</v>
      </c>
    </row>
    <row r="345" spans="1:3" x14ac:dyDescent="0.35">
      <c r="A345" s="302">
        <v>45821</v>
      </c>
      <c r="B345" s="303">
        <v>391.34039999999999</v>
      </c>
      <c r="C345" s="304">
        <v>5.1562630575252602</v>
      </c>
    </row>
    <row r="346" spans="1:3" x14ac:dyDescent="0.35">
      <c r="A346" s="305">
        <v>45820</v>
      </c>
      <c r="B346" s="306">
        <v>391.25729999999999</v>
      </c>
      <c r="C346" s="307">
        <v>5.1538819401274996</v>
      </c>
    </row>
    <row r="347" spans="1:3" x14ac:dyDescent="0.35">
      <c r="A347" s="302">
        <v>45819</v>
      </c>
      <c r="B347" s="303">
        <v>391.17430000000002</v>
      </c>
      <c r="C347" s="304">
        <v>5.1515267999444099</v>
      </c>
    </row>
    <row r="348" spans="1:3" x14ac:dyDescent="0.35">
      <c r="A348" s="305">
        <v>45818</v>
      </c>
      <c r="B348" s="306">
        <v>391.09129999999999</v>
      </c>
      <c r="C348" s="307">
        <v>5.1491707656756001</v>
      </c>
    </row>
    <row r="349" spans="1:3" x14ac:dyDescent="0.35">
      <c r="A349" s="302">
        <v>45817</v>
      </c>
      <c r="B349" s="303">
        <v>391.00830000000002</v>
      </c>
      <c r="C349" s="304">
        <v>5.1468138368118401</v>
      </c>
    </row>
    <row r="350" spans="1:3" x14ac:dyDescent="0.35">
      <c r="A350" s="305">
        <v>45816</v>
      </c>
      <c r="B350" s="306">
        <v>390.92540000000002</v>
      </c>
      <c r="C350" s="307">
        <v>5.1444829091472402</v>
      </c>
    </row>
    <row r="351" spans="1:3" x14ac:dyDescent="0.35">
      <c r="A351" s="302">
        <v>45815</v>
      </c>
      <c r="B351" s="303">
        <v>390.8424</v>
      </c>
      <c r="C351" s="304">
        <v>5.1420959099642296</v>
      </c>
    </row>
    <row r="352" spans="1:3" x14ac:dyDescent="0.35">
      <c r="A352" s="305">
        <v>45814</v>
      </c>
      <c r="B352" s="306">
        <v>390.7595</v>
      </c>
      <c r="C352" s="307">
        <v>5.1397349117049496</v>
      </c>
    </row>
    <row r="353" spans="1:3" x14ac:dyDescent="0.35">
      <c r="A353" s="302">
        <v>45813</v>
      </c>
      <c r="B353" s="303">
        <v>390.67660000000001</v>
      </c>
      <c r="C353" s="304">
        <v>5.1374013117261699</v>
      </c>
    </row>
    <row r="354" spans="1:3" x14ac:dyDescent="0.35">
      <c r="A354" s="305">
        <v>45812</v>
      </c>
      <c r="B354" s="306">
        <v>390.59370000000001</v>
      </c>
      <c r="C354" s="307">
        <v>5.1350385259108497</v>
      </c>
    </row>
    <row r="355" spans="1:3" x14ac:dyDescent="0.35">
      <c r="A355" s="302">
        <v>45811</v>
      </c>
      <c r="B355" s="303">
        <v>390.51080000000002</v>
      </c>
      <c r="C355" s="304">
        <v>5.1326748431870399</v>
      </c>
    </row>
    <row r="356" spans="1:3" x14ac:dyDescent="0.35">
      <c r="A356" s="305">
        <v>45810</v>
      </c>
      <c r="B356" s="306">
        <v>390.428</v>
      </c>
      <c r="C356" s="307">
        <v>5.1303088816084399</v>
      </c>
    </row>
    <row r="357" spans="1:3" x14ac:dyDescent="0.35">
      <c r="A357" s="302">
        <v>45809</v>
      </c>
      <c r="B357" s="303">
        <v>390.3451</v>
      </c>
      <c r="C357" s="304">
        <v>5.1279434039096703</v>
      </c>
    </row>
    <row r="358" spans="1:3" x14ac:dyDescent="0.35">
      <c r="A358" s="305">
        <v>45808</v>
      </c>
      <c r="B358" s="306">
        <v>390.26229999999998</v>
      </c>
      <c r="C358" s="307">
        <v>5.1256039649353502</v>
      </c>
    </row>
    <row r="359" spans="1:3" x14ac:dyDescent="0.35">
      <c r="A359" s="302">
        <v>45807</v>
      </c>
      <c r="B359" s="303">
        <v>390.17950000000002</v>
      </c>
      <c r="C359" s="304">
        <v>5.1232353146413203</v>
      </c>
    </row>
    <row r="360" spans="1:3" x14ac:dyDescent="0.35">
      <c r="A360" s="305">
        <v>45806</v>
      </c>
      <c r="B360" s="306">
        <v>390.0967</v>
      </c>
      <c r="C360" s="307">
        <v>5.1208657656358803</v>
      </c>
    </row>
    <row r="361" spans="1:3" x14ac:dyDescent="0.35">
      <c r="A361" s="302">
        <v>45805</v>
      </c>
      <c r="B361" s="303">
        <v>390.01389999999998</v>
      </c>
      <c r="C361" s="304">
        <v>5.1184953174074597</v>
      </c>
    </row>
    <row r="362" spans="1:3" x14ac:dyDescent="0.35">
      <c r="A362" s="305">
        <v>45804</v>
      </c>
      <c r="B362" s="306">
        <v>389.93119999999999</v>
      </c>
      <c r="C362" s="307">
        <v>5.1161509270588903</v>
      </c>
    </row>
    <row r="363" spans="1:3" x14ac:dyDescent="0.35">
      <c r="A363" s="302">
        <v>45803</v>
      </c>
      <c r="B363" s="303">
        <v>389.84840000000003</v>
      </c>
      <c r="C363" s="304">
        <v>5.1137786839652399</v>
      </c>
    </row>
    <row r="364" spans="1:3" x14ac:dyDescent="0.35">
      <c r="A364" s="305">
        <v>45802</v>
      </c>
      <c r="B364" s="306">
        <v>389.76569999999998</v>
      </c>
      <c r="C364" s="307">
        <v>5.1114325079642802</v>
      </c>
    </row>
    <row r="365" spans="1:3" x14ac:dyDescent="0.35">
      <c r="A365" s="302">
        <v>45801</v>
      </c>
      <c r="B365" s="303">
        <v>389.68299999999999</v>
      </c>
      <c r="C365" s="304">
        <v>5.1090854409339101</v>
      </c>
    </row>
    <row r="366" spans="1:3" x14ac:dyDescent="0.35">
      <c r="A366" s="305">
        <v>45800</v>
      </c>
      <c r="B366" s="306">
        <v>389.6003</v>
      </c>
      <c r="C366" s="307">
        <v>5.1067091265790303</v>
      </c>
    </row>
    <row r="367" spans="1:3" x14ac:dyDescent="0.35">
      <c r="A367" s="302">
        <v>45799</v>
      </c>
      <c r="B367" s="303">
        <v>389.51769999999999</v>
      </c>
      <c r="C367" s="304">
        <v>5.1043588938936697</v>
      </c>
    </row>
    <row r="368" spans="1:3" x14ac:dyDescent="0.35">
      <c r="A368" s="305">
        <v>45798</v>
      </c>
      <c r="B368" s="306">
        <v>389.435</v>
      </c>
      <c r="C368" s="307">
        <v>5.1020091463455799</v>
      </c>
    </row>
    <row r="369" spans="1:3" x14ac:dyDescent="0.35">
      <c r="A369" s="302">
        <v>45797</v>
      </c>
      <c r="B369" s="303">
        <v>389.35239999999999</v>
      </c>
      <c r="C369" s="304">
        <v>5.0996571291598896</v>
      </c>
    </row>
    <row r="370" spans="1:3" x14ac:dyDescent="0.35">
      <c r="A370" s="305">
        <v>45796</v>
      </c>
      <c r="B370" s="306">
        <v>389.26979999999998</v>
      </c>
      <c r="C370" s="307">
        <v>5.0973042191485201</v>
      </c>
    </row>
    <row r="371" spans="1:3" x14ac:dyDescent="0.35">
      <c r="A371" s="302">
        <v>45795</v>
      </c>
      <c r="B371" s="303">
        <v>389.18720000000002</v>
      </c>
      <c r="C371" s="304">
        <v>5.0949220362837799</v>
      </c>
    </row>
    <row r="372" spans="1:3" x14ac:dyDescent="0.35">
      <c r="A372" s="305">
        <v>45794</v>
      </c>
      <c r="B372" s="306">
        <v>389.1046</v>
      </c>
      <c r="C372" s="307">
        <v>5.09256733434274</v>
      </c>
    </row>
    <row r="373" spans="1:3" x14ac:dyDescent="0.35">
      <c r="A373" s="302">
        <v>45793</v>
      </c>
      <c r="B373" s="303">
        <v>389.02199999999999</v>
      </c>
      <c r="C373" s="304">
        <v>5.0902117380478797</v>
      </c>
    </row>
    <row r="374" spans="1:3" x14ac:dyDescent="0.35">
      <c r="A374" s="305">
        <v>45792</v>
      </c>
      <c r="B374" s="306">
        <v>388.93950000000001</v>
      </c>
      <c r="C374" s="307">
        <v>5.0878538721981599</v>
      </c>
    </row>
    <row r="375" spans="1:3" x14ac:dyDescent="0.35">
      <c r="A375" s="302">
        <v>45791</v>
      </c>
      <c r="B375" s="303">
        <v>388.8723</v>
      </c>
      <c r="C375" s="304">
        <v>5.0941455499498902</v>
      </c>
    </row>
    <row r="376" spans="1:3" x14ac:dyDescent="0.35">
      <c r="A376" s="305">
        <v>45790</v>
      </c>
      <c r="B376" s="306">
        <v>388.80509999999998</v>
      </c>
      <c r="C376" s="307">
        <v>5.1004117460063396</v>
      </c>
    </row>
    <row r="377" spans="1:3" x14ac:dyDescent="0.35">
      <c r="A377" s="302">
        <v>45789</v>
      </c>
      <c r="B377" s="303">
        <v>388.73790000000002</v>
      </c>
      <c r="C377" s="304">
        <v>5.1066808561722699</v>
      </c>
    </row>
    <row r="378" spans="1:3" x14ac:dyDescent="0.35">
      <c r="A378" s="305">
        <v>45788</v>
      </c>
      <c r="B378" s="306">
        <v>388.67059999999998</v>
      </c>
      <c r="C378" s="307">
        <v>5.1129258382625897</v>
      </c>
    </row>
    <row r="379" spans="1:3" x14ac:dyDescent="0.35">
      <c r="A379" s="302">
        <v>45787</v>
      </c>
      <c r="B379" s="303">
        <v>388.6035</v>
      </c>
      <c r="C379" s="304">
        <v>5.1192278269676299</v>
      </c>
    </row>
    <row r="380" spans="1:3" x14ac:dyDescent="0.35">
      <c r="A380" s="305">
        <v>45786</v>
      </c>
      <c r="B380" s="306">
        <v>388.53629999999998</v>
      </c>
      <c r="C380" s="307">
        <v>5.1254772480748398</v>
      </c>
    </row>
    <row r="381" spans="1:3" x14ac:dyDescent="0.35">
      <c r="A381" s="302">
        <v>45785</v>
      </c>
      <c r="B381" s="303">
        <v>388.46910000000003</v>
      </c>
      <c r="C381" s="304">
        <v>5.1317580267107301</v>
      </c>
    </row>
    <row r="382" spans="1:3" x14ac:dyDescent="0.35">
      <c r="A382" s="305">
        <v>45784</v>
      </c>
      <c r="B382" s="306">
        <v>388.40199999999999</v>
      </c>
      <c r="C382" s="307">
        <v>5.1380403388004501</v>
      </c>
    </row>
    <row r="383" spans="1:3" x14ac:dyDescent="0.35">
      <c r="A383" s="302">
        <v>45783</v>
      </c>
      <c r="B383" s="303">
        <v>388.33479999999997</v>
      </c>
      <c r="C383" s="304">
        <v>5.1442984974891397</v>
      </c>
    </row>
    <row r="384" spans="1:3" x14ac:dyDescent="0.35">
      <c r="A384" s="305">
        <v>45782</v>
      </c>
      <c r="B384" s="306">
        <v>388.26769999999999</v>
      </c>
      <c r="C384" s="307">
        <v>5.1505581730283598</v>
      </c>
    </row>
    <row r="385" spans="1:3" x14ac:dyDescent="0.35">
      <c r="A385" s="302">
        <v>45781</v>
      </c>
      <c r="B385" s="303">
        <v>388.20060000000001</v>
      </c>
      <c r="C385" s="304">
        <v>5.1568492434515401</v>
      </c>
    </row>
    <row r="386" spans="1:3" x14ac:dyDescent="0.35">
      <c r="A386" s="305">
        <v>45780</v>
      </c>
      <c r="B386" s="306">
        <v>388.13350000000003</v>
      </c>
      <c r="C386" s="307">
        <v>5.1631147487682796</v>
      </c>
    </row>
    <row r="387" spans="1:3" x14ac:dyDescent="0.35">
      <c r="A387" s="302">
        <v>45779</v>
      </c>
      <c r="B387" s="303">
        <v>388.06639999999999</v>
      </c>
      <c r="C387" s="304">
        <v>5.1693831678644298</v>
      </c>
    </row>
    <row r="388" spans="1:3" x14ac:dyDescent="0.35">
      <c r="A388" s="305">
        <v>45778</v>
      </c>
      <c r="B388" s="306">
        <v>387.99930000000001</v>
      </c>
      <c r="C388" s="307">
        <v>5.1756545027730603</v>
      </c>
    </row>
    <row r="389" spans="1:3" x14ac:dyDescent="0.35">
      <c r="A389" s="302">
        <v>45777</v>
      </c>
      <c r="B389" s="303">
        <v>387.93220000000002</v>
      </c>
      <c r="C389" s="304">
        <v>5.1819287555291202</v>
      </c>
    </row>
    <row r="390" spans="1:3" x14ac:dyDescent="0.35">
      <c r="A390" s="305">
        <v>45776</v>
      </c>
      <c r="B390" s="306">
        <v>387.86509999999998</v>
      </c>
      <c r="C390" s="307">
        <v>5.1881774013551798</v>
      </c>
    </row>
    <row r="391" spans="1:3" x14ac:dyDescent="0.35">
      <c r="A391" s="302">
        <v>45775</v>
      </c>
      <c r="B391" s="303">
        <v>387.79809999999998</v>
      </c>
      <c r="C391" s="304">
        <v>5.1944560785224301</v>
      </c>
    </row>
    <row r="392" spans="1:3" x14ac:dyDescent="0.35">
      <c r="A392" s="305">
        <v>45774</v>
      </c>
      <c r="B392" s="306">
        <v>387.73110000000003</v>
      </c>
      <c r="C392" s="307">
        <v>5.2007662190724497</v>
      </c>
    </row>
    <row r="393" spans="1:3" x14ac:dyDescent="0.35">
      <c r="A393" s="302">
        <v>45773</v>
      </c>
      <c r="B393" s="303">
        <v>387.66399999999999</v>
      </c>
      <c r="C393" s="304">
        <v>5.2069950558704603</v>
      </c>
    </row>
    <row r="394" spans="1:3" x14ac:dyDescent="0.35">
      <c r="A394" s="305">
        <v>45772</v>
      </c>
      <c r="B394" s="306">
        <v>387.59699999999998</v>
      </c>
      <c r="C394" s="307">
        <v>5.2132824925208698</v>
      </c>
    </row>
    <row r="395" spans="1:3" x14ac:dyDescent="0.35">
      <c r="A395" s="302">
        <v>45771</v>
      </c>
      <c r="B395" s="303">
        <v>387.53</v>
      </c>
      <c r="C395" s="304">
        <v>5.2195728551801999</v>
      </c>
    </row>
    <row r="396" spans="1:3" x14ac:dyDescent="0.35">
      <c r="A396" s="305">
        <v>45770</v>
      </c>
      <c r="B396" s="306">
        <v>387.46300000000002</v>
      </c>
      <c r="C396" s="307">
        <v>5.2258375690211603</v>
      </c>
    </row>
    <row r="397" spans="1:3" x14ac:dyDescent="0.35">
      <c r="A397" s="302">
        <v>45769</v>
      </c>
      <c r="B397" s="303">
        <v>387.39600000000002</v>
      </c>
      <c r="C397" s="304">
        <v>5.2321051962487699</v>
      </c>
    </row>
    <row r="398" spans="1:3" x14ac:dyDescent="0.35">
      <c r="A398" s="305">
        <v>45768</v>
      </c>
      <c r="B398" s="306">
        <v>387.32909999999998</v>
      </c>
      <c r="C398" s="307">
        <v>5.2384029091762701</v>
      </c>
    </row>
    <row r="399" spans="1:3" x14ac:dyDescent="0.35">
      <c r="A399" s="302">
        <v>45767</v>
      </c>
      <c r="B399" s="303">
        <v>387.26209999999998</v>
      </c>
      <c r="C399" s="304">
        <v>5.2446763755980204</v>
      </c>
    </row>
    <row r="400" spans="1:3" x14ac:dyDescent="0.35">
      <c r="A400" s="305">
        <v>45766</v>
      </c>
      <c r="B400" s="306">
        <v>387.1952</v>
      </c>
      <c r="C400" s="307">
        <v>5.2509513341511802</v>
      </c>
    </row>
    <row r="401" spans="1:3" x14ac:dyDescent="0.35">
      <c r="A401" s="302">
        <v>45765</v>
      </c>
      <c r="B401" s="303">
        <v>387.12819999999999</v>
      </c>
      <c r="C401" s="304">
        <v>5.2572020209215697</v>
      </c>
    </row>
    <row r="402" spans="1:3" x14ac:dyDescent="0.35">
      <c r="A402" s="305">
        <v>45764</v>
      </c>
      <c r="B402" s="306">
        <v>387.06130000000002</v>
      </c>
      <c r="C402" s="307">
        <v>5.2634828100953204</v>
      </c>
    </row>
    <row r="403" spans="1:3" x14ac:dyDescent="0.35">
      <c r="A403" s="302">
        <v>45763</v>
      </c>
      <c r="B403" s="303">
        <v>386.99439999999998</v>
      </c>
      <c r="C403" s="304">
        <v>5.2697665207920297</v>
      </c>
    </row>
    <row r="404" spans="1:3" x14ac:dyDescent="0.35">
      <c r="A404" s="305">
        <v>45762</v>
      </c>
      <c r="B404" s="306">
        <v>386.92750000000001</v>
      </c>
      <c r="C404" s="307">
        <v>5.2760531550506196</v>
      </c>
    </row>
    <row r="405" spans="1:3" x14ac:dyDescent="0.35">
      <c r="A405" s="302">
        <v>45761</v>
      </c>
      <c r="B405" s="303">
        <v>386.786</v>
      </c>
      <c r="C405" s="304">
        <v>5.2743601384402501</v>
      </c>
    </row>
    <row r="406" spans="1:3" x14ac:dyDescent="0.35">
      <c r="A406" s="305">
        <v>45760</v>
      </c>
      <c r="B406" s="306">
        <v>386.64460000000003</v>
      </c>
      <c r="C406" s="307">
        <v>5.2726645015563101</v>
      </c>
    </row>
    <row r="407" spans="1:3" x14ac:dyDescent="0.35">
      <c r="A407" s="302">
        <v>45759</v>
      </c>
      <c r="B407" s="303">
        <v>386.50319999999999</v>
      </c>
      <c r="C407" s="304">
        <v>5.2709676786759001</v>
      </c>
    </row>
    <row r="408" spans="1:3" x14ac:dyDescent="0.35">
      <c r="A408" s="305">
        <v>45758</v>
      </c>
      <c r="B408" s="306">
        <v>386.36189999999999</v>
      </c>
      <c r="C408" s="307">
        <v>5.2692969148476996</v>
      </c>
    </row>
    <row r="409" spans="1:3" x14ac:dyDescent="0.35">
      <c r="A409" s="302">
        <v>45757</v>
      </c>
      <c r="B409" s="303">
        <v>386.22070000000002</v>
      </c>
      <c r="C409" s="304">
        <v>5.2676235458678704</v>
      </c>
    </row>
    <row r="410" spans="1:3" x14ac:dyDescent="0.35">
      <c r="A410" s="305">
        <v>45756</v>
      </c>
      <c r="B410" s="306">
        <v>386.0795</v>
      </c>
      <c r="C410" s="307">
        <v>5.2659490061505201</v>
      </c>
    </row>
    <row r="411" spans="1:3" x14ac:dyDescent="0.35">
      <c r="A411" s="302">
        <v>45755</v>
      </c>
      <c r="B411" s="303">
        <v>385.93830000000003</v>
      </c>
      <c r="C411" s="304">
        <v>5.2642732944666104</v>
      </c>
    </row>
    <row r="412" spans="1:3" x14ac:dyDescent="0.35">
      <c r="A412" s="305">
        <v>45754</v>
      </c>
      <c r="B412" s="306">
        <v>385.79719999999998</v>
      </c>
      <c r="C412" s="307">
        <v>5.2625949737155402</v>
      </c>
    </row>
    <row r="413" spans="1:3" x14ac:dyDescent="0.35">
      <c r="A413" s="302">
        <v>45753</v>
      </c>
      <c r="B413" s="303">
        <v>385.65620000000001</v>
      </c>
      <c r="C413" s="304">
        <v>5.2609140425327503</v>
      </c>
    </row>
    <row r="414" spans="1:3" x14ac:dyDescent="0.35">
      <c r="A414" s="305">
        <v>45752</v>
      </c>
      <c r="B414" s="306">
        <v>385.51519999999999</v>
      </c>
      <c r="C414" s="307">
        <v>5.2592319355112602</v>
      </c>
    </row>
    <row r="415" spans="1:3" x14ac:dyDescent="0.35">
      <c r="A415" s="302">
        <v>45751</v>
      </c>
      <c r="B415" s="303">
        <v>385.37430000000001</v>
      </c>
      <c r="C415" s="304">
        <v>5.2575759644930002</v>
      </c>
    </row>
    <row r="416" spans="1:3" x14ac:dyDescent="0.35">
      <c r="A416" s="305">
        <v>45750</v>
      </c>
      <c r="B416" s="306">
        <v>385.23340000000002</v>
      </c>
      <c r="C416" s="307">
        <v>5.2558900756017097</v>
      </c>
    </row>
    <row r="417" spans="1:3" x14ac:dyDescent="0.35">
      <c r="A417" s="302">
        <v>45749</v>
      </c>
      <c r="B417" s="303">
        <v>385.09249999999997</v>
      </c>
      <c r="C417" s="304">
        <v>5.2542030070872396</v>
      </c>
    </row>
    <row r="418" spans="1:3" x14ac:dyDescent="0.35">
      <c r="A418" s="305">
        <v>45748</v>
      </c>
      <c r="B418" s="306">
        <v>384.95170000000002</v>
      </c>
      <c r="C418" s="307">
        <v>5.2525133215818496</v>
      </c>
    </row>
    <row r="419" spans="1:3" x14ac:dyDescent="0.35">
      <c r="A419" s="302">
        <v>45747</v>
      </c>
      <c r="B419" s="303">
        <v>384.81099999999998</v>
      </c>
      <c r="C419" s="304">
        <v>5.2508498052039698</v>
      </c>
    </row>
    <row r="420" spans="1:3" x14ac:dyDescent="0.35">
      <c r="A420" s="305">
        <v>45746</v>
      </c>
      <c r="B420" s="306">
        <v>384.6703</v>
      </c>
      <c r="C420" s="307">
        <v>5.2491563274483699</v>
      </c>
    </row>
    <row r="421" spans="1:3" x14ac:dyDescent="0.35">
      <c r="A421" s="302">
        <v>45745</v>
      </c>
      <c r="B421" s="303">
        <v>384.52969999999999</v>
      </c>
      <c r="C421" s="304">
        <v>5.2474890353998402</v>
      </c>
    </row>
    <row r="422" spans="1:3" x14ac:dyDescent="0.35">
      <c r="A422" s="305">
        <v>45744</v>
      </c>
      <c r="B422" s="306">
        <v>384.38909999999998</v>
      </c>
      <c r="C422" s="307">
        <v>5.2457917602036401</v>
      </c>
    </row>
    <row r="423" spans="1:3" x14ac:dyDescent="0.35">
      <c r="A423" s="302">
        <v>45743</v>
      </c>
      <c r="B423" s="303">
        <v>384.24860000000001</v>
      </c>
      <c r="C423" s="304">
        <v>5.2441495132457501</v>
      </c>
    </row>
    <row r="424" spans="1:3" x14ac:dyDescent="0.35">
      <c r="A424" s="305">
        <v>45742</v>
      </c>
      <c r="B424" s="306">
        <v>384.10809999999998</v>
      </c>
      <c r="C424" s="307">
        <v>5.2424484450283497</v>
      </c>
    </row>
    <row r="425" spans="1:3" x14ac:dyDescent="0.35">
      <c r="A425" s="302">
        <v>45741</v>
      </c>
      <c r="B425" s="303">
        <v>383.96769999999998</v>
      </c>
      <c r="C425" s="304">
        <v>5.2407735957191903</v>
      </c>
    </row>
    <row r="426" spans="1:3" x14ac:dyDescent="0.35">
      <c r="A426" s="305">
        <v>45740</v>
      </c>
      <c r="B426" s="306">
        <v>383.82729999999998</v>
      </c>
      <c r="C426" s="307">
        <v>5.2390975744908497</v>
      </c>
    </row>
    <row r="427" spans="1:3" x14ac:dyDescent="0.35">
      <c r="A427" s="302">
        <v>45739</v>
      </c>
      <c r="B427" s="303">
        <v>383.68700000000001</v>
      </c>
      <c r="C427" s="304">
        <v>5.2374189435966496</v>
      </c>
    </row>
    <row r="428" spans="1:3" x14ac:dyDescent="0.35">
      <c r="A428" s="305">
        <v>45738</v>
      </c>
      <c r="B428" s="306">
        <v>383.54669999999999</v>
      </c>
      <c r="C428" s="307">
        <v>5.2357391382365801</v>
      </c>
    </row>
    <row r="429" spans="1:3" x14ac:dyDescent="0.35">
      <c r="A429" s="302">
        <v>45737</v>
      </c>
      <c r="B429" s="303">
        <v>383.40649999999999</v>
      </c>
      <c r="C429" s="304">
        <v>5.2340567205792201</v>
      </c>
    </row>
    <row r="430" spans="1:3" x14ac:dyDescent="0.35">
      <c r="A430" s="305">
        <v>45736</v>
      </c>
      <c r="B430" s="306">
        <v>383.2663</v>
      </c>
      <c r="C430" s="307">
        <v>5.2323731259069302</v>
      </c>
    </row>
    <row r="431" spans="1:3" x14ac:dyDescent="0.35">
      <c r="A431" s="302">
        <v>45735</v>
      </c>
      <c r="B431" s="303">
        <v>383.12619999999998</v>
      </c>
      <c r="C431" s="304">
        <v>5.2307158193165799</v>
      </c>
    </row>
    <row r="432" spans="1:3" x14ac:dyDescent="0.35">
      <c r="A432" s="305">
        <v>45734</v>
      </c>
      <c r="B432" s="306">
        <v>382.98610000000002</v>
      </c>
      <c r="C432" s="307">
        <v>5.22902843979527</v>
      </c>
    </row>
    <row r="433" spans="1:3" x14ac:dyDescent="0.35">
      <c r="A433" s="302">
        <v>45733</v>
      </c>
      <c r="B433" s="303">
        <v>382.84609999999998</v>
      </c>
      <c r="C433" s="304">
        <v>5.2273384427129796</v>
      </c>
    </row>
    <row r="434" spans="1:3" x14ac:dyDescent="0.35">
      <c r="A434" s="305">
        <v>45732</v>
      </c>
      <c r="B434" s="306">
        <v>382.70609999999999</v>
      </c>
      <c r="C434" s="307">
        <v>5.2256472635168896</v>
      </c>
    </row>
    <row r="435" spans="1:3" x14ac:dyDescent="0.35">
      <c r="A435" s="305">
        <v>45731</v>
      </c>
      <c r="B435" s="306">
        <v>382.56619999999998</v>
      </c>
      <c r="C435" s="307">
        <v>5.2239824057438797</v>
      </c>
    </row>
    <row r="436" spans="1:3" x14ac:dyDescent="0.35">
      <c r="A436" s="302">
        <v>45730</v>
      </c>
      <c r="B436" s="303">
        <v>382.4384</v>
      </c>
      <c r="C436" s="304">
        <v>5.2220556740468798</v>
      </c>
    </row>
    <row r="437" spans="1:3" x14ac:dyDescent="0.35">
      <c r="A437" s="305">
        <v>45729</v>
      </c>
      <c r="B437" s="306">
        <v>382.3107</v>
      </c>
      <c r="C437" s="307">
        <v>5.22015524698935</v>
      </c>
    </row>
    <row r="438" spans="1:3" x14ac:dyDescent="0.35">
      <c r="A438" s="302">
        <v>45728</v>
      </c>
      <c r="B438" s="303">
        <v>382.18290000000002</v>
      </c>
      <c r="C438" s="304">
        <v>5.2181971203282602</v>
      </c>
    </row>
    <row r="439" spans="1:3" x14ac:dyDescent="0.35">
      <c r="A439" s="305">
        <v>45727</v>
      </c>
      <c r="B439" s="306">
        <v>382.05520000000001</v>
      </c>
      <c r="C439" s="307">
        <v>5.2162652961520104</v>
      </c>
    </row>
    <row r="440" spans="1:3" x14ac:dyDescent="0.35">
      <c r="A440" s="302">
        <v>45726</v>
      </c>
      <c r="B440" s="303">
        <v>381.92759999999998</v>
      </c>
      <c r="C440" s="304">
        <v>5.2143308146895997</v>
      </c>
    </row>
    <row r="441" spans="1:3" x14ac:dyDescent="0.35">
      <c r="A441" s="305">
        <v>45725</v>
      </c>
      <c r="B441" s="306">
        <v>381.8</v>
      </c>
      <c r="C441" s="307">
        <v>5.21239511139893</v>
      </c>
    </row>
    <row r="442" spans="1:3" x14ac:dyDescent="0.35">
      <c r="A442" s="302">
        <v>45724</v>
      </c>
      <c r="B442" s="303">
        <v>381.67239999999998</v>
      </c>
      <c r="C442" s="304">
        <v>5.2104581851220502</v>
      </c>
    </row>
    <row r="443" spans="1:3" x14ac:dyDescent="0.35">
      <c r="A443" s="305">
        <v>45723</v>
      </c>
      <c r="B443" s="306">
        <v>381.54489999999998</v>
      </c>
      <c r="C443" s="307">
        <v>5.2085476090552003</v>
      </c>
    </row>
    <row r="444" spans="1:3" x14ac:dyDescent="0.35">
      <c r="A444" s="302">
        <v>45722</v>
      </c>
      <c r="B444" s="303">
        <v>381.41750000000002</v>
      </c>
      <c r="C444" s="304">
        <v>5.2066343889647904</v>
      </c>
    </row>
    <row r="445" spans="1:3" x14ac:dyDescent="0.35">
      <c r="A445" s="305">
        <v>45721</v>
      </c>
      <c r="B445" s="306">
        <v>381.29</v>
      </c>
      <c r="C445" s="307">
        <v>5.20466334038671</v>
      </c>
    </row>
    <row r="446" spans="1:3" x14ac:dyDescent="0.35">
      <c r="A446" s="302">
        <v>45720</v>
      </c>
      <c r="B446" s="303">
        <v>381.16269999999997</v>
      </c>
      <c r="C446" s="304">
        <v>5.2027752845334598</v>
      </c>
    </row>
    <row r="447" spans="1:3" x14ac:dyDescent="0.35">
      <c r="A447" s="305">
        <v>45719</v>
      </c>
      <c r="B447" s="306">
        <v>381.03530000000001</v>
      </c>
      <c r="C447" s="307">
        <v>5.2008293806150201</v>
      </c>
    </row>
    <row r="448" spans="1:3" x14ac:dyDescent="0.35">
      <c r="A448" s="302">
        <v>45718</v>
      </c>
      <c r="B448" s="303">
        <v>380.90800000000002</v>
      </c>
      <c r="C448" s="304">
        <v>5.1988808112599401</v>
      </c>
    </row>
    <row r="449" spans="1:3" x14ac:dyDescent="0.35">
      <c r="A449" s="305">
        <v>45717</v>
      </c>
      <c r="B449" s="306">
        <v>380.7808</v>
      </c>
      <c r="C449" s="307">
        <v>5.19698770033812</v>
      </c>
    </row>
    <row r="450" spans="1:3" x14ac:dyDescent="0.35">
      <c r="A450" s="302">
        <v>45716</v>
      </c>
      <c r="B450" s="303">
        <v>380.65350000000001</v>
      </c>
      <c r="C450" s="304">
        <v>5.2282463023247603</v>
      </c>
    </row>
    <row r="451" spans="1:3" x14ac:dyDescent="0.35">
      <c r="A451" s="305">
        <v>45715</v>
      </c>
      <c r="B451" s="306">
        <v>380.52640000000002</v>
      </c>
      <c r="C451" s="307">
        <v>5.2263301427494504</v>
      </c>
    </row>
    <row r="452" spans="1:3" x14ac:dyDescent="0.35">
      <c r="A452" s="302">
        <v>45714</v>
      </c>
      <c r="B452" s="303">
        <v>380.39920000000001</v>
      </c>
      <c r="C452" s="304">
        <v>5.2243851109948096</v>
      </c>
    </row>
    <row r="453" spans="1:3" x14ac:dyDescent="0.35">
      <c r="A453" s="305">
        <v>45713</v>
      </c>
      <c r="B453" s="306">
        <v>380.27210000000002</v>
      </c>
      <c r="C453" s="307">
        <v>5.2224374049352198</v>
      </c>
    </row>
    <row r="454" spans="1:3" x14ac:dyDescent="0.35">
      <c r="A454" s="302">
        <v>45712</v>
      </c>
      <c r="B454" s="303">
        <v>380.14510000000001</v>
      </c>
      <c r="C454" s="304">
        <v>5.22051614767543</v>
      </c>
    </row>
    <row r="455" spans="1:3" x14ac:dyDescent="0.35">
      <c r="A455" s="305">
        <v>45711</v>
      </c>
      <c r="B455" s="306">
        <v>380.0181</v>
      </c>
      <c r="C455" s="307">
        <v>5.21859367649758</v>
      </c>
    </row>
    <row r="456" spans="1:3" x14ac:dyDescent="0.35">
      <c r="A456" s="302">
        <v>45710</v>
      </c>
      <c r="B456" s="303">
        <v>379.89109999999999</v>
      </c>
      <c r="C456" s="304">
        <v>5.2166699902508196</v>
      </c>
    </row>
    <row r="457" spans="1:3" x14ac:dyDescent="0.35">
      <c r="A457" s="305">
        <v>45709</v>
      </c>
      <c r="B457" s="306">
        <v>379.76420000000002</v>
      </c>
      <c r="C457" s="307">
        <v>5.2147436430229801</v>
      </c>
    </row>
    <row r="458" spans="1:3" x14ac:dyDescent="0.35">
      <c r="A458" s="302">
        <v>45708</v>
      </c>
      <c r="B458" s="303">
        <v>379.63729999999998</v>
      </c>
      <c r="C458" s="304">
        <v>5.21278691986572</v>
      </c>
    </row>
    <row r="459" spans="1:3" x14ac:dyDescent="0.35">
      <c r="A459" s="305">
        <v>45707</v>
      </c>
      <c r="B459" s="306">
        <v>379.51049999999998</v>
      </c>
      <c r="C459" s="307">
        <v>5.2108566837679202</v>
      </c>
    </row>
    <row r="460" spans="1:3" x14ac:dyDescent="0.35">
      <c r="A460" s="302">
        <v>45706</v>
      </c>
      <c r="B460" s="303">
        <v>379.38369999999998</v>
      </c>
      <c r="C460" s="304">
        <v>5.2089252282929301</v>
      </c>
    </row>
    <row r="461" spans="1:3" x14ac:dyDescent="0.35">
      <c r="A461" s="305">
        <v>45705</v>
      </c>
      <c r="B461" s="306">
        <v>379.25700000000001</v>
      </c>
      <c r="C461" s="307">
        <v>5.2070202925824702</v>
      </c>
    </row>
    <row r="462" spans="1:3" x14ac:dyDescent="0.35">
      <c r="A462" s="302">
        <v>45704</v>
      </c>
      <c r="B462" s="303">
        <v>379.13029999999998</v>
      </c>
      <c r="C462" s="304">
        <v>5.2050849592893602</v>
      </c>
    </row>
    <row r="463" spans="1:3" x14ac:dyDescent="0.35">
      <c r="A463" s="305">
        <v>45703</v>
      </c>
      <c r="B463" s="306">
        <v>379.00360000000001</v>
      </c>
      <c r="C463" s="307">
        <v>5.2031484033145103</v>
      </c>
    </row>
    <row r="464" spans="1:3" x14ac:dyDescent="0.35">
      <c r="A464" s="302">
        <v>45702</v>
      </c>
      <c r="B464" s="303">
        <v>378.94749999999999</v>
      </c>
      <c r="C464" s="304">
        <v>5.2028197151301496</v>
      </c>
    </row>
    <row r="465" spans="1:3" x14ac:dyDescent="0.35">
      <c r="A465" s="305">
        <v>45701</v>
      </c>
      <c r="B465" s="306">
        <v>378.89139999999998</v>
      </c>
      <c r="C465" s="307">
        <v>5.20246172128906</v>
      </c>
    </row>
    <row r="466" spans="1:3" x14ac:dyDescent="0.35">
      <c r="A466" s="302">
        <v>45700</v>
      </c>
      <c r="B466" s="303">
        <v>378.83530000000002</v>
      </c>
      <c r="C466" s="304">
        <v>5.2021328383628802</v>
      </c>
    </row>
    <row r="467" spans="1:3" x14ac:dyDescent="0.35">
      <c r="A467" s="305">
        <v>45699</v>
      </c>
      <c r="B467" s="306">
        <v>378.77929999999998</v>
      </c>
      <c r="C467" s="307">
        <v>5.2018316339864903</v>
      </c>
    </row>
    <row r="468" spans="1:3" x14ac:dyDescent="0.35">
      <c r="A468" s="302">
        <v>45698</v>
      </c>
      <c r="B468" s="303">
        <v>378.72320000000002</v>
      </c>
      <c r="C468" s="304">
        <v>5.2014733415185601</v>
      </c>
    </row>
    <row r="469" spans="1:3" x14ac:dyDescent="0.35">
      <c r="A469" s="305">
        <v>45697</v>
      </c>
      <c r="B469" s="306">
        <v>378.6671</v>
      </c>
      <c r="C469" s="307">
        <v>5.2011149453292802</v>
      </c>
    </row>
    <row r="470" spans="1:3" x14ac:dyDescent="0.35">
      <c r="A470" s="302">
        <v>45696</v>
      </c>
      <c r="B470" s="303">
        <v>378.61110000000002</v>
      </c>
      <c r="C470" s="304">
        <v>5.2008134624195996</v>
      </c>
    </row>
    <row r="471" spans="1:3" x14ac:dyDescent="0.35">
      <c r="A471" s="305">
        <v>45695</v>
      </c>
      <c r="B471" s="306">
        <v>378.55500000000001</v>
      </c>
      <c r="C471" s="307">
        <v>5.2004548668080597</v>
      </c>
    </row>
    <row r="472" spans="1:3" x14ac:dyDescent="0.35">
      <c r="A472" s="302">
        <v>45694</v>
      </c>
      <c r="B472" s="303">
        <v>378.49900000000002</v>
      </c>
      <c r="C472" s="304">
        <v>5.2001239613718599</v>
      </c>
    </row>
    <row r="473" spans="1:3" x14ac:dyDescent="0.35">
      <c r="A473" s="305">
        <v>45693</v>
      </c>
      <c r="B473" s="306">
        <v>378.44290000000001</v>
      </c>
      <c r="C473" s="307">
        <v>5.1997651620320804</v>
      </c>
    </row>
    <row r="474" spans="1:3" x14ac:dyDescent="0.35">
      <c r="A474" s="302">
        <v>45692</v>
      </c>
      <c r="B474" s="303">
        <v>378.38690000000003</v>
      </c>
      <c r="C474" s="304">
        <v>5.1994340608304004</v>
      </c>
    </row>
    <row r="475" spans="1:3" x14ac:dyDescent="0.35">
      <c r="A475" s="305">
        <v>45691</v>
      </c>
      <c r="B475" s="306">
        <v>378.33089999999999</v>
      </c>
      <c r="C475" s="307">
        <v>5.1991028636955701</v>
      </c>
    </row>
    <row r="476" spans="1:3" x14ac:dyDescent="0.35">
      <c r="A476" s="302">
        <v>45690</v>
      </c>
      <c r="B476" s="303">
        <v>378.2749</v>
      </c>
      <c r="C476" s="304">
        <v>5.1987715705858797</v>
      </c>
    </row>
    <row r="477" spans="1:3" x14ac:dyDescent="0.35">
      <c r="A477" s="305">
        <v>45689</v>
      </c>
      <c r="B477" s="306">
        <v>378.21890000000002</v>
      </c>
      <c r="C477" s="307">
        <v>5.1984401814596302</v>
      </c>
    </row>
    <row r="478" spans="1:3" x14ac:dyDescent="0.35">
      <c r="A478" s="302">
        <v>45688</v>
      </c>
      <c r="B478" s="303">
        <v>378.16289999999998</v>
      </c>
      <c r="C478" s="304">
        <v>5.1980794320637997</v>
      </c>
    </row>
    <row r="479" spans="1:3" x14ac:dyDescent="0.35">
      <c r="A479" s="305">
        <v>45687</v>
      </c>
      <c r="B479" s="306">
        <v>378.1069</v>
      </c>
      <c r="C479" s="307">
        <v>5.1977478466294302</v>
      </c>
    </row>
    <row r="480" spans="1:3" x14ac:dyDescent="0.35">
      <c r="A480" s="302">
        <v>45686</v>
      </c>
      <c r="B480" s="303">
        <v>378.05099999999999</v>
      </c>
      <c r="C480" s="304">
        <v>5.1974147188060096</v>
      </c>
    </row>
    <row r="481" spans="1:3" x14ac:dyDescent="0.35">
      <c r="A481" s="305">
        <v>45685</v>
      </c>
      <c r="B481" s="306">
        <v>377.995</v>
      </c>
      <c r="C481" s="307">
        <v>5.1970829409263297</v>
      </c>
    </row>
    <row r="482" spans="1:3" x14ac:dyDescent="0.35">
      <c r="A482" s="302">
        <v>45684</v>
      </c>
      <c r="B482" s="303">
        <v>377.93900000000002</v>
      </c>
      <c r="C482" s="304">
        <v>5.19672178602762</v>
      </c>
    </row>
    <row r="483" spans="1:3" x14ac:dyDescent="0.35">
      <c r="A483" s="305">
        <v>45683</v>
      </c>
      <c r="B483" s="306">
        <v>377.88310000000001</v>
      </c>
      <c r="C483" s="307">
        <v>5.1964176498475698</v>
      </c>
    </row>
    <row r="484" spans="1:3" x14ac:dyDescent="0.35">
      <c r="A484" s="302">
        <v>45682</v>
      </c>
      <c r="B484" s="303">
        <v>377.82709999999997</v>
      </c>
      <c r="C484" s="304">
        <v>5.1960562939509396</v>
      </c>
    </row>
    <row r="485" spans="1:3" x14ac:dyDescent="0.35">
      <c r="A485" s="305">
        <v>45681</v>
      </c>
      <c r="B485" s="306">
        <v>377.77120000000002</v>
      </c>
      <c r="C485" s="307">
        <v>5.19572267981611</v>
      </c>
    </row>
    <row r="486" spans="1:3" x14ac:dyDescent="0.35">
      <c r="A486" s="302">
        <v>45680</v>
      </c>
      <c r="B486" s="303">
        <v>377.71530000000001</v>
      </c>
      <c r="C486" s="304">
        <v>5.1953889690517503</v>
      </c>
    </row>
    <row r="487" spans="1:3" x14ac:dyDescent="0.35">
      <c r="A487" s="305">
        <v>45679</v>
      </c>
      <c r="B487" s="306">
        <v>377.65940000000001</v>
      </c>
      <c r="C487" s="307">
        <v>5.1950551616158602</v>
      </c>
    </row>
    <row r="488" spans="1:3" x14ac:dyDescent="0.35">
      <c r="A488" s="302">
        <v>45678</v>
      </c>
      <c r="B488" s="303">
        <v>377.6035</v>
      </c>
      <c r="C488" s="304">
        <v>5.1947212574664299</v>
      </c>
    </row>
    <row r="489" spans="1:3" x14ac:dyDescent="0.35">
      <c r="A489" s="305">
        <v>45677</v>
      </c>
      <c r="B489" s="306">
        <v>377.54759999999999</v>
      </c>
      <c r="C489" s="307">
        <v>5.19438725656142</v>
      </c>
    </row>
    <row r="490" spans="1:3" x14ac:dyDescent="0.35">
      <c r="A490" s="302">
        <v>45676</v>
      </c>
      <c r="B490" s="303">
        <v>377.49169999999998</v>
      </c>
      <c r="C490" s="304">
        <v>5.1940531588587699</v>
      </c>
    </row>
    <row r="491" spans="1:3" x14ac:dyDescent="0.35">
      <c r="A491" s="305">
        <v>45675</v>
      </c>
      <c r="B491" s="306">
        <v>377.43579999999997</v>
      </c>
      <c r="C491" s="307">
        <v>5.1936896461769297</v>
      </c>
    </row>
    <row r="492" spans="1:3" x14ac:dyDescent="0.35">
      <c r="A492" s="302">
        <v>45674</v>
      </c>
      <c r="B492" s="303">
        <v>377.37990000000002</v>
      </c>
      <c r="C492" s="304">
        <v>5.1933553505962902</v>
      </c>
    </row>
    <row r="493" spans="1:3" x14ac:dyDescent="0.35">
      <c r="A493" s="305">
        <v>45673</v>
      </c>
      <c r="B493" s="306">
        <v>377.32409999999999</v>
      </c>
      <c r="C493" s="307">
        <v>5.1930488367891803</v>
      </c>
    </row>
    <row r="494" spans="1:3" x14ac:dyDescent="0.35">
      <c r="A494" s="305">
        <v>45672</v>
      </c>
      <c r="B494" s="306">
        <v>377.26819999999998</v>
      </c>
      <c r="C494" s="307">
        <v>5.1926850207545101</v>
      </c>
    </row>
    <row r="495" spans="1:3" x14ac:dyDescent="0.35">
      <c r="A495" s="302">
        <v>45671</v>
      </c>
      <c r="B495" s="303">
        <v>377.23540000000003</v>
      </c>
      <c r="C495" s="304">
        <v>5.1994376875920096</v>
      </c>
    </row>
    <row r="496" spans="1:3" x14ac:dyDescent="0.35">
      <c r="A496" s="305">
        <v>45670</v>
      </c>
      <c r="B496" s="306">
        <v>377.20260000000002</v>
      </c>
      <c r="C496" s="307">
        <v>5.2061923960321996</v>
      </c>
    </row>
    <row r="497" spans="1:3" x14ac:dyDescent="0.35">
      <c r="A497" s="302">
        <v>45669</v>
      </c>
      <c r="B497" s="303">
        <v>377.16980000000001</v>
      </c>
      <c r="C497" s="304">
        <v>5.2129784965613402</v>
      </c>
    </row>
    <row r="498" spans="1:3" x14ac:dyDescent="0.35">
      <c r="A498" s="305">
        <v>45668</v>
      </c>
      <c r="B498" s="306">
        <v>377.13690000000003</v>
      </c>
      <c r="C498" s="307">
        <v>5.2197093977032996</v>
      </c>
    </row>
    <row r="499" spans="1:3" x14ac:dyDescent="0.35">
      <c r="A499" s="302">
        <v>45667</v>
      </c>
      <c r="B499" s="303">
        <v>377.10410000000002</v>
      </c>
      <c r="C499" s="304">
        <v>5.2264702386167698</v>
      </c>
    </row>
    <row r="500" spans="1:3" x14ac:dyDescent="0.35">
      <c r="A500" s="305">
        <v>45666</v>
      </c>
      <c r="B500" s="306">
        <v>377.07130000000001</v>
      </c>
      <c r="C500" s="307">
        <v>5.23323312484162</v>
      </c>
    </row>
    <row r="501" spans="1:3" x14ac:dyDescent="0.35">
      <c r="A501" s="302">
        <v>45665</v>
      </c>
      <c r="B501" s="303">
        <v>377.0385</v>
      </c>
      <c r="C501" s="304">
        <v>5.2399980573061198</v>
      </c>
    </row>
    <row r="502" spans="1:3" x14ac:dyDescent="0.35">
      <c r="A502" s="305">
        <v>45664</v>
      </c>
      <c r="B502" s="306">
        <v>377.00580000000002</v>
      </c>
      <c r="C502" s="307">
        <v>5.2467929534308304</v>
      </c>
    </row>
    <row r="503" spans="1:3" x14ac:dyDescent="0.35">
      <c r="A503" s="302">
        <v>45663</v>
      </c>
      <c r="B503" s="303">
        <v>376.97300000000001</v>
      </c>
      <c r="C503" s="304">
        <v>5.2535619853863</v>
      </c>
    </row>
    <row r="504" spans="1:3" x14ac:dyDescent="0.35">
      <c r="A504" s="305">
        <v>45662</v>
      </c>
      <c r="B504" s="306">
        <v>376.9402</v>
      </c>
      <c r="C504" s="307">
        <v>5.2603036724918999</v>
      </c>
    </row>
    <row r="505" spans="1:3" x14ac:dyDescent="0.35">
      <c r="A505" s="302">
        <v>45661</v>
      </c>
      <c r="B505" s="303">
        <v>376.9074</v>
      </c>
      <c r="C505" s="304">
        <v>5.2670767970949202</v>
      </c>
    </row>
    <row r="506" spans="1:3" x14ac:dyDescent="0.35">
      <c r="A506" s="305">
        <v>45660</v>
      </c>
      <c r="B506" s="306">
        <v>376.87459999999999</v>
      </c>
      <c r="C506" s="307">
        <v>5.2738225660387101</v>
      </c>
    </row>
    <row r="507" spans="1:3" x14ac:dyDescent="0.35">
      <c r="A507" s="302">
        <v>45659</v>
      </c>
      <c r="B507" s="303">
        <v>376.84179999999998</v>
      </c>
      <c r="C507" s="304">
        <v>5.2805997870036503</v>
      </c>
    </row>
    <row r="508" spans="1:3" x14ac:dyDescent="0.35">
      <c r="A508" s="305">
        <v>45658</v>
      </c>
      <c r="B508" s="306">
        <v>376.8091</v>
      </c>
      <c r="C508" s="307">
        <v>5.2873775833274399</v>
      </c>
    </row>
    <row r="509" spans="1:3" x14ac:dyDescent="0.35">
      <c r="A509" s="302">
        <v>45657</v>
      </c>
      <c r="B509" s="303">
        <v>376.77629999999999</v>
      </c>
      <c r="C509" s="304">
        <v>5.29412948303702</v>
      </c>
    </row>
    <row r="510" spans="1:3" x14ac:dyDescent="0.35">
      <c r="A510" s="305">
        <v>45656</v>
      </c>
      <c r="B510" s="306">
        <v>376.74349999999998</v>
      </c>
      <c r="C510" s="307">
        <v>5.3009128565758701</v>
      </c>
    </row>
    <row r="511" spans="1:3" x14ac:dyDescent="0.35">
      <c r="A511" s="302">
        <v>45655</v>
      </c>
      <c r="B511" s="303">
        <v>376.71069999999997</v>
      </c>
      <c r="C511" s="304">
        <v>5.3076688473987899</v>
      </c>
    </row>
    <row r="512" spans="1:3" x14ac:dyDescent="0.35">
      <c r="A512" s="305">
        <v>45654</v>
      </c>
      <c r="B512" s="306">
        <v>376.678</v>
      </c>
      <c r="C512" s="307">
        <v>5.31445484074976</v>
      </c>
    </row>
    <row r="513" spans="1:3" x14ac:dyDescent="0.35">
      <c r="A513" s="302">
        <v>45653</v>
      </c>
      <c r="B513" s="303">
        <v>376.64519999999999</v>
      </c>
      <c r="C513" s="304">
        <v>5.3212149242888396</v>
      </c>
    </row>
    <row r="514" spans="1:3" x14ac:dyDescent="0.35">
      <c r="A514" s="305">
        <v>45652</v>
      </c>
      <c r="B514" s="306">
        <v>376.61250000000001</v>
      </c>
      <c r="C514" s="307">
        <v>5.32800502067336</v>
      </c>
    </row>
    <row r="515" spans="1:3" x14ac:dyDescent="0.35">
      <c r="A515" s="302">
        <v>45651</v>
      </c>
      <c r="B515" s="303">
        <v>376.5797</v>
      </c>
      <c r="C515" s="304">
        <v>5.3347692006461402</v>
      </c>
    </row>
    <row r="516" spans="1:3" x14ac:dyDescent="0.35">
      <c r="A516" s="305">
        <v>45650</v>
      </c>
      <c r="B516" s="306">
        <v>376.54700000000003</v>
      </c>
      <c r="C516" s="307">
        <v>5.3415339337843903</v>
      </c>
    </row>
    <row r="517" spans="1:3" x14ac:dyDescent="0.35">
      <c r="A517" s="302">
        <v>45649</v>
      </c>
      <c r="B517" s="303">
        <v>376.51420000000002</v>
      </c>
      <c r="C517" s="304">
        <v>5.3483022075582696</v>
      </c>
    </row>
    <row r="518" spans="1:3" x14ac:dyDescent="0.35">
      <c r="A518" s="305">
        <v>45648</v>
      </c>
      <c r="B518" s="306">
        <v>376.48149999999998</v>
      </c>
      <c r="C518" s="307">
        <v>5.3550710321162702</v>
      </c>
    </row>
    <row r="519" spans="1:3" x14ac:dyDescent="0.35">
      <c r="A519" s="302">
        <v>45647</v>
      </c>
      <c r="B519" s="303">
        <v>376.44869999999997</v>
      </c>
      <c r="C519" s="304">
        <v>5.3618434034078097</v>
      </c>
    </row>
    <row r="520" spans="1:3" x14ac:dyDescent="0.35">
      <c r="A520" s="305">
        <v>45646</v>
      </c>
      <c r="B520" s="306">
        <v>376.416</v>
      </c>
      <c r="C520" s="307">
        <v>5.3686163230995199</v>
      </c>
    </row>
    <row r="521" spans="1:3" x14ac:dyDescent="0.35">
      <c r="A521" s="302">
        <v>45645</v>
      </c>
      <c r="B521" s="303">
        <v>376.38319999999999</v>
      </c>
      <c r="C521" s="304">
        <v>5.3753927956298098</v>
      </c>
    </row>
    <row r="522" spans="1:3" x14ac:dyDescent="0.35">
      <c r="A522" s="305">
        <v>45644</v>
      </c>
      <c r="B522" s="306">
        <v>376.35050000000001</v>
      </c>
      <c r="C522" s="307">
        <v>5.3821698141736896</v>
      </c>
    </row>
    <row r="523" spans="1:3" x14ac:dyDescent="0.35">
      <c r="A523" s="302">
        <v>45643</v>
      </c>
      <c r="B523" s="303">
        <v>376.31779999999998</v>
      </c>
      <c r="C523" s="304">
        <v>5.3889488824763001</v>
      </c>
    </row>
    <row r="524" spans="1:3" x14ac:dyDescent="0.35">
      <c r="A524" s="305">
        <v>45642</v>
      </c>
      <c r="B524" s="306">
        <v>376.28500000000003</v>
      </c>
      <c r="C524" s="307">
        <v>5.3957019919265301</v>
      </c>
    </row>
    <row r="525" spans="1:3" x14ac:dyDescent="0.35">
      <c r="A525" s="302">
        <v>45641</v>
      </c>
      <c r="B525" s="303">
        <v>376.25229999999999</v>
      </c>
      <c r="C525" s="304">
        <v>5.4024851583002604</v>
      </c>
    </row>
    <row r="526" spans="1:3" x14ac:dyDescent="0.35">
      <c r="A526" s="305">
        <v>45640</v>
      </c>
      <c r="B526" s="306">
        <v>376.26870000000002</v>
      </c>
      <c r="C526" s="307">
        <v>5.4158501138154396</v>
      </c>
    </row>
    <row r="527" spans="1:3" x14ac:dyDescent="0.35">
      <c r="A527" s="302">
        <v>45639</v>
      </c>
      <c r="B527" s="303">
        <v>376.28500000000003</v>
      </c>
      <c r="C527" s="304">
        <v>5.4291892752133704</v>
      </c>
    </row>
    <row r="528" spans="1:3" x14ac:dyDescent="0.35">
      <c r="A528" s="305">
        <v>45638</v>
      </c>
      <c r="B528" s="306">
        <v>376.30130000000003</v>
      </c>
      <c r="C528" s="307">
        <v>5.4425306568265199</v>
      </c>
    </row>
    <row r="529" spans="1:3" x14ac:dyDescent="0.35">
      <c r="A529" s="302">
        <v>45637</v>
      </c>
      <c r="B529" s="303">
        <v>376.31760000000003</v>
      </c>
      <c r="C529" s="304">
        <v>5.4558742592092297</v>
      </c>
    </row>
    <row r="530" spans="1:3" x14ac:dyDescent="0.35">
      <c r="A530" s="305">
        <v>45636</v>
      </c>
      <c r="B530" s="306">
        <v>376.33390000000003</v>
      </c>
      <c r="C530" s="307">
        <v>5.4692200829160598</v>
      </c>
    </row>
    <row r="531" spans="1:3" x14ac:dyDescent="0.35">
      <c r="A531" s="302">
        <v>45635</v>
      </c>
      <c r="B531" s="303">
        <v>376.35019999999997</v>
      </c>
      <c r="C531" s="304">
        <v>5.48256812850172</v>
      </c>
    </row>
    <row r="532" spans="1:3" x14ac:dyDescent="0.35">
      <c r="A532" s="305">
        <v>45634</v>
      </c>
      <c r="B532" s="306">
        <v>376.36660000000001</v>
      </c>
      <c r="C532" s="307">
        <v>5.4959464266243403</v>
      </c>
    </row>
    <row r="533" spans="1:3" x14ac:dyDescent="0.35">
      <c r="A533" s="302">
        <v>45633</v>
      </c>
      <c r="B533" s="303">
        <v>376.38290000000001</v>
      </c>
      <c r="C533" s="304">
        <v>5.5092989199662696</v>
      </c>
    </row>
    <row r="534" spans="1:3" x14ac:dyDescent="0.35">
      <c r="A534" s="305">
        <v>45632</v>
      </c>
      <c r="B534" s="306">
        <v>376.39920000000001</v>
      </c>
      <c r="C534" s="307">
        <v>5.5226536368527199</v>
      </c>
    </row>
    <row r="535" spans="1:3" x14ac:dyDescent="0.35">
      <c r="A535" s="302">
        <v>45631</v>
      </c>
      <c r="B535" s="303">
        <v>376.41550000000001</v>
      </c>
      <c r="C535" s="304">
        <v>5.5360105778391402</v>
      </c>
    </row>
    <row r="536" spans="1:3" x14ac:dyDescent="0.35">
      <c r="A536" s="305">
        <v>45630</v>
      </c>
      <c r="B536" s="306">
        <v>376.43180000000001</v>
      </c>
      <c r="C536" s="307">
        <v>5.5493697434811802</v>
      </c>
    </row>
    <row r="537" spans="1:3" x14ac:dyDescent="0.35">
      <c r="A537" s="302">
        <v>45629</v>
      </c>
      <c r="B537" s="303">
        <v>376.44819999999999</v>
      </c>
      <c r="C537" s="304">
        <v>5.5627591761102</v>
      </c>
    </row>
    <row r="538" spans="1:3" x14ac:dyDescent="0.35">
      <c r="A538" s="305">
        <v>45628</v>
      </c>
      <c r="B538" s="306">
        <v>376.46449999999999</v>
      </c>
      <c r="C538" s="307">
        <v>5.5760931871899002</v>
      </c>
    </row>
    <row r="539" spans="1:3" x14ac:dyDescent="0.35">
      <c r="A539" s="302">
        <v>45627</v>
      </c>
      <c r="B539" s="303">
        <v>376.48079999999999</v>
      </c>
      <c r="C539" s="304">
        <v>5.5894590262556703</v>
      </c>
    </row>
    <row r="540" spans="1:3" x14ac:dyDescent="0.35">
      <c r="A540" s="305">
        <v>45626</v>
      </c>
      <c r="B540" s="306">
        <v>376.49709999999999</v>
      </c>
      <c r="C540" s="307">
        <v>5.6028270922002497</v>
      </c>
    </row>
    <row r="541" spans="1:3" x14ac:dyDescent="0.35">
      <c r="A541" s="302">
        <v>45625</v>
      </c>
      <c r="B541" s="303">
        <v>376.51350000000002</v>
      </c>
      <c r="C541" s="304">
        <v>5.6162254366927096</v>
      </c>
    </row>
    <row r="542" spans="1:3" x14ac:dyDescent="0.35">
      <c r="A542" s="305">
        <v>45624</v>
      </c>
      <c r="B542" s="306">
        <v>376.52980000000002</v>
      </c>
      <c r="C542" s="307">
        <v>5.6295683276641997</v>
      </c>
    </row>
    <row r="543" spans="1:3" x14ac:dyDescent="0.35">
      <c r="A543" s="302">
        <v>45623</v>
      </c>
      <c r="B543" s="303">
        <v>376.54610000000002</v>
      </c>
      <c r="C543" s="304">
        <v>5.6429430737014101</v>
      </c>
    </row>
    <row r="544" spans="1:3" x14ac:dyDescent="0.35">
      <c r="A544" s="305">
        <v>45622</v>
      </c>
      <c r="B544" s="306">
        <v>376.56240000000003</v>
      </c>
      <c r="C544" s="307">
        <v>5.6563200488435701</v>
      </c>
    </row>
    <row r="545" spans="1:3" x14ac:dyDescent="0.35">
      <c r="A545" s="302">
        <v>45621</v>
      </c>
      <c r="B545" s="303">
        <v>376.5788</v>
      </c>
      <c r="C545" s="304">
        <v>5.6696976627050004</v>
      </c>
    </row>
    <row r="546" spans="1:3" x14ac:dyDescent="0.35">
      <c r="A546" s="305">
        <v>45620</v>
      </c>
      <c r="B546" s="306">
        <v>376.5951</v>
      </c>
      <c r="C546" s="307">
        <v>5.6830790938413998</v>
      </c>
    </row>
    <row r="547" spans="1:3" x14ac:dyDescent="0.35">
      <c r="A547" s="302">
        <v>45619</v>
      </c>
      <c r="B547" s="303">
        <v>376.6114</v>
      </c>
      <c r="C547" s="304">
        <v>5.6964330919171902</v>
      </c>
    </row>
    <row r="548" spans="1:3" x14ac:dyDescent="0.35">
      <c r="A548" s="305">
        <v>45618</v>
      </c>
      <c r="B548" s="306">
        <v>376.62779999999998</v>
      </c>
      <c r="C548" s="307">
        <v>5.7098470463912996</v>
      </c>
    </row>
    <row r="549" spans="1:3" x14ac:dyDescent="0.35">
      <c r="A549" s="302">
        <v>45617</v>
      </c>
      <c r="B549" s="303">
        <v>376.64409999999998</v>
      </c>
      <c r="C549" s="304">
        <v>5.72320549134903</v>
      </c>
    </row>
    <row r="550" spans="1:3" x14ac:dyDescent="0.35">
      <c r="A550" s="305">
        <v>45616</v>
      </c>
      <c r="B550" s="306">
        <v>376.66039999999998</v>
      </c>
      <c r="C550" s="307">
        <v>5.7365958388120797</v>
      </c>
    </row>
    <row r="551" spans="1:3" x14ac:dyDescent="0.35">
      <c r="A551" s="302">
        <v>45615</v>
      </c>
      <c r="B551" s="303">
        <v>376.67680000000001</v>
      </c>
      <c r="C551" s="304">
        <v>5.7499868050026404</v>
      </c>
    </row>
    <row r="552" spans="1:3" x14ac:dyDescent="0.35">
      <c r="A552" s="305">
        <v>45614</v>
      </c>
      <c r="B552" s="306">
        <v>376.69310000000002</v>
      </c>
      <c r="C552" s="307">
        <v>5.7633816151405801</v>
      </c>
    </row>
    <row r="553" spans="1:3" x14ac:dyDescent="0.35">
      <c r="A553" s="302">
        <v>45613</v>
      </c>
      <c r="B553" s="303">
        <v>376.70940000000002</v>
      </c>
      <c r="C553" s="304">
        <v>5.7767489581938198</v>
      </c>
    </row>
    <row r="554" spans="1:3" x14ac:dyDescent="0.35">
      <c r="A554" s="305">
        <v>45612</v>
      </c>
      <c r="B554" s="306">
        <v>376.72579999999999</v>
      </c>
      <c r="C554" s="307">
        <v>5.7901763123738803</v>
      </c>
    </row>
    <row r="555" spans="1:3" x14ac:dyDescent="0.35">
      <c r="A555" s="302">
        <v>45611</v>
      </c>
      <c r="B555" s="303">
        <v>376.74209999999999</v>
      </c>
      <c r="C555" s="304">
        <v>5.8035481089764298</v>
      </c>
    </row>
    <row r="556" spans="1:3" x14ac:dyDescent="0.35">
      <c r="A556" s="305">
        <v>45610</v>
      </c>
      <c r="B556" s="306">
        <v>376.71300000000002</v>
      </c>
      <c r="C556" s="307">
        <v>5.8137702586210498</v>
      </c>
    </row>
    <row r="557" spans="1:3" x14ac:dyDescent="0.35">
      <c r="A557" s="302">
        <v>45609</v>
      </c>
      <c r="B557" s="303">
        <v>376.68389999999999</v>
      </c>
      <c r="C557" s="304">
        <v>5.8239662337727998</v>
      </c>
    </row>
    <row r="558" spans="1:3" x14ac:dyDescent="0.35">
      <c r="A558" s="305">
        <v>45608</v>
      </c>
      <c r="B558" s="306">
        <v>376.65469999999999</v>
      </c>
      <c r="C558" s="307">
        <v>5.8341376515033403</v>
      </c>
    </row>
    <row r="559" spans="1:3" x14ac:dyDescent="0.35">
      <c r="A559" s="302">
        <v>45607</v>
      </c>
      <c r="B559" s="303">
        <v>376.62560000000002</v>
      </c>
      <c r="C559" s="304">
        <v>5.8443704514745303</v>
      </c>
    </row>
    <row r="560" spans="1:3" x14ac:dyDescent="0.35">
      <c r="A560" s="305">
        <v>45606</v>
      </c>
      <c r="B560" s="306">
        <v>376.59649999999999</v>
      </c>
      <c r="C560" s="307">
        <v>5.8545770584071999</v>
      </c>
    </row>
    <row r="561" spans="1:3" x14ac:dyDescent="0.35">
      <c r="A561" s="302">
        <v>45605</v>
      </c>
      <c r="B561" s="303">
        <v>376.56740000000002</v>
      </c>
      <c r="C561" s="304">
        <v>5.8647872119109596</v>
      </c>
    </row>
    <row r="562" spans="1:3" x14ac:dyDescent="0.35">
      <c r="A562" s="305">
        <v>45604</v>
      </c>
      <c r="B562" s="306">
        <v>376.53820000000002</v>
      </c>
      <c r="C562" s="307">
        <v>5.8749727958448403</v>
      </c>
    </row>
    <row r="563" spans="1:3" x14ac:dyDescent="0.35">
      <c r="A563" s="302">
        <v>45603</v>
      </c>
      <c r="B563" s="303">
        <v>376.50909999999999</v>
      </c>
      <c r="C563" s="304">
        <v>5.8851602651986497</v>
      </c>
    </row>
    <row r="564" spans="1:3" x14ac:dyDescent="0.35">
      <c r="A564" s="305">
        <v>45602</v>
      </c>
      <c r="B564" s="306">
        <v>376.48</v>
      </c>
      <c r="C564" s="307">
        <v>5.8953810565742</v>
      </c>
    </row>
    <row r="565" spans="1:3" x14ac:dyDescent="0.35">
      <c r="A565" s="302">
        <v>45601</v>
      </c>
      <c r="B565" s="303">
        <v>376.45089999999999</v>
      </c>
      <c r="C565" s="304">
        <v>5.9056054019184803</v>
      </c>
    </row>
    <row r="566" spans="1:3" x14ac:dyDescent="0.35">
      <c r="A566" s="305">
        <v>45600</v>
      </c>
      <c r="B566" s="306">
        <v>376.42180000000002</v>
      </c>
      <c r="C566" s="307">
        <v>5.91580350098425</v>
      </c>
    </row>
    <row r="567" spans="1:3" x14ac:dyDescent="0.35">
      <c r="A567" s="302">
        <v>45599</v>
      </c>
      <c r="B567" s="303">
        <v>376.39269999999999</v>
      </c>
      <c r="C567" s="304">
        <v>5.9260349517666997</v>
      </c>
    </row>
    <row r="568" spans="1:3" x14ac:dyDescent="0.35">
      <c r="A568" s="305">
        <v>45598</v>
      </c>
      <c r="B568" s="306">
        <v>376.36360000000002</v>
      </c>
      <c r="C568" s="307">
        <v>5.9362401438665504</v>
      </c>
    </row>
    <row r="569" spans="1:3" x14ac:dyDescent="0.35">
      <c r="A569" s="302">
        <v>45597</v>
      </c>
      <c r="B569" s="303">
        <v>376.33449999999999</v>
      </c>
      <c r="C569" s="304">
        <v>5.9464488812314897</v>
      </c>
    </row>
    <row r="570" spans="1:3" x14ac:dyDescent="0.35">
      <c r="A570" s="305">
        <v>45596</v>
      </c>
      <c r="B570" s="306">
        <v>376.30540000000002</v>
      </c>
      <c r="C570" s="307">
        <v>5.9566611657092796</v>
      </c>
    </row>
    <row r="571" spans="1:3" x14ac:dyDescent="0.35">
      <c r="A571" s="302">
        <v>45595</v>
      </c>
      <c r="B571" s="303">
        <v>376.27629999999999</v>
      </c>
      <c r="C571" s="304">
        <v>5.9668769991489397</v>
      </c>
    </row>
    <row r="572" spans="1:3" x14ac:dyDescent="0.35">
      <c r="A572" s="305">
        <v>45594</v>
      </c>
      <c r="B572" s="306">
        <v>376.24720000000002</v>
      </c>
      <c r="C572" s="307">
        <v>5.9770963834008102</v>
      </c>
    </row>
    <row r="573" spans="1:3" x14ac:dyDescent="0.35">
      <c r="A573" s="302">
        <v>45593</v>
      </c>
      <c r="B573" s="303">
        <v>376.21809999999999</v>
      </c>
      <c r="C573" s="304">
        <v>5.9872894618150001</v>
      </c>
    </row>
    <row r="574" spans="1:3" x14ac:dyDescent="0.35">
      <c r="A574" s="305">
        <v>45592</v>
      </c>
      <c r="B574" s="306">
        <v>376.18900000000002</v>
      </c>
      <c r="C574" s="307">
        <v>5.9975159451749702</v>
      </c>
    </row>
    <row r="575" spans="1:3" x14ac:dyDescent="0.35">
      <c r="A575" s="302">
        <v>45591</v>
      </c>
      <c r="B575" s="303">
        <v>376.15989999999999</v>
      </c>
      <c r="C575" s="304">
        <v>6.0077459849020096</v>
      </c>
    </row>
    <row r="576" spans="1:3" x14ac:dyDescent="0.35">
      <c r="A576" s="305">
        <v>45590</v>
      </c>
      <c r="B576" s="306">
        <v>376.13080000000002</v>
      </c>
      <c r="C576" s="307">
        <v>6.0179497001383702</v>
      </c>
    </row>
    <row r="577" spans="1:3" x14ac:dyDescent="0.35">
      <c r="A577" s="302">
        <v>45589</v>
      </c>
      <c r="B577" s="303">
        <v>376.10180000000003</v>
      </c>
      <c r="C577" s="304">
        <v>6.0281851506560002</v>
      </c>
    </row>
    <row r="578" spans="1:3" x14ac:dyDescent="0.35">
      <c r="A578" s="305">
        <v>45588</v>
      </c>
      <c r="B578" s="306">
        <v>376.0727</v>
      </c>
      <c r="C578" s="307">
        <v>6.0383959604925401</v>
      </c>
    </row>
    <row r="579" spans="1:3" x14ac:dyDescent="0.35">
      <c r="A579" s="302">
        <v>45587</v>
      </c>
      <c r="B579" s="303">
        <v>376.04360000000003</v>
      </c>
      <c r="C579" s="304">
        <v>6.0486103179538402</v>
      </c>
    </row>
    <row r="580" spans="1:3" x14ac:dyDescent="0.35">
      <c r="A580" s="305">
        <v>45586</v>
      </c>
      <c r="B580" s="306">
        <v>376.0145</v>
      </c>
      <c r="C580" s="307">
        <v>6.0588282248890701</v>
      </c>
    </row>
    <row r="581" spans="1:3" x14ac:dyDescent="0.35">
      <c r="A581" s="302">
        <v>45585</v>
      </c>
      <c r="B581" s="303">
        <v>375.98540000000003</v>
      </c>
      <c r="C581" s="304">
        <v>6.0690496831487302</v>
      </c>
    </row>
    <row r="582" spans="1:3" x14ac:dyDescent="0.35">
      <c r="A582" s="305">
        <v>45584</v>
      </c>
      <c r="B582" s="306">
        <v>375.95639999999997</v>
      </c>
      <c r="C582" s="307">
        <v>6.0793029104369598</v>
      </c>
    </row>
    <row r="583" spans="1:3" x14ac:dyDescent="0.35">
      <c r="A583" s="302">
        <v>45583</v>
      </c>
      <c r="B583" s="303">
        <v>375.9273</v>
      </c>
      <c r="C583" s="304">
        <v>6.0895314818070698</v>
      </c>
    </row>
    <row r="584" spans="1:3" x14ac:dyDescent="0.35">
      <c r="A584" s="305">
        <v>45582</v>
      </c>
      <c r="B584" s="306">
        <v>375.89819999999997</v>
      </c>
      <c r="C584" s="307">
        <v>6.0997336627079202</v>
      </c>
    </row>
    <row r="585" spans="1:3" x14ac:dyDescent="0.35">
      <c r="A585" s="302">
        <v>45581</v>
      </c>
      <c r="B585" s="303">
        <v>375.86919999999998</v>
      </c>
      <c r="C585" s="304">
        <v>6.1099975721714399</v>
      </c>
    </row>
    <row r="586" spans="1:3" x14ac:dyDescent="0.35">
      <c r="A586" s="302">
        <v>45580</v>
      </c>
      <c r="B586" s="303">
        <v>375.84010000000001</v>
      </c>
      <c r="C586" s="308">
        <v>6.1202068530301599</v>
      </c>
    </row>
    <row r="587" spans="1:3" x14ac:dyDescent="0.35">
      <c r="A587" s="305">
        <v>45579</v>
      </c>
      <c r="B587" s="306">
        <v>375.84010000000001</v>
      </c>
      <c r="C587" s="309">
        <v>6.1448725747863104</v>
      </c>
    </row>
    <row r="588" spans="1:3" x14ac:dyDescent="0.35">
      <c r="A588" s="302">
        <v>45578</v>
      </c>
      <c r="B588" s="303">
        <v>375.84010000000001</v>
      </c>
      <c r="C588" s="308">
        <v>6.1695497654095401</v>
      </c>
    </row>
    <row r="589" spans="1:3" x14ac:dyDescent="0.35">
      <c r="A589" s="305">
        <v>45577</v>
      </c>
      <c r="B589" s="306">
        <v>375.84010000000001</v>
      </c>
      <c r="C589" s="309">
        <v>6.1942384329007698</v>
      </c>
    </row>
    <row r="590" spans="1:3" x14ac:dyDescent="0.35">
      <c r="A590" s="302">
        <v>45576</v>
      </c>
      <c r="B590" s="303">
        <v>375.84010000000001</v>
      </c>
      <c r="C590" s="308">
        <v>6.2189385852683401</v>
      </c>
    </row>
    <row r="591" spans="1:3" x14ac:dyDescent="0.35">
      <c r="A591" s="305">
        <v>45575</v>
      </c>
      <c r="B591" s="306">
        <v>375.84010000000001</v>
      </c>
      <c r="C591" s="309">
        <v>6.2436502305280799</v>
      </c>
    </row>
    <row r="592" spans="1:3" x14ac:dyDescent="0.35">
      <c r="A592" s="302">
        <v>45574</v>
      </c>
      <c r="B592" s="303">
        <v>375.84010000000001</v>
      </c>
      <c r="C592" s="308">
        <v>6.2683433294464797</v>
      </c>
    </row>
    <row r="593" spans="1:3" x14ac:dyDescent="0.35">
      <c r="A593" s="305">
        <v>45573</v>
      </c>
      <c r="B593" s="306">
        <v>375.84010000000001</v>
      </c>
      <c r="C593" s="309">
        <v>6.29307797057879</v>
      </c>
    </row>
    <row r="594" spans="1:3" x14ac:dyDescent="0.35">
      <c r="A594" s="302">
        <v>45572</v>
      </c>
      <c r="B594" s="303">
        <v>375.84010000000001</v>
      </c>
      <c r="C594" s="308">
        <v>6.3177940534581696</v>
      </c>
    </row>
    <row r="595" spans="1:3" x14ac:dyDescent="0.35">
      <c r="A595" s="305">
        <v>45571</v>
      </c>
      <c r="B595" s="306">
        <v>375.84010000000001</v>
      </c>
      <c r="C595" s="309">
        <v>6.3425216333577703</v>
      </c>
    </row>
    <row r="596" spans="1:3" x14ac:dyDescent="0.35">
      <c r="A596" s="302">
        <v>45570</v>
      </c>
      <c r="B596" s="303">
        <v>375.84010000000001</v>
      </c>
      <c r="C596" s="308">
        <v>6.3672306150981202</v>
      </c>
    </row>
    <row r="597" spans="1:3" x14ac:dyDescent="0.35">
      <c r="A597" s="305">
        <v>45569</v>
      </c>
      <c r="B597" s="306">
        <v>375.84010000000001</v>
      </c>
      <c r="C597" s="309">
        <v>6.3919811991061497</v>
      </c>
    </row>
    <row r="598" spans="1:3" x14ac:dyDescent="0.35">
      <c r="A598" s="302">
        <v>45568</v>
      </c>
      <c r="B598" s="303">
        <v>375.84010000000001</v>
      </c>
      <c r="C598" s="308">
        <v>6.4167131730004501</v>
      </c>
    </row>
    <row r="599" spans="1:3" x14ac:dyDescent="0.35">
      <c r="A599" s="305">
        <v>45567</v>
      </c>
      <c r="B599" s="306">
        <v>375.84010000000001</v>
      </c>
      <c r="C599" s="309">
        <v>6.4414566480012798</v>
      </c>
    </row>
    <row r="600" spans="1:3" x14ac:dyDescent="0.35">
      <c r="A600" s="302">
        <v>45566</v>
      </c>
      <c r="B600" s="303">
        <v>375.84010000000001</v>
      </c>
      <c r="C600" s="308">
        <v>6.4662116321330503</v>
      </c>
    </row>
    <row r="601" spans="1:3" x14ac:dyDescent="0.35">
      <c r="A601" s="305">
        <v>45565</v>
      </c>
      <c r="B601" s="306">
        <v>375.84010000000001</v>
      </c>
      <c r="C601" s="309">
        <v>6.49097813342763</v>
      </c>
    </row>
    <row r="602" spans="1:3" x14ac:dyDescent="0.35">
      <c r="A602" s="302">
        <v>45564</v>
      </c>
      <c r="B602" s="303">
        <v>375.84010000000001</v>
      </c>
      <c r="C602" s="308">
        <v>6.5157259726104098</v>
      </c>
    </row>
    <row r="603" spans="1:3" x14ac:dyDescent="0.35">
      <c r="A603" s="305">
        <v>45563</v>
      </c>
      <c r="B603" s="306">
        <v>375.84010000000001</v>
      </c>
      <c r="C603" s="309">
        <v>6.5405155183034296</v>
      </c>
    </row>
    <row r="604" spans="1:3" x14ac:dyDescent="0.35">
      <c r="A604" s="302">
        <v>45562</v>
      </c>
      <c r="B604" s="303">
        <v>375.84010000000001</v>
      </c>
      <c r="C604" s="308">
        <v>6.5652863898778904</v>
      </c>
    </row>
    <row r="605" spans="1:3" x14ac:dyDescent="0.35">
      <c r="A605" s="305">
        <v>45561</v>
      </c>
      <c r="B605" s="306">
        <v>375.84010000000001</v>
      </c>
      <c r="C605" s="309">
        <v>6.5900687826801398</v>
      </c>
    </row>
    <row r="606" spans="1:3" x14ac:dyDescent="0.35">
      <c r="A606" s="302">
        <v>45560</v>
      </c>
      <c r="B606" s="303">
        <v>375.84010000000001</v>
      </c>
      <c r="C606" s="308">
        <v>6.6148627047500401</v>
      </c>
    </row>
    <row r="607" spans="1:3" x14ac:dyDescent="0.35">
      <c r="A607" s="305">
        <v>45559</v>
      </c>
      <c r="B607" s="306">
        <v>375.84010000000001</v>
      </c>
      <c r="C607" s="309">
        <v>6.6396379065450697</v>
      </c>
    </row>
    <row r="608" spans="1:3" x14ac:dyDescent="0.35">
      <c r="A608" s="302">
        <v>45558</v>
      </c>
      <c r="B608" s="303">
        <v>375.84010000000001</v>
      </c>
      <c r="C608" s="308">
        <v>6.66445489721516</v>
      </c>
    </row>
    <row r="609" spans="1:3" x14ac:dyDescent="0.35">
      <c r="A609" s="305">
        <v>45557</v>
      </c>
      <c r="B609" s="306">
        <v>375.84010000000001</v>
      </c>
      <c r="C609" s="309">
        <v>6.6892531555558099</v>
      </c>
    </row>
    <row r="610" spans="1:3" x14ac:dyDescent="0.35">
      <c r="A610" s="302">
        <v>45556</v>
      </c>
      <c r="B610" s="303">
        <v>375.84010000000001</v>
      </c>
      <c r="C610" s="308">
        <v>6.7140629471972204</v>
      </c>
    </row>
    <row r="611" spans="1:3" x14ac:dyDescent="0.35">
      <c r="A611" s="305">
        <v>45555</v>
      </c>
      <c r="B611" s="306">
        <v>375.84010000000001</v>
      </c>
      <c r="C611" s="309">
        <v>6.7388842801872197</v>
      </c>
    </row>
    <row r="612" spans="1:3" x14ac:dyDescent="0.35">
      <c r="A612" s="302">
        <v>45554</v>
      </c>
      <c r="B612" s="303">
        <v>375.84010000000001</v>
      </c>
      <c r="C612" s="308">
        <v>6.7636868345558101</v>
      </c>
    </row>
    <row r="613" spans="1:3" x14ac:dyDescent="0.35">
      <c r="A613" s="305">
        <v>45553</v>
      </c>
      <c r="B613" s="306">
        <v>375.84010000000001</v>
      </c>
      <c r="C613" s="309">
        <v>6.7885312602998198</v>
      </c>
    </row>
    <row r="614" spans="1:3" x14ac:dyDescent="0.35">
      <c r="A614" s="302">
        <v>45552</v>
      </c>
      <c r="B614" s="303">
        <v>375.84010000000001</v>
      </c>
      <c r="C614" s="308">
        <v>6.8133568953198704</v>
      </c>
    </row>
    <row r="615" spans="1:3" x14ac:dyDescent="0.35">
      <c r="A615" s="305">
        <v>45551</v>
      </c>
      <c r="B615" s="306">
        <v>375.84010000000001</v>
      </c>
      <c r="C615" s="309">
        <v>6.8381940756895396</v>
      </c>
    </row>
    <row r="616" spans="1:3" x14ac:dyDescent="0.35">
      <c r="A616" s="302">
        <v>45550</v>
      </c>
      <c r="B616" s="303">
        <v>375.84010000000001</v>
      </c>
      <c r="C616" s="308">
        <v>6.8630428094645897</v>
      </c>
    </row>
    <row r="617" spans="1:3" x14ac:dyDescent="0.35">
      <c r="A617" s="305">
        <v>45549</v>
      </c>
      <c r="B617" s="306">
        <v>375.8159</v>
      </c>
      <c r="C617" s="309">
        <v>6.87336127810355</v>
      </c>
    </row>
    <row r="618" spans="1:3" x14ac:dyDescent="0.35">
      <c r="A618" s="302">
        <v>45548</v>
      </c>
      <c r="B618" s="303">
        <v>375.79160000000002</v>
      </c>
      <c r="C618" s="308">
        <v>6.8836546266753196</v>
      </c>
    </row>
    <row r="619" spans="1:3" x14ac:dyDescent="0.35">
      <c r="A619" s="305">
        <v>45547</v>
      </c>
      <c r="B619" s="306">
        <v>375.76740000000001</v>
      </c>
      <c r="C619" s="309">
        <v>6.8939493287826004</v>
      </c>
    </row>
    <row r="620" spans="1:3" x14ac:dyDescent="0.35">
      <c r="A620" s="302">
        <v>45546</v>
      </c>
      <c r="B620" s="303">
        <v>375.7432</v>
      </c>
      <c r="C620" s="308">
        <v>6.9042777564234097</v>
      </c>
    </row>
    <row r="621" spans="1:3" x14ac:dyDescent="0.35">
      <c r="A621" s="305">
        <v>45545</v>
      </c>
      <c r="B621" s="306">
        <v>375.71899999999999</v>
      </c>
      <c r="C621" s="309">
        <v>6.9145790874617798</v>
      </c>
    </row>
    <row r="622" spans="1:3" x14ac:dyDescent="0.35">
      <c r="A622" s="302">
        <v>45544</v>
      </c>
      <c r="B622" s="303">
        <v>375.69479999999999</v>
      </c>
      <c r="C622" s="308">
        <v>6.92491416289469</v>
      </c>
    </row>
    <row r="623" spans="1:3" x14ac:dyDescent="0.35">
      <c r="A623" s="305">
        <v>45543</v>
      </c>
      <c r="B623" s="306">
        <v>375.67059999999998</v>
      </c>
      <c r="C623" s="309">
        <v>6.9352221292676699</v>
      </c>
    </row>
    <row r="624" spans="1:3" x14ac:dyDescent="0.35">
      <c r="A624" s="302">
        <v>45542</v>
      </c>
      <c r="B624" s="303">
        <v>375.6463</v>
      </c>
      <c r="C624" s="308">
        <v>6.9455049420612402</v>
      </c>
    </row>
    <row r="625" spans="1:3" x14ac:dyDescent="0.35">
      <c r="A625" s="305">
        <v>45541</v>
      </c>
      <c r="B625" s="306">
        <v>375.62209999999999</v>
      </c>
      <c r="C625" s="309">
        <v>6.95581953776506</v>
      </c>
    </row>
    <row r="626" spans="1:3" x14ac:dyDescent="0.35">
      <c r="A626" s="302">
        <v>45540</v>
      </c>
      <c r="B626" s="303">
        <v>375.59789999999998</v>
      </c>
      <c r="C626" s="308">
        <v>6.96613745282471</v>
      </c>
    </row>
    <row r="627" spans="1:3" x14ac:dyDescent="0.35">
      <c r="A627" s="305">
        <v>45539</v>
      </c>
      <c r="B627" s="306">
        <v>375.57369999999997</v>
      </c>
      <c r="C627" s="309">
        <v>6.9764586888427598</v>
      </c>
    </row>
    <row r="628" spans="1:3" x14ac:dyDescent="0.35">
      <c r="A628" s="302">
        <v>45538</v>
      </c>
      <c r="B628" s="303">
        <v>375.54950000000002</v>
      </c>
      <c r="C628" s="308">
        <v>6.9867832474228297</v>
      </c>
    </row>
    <row r="629" spans="1:3" x14ac:dyDescent="0.35">
      <c r="A629" s="305">
        <v>45537</v>
      </c>
      <c r="B629" s="306">
        <v>375.52530000000002</v>
      </c>
      <c r="C629" s="309">
        <v>6.9971111301695297</v>
      </c>
    </row>
    <row r="630" spans="1:3" x14ac:dyDescent="0.35">
      <c r="A630" s="302">
        <v>45536</v>
      </c>
      <c r="B630" s="303">
        <v>375.50110000000001</v>
      </c>
      <c r="C630" s="308">
        <v>7.0074118445316502</v>
      </c>
    </row>
    <row r="631" spans="1:3" x14ac:dyDescent="0.35">
      <c r="A631" s="305">
        <v>45535</v>
      </c>
      <c r="B631" s="306">
        <v>375.4769</v>
      </c>
      <c r="C631" s="309">
        <v>7.0177463725734999</v>
      </c>
    </row>
    <row r="632" spans="1:3" x14ac:dyDescent="0.35">
      <c r="A632" s="302">
        <v>45534</v>
      </c>
      <c r="B632" s="303">
        <v>375.45269999999999</v>
      </c>
      <c r="C632" s="308">
        <v>7.0280537197433102</v>
      </c>
    </row>
    <row r="633" spans="1:3" x14ac:dyDescent="0.35">
      <c r="A633" s="305">
        <v>45533</v>
      </c>
      <c r="B633" s="306">
        <v>375.42849999999999</v>
      </c>
      <c r="C633" s="309">
        <v>7.0383948994973196</v>
      </c>
    </row>
    <row r="634" spans="1:3" x14ac:dyDescent="0.35">
      <c r="A634" s="302">
        <v>45532</v>
      </c>
      <c r="B634" s="303">
        <v>375.40429999999998</v>
      </c>
      <c r="C634" s="308">
        <v>7.0487088858820801</v>
      </c>
    </row>
    <row r="635" spans="1:3" x14ac:dyDescent="0.35">
      <c r="A635" s="305">
        <v>45531</v>
      </c>
      <c r="B635" s="306">
        <v>375.38010000000003</v>
      </c>
      <c r="C635" s="309">
        <v>7.0590261903532801</v>
      </c>
    </row>
    <row r="636" spans="1:3" x14ac:dyDescent="0.35">
      <c r="A636" s="302">
        <v>45530</v>
      </c>
      <c r="B636" s="303">
        <v>375.35590000000002</v>
      </c>
      <c r="C636" s="308">
        <v>7.0693468145123699</v>
      </c>
    </row>
    <row r="637" spans="1:3" x14ac:dyDescent="0.35">
      <c r="A637" s="305">
        <v>45529</v>
      </c>
      <c r="B637" s="306">
        <v>375.33170000000001</v>
      </c>
      <c r="C637" s="309">
        <v>7.0796707599618003</v>
      </c>
    </row>
    <row r="638" spans="1:3" x14ac:dyDescent="0.35">
      <c r="A638" s="302">
        <v>45528</v>
      </c>
      <c r="B638" s="303">
        <v>375.3075</v>
      </c>
      <c r="C638" s="308">
        <v>7.0899980283050903</v>
      </c>
    </row>
    <row r="639" spans="1:3" x14ac:dyDescent="0.35">
      <c r="A639" s="305">
        <v>45527</v>
      </c>
      <c r="B639" s="306">
        <v>375.28339999999997</v>
      </c>
      <c r="C639" s="309">
        <v>7.1003571596744903</v>
      </c>
    </row>
    <row r="640" spans="1:3" x14ac:dyDescent="0.35">
      <c r="A640" s="302">
        <v>45526</v>
      </c>
      <c r="B640" s="303">
        <v>375.25920000000002</v>
      </c>
      <c r="C640" s="308">
        <v>7.1106910832143297</v>
      </c>
    </row>
    <row r="641" spans="1:3" x14ac:dyDescent="0.35">
      <c r="A641" s="305">
        <v>45525</v>
      </c>
      <c r="B641" s="306">
        <v>375.23500000000001</v>
      </c>
      <c r="C641" s="309">
        <v>7.1209977538662201</v>
      </c>
    </row>
    <row r="642" spans="1:3" x14ac:dyDescent="0.35">
      <c r="A642" s="302">
        <v>45524</v>
      </c>
      <c r="B642" s="303">
        <v>375.21080000000001</v>
      </c>
      <c r="C642" s="308">
        <v>7.13133832656073</v>
      </c>
    </row>
    <row r="643" spans="1:3" x14ac:dyDescent="0.35">
      <c r="A643" s="305">
        <v>45523</v>
      </c>
      <c r="B643" s="306">
        <v>375.1866</v>
      </c>
      <c r="C643" s="309">
        <v>7.1416516338400404</v>
      </c>
    </row>
    <row r="644" spans="1:3" x14ac:dyDescent="0.35">
      <c r="A644" s="302">
        <v>45522</v>
      </c>
      <c r="B644" s="303">
        <v>375.16239999999999</v>
      </c>
      <c r="C644" s="308">
        <v>7.1519682579033903</v>
      </c>
    </row>
    <row r="645" spans="1:3" x14ac:dyDescent="0.35">
      <c r="A645" s="305">
        <v>45521</v>
      </c>
      <c r="B645" s="306">
        <v>375.13830000000002</v>
      </c>
      <c r="C645" s="309">
        <v>7.16234737851841</v>
      </c>
    </row>
    <row r="646" spans="1:3" x14ac:dyDescent="0.35">
      <c r="A646" s="302">
        <v>45520</v>
      </c>
      <c r="B646" s="303">
        <v>375.11410000000001</v>
      </c>
      <c r="C646" s="308">
        <v>7.1726706534201501</v>
      </c>
    </row>
    <row r="647" spans="1:3" x14ac:dyDescent="0.35">
      <c r="A647" s="305">
        <v>45519</v>
      </c>
      <c r="B647" s="306">
        <v>375.0899</v>
      </c>
      <c r="C647" s="309">
        <v>7.18299724991485</v>
      </c>
    </row>
    <row r="648" spans="1:3" x14ac:dyDescent="0.35">
      <c r="A648" s="302">
        <v>45518</v>
      </c>
      <c r="B648" s="303">
        <v>375.05119999999999</v>
      </c>
      <c r="C648" s="308">
        <v>7.1822907587184499</v>
      </c>
    </row>
    <row r="649" spans="1:3" x14ac:dyDescent="0.35">
      <c r="A649" s="305">
        <v>45517</v>
      </c>
      <c r="B649" s="306">
        <v>375.01260000000002</v>
      </c>
      <c r="C649" s="309">
        <v>7.1816127118266202</v>
      </c>
    </row>
    <row r="650" spans="1:3" x14ac:dyDescent="0.35">
      <c r="A650" s="302">
        <v>45516</v>
      </c>
      <c r="B650" s="303">
        <v>374.97390000000001</v>
      </c>
      <c r="C650" s="308">
        <v>7.1809059503549202</v>
      </c>
    </row>
    <row r="651" spans="1:3" x14ac:dyDescent="0.35">
      <c r="A651" s="305">
        <v>45515</v>
      </c>
      <c r="B651" s="306">
        <v>374.93529999999998</v>
      </c>
      <c r="C651" s="309">
        <v>7.1802276386322497</v>
      </c>
    </row>
    <row r="652" spans="1:3" x14ac:dyDescent="0.35">
      <c r="A652" s="302">
        <v>45514</v>
      </c>
      <c r="B652" s="303">
        <v>374.89659999999998</v>
      </c>
      <c r="C652" s="308">
        <v>7.1795206067290698</v>
      </c>
    </row>
    <row r="653" spans="1:3" x14ac:dyDescent="0.35">
      <c r="A653" s="305">
        <v>45513</v>
      </c>
      <c r="B653" s="306">
        <v>374.858</v>
      </c>
      <c r="C653" s="309">
        <v>7.1788420300214399</v>
      </c>
    </row>
    <row r="654" spans="1:3" x14ac:dyDescent="0.35">
      <c r="A654" s="302">
        <v>45512</v>
      </c>
      <c r="B654" s="303">
        <v>374.81939999999997</v>
      </c>
      <c r="C654" s="308">
        <v>7.1781633221452097</v>
      </c>
    </row>
    <row r="655" spans="1:3" x14ac:dyDescent="0.35">
      <c r="A655" s="305">
        <v>45511</v>
      </c>
      <c r="B655" s="306">
        <v>374.78070000000002</v>
      </c>
      <c r="C655" s="309">
        <v>7.1774558856836901</v>
      </c>
    </row>
    <row r="656" spans="1:3" x14ac:dyDescent="0.35">
      <c r="A656" s="302">
        <v>45510</v>
      </c>
      <c r="B656" s="303">
        <v>374.74209999999999</v>
      </c>
      <c r="C656" s="308">
        <v>7.1767769125916701</v>
      </c>
    </row>
    <row r="657" spans="1:3" x14ac:dyDescent="0.35">
      <c r="A657" s="305">
        <v>45509</v>
      </c>
      <c r="B657" s="306">
        <v>374.70350000000002</v>
      </c>
      <c r="C657" s="309">
        <v>7.17609780821636</v>
      </c>
    </row>
    <row r="658" spans="1:3" x14ac:dyDescent="0.35">
      <c r="A658" s="302">
        <v>45508</v>
      </c>
      <c r="B658" s="303">
        <v>374.66489999999999</v>
      </c>
      <c r="C658" s="308">
        <v>7.1754185725196704</v>
      </c>
    </row>
    <row r="659" spans="1:3" x14ac:dyDescent="0.35">
      <c r="A659" s="305">
        <v>45507</v>
      </c>
      <c r="B659" s="306">
        <v>374.62630000000001</v>
      </c>
      <c r="C659" s="309">
        <v>7.1747085444516401</v>
      </c>
    </row>
    <row r="660" spans="1:3" x14ac:dyDescent="0.35">
      <c r="A660" s="302">
        <v>45506</v>
      </c>
      <c r="B660" s="303">
        <v>374.58769999999998</v>
      </c>
      <c r="C660" s="308">
        <v>7.1740290432272298</v>
      </c>
    </row>
    <row r="661" spans="1:3" x14ac:dyDescent="0.35">
      <c r="A661" s="305">
        <v>45505</v>
      </c>
      <c r="B661" s="306">
        <v>374.54899999999998</v>
      </c>
      <c r="C661" s="309">
        <v>7.1733207966013497</v>
      </c>
    </row>
    <row r="662" spans="1:3" x14ac:dyDescent="0.35">
      <c r="A662" s="302">
        <v>45504</v>
      </c>
      <c r="B662" s="303">
        <v>374.5104</v>
      </c>
      <c r="C662" s="308">
        <v>7.1726103603990303</v>
      </c>
    </row>
    <row r="663" spans="1:3" x14ac:dyDescent="0.35">
      <c r="A663" s="305">
        <v>45503</v>
      </c>
      <c r="B663" s="306">
        <v>374.47190000000001</v>
      </c>
      <c r="C663" s="309">
        <v>7.1719590787041803</v>
      </c>
    </row>
    <row r="664" spans="1:3" x14ac:dyDescent="0.35">
      <c r="A664" s="302">
        <v>45502</v>
      </c>
      <c r="B664" s="303">
        <v>374.43329999999997</v>
      </c>
      <c r="C664" s="308">
        <v>7.1712790487334104</v>
      </c>
    </row>
    <row r="665" spans="1:3" x14ac:dyDescent="0.35">
      <c r="A665" s="305">
        <v>45501</v>
      </c>
      <c r="B665" s="306">
        <v>374.3947</v>
      </c>
      <c r="C665" s="309">
        <v>7.1705682095649399</v>
      </c>
    </row>
    <row r="666" spans="1:3" x14ac:dyDescent="0.35">
      <c r="A666" s="302">
        <v>45500</v>
      </c>
      <c r="B666" s="303">
        <v>374.35610000000003</v>
      </c>
      <c r="C666" s="308">
        <v>7.1698879136036098</v>
      </c>
    </row>
    <row r="667" spans="1:3" x14ac:dyDescent="0.35">
      <c r="A667" s="305">
        <v>45499</v>
      </c>
      <c r="B667" s="306">
        <v>374.3175</v>
      </c>
      <c r="C667" s="309">
        <v>7.1691768028374003</v>
      </c>
    </row>
    <row r="668" spans="1:3" x14ac:dyDescent="0.35">
      <c r="A668" s="302">
        <v>45498</v>
      </c>
      <c r="B668" s="303">
        <v>374.27890000000002</v>
      </c>
      <c r="C668" s="308">
        <v>7.16849624073068</v>
      </c>
    </row>
    <row r="669" spans="1:3" x14ac:dyDescent="0.35">
      <c r="A669" s="305">
        <v>45497</v>
      </c>
      <c r="B669" s="306">
        <v>374.24040000000002</v>
      </c>
      <c r="C669" s="309">
        <v>7.1678134942987004</v>
      </c>
    </row>
    <row r="670" spans="1:3" x14ac:dyDescent="0.35">
      <c r="A670" s="302">
        <v>45496</v>
      </c>
      <c r="B670" s="303">
        <v>374.20179999999999</v>
      </c>
      <c r="C670" s="308">
        <v>7.1671326686635597</v>
      </c>
    </row>
    <row r="671" spans="1:3" x14ac:dyDescent="0.35">
      <c r="A671" s="305">
        <v>45495</v>
      </c>
      <c r="B671" s="306">
        <v>374.16320000000002</v>
      </c>
      <c r="C671" s="309">
        <v>7.1664210169953702</v>
      </c>
    </row>
    <row r="672" spans="1:3" x14ac:dyDescent="0.35">
      <c r="A672" s="302">
        <v>45494</v>
      </c>
      <c r="B672" s="303">
        <v>374.12470000000002</v>
      </c>
      <c r="C672" s="308">
        <v>7.1657685693039799</v>
      </c>
    </row>
    <row r="673" spans="1:3" x14ac:dyDescent="0.35">
      <c r="A673" s="305">
        <v>45493</v>
      </c>
      <c r="B673" s="306">
        <v>374.08609999999999</v>
      </c>
      <c r="C673" s="309">
        <v>7.1650566483334401</v>
      </c>
    </row>
    <row r="674" spans="1:3" x14ac:dyDescent="0.35">
      <c r="A674" s="302">
        <v>45492</v>
      </c>
      <c r="B674" s="303">
        <v>374.04759999999999</v>
      </c>
      <c r="C674" s="308">
        <v>7.1643732398199598</v>
      </c>
    </row>
    <row r="675" spans="1:3" x14ac:dyDescent="0.35">
      <c r="A675" s="305">
        <v>45491</v>
      </c>
      <c r="B675" s="306">
        <v>374.00900000000001</v>
      </c>
      <c r="C675" s="309">
        <v>7.1636610466314004</v>
      </c>
    </row>
    <row r="676" spans="1:3" x14ac:dyDescent="0.35">
      <c r="A676" s="302">
        <v>45490</v>
      </c>
      <c r="B676" s="303">
        <v>373.97050000000002</v>
      </c>
      <c r="C676" s="308">
        <v>7.1630080794100399</v>
      </c>
    </row>
    <row r="677" spans="1:3" x14ac:dyDescent="0.35">
      <c r="A677" s="305">
        <v>45489</v>
      </c>
      <c r="B677" s="306">
        <v>373.93189999999998</v>
      </c>
      <c r="C677" s="309">
        <v>7.16229561660779</v>
      </c>
    </row>
    <row r="678" spans="1:3" x14ac:dyDescent="0.35">
      <c r="A678" s="302">
        <v>45488</v>
      </c>
      <c r="B678" s="303">
        <v>373.89339999999999</v>
      </c>
      <c r="C678" s="308">
        <v>7.1616116771819103</v>
      </c>
    </row>
    <row r="679" spans="1:3" x14ac:dyDescent="0.35">
      <c r="A679" s="305">
        <v>45487</v>
      </c>
      <c r="B679" s="306">
        <v>373.8399</v>
      </c>
      <c r="C679" s="309">
        <v>7.1616041222715801</v>
      </c>
    </row>
    <row r="680" spans="1:3" x14ac:dyDescent="0.35">
      <c r="A680" s="302">
        <v>45486</v>
      </c>
      <c r="B680" s="303">
        <v>373.78640000000001</v>
      </c>
      <c r="C680" s="308">
        <v>7.16159656519965</v>
      </c>
    </row>
    <row r="681" spans="1:3" x14ac:dyDescent="0.35">
      <c r="A681" s="305">
        <v>45485</v>
      </c>
      <c r="B681" s="306">
        <v>373.733</v>
      </c>
      <c r="C681" s="309">
        <v>7.16161767927413</v>
      </c>
    </row>
    <row r="682" spans="1:3" x14ac:dyDescent="0.35">
      <c r="A682" s="302">
        <v>45484</v>
      </c>
      <c r="B682" s="303">
        <v>373.67950000000002</v>
      </c>
      <c r="C682" s="308">
        <v>7.1616101219793702</v>
      </c>
    </row>
    <row r="683" spans="1:3" x14ac:dyDescent="0.35">
      <c r="A683" s="305">
        <v>45483</v>
      </c>
      <c r="B683" s="306">
        <v>373.62610000000001</v>
      </c>
      <c r="C683" s="309">
        <v>7.1616312440378298</v>
      </c>
    </row>
    <row r="684" spans="1:3" x14ac:dyDescent="0.35">
      <c r="A684" s="302">
        <v>45482</v>
      </c>
      <c r="B684" s="303">
        <v>373.57260000000002</v>
      </c>
      <c r="C684" s="308">
        <v>7.1615929465518198</v>
      </c>
    </row>
    <row r="685" spans="1:3" x14ac:dyDescent="0.35">
      <c r="A685" s="305">
        <v>45481</v>
      </c>
      <c r="B685" s="306">
        <v>373.51920000000001</v>
      </c>
      <c r="C685" s="309">
        <v>7.1616140721930899</v>
      </c>
    </row>
    <row r="686" spans="1:3" x14ac:dyDescent="0.35">
      <c r="A686" s="302">
        <v>45480</v>
      </c>
      <c r="B686" s="303">
        <v>373.4658</v>
      </c>
      <c r="C686" s="308">
        <v>7.1616044551172697</v>
      </c>
    </row>
    <row r="687" spans="1:3" x14ac:dyDescent="0.35">
      <c r="A687" s="305">
        <v>45479</v>
      </c>
      <c r="B687" s="306">
        <v>373.41239999999999</v>
      </c>
      <c r="C687" s="309">
        <v>7.1616255884510398</v>
      </c>
    </row>
    <row r="688" spans="1:3" x14ac:dyDescent="0.35">
      <c r="A688" s="302">
        <v>45478</v>
      </c>
      <c r="B688" s="303">
        <v>373.35899999999998</v>
      </c>
      <c r="C688" s="308">
        <v>7.1616159702692901</v>
      </c>
    </row>
    <row r="689" spans="1:3" x14ac:dyDescent="0.35">
      <c r="A689" s="305">
        <v>45477</v>
      </c>
      <c r="B689" s="306">
        <v>373.30560000000003</v>
      </c>
      <c r="C689" s="309">
        <v>7.1616063493375801</v>
      </c>
    </row>
    <row r="690" spans="1:3" x14ac:dyDescent="0.35">
      <c r="A690" s="302">
        <v>45476</v>
      </c>
      <c r="B690" s="303">
        <v>373.25220000000002</v>
      </c>
      <c r="C690" s="308">
        <v>7.1615967256547197</v>
      </c>
    </row>
    <row r="691" spans="1:3" x14ac:dyDescent="0.35">
      <c r="A691" s="305">
        <v>45475</v>
      </c>
      <c r="B691" s="306">
        <v>373.19880000000001</v>
      </c>
      <c r="C691" s="309">
        <v>7.1616178699750996</v>
      </c>
    </row>
    <row r="692" spans="1:3" x14ac:dyDescent="0.35">
      <c r="A692" s="302">
        <v>45474</v>
      </c>
      <c r="B692" s="303">
        <v>373.1454</v>
      </c>
      <c r="C692" s="308">
        <v>7.1616082451844196</v>
      </c>
    </row>
    <row r="693" spans="1:3" x14ac:dyDescent="0.35">
      <c r="A693" s="305">
        <v>45473</v>
      </c>
      <c r="B693" s="306">
        <v>373.09210000000002</v>
      </c>
      <c r="C693" s="309">
        <v>7.1616273402070298</v>
      </c>
    </row>
    <row r="694" spans="1:3" x14ac:dyDescent="0.35">
      <c r="A694" s="302">
        <v>45472</v>
      </c>
      <c r="B694" s="303">
        <v>373.03870000000001</v>
      </c>
      <c r="C694" s="308">
        <v>7.1616177140173303</v>
      </c>
    </row>
    <row r="695" spans="1:3" x14ac:dyDescent="0.35">
      <c r="A695" s="305">
        <v>45471</v>
      </c>
      <c r="B695" s="306">
        <v>372.98540000000003</v>
      </c>
      <c r="C695" s="309">
        <v>7.1616060274873101</v>
      </c>
    </row>
    <row r="696" spans="1:3" x14ac:dyDescent="0.35">
      <c r="A696" s="302">
        <v>45470</v>
      </c>
      <c r="B696" s="303">
        <v>372.93200000000002</v>
      </c>
      <c r="C696" s="308">
        <v>7.1615963954955202</v>
      </c>
    </row>
    <row r="697" spans="1:3" x14ac:dyDescent="0.35">
      <c r="A697" s="305">
        <v>45469</v>
      </c>
      <c r="B697" s="306">
        <v>372.87869999999998</v>
      </c>
      <c r="C697" s="309">
        <v>7.1616154997482502</v>
      </c>
    </row>
    <row r="698" spans="1:3" x14ac:dyDescent="0.35">
      <c r="A698" s="302">
        <v>45468</v>
      </c>
      <c r="B698" s="303">
        <v>372.8254</v>
      </c>
      <c r="C698" s="308">
        <v>7.1616346094701697</v>
      </c>
    </row>
    <row r="699" spans="1:3" x14ac:dyDescent="0.35">
      <c r="A699" s="305">
        <v>45467</v>
      </c>
      <c r="B699" s="306">
        <v>372.77199999999999</v>
      </c>
      <c r="C699" s="309">
        <v>7.1615941714432596</v>
      </c>
    </row>
    <row r="700" spans="1:3" x14ac:dyDescent="0.35">
      <c r="A700" s="302">
        <v>45466</v>
      </c>
      <c r="B700" s="303">
        <v>372.71870000000001</v>
      </c>
      <c r="C700" s="308">
        <v>7.1616132835781796</v>
      </c>
    </row>
    <row r="701" spans="1:3" x14ac:dyDescent="0.35">
      <c r="A701" s="305">
        <v>45465</v>
      </c>
      <c r="B701" s="306">
        <v>372.66539999999998</v>
      </c>
      <c r="C701" s="309">
        <v>7.1616015863804998</v>
      </c>
    </row>
    <row r="702" spans="1:3" x14ac:dyDescent="0.35">
      <c r="A702" s="302">
        <v>45464</v>
      </c>
      <c r="B702" s="303">
        <v>372.6121</v>
      </c>
      <c r="C702" s="308">
        <v>7.1615898858389402</v>
      </c>
    </row>
    <row r="703" spans="1:3" x14ac:dyDescent="0.35">
      <c r="A703" s="305">
        <v>45463</v>
      </c>
      <c r="B703" s="306">
        <v>372.55880000000002</v>
      </c>
      <c r="C703" s="309">
        <v>7.1616090055620303</v>
      </c>
    </row>
    <row r="704" spans="1:3" x14ac:dyDescent="0.35">
      <c r="A704" s="302">
        <v>45462</v>
      </c>
      <c r="B704" s="303">
        <v>372.50560000000002</v>
      </c>
      <c r="C704" s="308">
        <v>7.1616260705213604</v>
      </c>
    </row>
    <row r="705" spans="1:3" x14ac:dyDescent="0.35">
      <c r="A705" s="305">
        <v>45461</v>
      </c>
      <c r="B705" s="306">
        <v>372.45229999999998</v>
      </c>
      <c r="C705" s="309">
        <v>7.1616143684581699</v>
      </c>
    </row>
    <row r="706" spans="1:3" x14ac:dyDescent="0.35">
      <c r="A706" s="302">
        <v>45460</v>
      </c>
      <c r="B706" s="303">
        <v>372.399</v>
      </c>
      <c r="C706" s="308">
        <v>7.1616026630477903</v>
      </c>
    </row>
    <row r="707" spans="1:3" x14ac:dyDescent="0.35">
      <c r="A707" s="305">
        <v>45459</v>
      </c>
      <c r="B707" s="306">
        <v>372.3458</v>
      </c>
      <c r="C707" s="309">
        <v>7.16161973442268</v>
      </c>
    </row>
    <row r="708" spans="1:3" x14ac:dyDescent="0.35">
      <c r="A708" s="302">
        <v>45458</v>
      </c>
      <c r="B708" s="303">
        <v>372.29250000000002</v>
      </c>
      <c r="C708" s="308">
        <v>7.1616080264308497</v>
      </c>
    </row>
    <row r="709" spans="1:3" x14ac:dyDescent="0.35">
      <c r="A709" s="305">
        <v>45457</v>
      </c>
      <c r="B709" s="306">
        <v>372.22190000000001</v>
      </c>
      <c r="C709" s="309">
        <v>7.1681237065436099</v>
      </c>
    </row>
    <row r="710" spans="1:3" x14ac:dyDescent="0.35">
      <c r="A710" s="302">
        <v>45456</v>
      </c>
      <c r="B710" s="303">
        <v>372.15129999999999</v>
      </c>
      <c r="C710" s="308">
        <v>7.17467351652944</v>
      </c>
    </row>
    <row r="711" spans="1:3" x14ac:dyDescent="0.35">
      <c r="A711" s="305">
        <v>45455</v>
      </c>
      <c r="B711" s="306">
        <v>372.08069999999998</v>
      </c>
      <c r="C711" s="309">
        <v>7.1811957386855498</v>
      </c>
    </row>
    <row r="712" spans="1:3" x14ac:dyDescent="0.35">
      <c r="A712" s="302">
        <v>45454</v>
      </c>
      <c r="B712" s="303">
        <v>372.01010000000002</v>
      </c>
      <c r="C712" s="308">
        <v>7.1877212307467104</v>
      </c>
    </row>
    <row r="713" spans="1:3" x14ac:dyDescent="0.35">
      <c r="A713" s="305">
        <v>45453</v>
      </c>
      <c r="B713" s="306">
        <v>371.93950000000001</v>
      </c>
      <c r="C713" s="309">
        <v>7.1942499951725898</v>
      </c>
    </row>
    <row r="714" spans="1:3" x14ac:dyDescent="0.35">
      <c r="A714" s="302">
        <v>45452</v>
      </c>
      <c r="B714" s="303">
        <v>371.8689</v>
      </c>
      <c r="C714" s="308">
        <v>7.2007511310495396</v>
      </c>
    </row>
    <row r="715" spans="1:3" x14ac:dyDescent="0.35">
      <c r="A715" s="305">
        <v>45451</v>
      </c>
      <c r="B715" s="306">
        <v>371.79829999999998</v>
      </c>
      <c r="C715" s="309">
        <v>7.2072555249618402</v>
      </c>
    </row>
    <row r="716" spans="1:3" x14ac:dyDescent="0.35">
      <c r="A716" s="302">
        <v>45450</v>
      </c>
      <c r="B716" s="303">
        <v>371.7278</v>
      </c>
      <c r="C716" s="308">
        <v>7.2138229440034998</v>
      </c>
    </row>
    <row r="717" spans="1:3" x14ac:dyDescent="0.35">
      <c r="A717" s="305">
        <v>45449</v>
      </c>
      <c r="B717" s="306">
        <v>371.65730000000002</v>
      </c>
      <c r="C717" s="309">
        <v>7.2203317951876604</v>
      </c>
    </row>
    <row r="718" spans="1:3" x14ac:dyDescent="0.35">
      <c r="A718" s="302">
        <v>45448</v>
      </c>
      <c r="B718" s="303">
        <v>371.58670000000001</v>
      </c>
      <c r="C718" s="308">
        <v>7.2268459923830397</v>
      </c>
    </row>
    <row r="719" spans="1:3" x14ac:dyDescent="0.35">
      <c r="A719" s="305">
        <v>45447</v>
      </c>
      <c r="B719" s="306">
        <v>371.51620000000003</v>
      </c>
      <c r="C719" s="309">
        <v>7.2333923211539002</v>
      </c>
    </row>
    <row r="720" spans="1:3" x14ac:dyDescent="0.35">
      <c r="A720" s="302">
        <v>45446</v>
      </c>
      <c r="B720" s="303">
        <v>371.44569999999999</v>
      </c>
      <c r="C720" s="308">
        <v>7.2399109735313996</v>
      </c>
    </row>
    <row r="721" spans="1:3" x14ac:dyDescent="0.35">
      <c r="A721" s="305">
        <v>45445</v>
      </c>
      <c r="B721" s="306">
        <v>371.37529999999998</v>
      </c>
      <c r="C721" s="309">
        <v>7.2464617720638804</v>
      </c>
    </row>
    <row r="722" spans="1:3" x14ac:dyDescent="0.35">
      <c r="A722" s="302">
        <v>45444</v>
      </c>
      <c r="B722" s="303">
        <v>371.3048</v>
      </c>
      <c r="C722" s="308">
        <v>7.2529869700715199</v>
      </c>
    </row>
    <row r="723" spans="1:3" x14ac:dyDescent="0.35">
      <c r="A723" s="305">
        <v>45443</v>
      </c>
      <c r="B723" s="306">
        <v>371.23430000000002</v>
      </c>
      <c r="C723" s="309">
        <v>7.2594844508342202</v>
      </c>
    </row>
    <row r="724" spans="1:3" x14ac:dyDescent="0.35">
      <c r="A724" s="302">
        <v>45442</v>
      </c>
      <c r="B724" s="303">
        <v>371.16390000000001</v>
      </c>
      <c r="C724" s="308">
        <v>7.2660450873326496</v>
      </c>
    </row>
    <row r="725" spans="1:3" x14ac:dyDescent="0.35">
      <c r="A725" s="305">
        <v>45441</v>
      </c>
      <c r="B725" s="306">
        <v>371.09350000000001</v>
      </c>
      <c r="C725" s="309">
        <v>7.2725780066839096</v>
      </c>
    </row>
    <row r="726" spans="1:3" x14ac:dyDescent="0.35">
      <c r="A726" s="302">
        <v>45440</v>
      </c>
      <c r="B726" s="303">
        <v>371.0231</v>
      </c>
      <c r="C726" s="308">
        <v>7.2791142014824999</v>
      </c>
    </row>
    <row r="727" spans="1:3" x14ac:dyDescent="0.35">
      <c r="A727" s="305">
        <v>45439</v>
      </c>
      <c r="B727" s="306">
        <v>370.95269999999999</v>
      </c>
      <c r="C727" s="309">
        <v>7.2856226454165798</v>
      </c>
    </row>
    <row r="728" spans="1:3" x14ac:dyDescent="0.35">
      <c r="A728" s="302">
        <v>45438</v>
      </c>
      <c r="B728" s="303">
        <v>370.88229999999999</v>
      </c>
      <c r="C728" s="308">
        <v>7.2921653888289901</v>
      </c>
    </row>
    <row r="729" spans="1:3" x14ac:dyDescent="0.35">
      <c r="A729" s="305">
        <v>45437</v>
      </c>
      <c r="B729" s="306">
        <v>370.81189999999998</v>
      </c>
      <c r="C729" s="309">
        <v>7.2986803669682301</v>
      </c>
    </row>
    <row r="730" spans="1:3" x14ac:dyDescent="0.35">
      <c r="A730" s="302">
        <v>45436</v>
      </c>
      <c r="B730" s="303">
        <v>370.74149999999997</v>
      </c>
      <c r="C730" s="308">
        <v>7.3051986110640801</v>
      </c>
    </row>
    <row r="731" spans="1:3" x14ac:dyDescent="0.35">
      <c r="A731" s="305">
        <v>45435</v>
      </c>
      <c r="B731" s="306">
        <v>370.6712</v>
      </c>
      <c r="C731" s="309">
        <v>7.3117490742303497</v>
      </c>
    </row>
    <row r="732" spans="1:3" x14ac:dyDescent="0.35">
      <c r="A732" s="302">
        <v>45434</v>
      </c>
      <c r="B732" s="303">
        <v>370.60090000000002</v>
      </c>
      <c r="C732" s="308">
        <v>7.3183028227888398</v>
      </c>
    </row>
    <row r="733" spans="1:3" x14ac:dyDescent="0.35">
      <c r="A733" s="305">
        <v>45433</v>
      </c>
      <c r="B733" s="306">
        <v>370.53050000000002</v>
      </c>
      <c r="C733" s="309">
        <v>7.3247998072078104</v>
      </c>
    </row>
    <row r="734" spans="1:3" x14ac:dyDescent="0.35">
      <c r="A734" s="302">
        <v>45432</v>
      </c>
      <c r="B734" s="303">
        <v>370.46019999999999</v>
      </c>
      <c r="C734" s="308">
        <v>7.3313290204971304</v>
      </c>
    </row>
    <row r="735" spans="1:3" x14ac:dyDescent="0.35">
      <c r="A735" s="305">
        <v>45431</v>
      </c>
      <c r="B735" s="306">
        <v>370.38990000000001</v>
      </c>
      <c r="C735" s="309">
        <v>7.3378615071991398</v>
      </c>
    </row>
    <row r="736" spans="1:3" x14ac:dyDescent="0.35">
      <c r="A736" s="302">
        <v>45430</v>
      </c>
      <c r="B736" s="303">
        <v>370.31970000000001</v>
      </c>
      <c r="C736" s="308">
        <v>7.3444262567369298</v>
      </c>
    </row>
    <row r="737" spans="1:3" x14ac:dyDescent="0.35">
      <c r="A737" s="305">
        <v>45429</v>
      </c>
      <c r="B737" s="306">
        <v>370.24939999999998</v>
      </c>
      <c r="C737" s="309">
        <v>7.3509653049236299</v>
      </c>
    </row>
    <row r="738" spans="1:3" x14ac:dyDescent="0.35">
      <c r="A738" s="302">
        <v>45428</v>
      </c>
      <c r="B738" s="303">
        <v>370.17910000000001</v>
      </c>
      <c r="C738" s="308">
        <v>7.3574764986377996</v>
      </c>
    </row>
    <row r="739" spans="1:3" x14ac:dyDescent="0.35">
      <c r="A739" s="305">
        <v>45427</v>
      </c>
      <c r="B739" s="306">
        <v>370.10890000000001</v>
      </c>
      <c r="C739" s="309">
        <v>7.3640199649922202</v>
      </c>
    </row>
    <row r="740" spans="1:3" x14ac:dyDescent="0.35">
      <c r="A740" s="302">
        <v>45426</v>
      </c>
      <c r="B740" s="303">
        <v>370.02280000000002</v>
      </c>
      <c r="C740" s="308">
        <v>7.3764217068084603</v>
      </c>
    </row>
    <row r="741" spans="1:3" x14ac:dyDescent="0.35">
      <c r="A741" s="305">
        <v>45425</v>
      </c>
      <c r="B741" s="306">
        <v>369.93680000000001</v>
      </c>
      <c r="C741" s="309">
        <v>7.3888611178361598</v>
      </c>
    </row>
    <row r="742" spans="1:3" x14ac:dyDescent="0.35">
      <c r="A742" s="302">
        <v>45424</v>
      </c>
      <c r="B742" s="303">
        <v>369.85079999999999</v>
      </c>
      <c r="C742" s="308">
        <v>7.4012780100097704</v>
      </c>
    </row>
    <row r="743" spans="1:3" x14ac:dyDescent="0.35">
      <c r="A743" s="305">
        <v>45423</v>
      </c>
      <c r="B743" s="306">
        <v>369.76479999999998</v>
      </c>
      <c r="C743" s="309">
        <v>7.4137035517871599</v>
      </c>
    </row>
    <row r="744" spans="1:3" x14ac:dyDescent="0.35">
      <c r="A744" s="302">
        <v>45422</v>
      </c>
      <c r="B744" s="303">
        <v>369.67880000000002</v>
      </c>
      <c r="C744" s="308">
        <v>7.4261065349156299</v>
      </c>
    </row>
    <row r="745" spans="1:3" x14ac:dyDescent="0.35">
      <c r="A745" s="305">
        <v>45421</v>
      </c>
      <c r="B745" s="306">
        <v>369.59289999999999</v>
      </c>
      <c r="C745" s="309">
        <v>7.4385472261950403</v>
      </c>
    </row>
    <row r="746" spans="1:3" x14ac:dyDescent="0.35">
      <c r="A746" s="302">
        <v>45420</v>
      </c>
      <c r="B746" s="303">
        <v>369.50689999999997</v>
      </c>
      <c r="C746" s="308">
        <v>7.4509675059220504</v>
      </c>
    </row>
    <row r="747" spans="1:3" x14ac:dyDescent="0.35">
      <c r="A747" s="305">
        <v>45419</v>
      </c>
      <c r="B747" s="306">
        <v>369.42099999999999</v>
      </c>
      <c r="C747" s="309">
        <v>7.4633942713689203</v>
      </c>
    </row>
    <row r="748" spans="1:3" x14ac:dyDescent="0.35">
      <c r="A748" s="302">
        <v>45418</v>
      </c>
      <c r="B748" s="303">
        <v>369.33510000000001</v>
      </c>
      <c r="C748" s="308">
        <v>7.4757984186583304</v>
      </c>
    </row>
    <row r="749" spans="1:3" x14ac:dyDescent="0.35">
      <c r="A749" s="305">
        <v>45417</v>
      </c>
      <c r="B749" s="306">
        <v>369.24930000000001</v>
      </c>
      <c r="C749" s="309">
        <v>7.48827160278198</v>
      </c>
    </row>
    <row r="750" spans="1:3" x14ac:dyDescent="0.35">
      <c r="A750" s="302">
        <v>45416</v>
      </c>
      <c r="B750" s="303">
        <v>369.16340000000002</v>
      </c>
      <c r="C750" s="308">
        <v>7.5006930580048801</v>
      </c>
    </row>
    <row r="751" spans="1:3" x14ac:dyDescent="0.35">
      <c r="A751" s="305">
        <v>45415</v>
      </c>
      <c r="B751" s="306">
        <v>369.07760000000002</v>
      </c>
      <c r="C751" s="309">
        <v>7.5131209798474199</v>
      </c>
    </row>
    <row r="752" spans="1:3" x14ac:dyDescent="0.35">
      <c r="A752" s="302">
        <v>45414</v>
      </c>
      <c r="B752" s="303">
        <v>368.99180000000001</v>
      </c>
      <c r="C752" s="308">
        <v>7.5255575571748503</v>
      </c>
    </row>
    <row r="753" spans="1:3" x14ac:dyDescent="0.35">
      <c r="A753" s="305">
        <v>45413</v>
      </c>
      <c r="B753" s="306">
        <v>368.90600000000001</v>
      </c>
      <c r="C753" s="309">
        <v>7.53800279903255</v>
      </c>
    </row>
    <row r="754" spans="1:3" x14ac:dyDescent="0.35">
      <c r="A754" s="302">
        <v>45412</v>
      </c>
      <c r="B754" s="303">
        <v>368.8202</v>
      </c>
      <c r="C754" s="308">
        <v>7.5504253520494302</v>
      </c>
    </row>
    <row r="755" spans="1:3" x14ac:dyDescent="0.35">
      <c r="A755" s="305">
        <v>45411</v>
      </c>
      <c r="B755" s="306">
        <v>368.73450000000003</v>
      </c>
      <c r="C755" s="309">
        <v>7.5628857294295404</v>
      </c>
    </row>
    <row r="756" spans="1:3" x14ac:dyDescent="0.35">
      <c r="A756" s="302">
        <v>45410</v>
      </c>
      <c r="B756" s="303">
        <v>368.64879999999999</v>
      </c>
      <c r="C756" s="308">
        <v>7.5753233981831896</v>
      </c>
    </row>
    <row r="757" spans="1:3" x14ac:dyDescent="0.35">
      <c r="A757" s="305">
        <v>45409</v>
      </c>
      <c r="B757" s="306">
        <v>368.56299999999999</v>
      </c>
      <c r="C757" s="309">
        <v>7.5877405386407499</v>
      </c>
    </row>
    <row r="758" spans="1:3" x14ac:dyDescent="0.35">
      <c r="A758" s="302">
        <v>45408</v>
      </c>
      <c r="B758" s="303">
        <v>368.47739999999999</v>
      </c>
      <c r="C758" s="308">
        <v>7.6001933126101404</v>
      </c>
    </row>
    <row r="759" spans="1:3" x14ac:dyDescent="0.35">
      <c r="A759" s="305">
        <v>45407</v>
      </c>
      <c r="B759" s="306">
        <v>368.39170000000001</v>
      </c>
      <c r="C759" s="309">
        <v>7.6126569824777901</v>
      </c>
    </row>
    <row r="760" spans="1:3" x14ac:dyDescent="0.35">
      <c r="A760" s="302">
        <v>45406</v>
      </c>
      <c r="B760" s="303">
        <v>368.30599999999998</v>
      </c>
      <c r="C760" s="308">
        <v>7.6250664427119901</v>
      </c>
    </row>
    <row r="761" spans="1:3" x14ac:dyDescent="0.35">
      <c r="A761" s="305">
        <v>45405</v>
      </c>
      <c r="B761" s="306">
        <v>368.22039999999998</v>
      </c>
      <c r="C761" s="309">
        <v>7.6375452399041297</v>
      </c>
    </row>
    <row r="762" spans="1:3" x14ac:dyDescent="0.35">
      <c r="A762" s="302">
        <v>45404</v>
      </c>
      <c r="B762" s="303">
        <v>368.13479999999998</v>
      </c>
      <c r="C762" s="308">
        <v>7.64996977839537</v>
      </c>
    </row>
    <row r="763" spans="1:3" x14ac:dyDescent="0.35">
      <c r="A763" s="305">
        <v>45403</v>
      </c>
      <c r="B763" s="306">
        <v>368.04919999999998</v>
      </c>
      <c r="C763" s="309">
        <v>7.6624344604785399</v>
      </c>
    </row>
    <row r="764" spans="1:3" x14ac:dyDescent="0.35">
      <c r="A764" s="302">
        <v>45402</v>
      </c>
      <c r="B764" s="303">
        <v>367.96359999999999</v>
      </c>
      <c r="C764" s="308">
        <v>7.6748763225860399</v>
      </c>
    </row>
    <row r="765" spans="1:3" x14ac:dyDescent="0.35">
      <c r="A765" s="305">
        <v>45401</v>
      </c>
      <c r="B765" s="306">
        <v>367.87810000000002</v>
      </c>
      <c r="C765" s="309">
        <v>7.68735612534278</v>
      </c>
    </row>
    <row r="766" spans="1:3" x14ac:dyDescent="0.35">
      <c r="A766" s="302">
        <v>45400</v>
      </c>
      <c r="B766" s="303">
        <v>367.79259999999999</v>
      </c>
      <c r="C766" s="308">
        <v>7.69981308816247</v>
      </c>
    </row>
    <row r="767" spans="1:3" x14ac:dyDescent="0.35">
      <c r="A767" s="305">
        <v>45399</v>
      </c>
      <c r="B767" s="306">
        <v>367.70710000000003</v>
      </c>
      <c r="C767" s="309">
        <v>7.7122787283341996</v>
      </c>
    </row>
    <row r="768" spans="1:3" x14ac:dyDescent="0.35">
      <c r="A768" s="302">
        <v>45398</v>
      </c>
      <c r="B768" s="303">
        <v>367.6216</v>
      </c>
      <c r="C768" s="308">
        <v>7.72472148817823</v>
      </c>
    </row>
    <row r="769" spans="1:3" x14ac:dyDescent="0.35">
      <c r="A769" s="305">
        <v>45397</v>
      </c>
      <c r="B769" s="306">
        <v>367.53609999999998</v>
      </c>
      <c r="C769" s="309">
        <v>7.7371729142226702</v>
      </c>
    </row>
    <row r="770" spans="1:3" x14ac:dyDescent="0.35">
      <c r="A770" s="302">
        <v>45396</v>
      </c>
      <c r="B770" s="303">
        <v>367.4076</v>
      </c>
      <c r="C770" s="308">
        <v>7.7567411093728804</v>
      </c>
    </row>
    <row r="771" spans="1:3" x14ac:dyDescent="0.35">
      <c r="A771" s="305">
        <v>45395</v>
      </c>
      <c r="B771" s="306">
        <v>367.2792</v>
      </c>
      <c r="C771" s="309">
        <v>7.77629620587172</v>
      </c>
    </row>
    <row r="772" spans="1:3" x14ac:dyDescent="0.35">
      <c r="A772" s="302">
        <v>45394</v>
      </c>
      <c r="B772" s="303">
        <v>367.1508</v>
      </c>
      <c r="C772" s="308">
        <v>7.7958404372540899</v>
      </c>
    </row>
    <row r="773" spans="1:3" x14ac:dyDescent="0.35">
      <c r="A773" s="305">
        <v>45393</v>
      </c>
      <c r="B773" s="306">
        <v>367.0224</v>
      </c>
      <c r="C773" s="309">
        <v>7.81540544049746</v>
      </c>
    </row>
    <row r="774" spans="1:3" x14ac:dyDescent="0.35">
      <c r="A774" s="302">
        <v>45392</v>
      </c>
      <c r="B774" s="303">
        <v>366.89409999999998</v>
      </c>
      <c r="C774" s="308">
        <v>7.8349572518191</v>
      </c>
    </row>
    <row r="775" spans="1:3" x14ac:dyDescent="0.35">
      <c r="A775" s="305">
        <v>45391</v>
      </c>
      <c r="B775" s="306">
        <v>366.76580000000001</v>
      </c>
      <c r="C775" s="309">
        <v>7.8544981254563604</v>
      </c>
    </row>
    <row r="776" spans="1:3" x14ac:dyDescent="0.35">
      <c r="A776" s="302">
        <v>45390</v>
      </c>
      <c r="B776" s="303">
        <v>366.63749999999999</v>
      </c>
      <c r="C776" s="308">
        <v>7.8740597660025502</v>
      </c>
    </row>
    <row r="777" spans="1:3" x14ac:dyDescent="0.35">
      <c r="A777" s="305">
        <v>45389</v>
      </c>
      <c r="B777" s="306">
        <v>366.5093</v>
      </c>
      <c r="C777" s="309">
        <v>7.8936398828360703</v>
      </c>
    </row>
    <row r="778" spans="1:3" x14ac:dyDescent="0.35">
      <c r="A778" s="302">
        <v>45388</v>
      </c>
      <c r="B778" s="303">
        <v>366.38119999999998</v>
      </c>
      <c r="C778" s="308">
        <v>7.9132067035683598</v>
      </c>
    </row>
    <row r="779" spans="1:3" x14ac:dyDescent="0.35">
      <c r="A779" s="305">
        <v>45387</v>
      </c>
      <c r="B779" s="306">
        <v>366.25310000000002</v>
      </c>
      <c r="C779" s="309">
        <v>7.9327943173459596</v>
      </c>
    </row>
    <row r="780" spans="1:3" x14ac:dyDescent="0.35">
      <c r="A780" s="302">
        <v>45386</v>
      </c>
      <c r="B780" s="303">
        <v>366.125</v>
      </c>
      <c r="C780" s="308">
        <v>7.95233909757299</v>
      </c>
    </row>
    <row r="781" spans="1:3" x14ac:dyDescent="0.35">
      <c r="A781" s="305">
        <v>45385</v>
      </c>
      <c r="B781" s="306">
        <v>365.99700000000001</v>
      </c>
      <c r="C781" s="309">
        <v>7.9719341472005798</v>
      </c>
    </row>
    <row r="782" spans="1:3" x14ac:dyDescent="0.35">
      <c r="A782" s="302">
        <v>45384</v>
      </c>
      <c r="B782" s="303">
        <v>365.86900000000003</v>
      </c>
      <c r="C782" s="308">
        <v>7.9915181546791496</v>
      </c>
    </row>
    <row r="783" spans="1:3" x14ac:dyDescent="0.35">
      <c r="A783" s="305">
        <v>45383</v>
      </c>
      <c r="B783" s="306">
        <v>365.74110000000002</v>
      </c>
      <c r="C783" s="309">
        <v>8.0111206171741696</v>
      </c>
    </row>
    <row r="784" spans="1:3" x14ac:dyDescent="0.35">
      <c r="A784" s="302">
        <v>45382</v>
      </c>
      <c r="B784" s="303">
        <v>365.61320000000001</v>
      </c>
      <c r="C784" s="308">
        <v>8.0307119989244597</v>
      </c>
    </row>
    <row r="785" spans="1:3" x14ac:dyDescent="0.35">
      <c r="A785" s="305">
        <v>45381</v>
      </c>
      <c r="B785" s="306">
        <v>365.48540000000003</v>
      </c>
      <c r="C785" s="309">
        <v>8.0503218283968199</v>
      </c>
    </row>
    <row r="786" spans="1:3" x14ac:dyDescent="0.35">
      <c r="A786" s="302">
        <v>45380</v>
      </c>
      <c r="B786" s="303">
        <v>365.35759999999999</v>
      </c>
      <c r="C786" s="308">
        <v>8.0699205383890895</v>
      </c>
    </row>
    <row r="787" spans="1:3" x14ac:dyDescent="0.35">
      <c r="A787" s="305">
        <v>45379</v>
      </c>
      <c r="B787" s="306">
        <v>365.22989999999999</v>
      </c>
      <c r="C787" s="309">
        <v>8.0895376887009807</v>
      </c>
    </row>
    <row r="788" spans="1:3" x14ac:dyDescent="0.35">
      <c r="A788" s="302">
        <v>45378</v>
      </c>
      <c r="B788" s="303">
        <v>365.10210000000001</v>
      </c>
      <c r="C788" s="308">
        <v>8.1091140700049102</v>
      </c>
    </row>
    <row r="789" spans="1:3" x14ac:dyDescent="0.35">
      <c r="A789" s="305">
        <v>45377</v>
      </c>
      <c r="B789" s="306">
        <v>364.97449999999998</v>
      </c>
      <c r="C789" s="309">
        <v>8.1287384790408197</v>
      </c>
    </row>
    <row r="790" spans="1:3" x14ac:dyDescent="0.35">
      <c r="A790" s="302">
        <v>45376</v>
      </c>
      <c r="B790" s="303">
        <v>364.84690000000001</v>
      </c>
      <c r="C790" s="308">
        <v>8.1483516906975293</v>
      </c>
    </row>
    <row r="791" spans="1:3" x14ac:dyDescent="0.35">
      <c r="A791" s="305">
        <v>45375</v>
      </c>
      <c r="B791" s="306">
        <v>364.71929999999998</v>
      </c>
      <c r="C791" s="309">
        <v>8.1679536696713004</v>
      </c>
    </row>
    <row r="792" spans="1:3" x14ac:dyDescent="0.35">
      <c r="A792" s="302">
        <v>45374</v>
      </c>
      <c r="B792" s="303">
        <v>364.59179999999998</v>
      </c>
      <c r="C792" s="308">
        <v>8.1875740542202298</v>
      </c>
    </row>
    <row r="793" spans="1:3" x14ac:dyDescent="0.35">
      <c r="A793" s="305">
        <v>45373</v>
      </c>
      <c r="B793" s="306">
        <v>364.46429999999998</v>
      </c>
      <c r="C793" s="309">
        <v>8.2072152928843192</v>
      </c>
    </row>
    <row r="794" spans="1:3" x14ac:dyDescent="0.35">
      <c r="A794" s="302">
        <v>45372</v>
      </c>
      <c r="B794" s="303">
        <v>364.33690000000001</v>
      </c>
      <c r="C794" s="308">
        <v>8.2268428261603805</v>
      </c>
    </row>
    <row r="795" spans="1:3" x14ac:dyDescent="0.35">
      <c r="A795" s="305">
        <v>45371</v>
      </c>
      <c r="B795" s="306">
        <v>364.20949999999999</v>
      </c>
      <c r="C795" s="309">
        <v>8.2464590481217606</v>
      </c>
    </row>
    <row r="796" spans="1:3" x14ac:dyDescent="0.35">
      <c r="A796" s="302">
        <v>45370</v>
      </c>
      <c r="B796" s="303">
        <v>364.08210000000003</v>
      </c>
      <c r="C796" s="308">
        <v>8.2660961180191208</v>
      </c>
    </row>
    <row r="797" spans="1:3" x14ac:dyDescent="0.35">
      <c r="A797" s="305">
        <v>45369</v>
      </c>
      <c r="B797" s="306">
        <v>363.95479999999998</v>
      </c>
      <c r="C797" s="309">
        <v>8.2857193861460399</v>
      </c>
    </row>
    <row r="798" spans="1:3" x14ac:dyDescent="0.35">
      <c r="A798" s="302">
        <v>45368</v>
      </c>
      <c r="B798" s="303">
        <v>363.82760000000002</v>
      </c>
      <c r="C798" s="308">
        <v>8.3053932768231196</v>
      </c>
    </row>
    <row r="799" spans="1:3" x14ac:dyDescent="0.35">
      <c r="A799" s="305">
        <v>45367</v>
      </c>
      <c r="B799" s="306">
        <v>363.7004</v>
      </c>
      <c r="C799" s="309">
        <v>8.3250235592519708</v>
      </c>
    </row>
    <row r="800" spans="1:3" x14ac:dyDescent="0.35">
      <c r="A800" s="302">
        <v>45366</v>
      </c>
      <c r="B800" s="303">
        <v>363.57319999999999</v>
      </c>
      <c r="C800" s="308">
        <v>8.3446747021270298</v>
      </c>
    </row>
    <row r="801" spans="1:3" x14ac:dyDescent="0.35">
      <c r="A801" s="305">
        <v>45365</v>
      </c>
      <c r="B801" s="306">
        <v>363.45839999999998</v>
      </c>
      <c r="C801" s="309">
        <v>8.3787398299436902</v>
      </c>
    </row>
    <row r="802" spans="1:3" x14ac:dyDescent="0.35">
      <c r="A802" s="302">
        <v>45364</v>
      </c>
      <c r="B802" s="303">
        <v>363.34359999999998</v>
      </c>
      <c r="C802" s="308">
        <v>8.4127832365552795</v>
      </c>
    </row>
    <row r="803" spans="1:3" x14ac:dyDescent="0.35">
      <c r="A803" s="305">
        <v>45363</v>
      </c>
      <c r="B803" s="306">
        <v>363.22890000000001</v>
      </c>
      <c r="C803" s="309">
        <v>8.4468994327591709</v>
      </c>
    </row>
    <row r="804" spans="1:3" x14ac:dyDescent="0.35">
      <c r="A804" s="302">
        <v>45362</v>
      </c>
      <c r="B804" s="303">
        <v>363.11419999999998</v>
      </c>
      <c r="C804" s="308">
        <v>8.4809614544663692</v>
      </c>
    </row>
    <row r="805" spans="1:3" x14ac:dyDescent="0.35">
      <c r="A805" s="305">
        <v>45361</v>
      </c>
      <c r="B805" s="306">
        <v>362.99959999999999</v>
      </c>
      <c r="C805" s="309">
        <v>8.5150963199590599</v>
      </c>
    </row>
    <row r="806" spans="1:3" x14ac:dyDescent="0.35">
      <c r="A806" s="302">
        <v>45360</v>
      </c>
      <c r="B806" s="303">
        <v>362.88499999999999</v>
      </c>
      <c r="C806" s="308">
        <v>8.5492093139011498</v>
      </c>
    </row>
    <row r="807" spans="1:3" x14ac:dyDescent="0.35">
      <c r="A807" s="305">
        <v>45359</v>
      </c>
      <c r="B807" s="306">
        <v>362.7704</v>
      </c>
      <c r="C807" s="309">
        <v>8.5833328344717401</v>
      </c>
    </row>
    <row r="808" spans="1:3" x14ac:dyDescent="0.35">
      <c r="A808" s="302">
        <v>45358</v>
      </c>
      <c r="B808" s="303">
        <v>362.6558</v>
      </c>
      <c r="C808" s="308">
        <v>8.6174668709295297</v>
      </c>
    </row>
    <row r="809" spans="1:3" x14ac:dyDescent="0.35">
      <c r="A809" s="305">
        <v>45357</v>
      </c>
      <c r="B809" s="306">
        <v>362.54129999999998</v>
      </c>
      <c r="C809" s="309">
        <v>8.6516088196474907</v>
      </c>
    </row>
    <row r="810" spans="1:3" x14ac:dyDescent="0.35">
      <c r="A810" s="302">
        <v>45356</v>
      </c>
      <c r="B810" s="303">
        <v>362.42689999999999</v>
      </c>
      <c r="C810" s="308">
        <v>8.6857912272126097</v>
      </c>
    </row>
    <row r="811" spans="1:3" x14ac:dyDescent="0.35">
      <c r="A811" s="305">
        <v>45355</v>
      </c>
      <c r="B811" s="306">
        <v>362.31240000000003</v>
      </c>
      <c r="C811" s="309">
        <v>8.7199215010817603</v>
      </c>
    </row>
    <row r="812" spans="1:3" x14ac:dyDescent="0.35">
      <c r="A812" s="302">
        <v>45354</v>
      </c>
      <c r="B812" s="303">
        <v>362.19799999999998</v>
      </c>
      <c r="C812" s="308">
        <v>8.7540921880681495</v>
      </c>
    </row>
    <row r="813" spans="1:3" x14ac:dyDescent="0.35">
      <c r="A813" s="305">
        <v>45353</v>
      </c>
      <c r="B813" s="306">
        <v>362.08370000000002</v>
      </c>
      <c r="C813" s="309">
        <v>8.7883033338310792</v>
      </c>
    </row>
    <row r="814" spans="1:3" x14ac:dyDescent="0.35">
      <c r="A814" s="302">
        <v>45352</v>
      </c>
      <c r="B814" s="303">
        <v>361.96929999999998</v>
      </c>
      <c r="C814" s="308">
        <v>8.8224948560475003</v>
      </c>
    </row>
    <row r="815" spans="1:3" x14ac:dyDescent="0.35">
      <c r="A815" s="305">
        <v>45351</v>
      </c>
      <c r="B815" s="306">
        <v>361.85509999999999</v>
      </c>
      <c r="C815" s="309">
        <v>8.8567241882940593</v>
      </c>
    </row>
    <row r="816" spans="1:3" x14ac:dyDescent="0.35">
      <c r="A816" s="302">
        <v>45350</v>
      </c>
      <c r="B816" s="303">
        <v>361.74079999999998</v>
      </c>
      <c r="C816" s="308">
        <v>8.8223393652676005</v>
      </c>
    </row>
    <row r="817" spans="1:3" x14ac:dyDescent="0.35">
      <c r="A817" s="305">
        <v>45349</v>
      </c>
      <c r="B817" s="306">
        <v>361.6266</v>
      </c>
      <c r="C817" s="309">
        <v>8.8565574177608006</v>
      </c>
    </row>
    <row r="818" spans="1:3" x14ac:dyDescent="0.35">
      <c r="A818" s="302">
        <v>45348</v>
      </c>
      <c r="B818" s="303">
        <v>361.51240000000001</v>
      </c>
      <c r="C818" s="308">
        <v>8.8907858361893002</v>
      </c>
    </row>
    <row r="819" spans="1:3" x14ac:dyDescent="0.35">
      <c r="A819" s="305">
        <v>45347</v>
      </c>
      <c r="B819" s="306">
        <v>361.39830000000001</v>
      </c>
      <c r="C819" s="309">
        <v>8.9250219192293407</v>
      </c>
    </row>
    <row r="820" spans="1:3" x14ac:dyDescent="0.35">
      <c r="A820" s="302">
        <v>45346</v>
      </c>
      <c r="B820" s="303">
        <v>361.2842</v>
      </c>
      <c r="C820" s="308">
        <v>8.9592683214442008</v>
      </c>
    </row>
    <row r="821" spans="1:3" x14ac:dyDescent="0.35">
      <c r="A821" s="305">
        <v>45345</v>
      </c>
      <c r="B821" s="306">
        <v>361.17009999999999</v>
      </c>
      <c r="C821" s="309">
        <v>8.9935250313548298</v>
      </c>
    </row>
    <row r="822" spans="1:3" x14ac:dyDescent="0.35">
      <c r="A822" s="302">
        <v>45344</v>
      </c>
      <c r="B822" s="303">
        <v>361.05599999999998</v>
      </c>
      <c r="C822" s="308">
        <v>9.0277591144091502</v>
      </c>
    </row>
    <row r="823" spans="1:3" x14ac:dyDescent="0.35">
      <c r="A823" s="305">
        <v>45343</v>
      </c>
      <c r="B823" s="306">
        <v>360.94200000000001</v>
      </c>
      <c r="C823" s="309">
        <v>9.0620336357848608</v>
      </c>
    </row>
    <row r="824" spans="1:3" x14ac:dyDescent="0.35">
      <c r="A824" s="302">
        <v>45342</v>
      </c>
      <c r="B824" s="303">
        <v>360.82810000000001</v>
      </c>
      <c r="C824" s="308">
        <v>9.0963486409068608</v>
      </c>
    </row>
    <row r="825" spans="1:3" x14ac:dyDescent="0.35">
      <c r="A825" s="305">
        <v>45341</v>
      </c>
      <c r="B825" s="306">
        <v>360.71420000000001</v>
      </c>
      <c r="C825" s="309">
        <v>9.1306409047412007</v>
      </c>
    </row>
    <row r="826" spans="1:3" x14ac:dyDescent="0.35">
      <c r="A826" s="302">
        <v>45340</v>
      </c>
      <c r="B826" s="303">
        <v>360.6003</v>
      </c>
      <c r="C826" s="308">
        <v>9.1649764172363106</v>
      </c>
    </row>
    <row r="827" spans="1:3" x14ac:dyDescent="0.35">
      <c r="A827" s="305">
        <v>45339</v>
      </c>
      <c r="B827" s="306">
        <v>360.4864</v>
      </c>
      <c r="C827" s="309">
        <v>9.1992560236036809</v>
      </c>
    </row>
    <row r="828" spans="1:3" x14ac:dyDescent="0.35">
      <c r="A828" s="302">
        <v>45338</v>
      </c>
      <c r="B828" s="303">
        <v>360.37259999999998</v>
      </c>
      <c r="C828" s="308">
        <v>9.2336091661362207</v>
      </c>
    </row>
    <row r="829" spans="1:3" x14ac:dyDescent="0.35">
      <c r="A829" s="305">
        <v>45337</v>
      </c>
      <c r="B829" s="306">
        <v>360.25880000000001</v>
      </c>
      <c r="C829" s="309">
        <v>9.2679393707412299</v>
      </c>
    </row>
    <row r="830" spans="1:3" x14ac:dyDescent="0.35">
      <c r="A830" s="302">
        <v>45336</v>
      </c>
      <c r="B830" s="303">
        <v>360.20659999999998</v>
      </c>
      <c r="C830" s="308">
        <v>9.2962626946102294</v>
      </c>
    </row>
    <row r="831" spans="1:3" x14ac:dyDescent="0.35">
      <c r="A831" s="305">
        <v>45335</v>
      </c>
      <c r="B831" s="306">
        <v>360.15449999999998</v>
      </c>
      <c r="C831" s="309">
        <v>9.3246060918072402</v>
      </c>
    </row>
    <row r="832" spans="1:3" x14ac:dyDescent="0.35">
      <c r="A832" s="302">
        <v>45334</v>
      </c>
      <c r="B832" s="303">
        <v>360.10230000000001</v>
      </c>
      <c r="C832" s="308">
        <v>9.3529088264937794</v>
      </c>
    </row>
    <row r="833" spans="1:3" x14ac:dyDescent="0.35">
      <c r="A833" s="305">
        <v>45333</v>
      </c>
      <c r="B833" s="306">
        <v>360.05009999999999</v>
      </c>
      <c r="C833" s="309">
        <v>9.3812344324314001</v>
      </c>
    </row>
    <row r="834" spans="1:3" x14ac:dyDescent="0.35">
      <c r="A834" s="302">
        <v>45332</v>
      </c>
      <c r="B834" s="303">
        <v>359.99799999999999</v>
      </c>
      <c r="C834" s="308">
        <v>9.4095800776204506</v>
      </c>
    </row>
    <row r="835" spans="1:3" x14ac:dyDescent="0.35">
      <c r="A835" s="305">
        <v>45331</v>
      </c>
      <c r="B835" s="306">
        <v>359.94589999999999</v>
      </c>
      <c r="C835" s="309">
        <v>9.4379486300110003</v>
      </c>
    </row>
    <row r="836" spans="1:3" x14ac:dyDescent="0.35">
      <c r="A836" s="302">
        <v>45330</v>
      </c>
      <c r="B836" s="303">
        <v>359.89370000000002</v>
      </c>
      <c r="C836" s="308">
        <v>9.4662764055135007</v>
      </c>
    </row>
    <row r="837" spans="1:3" x14ac:dyDescent="0.35">
      <c r="A837" s="305">
        <v>45329</v>
      </c>
      <c r="B837" s="306">
        <v>359.84160000000003</v>
      </c>
      <c r="C837" s="309">
        <v>9.4946575036095897</v>
      </c>
    </row>
    <row r="838" spans="1:3" x14ac:dyDescent="0.35">
      <c r="A838" s="302">
        <v>45328</v>
      </c>
      <c r="B838" s="303">
        <v>359.78949999999998</v>
      </c>
      <c r="C838" s="308">
        <v>9.5230282083299596</v>
      </c>
    </row>
    <row r="839" spans="1:3" x14ac:dyDescent="0.35">
      <c r="A839" s="305">
        <v>45327</v>
      </c>
      <c r="B839" s="306">
        <v>359.73739999999998</v>
      </c>
      <c r="C839" s="309">
        <v>9.5514218430194209</v>
      </c>
    </row>
    <row r="840" spans="1:3" x14ac:dyDescent="0.35">
      <c r="A840" s="302">
        <v>45326</v>
      </c>
      <c r="B840" s="303">
        <v>359.68529999999998</v>
      </c>
      <c r="C840" s="308">
        <v>9.5798050514790205</v>
      </c>
    </row>
    <row r="841" spans="1:3" x14ac:dyDescent="0.35">
      <c r="A841" s="305">
        <v>45325</v>
      </c>
      <c r="B841" s="306">
        <v>359.63319999999999</v>
      </c>
      <c r="C841" s="309">
        <v>9.6081777951162408</v>
      </c>
    </row>
    <row r="842" spans="1:3" x14ac:dyDescent="0.35">
      <c r="A842" s="302">
        <v>45324</v>
      </c>
      <c r="B842" s="303">
        <v>359.58109999999999</v>
      </c>
      <c r="C842" s="308">
        <v>9.6365734635666396</v>
      </c>
    </row>
    <row r="843" spans="1:3" x14ac:dyDescent="0.35">
      <c r="A843" s="305">
        <v>45323</v>
      </c>
      <c r="B843" s="306">
        <v>359.529</v>
      </c>
      <c r="C843" s="309">
        <v>9.6649920846258706</v>
      </c>
    </row>
    <row r="844" spans="1:3" x14ac:dyDescent="0.35">
      <c r="A844" s="302">
        <v>45322</v>
      </c>
      <c r="B844" s="303">
        <v>359.47699999999998</v>
      </c>
      <c r="C844" s="308">
        <v>9.6934307282095808</v>
      </c>
    </row>
    <row r="845" spans="1:3" x14ac:dyDescent="0.35">
      <c r="A845" s="305">
        <v>45321</v>
      </c>
      <c r="B845" s="306">
        <v>359.42489999999998</v>
      </c>
      <c r="C845" s="309">
        <v>9.7218283384461106</v>
      </c>
    </row>
    <row r="846" spans="1:3" x14ac:dyDescent="0.35">
      <c r="A846" s="302">
        <v>45320</v>
      </c>
      <c r="B846" s="303">
        <v>359.37290000000002</v>
      </c>
      <c r="C846" s="308">
        <v>9.7502794353878208</v>
      </c>
    </row>
    <row r="847" spans="1:3" x14ac:dyDescent="0.35">
      <c r="A847" s="305">
        <v>45319</v>
      </c>
      <c r="B847" s="306">
        <v>359.32080000000002</v>
      </c>
      <c r="C847" s="309">
        <v>9.7786894411418004</v>
      </c>
    </row>
    <row r="848" spans="1:3" x14ac:dyDescent="0.35">
      <c r="A848" s="302">
        <v>45318</v>
      </c>
      <c r="B848" s="303">
        <v>359.2688</v>
      </c>
      <c r="C848" s="308">
        <v>9.8071529694823898</v>
      </c>
    </row>
    <row r="849" spans="1:3" x14ac:dyDescent="0.35">
      <c r="A849" s="305">
        <v>45317</v>
      </c>
      <c r="B849" s="306">
        <v>359.2167</v>
      </c>
      <c r="C849" s="309">
        <v>9.8355753486857491</v>
      </c>
    </row>
    <row r="850" spans="1:3" x14ac:dyDescent="0.35">
      <c r="A850" s="302">
        <v>45316</v>
      </c>
      <c r="B850" s="303">
        <v>359.16469999999998</v>
      </c>
      <c r="C850" s="308">
        <v>9.8640512863493992</v>
      </c>
    </row>
    <row r="851" spans="1:3" x14ac:dyDescent="0.35">
      <c r="A851" s="305">
        <v>45315</v>
      </c>
      <c r="B851" s="306">
        <v>359.11270000000002</v>
      </c>
      <c r="C851" s="309">
        <v>9.8925166179394797</v>
      </c>
    </row>
    <row r="852" spans="1:3" x14ac:dyDescent="0.35">
      <c r="A852" s="302">
        <v>45314</v>
      </c>
      <c r="B852" s="303">
        <v>359.0607</v>
      </c>
      <c r="C852" s="308">
        <v>9.9210049550991997</v>
      </c>
    </row>
    <row r="853" spans="1:3" x14ac:dyDescent="0.35">
      <c r="A853" s="305">
        <v>45313</v>
      </c>
      <c r="B853" s="306">
        <v>359.00869999999998</v>
      </c>
      <c r="C853" s="309">
        <v>9.9494826527502802</v>
      </c>
    </row>
    <row r="854" spans="1:3" x14ac:dyDescent="0.35">
      <c r="A854" s="302">
        <v>45312</v>
      </c>
      <c r="B854" s="303">
        <v>358.95670000000001</v>
      </c>
      <c r="C854" s="308">
        <v>9.9779833671170906</v>
      </c>
    </row>
    <row r="855" spans="1:3" x14ac:dyDescent="0.35">
      <c r="A855" s="305">
        <v>45311</v>
      </c>
      <c r="B855" s="306">
        <v>358.90469999999999</v>
      </c>
      <c r="C855" s="309">
        <v>10.0064734084518</v>
      </c>
    </row>
    <row r="856" spans="1:3" x14ac:dyDescent="0.35">
      <c r="A856" s="302">
        <v>45310</v>
      </c>
      <c r="B856" s="303">
        <v>358.85270000000003</v>
      </c>
      <c r="C856" s="308">
        <v>10.0349527376067</v>
      </c>
    </row>
    <row r="857" spans="1:3" x14ac:dyDescent="0.35">
      <c r="A857" s="305">
        <v>45309</v>
      </c>
      <c r="B857" s="306">
        <v>358.80079999999998</v>
      </c>
      <c r="C857" s="309">
        <v>10.0634857531295</v>
      </c>
    </row>
    <row r="858" spans="1:3" x14ac:dyDescent="0.35">
      <c r="A858" s="302">
        <v>45308</v>
      </c>
      <c r="B858" s="303">
        <v>358.74880000000002</v>
      </c>
      <c r="C858" s="308">
        <v>10.092011144571</v>
      </c>
    </row>
    <row r="859" spans="1:3" x14ac:dyDescent="0.35">
      <c r="A859" s="305">
        <v>45307</v>
      </c>
      <c r="B859" s="306">
        <v>358.6968</v>
      </c>
      <c r="C859" s="309">
        <v>10.120525795663999</v>
      </c>
    </row>
    <row r="860" spans="1:3" x14ac:dyDescent="0.35">
      <c r="A860" s="302">
        <v>45306</v>
      </c>
      <c r="B860" s="303">
        <v>358.64490000000001</v>
      </c>
      <c r="C860" s="308">
        <v>10.149060379681</v>
      </c>
    </row>
    <row r="861" spans="1:3" x14ac:dyDescent="0.35">
      <c r="A861" s="305">
        <v>45305</v>
      </c>
      <c r="B861" s="306">
        <v>358.59070000000003</v>
      </c>
      <c r="C861" s="309">
        <v>10.159683459337201</v>
      </c>
    </row>
    <row r="862" spans="1:3" x14ac:dyDescent="0.35">
      <c r="A862" s="302">
        <v>45304</v>
      </c>
      <c r="B862" s="303">
        <v>358.53649999999999</v>
      </c>
      <c r="C862" s="308">
        <v>10.1702779480608</v>
      </c>
    </row>
    <row r="863" spans="1:3" x14ac:dyDescent="0.35">
      <c r="A863" s="305">
        <v>45303</v>
      </c>
      <c r="B863" s="306">
        <v>358.48219999999998</v>
      </c>
      <c r="C863" s="309">
        <v>10.180846943981701</v>
      </c>
    </row>
    <row r="864" spans="1:3" x14ac:dyDescent="0.35">
      <c r="A864" s="302">
        <v>45302</v>
      </c>
      <c r="B864" s="303">
        <v>358.428</v>
      </c>
      <c r="C864" s="308">
        <v>10.191451914134801</v>
      </c>
    </row>
    <row r="865" spans="1:3" x14ac:dyDescent="0.35">
      <c r="A865" s="305">
        <v>45301</v>
      </c>
      <c r="B865" s="306">
        <v>358.37380000000002</v>
      </c>
      <c r="C865" s="309">
        <v>10.2020621346445</v>
      </c>
    </row>
    <row r="866" spans="1:3" x14ac:dyDescent="0.35">
      <c r="A866" s="302">
        <v>45300</v>
      </c>
      <c r="B866" s="303">
        <v>358.31959999999998</v>
      </c>
      <c r="C866" s="308">
        <v>10.2126776094108</v>
      </c>
    </row>
    <row r="867" spans="1:3" x14ac:dyDescent="0.35">
      <c r="A867" s="305">
        <v>45299</v>
      </c>
      <c r="B867" s="306">
        <v>358.2654</v>
      </c>
      <c r="C867" s="309">
        <v>10.2232644312432</v>
      </c>
    </row>
    <row r="868" spans="1:3" x14ac:dyDescent="0.35">
      <c r="A868" s="302">
        <v>45298</v>
      </c>
      <c r="B868" s="303">
        <v>358.21120000000002</v>
      </c>
      <c r="C868" s="308">
        <v>10.2338564918233</v>
      </c>
    </row>
    <row r="869" spans="1:3" x14ac:dyDescent="0.35">
      <c r="A869" s="305">
        <v>45297</v>
      </c>
      <c r="B869" s="306">
        <v>358.15699999999998</v>
      </c>
      <c r="C869" s="309">
        <v>10.2444537950407</v>
      </c>
    </row>
    <row r="870" spans="1:3" x14ac:dyDescent="0.35">
      <c r="A870" s="302">
        <v>45296</v>
      </c>
      <c r="B870" s="303">
        <v>358.10289999999998</v>
      </c>
      <c r="C870" s="308">
        <v>10.2550871334494</v>
      </c>
    </row>
    <row r="871" spans="1:3" x14ac:dyDescent="0.35">
      <c r="A871" s="305">
        <v>45295</v>
      </c>
      <c r="B871" s="306">
        <v>358.0487</v>
      </c>
      <c r="C871" s="309">
        <v>10.2656949412484</v>
      </c>
    </row>
    <row r="872" spans="1:3" x14ac:dyDescent="0.35">
      <c r="A872" s="302">
        <v>45294</v>
      </c>
      <c r="B872" s="303">
        <v>357.99459999999999</v>
      </c>
      <c r="C872" s="308">
        <v>10.276304837875999</v>
      </c>
    </row>
    <row r="873" spans="1:3" x14ac:dyDescent="0.35">
      <c r="A873" s="305">
        <v>45293</v>
      </c>
      <c r="B873" s="306">
        <v>357.94040000000001</v>
      </c>
      <c r="C873" s="309">
        <v>10.286889173108101</v>
      </c>
    </row>
    <row r="874" spans="1:3" x14ac:dyDescent="0.35">
      <c r="A874" s="302">
        <v>45292</v>
      </c>
      <c r="B874" s="303">
        <v>357.88630000000001</v>
      </c>
      <c r="C874" s="308">
        <v>10.297509566263599</v>
      </c>
    </row>
    <row r="875" spans="1:3" x14ac:dyDescent="0.35">
      <c r="A875" s="305">
        <v>45291</v>
      </c>
      <c r="B875" s="306">
        <v>357.8322</v>
      </c>
      <c r="C875" s="309">
        <v>10.3081352173427</v>
      </c>
    </row>
    <row r="876" spans="1:3" x14ac:dyDescent="0.35">
      <c r="A876" s="302">
        <v>45290</v>
      </c>
      <c r="B876" s="303">
        <v>357.77800000000002</v>
      </c>
      <c r="C876" s="308">
        <v>10.3187012797201</v>
      </c>
    </row>
    <row r="877" spans="1:3" x14ac:dyDescent="0.35">
      <c r="A877" s="305">
        <v>45289</v>
      </c>
      <c r="B877" s="306">
        <v>357.72390000000001</v>
      </c>
      <c r="C877" s="309">
        <v>10.3293374390253</v>
      </c>
    </row>
    <row r="878" spans="1:3" x14ac:dyDescent="0.35">
      <c r="A878" s="302">
        <v>45288</v>
      </c>
      <c r="B878" s="303">
        <v>357.66980000000001</v>
      </c>
      <c r="C878" s="308">
        <v>10.3399448284542</v>
      </c>
    </row>
    <row r="879" spans="1:3" x14ac:dyDescent="0.35">
      <c r="A879" s="305">
        <v>45287</v>
      </c>
      <c r="B879" s="306">
        <v>357.6157</v>
      </c>
      <c r="C879" s="309">
        <v>10.3505574680226</v>
      </c>
    </row>
    <row r="880" spans="1:3" x14ac:dyDescent="0.35">
      <c r="A880" s="302">
        <v>45286</v>
      </c>
      <c r="B880" s="303">
        <v>357.5616</v>
      </c>
      <c r="C880" s="308">
        <v>10.361175361629099</v>
      </c>
    </row>
    <row r="881" spans="1:3" x14ac:dyDescent="0.35">
      <c r="A881" s="305">
        <v>45285</v>
      </c>
      <c r="B881" s="306">
        <v>357.50749999999999</v>
      </c>
      <c r="C881" s="309">
        <v>10.371764438562201</v>
      </c>
    </row>
    <row r="882" spans="1:3" x14ac:dyDescent="0.35">
      <c r="A882" s="302">
        <v>45284</v>
      </c>
      <c r="B882" s="303">
        <v>357.45350000000002</v>
      </c>
      <c r="C882" s="308">
        <v>10.382423720455</v>
      </c>
    </row>
    <row r="883" spans="1:3" x14ac:dyDescent="0.35">
      <c r="A883" s="305">
        <v>45283</v>
      </c>
      <c r="B883" s="306">
        <v>357.39940000000001</v>
      </c>
      <c r="C883" s="309">
        <v>10.393023297476599</v>
      </c>
    </row>
    <row r="884" spans="1:3" x14ac:dyDescent="0.35">
      <c r="A884" s="302">
        <v>45282</v>
      </c>
      <c r="B884" s="303">
        <v>357.34539999999998</v>
      </c>
      <c r="C884" s="308">
        <v>10.4036590162192</v>
      </c>
    </row>
    <row r="885" spans="1:3" x14ac:dyDescent="0.35">
      <c r="A885" s="305">
        <v>45281</v>
      </c>
      <c r="B885" s="306">
        <v>357.29129999999998</v>
      </c>
      <c r="C885" s="309">
        <v>10.4142349757426</v>
      </c>
    </row>
    <row r="886" spans="1:3" x14ac:dyDescent="0.35">
      <c r="A886" s="302">
        <v>45280</v>
      </c>
      <c r="B886" s="303">
        <v>357.2373</v>
      </c>
      <c r="C886" s="308">
        <v>10.424881209823701</v>
      </c>
    </row>
    <row r="887" spans="1:3" x14ac:dyDescent="0.35">
      <c r="A887" s="305">
        <v>45279</v>
      </c>
      <c r="B887" s="306">
        <v>357.1832</v>
      </c>
      <c r="C887" s="309">
        <v>10.4354676537481</v>
      </c>
    </row>
    <row r="888" spans="1:3" x14ac:dyDescent="0.35">
      <c r="A888" s="302">
        <v>45278</v>
      </c>
      <c r="B888" s="303">
        <v>357.12920000000003</v>
      </c>
      <c r="C888" s="308">
        <v>10.446124418782601</v>
      </c>
    </row>
    <row r="889" spans="1:3" x14ac:dyDescent="0.35">
      <c r="A889" s="305">
        <v>45277</v>
      </c>
      <c r="B889" s="306">
        <v>357.0752</v>
      </c>
      <c r="C889" s="309">
        <v>10.4567522964443</v>
      </c>
    </row>
    <row r="890" spans="1:3" x14ac:dyDescent="0.35">
      <c r="A890" s="302">
        <v>45276</v>
      </c>
      <c r="B890" s="303">
        <v>357.02120000000002</v>
      </c>
      <c r="C890" s="308">
        <v>10.4673512554163</v>
      </c>
    </row>
    <row r="891" spans="1:3" x14ac:dyDescent="0.35">
      <c r="A891" s="305">
        <v>45275</v>
      </c>
      <c r="B891" s="306">
        <v>356.96719999999999</v>
      </c>
      <c r="C891" s="309">
        <v>10.477989648158699</v>
      </c>
    </row>
    <row r="892" spans="1:3" x14ac:dyDescent="0.35">
      <c r="A892" s="302">
        <v>45274</v>
      </c>
      <c r="B892" s="303">
        <v>356.9375</v>
      </c>
      <c r="C892" s="308">
        <v>10.4952322400438</v>
      </c>
    </row>
    <row r="893" spans="1:3" x14ac:dyDescent="0.35">
      <c r="A893" s="305">
        <v>45273</v>
      </c>
      <c r="B893" s="306">
        <v>356.90780000000001</v>
      </c>
      <c r="C893" s="309">
        <v>10.5124488670477</v>
      </c>
    </row>
    <row r="894" spans="1:3" x14ac:dyDescent="0.35">
      <c r="A894" s="302">
        <v>45272</v>
      </c>
      <c r="B894" s="303">
        <v>356.87810000000002</v>
      </c>
      <c r="C894" s="308">
        <v>10.529707959432599</v>
      </c>
    </row>
    <row r="895" spans="1:3" x14ac:dyDescent="0.35">
      <c r="A895" s="305">
        <v>45271</v>
      </c>
      <c r="B895" s="306">
        <v>356.84840000000003</v>
      </c>
      <c r="C895" s="309">
        <v>10.5469410717262</v>
      </c>
    </row>
    <row r="896" spans="1:3" x14ac:dyDescent="0.35">
      <c r="A896" s="302">
        <v>45270</v>
      </c>
      <c r="B896" s="303">
        <v>356.81869999999998</v>
      </c>
      <c r="C896" s="308">
        <v>10.5641481692646</v>
      </c>
    </row>
    <row r="897" spans="1:3" x14ac:dyDescent="0.35">
      <c r="A897" s="305">
        <v>45269</v>
      </c>
      <c r="B897" s="306">
        <v>356.78899999999999</v>
      </c>
      <c r="C897" s="309">
        <v>10.5813977634471</v>
      </c>
    </row>
    <row r="898" spans="1:3" x14ac:dyDescent="0.35">
      <c r="A898" s="302">
        <v>45268</v>
      </c>
      <c r="B898" s="303">
        <v>356.7593</v>
      </c>
      <c r="C898" s="308">
        <v>10.5986556142196</v>
      </c>
    </row>
    <row r="899" spans="1:3" x14ac:dyDescent="0.35">
      <c r="A899" s="305">
        <v>45267</v>
      </c>
      <c r="B899" s="306">
        <v>356.7296</v>
      </c>
      <c r="C899" s="309">
        <v>10.615887427363001</v>
      </c>
    </row>
    <row r="900" spans="1:3" x14ac:dyDescent="0.35">
      <c r="A900" s="302">
        <v>45266</v>
      </c>
      <c r="B900" s="303">
        <v>356.69990000000001</v>
      </c>
      <c r="C900" s="308">
        <v>10.6331274818411</v>
      </c>
    </row>
    <row r="901" spans="1:3" x14ac:dyDescent="0.35">
      <c r="A901" s="305">
        <v>45265</v>
      </c>
      <c r="B901" s="306">
        <v>356.67020000000002</v>
      </c>
      <c r="C901" s="309">
        <v>10.650375783567499</v>
      </c>
    </row>
    <row r="902" spans="1:3" x14ac:dyDescent="0.35">
      <c r="A902" s="302">
        <v>45264</v>
      </c>
      <c r="B902" s="303">
        <v>356.64049999999997</v>
      </c>
      <c r="C902" s="308">
        <v>10.667632338461701</v>
      </c>
    </row>
    <row r="903" spans="1:3" x14ac:dyDescent="0.35">
      <c r="A903" s="305">
        <v>45263</v>
      </c>
      <c r="B903" s="306">
        <v>356.61079999999998</v>
      </c>
      <c r="C903" s="309">
        <v>10.6848627980696</v>
      </c>
    </row>
    <row r="904" spans="1:3" x14ac:dyDescent="0.35">
      <c r="A904" s="302">
        <v>45262</v>
      </c>
      <c r="B904" s="303">
        <v>356.58120000000002</v>
      </c>
      <c r="C904" s="308">
        <v>10.7021669089245</v>
      </c>
    </row>
    <row r="905" spans="1:3" x14ac:dyDescent="0.35">
      <c r="A905" s="305">
        <v>45261</v>
      </c>
      <c r="B905" s="306">
        <v>356.55149999999998</v>
      </c>
      <c r="C905" s="309">
        <v>10.719413871185299</v>
      </c>
    </row>
    <row r="906" spans="1:3" x14ac:dyDescent="0.35">
      <c r="A906" s="302">
        <v>45260</v>
      </c>
      <c r="B906" s="303">
        <v>356.52179999999998</v>
      </c>
      <c r="C906" s="308">
        <v>10.7366690831564</v>
      </c>
    </row>
    <row r="907" spans="1:3" x14ac:dyDescent="0.35">
      <c r="A907" s="305">
        <v>45259</v>
      </c>
      <c r="B907" s="306">
        <v>356.49209999999999</v>
      </c>
      <c r="C907" s="309">
        <v>10.7539325507584</v>
      </c>
    </row>
    <row r="908" spans="1:3" x14ac:dyDescent="0.35">
      <c r="A908" s="302">
        <v>45258</v>
      </c>
      <c r="B908" s="303">
        <v>356.46249999999998</v>
      </c>
      <c r="C908" s="308">
        <v>10.771200932751199</v>
      </c>
    </row>
    <row r="909" spans="1:3" x14ac:dyDescent="0.35">
      <c r="A909" s="305">
        <v>45257</v>
      </c>
      <c r="B909" s="306">
        <v>356.43279999999999</v>
      </c>
      <c r="C909" s="309">
        <v>10.788480923227</v>
      </c>
    </row>
    <row r="910" spans="1:3" x14ac:dyDescent="0.35">
      <c r="A910" s="302">
        <v>45256</v>
      </c>
      <c r="B910" s="303">
        <v>356.40309999999999</v>
      </c>
      <c r="C910" s="308">
        <v>10.805734737606601</v>
      </c>
    </row>
    <row r="911" spans="1:3" x14ac:dyDescent="0.35">
      <c r="A911" s="305">
        <v>45255</v>
      </c>
      <c r="B911" s="306">
        <v>356.37349999999998</v>
      </c>
      <c r="C911" s="309">
        <v>10.8230279015542</v>
      </c>
    </row>
    <row r="912" spans="1:3" x14ac:dyDescent="0.35">
      <c r="A912" s="302">
        <v>45254</v>
      </c>
      <c r="B912" s="303">
        <v>356.34379999999999</v>
      </c>
      <c r="C912" s="308">
        <v>10.840298233554099</v>
      </c>
    </row>
    <row r="913" spans="1:3" x14ac:dyDescent="0.35">
      <c r="A913" s="305">
        <v>45253</v>
      </c>
      <c r="B913" s="306">
        <v>356.31420000000003</v>
      </c>
      <c r="C913" s="309">
        <v>10.8576079418548</v>
      </c>
    </row>
    <row r="914" spans="1:3" x14ac:dyDescent="0.35">
      <c r="A914" s="302">
        <v>45252</v>
      </c>
      <c r="B914" s="303">
        <v>356.28449999999998</v>
      </c>
      <c r="C914" s="308">
        <v>10.8748603112038</v>
      </c>
    </row>
    <row r="915" spans="1:3" x14ac:dyDescent="0.35">
      <c r="A915" s="305">
        <v>45251</v>
      </c>
      <c r="B915" s="306">
        <v>356.25490000000002</v>
      </c>
      <c r="C915" s="309">
        <v>10.8921865739657</v>
      </c>
    </row>
    <row r="916" spans="1:3" x14ac:dyDescent="0.35">
      <c r="A916" s="302">
        <v>45250</v>
      </c>
      <c r="B916" s="303">
        <v>356.22519999999997</v>
      </c>
      <c r="C916" s="308">
        <v>10.909455467492901</v>
      </c>
    </row>
    <row r="917" spans="1:3" x14ac:dyDescent="0.35">
      <c r="A917" s="305">
        <v>45249</v>
      </c>
      <c r="B917" s="306">
        <v>356.19560000000001</v>
      </c>
      <c r="C917" s="309">
        <v>10.9267637635593</v>
      </c>
    </row>
    <row r="918" spans="1:3" x14ac:dyDescent="0.35">
      <c r="A918" s="302">
        <v>45248</v>
      </c>
      <c r="B918" s="303">
        <v>356.16590000000002</v>
      </c>
      <c r="C918" s="308">
        <v>10.9440491913579</v>
      </c>
    </row>
    <row r="919" spans="1:3" x14ac:dyDescent="0.35">
      <c r="A919" s="305">
        <v>45247</v>
      </c>
      <c r="B919" s="306">
        <v>356.13630000000001</v>
      </c>
      <c r="C919" s="309">
        <v>10.961339476244801</v>
      </c>
    </row>
    <row r="920" spans="1:3" x14ac:dyDescent="0.35">
      <c r="A920" s="302">
        <v>45246</v>
      </c>
      <c r="B920" s="303">
        <v>356.10660000000001</v>
      </c>
      <c r="C920" s="308">
        <v>10.978641448398699</v>
      </c>
    </row>
    <row r="921" spans="1:3" x14ac:dyDescent="0.35">
      <c r="A921" s="305">
        <v>45245</v>
      </c>
      <c r="B921" s="306">
        <v>356.077</v>
      </c>
      <c r="C921" s="309">
        <v>10.995948277098201</v>
      </c>
    </row>
    <row r="922" spans="1:3" x14ac:dyDescent="0.35">
      <c r="A922" s="302">
        <v>45244</v>
      </c>
      <c r="B922" s="303">
        <v>356.01510000000002</v>
      </c>
      <c r="C922" s="308">
        <v>11.009803371312</v>
      </c>
    </row>
    <row r="923" spans="1:3" x14ac:dyDescent="0.35">
      <c r="A923" s="305">
        <v>45243</v>
      </c>
      <c r="B923" s="306">
        <v>355.95330000000001</v>
      </c>
      <c r="C923" s="309">
        <v>11.0236979359983</v>
      </c>
    </row>
    <row r="924" spans="1:3" x14ac:dyDescent="0.35">
      <c r="A924" s="302">
        <v>45242</v>
      </c>
      <c r="B924" s="303">
        <v>355.89150000000001</v>
      </c>
      <c r="C924" s="308">
        <v>11.037566163153301</v>
      </c>
    </row>
    <row r="925" spans="1:3" x14ac:dyDescent="0.35">
      <c r="A925" s="305">
        <v>45241</v>
      </c>
      <c r="B925" s="306">
        <v>355.82960000000003</v>
      </c>
      <c r="C925" s="309">
        <v>11.0514114652449</v>
      </c>
    </row>
    <row r="926" spans="1:3" x14ac:dyDescent="0.35">
      <c r="A926" s="302">
        <v>45240</v>
      </c>
      <c r="B926" s="303">
        <v>355.76780000000002</v>
      </c>
      <c r="C926" s="308">
        <v>11.0652962586838</v>
      </c>
    </row>
    <row r="927" spans="1:3" x14ac:dyDescent="0.35">
      <c r="A927" s="305">
        <v>45239</v>
      </c>
      <c r="B927" s="306">
        <v>355.70600000000002</v>
      </c>
      <c r="C927" s="309">
        <v>11.0791546634814</v>
      </c>
    </row>
    <row r="928" spans="1:3" x14ac:dyDescent="0.35">
      <c r="A928" s="302">
        <v>45238</v>
      </c>
      <c r="B928" s="303">
        <v>355.64420000000001</v>
      </c>
      <c r="C928" s="308">
        <v>11.0930213452642</v>
      </c>
    </row>
    <row r="929" spans="1:3" x14ac:dyDescent="0.35">
      <c r="A929" s="305">
        <v>45237</v>
      </c>
      <c r="B929" s="306">
        <v>355.58249999999998</v>
      </c>
      <c r="C929" s="309">
        <v>11.106927557905101</v>
      </c>
    </row>
    <row r="930" spans="1:3" x14ac:dyDescent="0.35">
      <c r="A930" s="302">
        <v>45236</v>
      </c>
      <c r="B930" s="303">
        <v>355.52069999999998</v>
      </c>
      <c r="C930" s="308">
        <v>11.1207760935773</v>
      </c>
    </row>
    <row r="931" spans="1:3" x14ac:dyDescent="0.35">
      <c r="A931" s="305">
        <v>45235</v>
      </c>
      <c r="B931" s="306">
        <v>355.45890000000003</v>
      </c>
      <c r="C931" s="309">
        <v>11.134667645473501</v>
      </c>
    </row>
    <row r="932" spans="1:3" x14ac:dyDescent="0.35">
      <c r="A932" s="302">
        <v>45234</v>
      </c>
      <c r="B932" s="303">
        <v>355.3972</v>
      </c>
      <c r="C932" s="308">
        <v>11.148564017417399</v>
      </c>
    </row>
    <row r="933" spans="1:3" x14ac:dyDescent="0.35">
      <c r="A933" s="305">
        <v>45233</v>
      </c>
      <c r="B933" s="306">
        <v>355.33539999999999</v>
      </c>
      <c r="C933" s="309">
        <v>11.162402633094599</v>
      </c>
    </row>
    <row r="934" spans="1:3" x14ac:dyDescent="0.35">
      <c r="A934" s="302">
        <v>45232</v>
      </c>
      <c r="B934" s="303">
        <v>355.27370000000002</v>
      </c>
      <c r="C934" s="308">
        <v>11.1763155951268</v>
      </c>
    </row>
    <row r="935" spans="1:3" x14ac:dyDescent="0.35">
      <c r="A935" s="305">
        <v>45231</v>
      </c>
      <c r="B935" s="306">
        <v>355.21199999999999</v>
      </c>
      <c r="C935" s="309">
        <v>11.1902020700963</v>
      </c>
    </row>
    <row r="936" spans="1:3" x14ac:dyDescent="0.35">
      <c r="A936" s="302">
        <v>45230</v>
      </c>
      <c r="B936" s="303">
        <v>355.15030000000002</v>
      </c>
      <c r="C936" s="308">
        <v>11.204096841261499</v>
      </c>
    </row>
    <row r="937" spans="1:3" x14ac:dyDescent="0.35">
      <c r="A937" s="305">
        <v>45229</v>
      </c>
      <c r="B937" s="306">
        <v>355.08859999999999</v>
      </c>
      <c r="C937" s="309">
        <v>11.2179650812612</v>
      </c>
    </row>
    <row r="938" spans="1:3" x14ac:dyDescent="0.35">
      <c r="A938" s="302">
        <v>45228</v>
      </c>
      <c r="B938" s="303">
        <v>355.02690000000001</v>
      </c>
      <c r="C938" s="308">
        <v>11.2318416028202</v>
      </c>
    </row>
    <row r="939" spans="1:3" x14ac:dyDescent="0.35">
      <c r="A939" s="305">
        <v>45227</v>
      </c>
      <c r="B939" s="306">
        <v>354.96530000000001</v>
      </c>
      <c r="C939" s="309">
        <v>11.245757753255299</v>
      </c>
    </row>
    <row r="940" spans="1:3" x14ac:dyDescent="0.35">
      <c r="A940" s="302">
        <v>45226</v>
      </c>
      <c r="B940" s="303">
        <v>354.90359999999998</v>
      </c>
      <c r="C940" s="308">
        <v>11.2596508695658</v>
      </c>
    </row>
    <row r="941" spans="1:3" x14ac:dyDescent="0.35">
      <c r="A941" s="305">
        <v>45225</v>
      </c>
      <c r="B941" s="306">
        <v>354.84190000000001</v>
      </c>
      <c r="C941" s="309">
        <v>11.273517395880001</v>
      </c>
    </row>
    <row r="942" spans="1:3" x14ac:dyDescent="0.35">
      <c r="A942" s="302">
        <v>45224</v>
      </c>
      <c r="B942" s="303">
        <v>354.78030000000001</v>
      </c>
      <c r="C942" s="308">
        <v>11.2874584805407</v>
      </c>
    </row>
    <row r="943" spans="1:3" x14ac:dyDescent="0.35">
      <c r="A943" s="305">
        <v>45223</v>
      </c>
      <c r="B943" s="306">
        <v>354.71870000000001</v>
      </c>
      <c r="C943" s="309">
        <v>11.301338055834099</v>
      </c>
    </row>
    <row r="944" spans="1:3" x14ac:dyDescent="0.35">
      <c r="A944" s="302">
        <v>45222</v>
      </c>
      <c r="B944" s="303">
        <v>354.65710000000001</v>
      </c>
      <c r="C944" s="308">
        <v>11.3152608551</v>
      </c>
    </row>
    <row r="945" spans="1:3" x14ac:dyDescent="0.35">
      <c r="A945" s="305">
        <v>45221</v>
      </c>
      <c r="B945" s="306">
        <v>354.59550000000002</v>
      </c>
      <c r="C945" s="309">
        <v>11.3291570241395</v>
      </c>
    </row>
    <row r="946" spans="1:3" x14ac:dyDescent="0.35">
      <c r="A946" s="302">
        <v>45220</v>
      </c>
      <c r="B946" s="303">
        <v>354.53390000000002</v>
      </c>
      <c r="C946" s="308">
        <v>11.3430614938078</v>
      </c>
    </row>
    <row r="947" spans="1:3" x14ac:dyDescent="0.35">
      <c r="A947" s="305">
        <v>45219</v>
      </c>
      <c r="B947" s="306">
        <v>354.47230000000002</v>
      </c>
      <c r="C947" s="309">
        <v>11.3569742715444</v>
      </c>
    </row>
    <row r="948" spans="1:3" x14ac:dyDescent="0.35">
      <c r="A948" s="302">
        <v>45218</v>
      </c>
      <c r="B948" s="303">
        <v>354.41070000000002</v>
      </c>
      <c r="C948" s="308">
        <v>11.370860367343001</v>
      </c>
    </row>
    <row r="949" spans="1:3" x14ac:dyDescent="0.35">
      <c r="A949" s="305">
        <v>45217</v>
      </c>
      <c r="B949" s="306">
        <v>354.34910000000002</v>
      </c>
      <c r="C949" s="309">
        <v>11.384754756456999</v>
      </c>
    </row>
    <row r="950" spans="1:3" x14ac:dyDescent="0.35">
      <c r="A950" s="302">
        <v>45216</v>
      </c>
      <c r="B950" s="303">
        <v>354.2876</v>
      </c>
      <c r="C950" s="308">
        <v>11.398688889329099</v>
      </c>
    </row>
    <row r="951" spans="1:3" x14ac:dyDescent="0.35">
      <c r="A951" s="305">
        <v>45215</v>
      </c>
      <c r="B951" s="306">
        <v>354.226</v>
      </c>
      <c r="C951" s="309">
        <v>11.4125998967732</v>
      </c>
    </row>
    <row r="952" spans="1:3" x14ac:dyDescent="0.35">
      <c r="A952" s="302">
        <v>45214</v>
      </c>
      <c r="B952" s="303">
        <v>354.16449999999998</v>
      </c>
      <c r="C952" s="308">
        <v>11.4265156248722</v>
      </c>
    </row>
    <row r="953" spans="1:3" x14ac:dyDescent="0.35">
      <c r="A953" s="305">
        <v>45213</v>
      </c>
      <c r="B953" s="306">
        <v>354.0822</v>
      </c>
      <c r="C953" s="309">
        <v>11.4383125987644</v>
      </c>
    </row>
    <row r="954" spans="1:3" x14ac:dyDescent="0.35">
      <c r="A954" s="302">
        <v>45212</v>
      </c>
      <c r="B954" s="303">
        <v>353.99990000000003</v>
      </c>
      <c r="C954" s="308">
        <v>11.450117557869101</v>
      </c>
    </row>
    <row r="955" spans="1:3" x14ac:dyDescent="0.35">
      <c r="A955" s="305">
        <v>45211</v>
      </c>
      <c r="B955" s="306">
        <v>353.91759999999999</v>
      </c>
      <c r="C955" s="309">
        <v>11.4618954067637</v>
      </c>
    </row>
    <row r="956" spans="1:3" x14ac:dyDescent="0.35">
      <c r="A956" s="302">
        <v>45210</v>
      </c>
      <c r="B956" s="303">
        <v>353.83530000000002</v>
      </c>
      <c r="C956" s="308">
        <v>11.473681225899099</v>
      </c>
    </row>
    <row r="957" spans="1:3" x14ac:dyDescent="0.35">
      <c r="A957" s="305">
        <v>45209</v>
      </c>
      <c r="B957" s="306">
        <v>353.75299999999999</v>
      </c>
      <c r="C957" s="309">
        <v>11.4854750233684</v>
      </c>
    </row>
    <row r="958" spans="1:3" x14ac:dyDescent="0.35">
      <c r="A958" s="302">
        <v>45208</v>
      </c>
      <c r="B958" s="303">
        <v>353.67079999999999</v>
      </c>
      <c r="C958" s="308">
        <v>11.4972731826761</v>
      </c>
    </row>
    <row r="959" spans="1:3" x14ac:dyDescent="0.35">
      <c r="A959" s="305">
        <v>45207</v>
      </c>
      <c r="B959" s="306">
        <v>353.58850000000001</v>
      </c>
      <c r="C959" s="309">
        <v>11.5090477902452</v>
      </c>
    </row>
    <row r="960" spans="1:3" x14ac:dyDescent="0.35">
      <c r="A960" s="302">
        <v>45206</v>
      </c>
      <c r="B960" s="303">
        <v>353.50630000000001</v>
      </c>
      <c r="C960" s="308">
        <v>11.520826734741</v>
      </c>
    </row>
    <row r="961" spans="1:3" x14ac:dyDescent="0.35">
      <c r="A961" s="305">
        <v>45205</v>
      </c>
      <c r="B961" s="306">
        <v>353.42410000000001</v>
      </c>
      <c r="C961" s="309">
        <v>11.5326136488433</v>
      </c>
    </row>
    <row r="962" spans="1:3" x14ac:dyDescent="0.35">
      <c r="A962" s="302">
        <v>45204</v>
      </c>
      <c r="B962" s="303">
        <v>353.34199999999998</v>
      </c>
      <c r="C962" s="308">
        <v>11.5444401090499</v>
      </c>
    </row>
    <row r="963" spans="1:3" x14ac:dyDescent="0.35">
      <c r="A963" s="305">
        <v>45203</v>
      </c>
      <c r="B963" s="306">
        <v>353.25979999999998</v>
      </c>
      <c r="C963" s="309">
        <v>11.5562077688967</v>
      </c>
    </row>
    <row r="964" spans="1:3" x14ac:dyDescent="0.35">
      <c r="A964" s="302">
        <v>45202</v>
      </c>
      <c r="B964" s="303">
        <v>353.17770000000002</v>
      </c>
      <c r="C964" s="308">
        <v>11.5680149811314</v>
      </c>
    </row>
    <row r="965" spans="1:3" x14ac:dyDescent="0.35">
      <c r="A965" s="305">
        <v>45201</v>
      </c>
      <c r="B965" s="306">
        <v>353.09559999999999</v>
      </c>
      <c r="C965" s="309">
        <v>11.5798301854536</v>
      </c>
    </row>
    <row r="966" spans="1:3" x14ac:dyDescent="0.35">
      <c r="A966" s="302">
        <v>45200</v>
      </c>
      <c r="B966" s="303">
        <v>353.01350000000002</v>
      </c>
      <c r="C966" s="308">
        <v>11.591618114578401</v>
      </c>
    </row>
    <row r="967" spans="1:3" x14ac:dyDescent="0.35">
      <c r="A967" s="305">
        <v>45199</v>
      </c>
      <c r="B967" s="306">
        <v>352.9314</v>
      </c>
      <c r="C967" s="309">
        <v>11.6034140206826</v>
      </c>
    </row>
    <row r="968" spans="1:3" x14ac:dyDescent="0.35">
      <c r="A968" s="302">
        <v>45198</v>
      </c>
      <c r="B968" s="303">
        <v>352.8494</v>
      </c>
      <c r="C968" s="308">
        <v>11.615249544412199</v>
      </c>
    </row>
    <row r="969" spans="1:3" x14ac:dyDescent="0.35">
      <c r="A969" s="305">
        <v>45197</v>
      </c>
      <c r="B969" s="306">
        <v>352.76729999999998</v>
      </c>
      <c r="C969" s="309">
        <v>11.627026117069899</v>
      </c>
    </row>
    <row r="970" spans="1:3" x14ac:dyDescent="0.35">
      <c r="A970" s="302">
        <v>45196</v>
      </c>
      <c r="B970" s="303">
        <v>352.68529999999998</v>
      </c>
      <c r="C970" s="308">
        <v>11.6388423136128</v>
      </c>
    </row>
    <row r="971" spans="1:3" x14ac:dyDescent="0.35">
      <c r="A971" s="305">
        <v>45195</v>
      </c>
      <c r="B971" s="306">
        <v>352.60329999999999</v>
      </c>
      <c r="C971" s="309">
        <v>11.650631155807501</v>
      </c>
    </row>
    <row r="972" spans="1:3" x14ac:dyDescent="0.35">
      <c r="A972" s="302">
        <v>45194</v>
      </c>
      <c r="B972" s="303">
        <v>352.5213</v>
      </c>
      <c r="C972" s="308">
        <v>11.662463343665801</v>
      </c>
    </row>
    <row r="973" spans="1:3" x14ac:dyDescent="0.35">
      <c r="A973" s="305">
        <v>45193</v>
      </c>
      <c r="B973" s="306">
        <v>352.43939999999998</v>
      </c>
      <c r="C973" s="309">
        <v>11.674264462878</v>
      </c>
    </row>
    <row r="974" spans="1:3" x14ac:dyDescent="0.35">
      <c r="A974" s="302">
        <v>45192</v>
      </c>
      <c r="B974" s="303">
        <v>352.35739999999998</v>
      </c>
      <c r="C974" s="308">
        <v>11.6860772685966</v>
      </c>
    </row>
    <row r="975" spans="1:3" x14ac:dyDescent="0.35">
      <c r="A975" s="305">
        <v>45191</v>
      </c>
      <c r="B975" s="306">
        <v>352.27550000000002</v>
      </c>
      <c r="C975" s="309">
        <v>11.697894365697</v>
      </c>
    </row>
    <row r="976" spans="1:3" x14ac:dyDescent="0.35">
      <c r="A976" s="302">
        <v>45190</v>
      </c>
      <c r="B976" s="303">
        <v>352.1936</v>
      </c>
      <c r="C976" s="308">
        <v>11.7096840290311</v>
      </c>
    </row>
    <row r="977" spans="1:3" x14ac:dyDescent="0.35">
      <c r="A977" s="305">
        <v>45189</v>
      </c>
      <c r="B977" s="306">
        <v>352.11169999999998</v>
      </c>
      <c r="C977" s="309">
        <v>11.7215171157325</v>
      </c>
    </row>
    <row r="978" spans="1:3" x14ac:dyDescent="0.35">
      <c r="A978" s="302">
        <v>45188</v>
      </c>
      <c r="B978" s="303">
        <v>352.0299</v>
      </c>
      <c r="C978" s="308">
        <v>11.733354493156099</v>
      </c>
    </row>
    <row r="979" spans="1:3" x14ac:dyDescent="0.35">
      <c r="A979" s="305">
        <v>45187</v>
      </c>
      <c r="B979" s="306">
        <v>351.94799999999998</v>
      </c>
      <c r="C979" s="309">
        <v>11.74513265345</v>
      </c>
    </row>
    <row r="980" spans="1:3" x14ac:dyDescent="0.35">
      <c r="A980" s="302">
        <v>45186</v>
      </c>
      <c r="B980" s="303">
        <v>351.86619999999999</v>
      </c>
      <c r="C980" s="308">
        <v>11.756986038404399</v>
      </c>
    </row>
    <row r="981" spans="1:3" x14ac:dyDescent="0.35">
      <c r="A981" s="305">
        <v>45185</v>
      </c>
      <c r="B981" s="306">
        <v>351.78440000000001</v>
      </c>
      <c r="C981" s="309">
        <v>11.768776430293901</v>
      </c>
    </row>
    <row r="982" spans="1:3" x14ac:dyDescent="0.35">
      <c r="A982" s="302">
        <v>45184</v>
      </c>
      <c r="B982" s="303">
        <v>351.70260000000002</v>
      </c>
      <c r="C982" s="308">
        <v>11.780610323341399</v>
      </c>
    </row>
    <row r="983" spans="1:3" x14ac:dyDescent="0.35">
      <c r="A983" s="305">
        <v>45183</v>
      </c>
      <c r="B983" s="306">
        <v>351.64600000000002</v>
      </c>
      <c r="C983" s="309">
        <v>11.7917207378306</v>
      </c>
    </row>
    <row r="984" spans="1:3" x14ac:dyDescent="0.35">
      <c r="A984" s="302">
        <v>45182</v>
      </c>
      <c r="B984" s="303">
        <v>351.58940000000001</v>
      </c>
      <c r="C984" s="308">
        <v>11.802801386956199</v>
      </c>
    </row>
    <row r="985" spans="1:3" x14ac:dyDescent="0.35">
      <c r="A985" s="305">
        <v>45181</v>
      </c>
      <c r="B985" s="306">
        <v>351.53289999999998</v>
      </c>
      <c r="C985" s="309">
        <v>11.8139551749112</v>
      </c>
    </row>
    <row r="986" spans="1:3" x14ac:dyDescent="0.35">
      <c r="A986" s="302">
        <v>45180</v>
      </c>
      <c r="B986" s="303">
        <v>351.47629999999998</v>
      </c>
      <c r="C986" s="308">
        <v>11.8250473817016</v>
      </c>
    </row>
    <row r="987" spans="1:3" x14ac:dyDescent="0.35">
      <c r="A987" s="305">
        <v>45179</v>
      </c>
      <c r="B987" s="306">
        <v>351.41980000000001</v>
      </c>
      <c r="C987" s="309">
        <v>11.836177187660001</v>
      </c>
    </row>
    <row r="988" spans="1:3" x14ac:dyDescent="0.35">
      <c r="A988" s="302">
        <v>45178</v>
      </c>
      <c r="B988" s="303">
        <v>351.36320000000001</v>
      </c>
      <c r="C988" s="308">
        <v>11.8472453537468</v>
      </c>
    </row>
    <row r="989" spans="1:3" x14ac:dyDescent="0.35">
      <c r="A989" s="305">
        <v>45177</v>
      </c>
      <c r="B989" s="306">
        <v>351.30669999999998</v>
      </c>
      <c r="C989" s="309">
        <v>11.858386735433999</v>
      </c>
    </row>
    <row r="990" spans="1:3" x14ac:dyDescent="0.35">
      <c r="A990" s="302">
        <v>45176</v>
      </c>
      <c r="B990" s="303">
        <v>351.25020000000001</v>
      </c>
      <c r="C990" s="308">
        <v>11.8694982930555</v>
      </c>
    </row>
    <row r="991" spans="1:3" x14ac:dyDescent="0.35">
      <c r="A991" s="305">
        <v>45175</v>
      </c>
      <c r="B991" s="306">
        <v>351.19369999999998</v>
      </c>
      <c r="C991" s="309">
        <v>11.880615634768199</v>
      </c>
    </row>
    <row r="992" spans="1:3" x14ac:dyDescent="0.35">
      <c r="A992" s="302">
        <v>45174</v>
      </c>
      <c r="B992" s="303">
        <v>351.13720000000001</v>
      </c>
      <c r="C992" s="308">
        <v>11.891738765089499</v>
      </c>
    </row>
    <row r="993" spans="1:3" x14ac:dyDescent="0.35">
      <c r="A993" s="305">
        <v>45173</v>
      </c>
      <c r="B993" s="306">
        <v>351.08069999999998</v>
      </c>
      <c r="C993" s="309">
        <v>11.902832020822499</v>
      </c>
    </row>
    <row r="994" spans="1:3" x14ac:dyDescent="0.35">
      <c r="A994" s="302">
        <v>45172</v>
      </c>
      <c r="B994" s="303">
        <v>351.02420000000001</v>
      </c>
      <c r="C994" s="308">
        <v>11.9139667290919</v>
      </c>
    </row>
    <row r="995" spans="1:3" x14ac:dyDescent="0.35">
      <c r="A995" s="305">
        <v>45171</v>
      </c>
      <c r="B995" s="306">
        <v>350.96769999999998</v>
      </c>
      <c r="C995" s="309">
        <v>11.925071546156</v>
      </c>
    </row>
    <row r="996" spans="1:3" x14ac:dyDescent="0.35">
      <c r="A996" s="302">
        <v>45170</v>
      </c>
      <c r="B996" s="303">
        <v>350.91129999999998</v>
      </c>
      <c r="C996" s="308">
        <v>11.936214042965</v>
      </c>
    </row>
    <row r="997" spans="1:3" x14ac:dyDescent="0.35">
      <c r="A997" s="305">
        <v>45169</v>
      </c>
      <c r="B997" s="306">
        <v>350.85480000000001</v>
      </c>
      <c r="C997" s="309">
        <v>11.947294715847301</v>
      </c>
    </row>
    <row r="998" spans="1:3" x14ac:dyDescent="0.35">
      <c r="A998" s="302">
        <v>45168</v>
      </c>
      <c r="B998" s="303">
        <v>350.79840000000002</v>
      </c>
      <c r="C998" s="308">
        <v>11.9584488003189</v>
      </c>
    </row>
    <row r="999" spans="1:3" x14ac:dyDescent="0.35">
      <c r="A999" s="305">
        <v>45167</v>
      </c>
      <c r="B999" s="306">
        <v>350.74189999999999</v>
      </c>
      <c r="C999" s="309">
        <v>11.9695410276088</v>
      </c>
    </row>
    <row r="1000" spans="1:3" x14ac:dyDescent="0.35">
      <c r="A1000" s="302">
        <v>45166</v>
      </c>
      <c r="B1000" s="303">
        <v>350.68549999999999</v>
      </c>
      <c r="C1000" s="308">
        <v>11.9806709602348</v>
      </c>
    </row>
    <row r="1001" spans="1:3" x14ac:dyDescent="0.35">
      <c r="A1001" s="305">
        <v>45165</v>
      </c>
      <c r="B1001" s="306">
        <v>350.62909999999999</v>
      </c>
      <c r="C1001" s="309">
        <v>11.9918066873937</v>
      </c>
    </row>
    <row r="1002" spans="1:3" x14ac:dyDescent="0.35">
      <c r="A1002" s="302">
        <v>45164</v>
      </c>
      <c r="B1002" s="303">
        <v>350.5727</v>
      </c>
      <c r="C1002" s="308">
        <v>12.0029482136119</v>
      </c>
    </row>
    <row r="1003" spans="1:3" x14ac:dyDescent="0.35">
      <c r="A1003" s="305">
        <v>45163</v>
      </c>
      <c r="B1003" s="306">
        <v>350.5163</v>
      </c>
      <c r="C1003" s="309">
        <v>12.0140597472147</v>
      </c>
    </row>
    <row r="1004" spans="1:3" x14ac:dyDescent="0.35">
      <c r="A1004" s="302">
        <v>45162</v>
      </c>
      <c r="B1004" s="303">
        <v>350.4599</v>
      </c>
      <c r="C1004" s="308">
        <v>12.0251770631853</v>
      </c>
    </row>
    <row r="1005" spans="1:3" x14ac:dyDescent="0.35">
      <c r="A1005" s="305">
        <v>45161</v>
      </c>
      <c r="B1005" s="306">
        <v>350.40350000000001</v>
      </c>
      <c r="C1005" s="309">
        <v>12.0363001660384</v>
      </c>
    </row>
    <row r="1006" spans="1:3" x14ac:dyDescent="0.35">
      <c r="A1006" s="302">
        <v>45160</v>
      </c>
      <c r="B1006" s="303">
        <v>350.34710000000001</v>
      </c>
      <c r="C1006" s="308">
        <v>12.0474290602937</v>
      </c>
    </row>
    <row r="1007" spans="1:3" x14ac:dyDescent="0.35">
      <c r="A1007" s="305">
        <v>45159</v>
      </c>
      <c r="B1007" s="306">
        <v>350.29079999999999</v>
      </c>
      <c r="C1007" s="309">
        <v>12.0585957406378</v>
      </c>
    </row>
    <row r="1008" spans="1:3" x14ac:dyDescent="0.35">
      <c r="A1008" s="302">
        <v>45158</v>
      </c>
      <c r="B1008" s="303">
        <v>350.23439999999999</v>
      </c>
      <c r="C1008" s="308">
        <v>12.069700378989999</v>
      </c>
    </row>
    <row r="1009" spans="1:3" x14ac:dyDescent="0.35">
      <c r="A1009" s="305">
        <v>45157</v>
      </c>
      <c r="B1009" s="306">
        <v>350.17809999999997</v>
      </c>
      <c r="C1009" s="309">
        <v>12.080842803348499</v>
      </c>
    </row>
    <row r="1010" spans="1:3" x14ac:dyDescent="0.35">
      <c r="A1010" s="302">
        <v>45156</v>
      </c>
      <c r="B1010" s="303">
        <v>350.12180000000001</v>
      </c>
      <c r="C1010" s="308">
        <v>12.091991028076601</v>
      </c>
    </row>
    <row r="1011" spans="1:3" x14ac:dyDescent="0.35">
      <c r="A1011" s="305">
        <v>45155</v>
      </c>
      <c r="B1011" s="306">
        <v>350.06540000000001</v>
      </c>
      <c r="C1011" s="309">
        <v>12.103113034227601</v>
      </c>
    </row>
    <row r="1012" spans="1:3" x14ac:dyDescent="0.35">
      <c r="A1012" s="302">
        <v>45154</v>
      </c>
      <c r="B1012" s="303">
        <v>350.00909999999999</v>
      </c>
      <c r="C1012" s="308">
        <v>12.1142728649513</v>
      </c>
    </row>
    <row r="1013" spans="1:3" x14ac:dyDescent="0.35">
      <c r="A1013" s="305">
        <v>45153</v>
      </c>
      <c r="B1013" s="306">
        <v>349.95280000000002</v>
      </c>
      <c r="C1013" s="309">
        <v>12.1254025844867</v>
      </c>
    </row>
    <row r="1014" spans="1:3" x14ac:dyDescent="0.35">
      <c r="A1014" s="302">
        <v>45152</v>
      </c>
      <c r="B1014" s="303">
        <v>349.91899999999998</v>
      </c>
      <c r="C1014" s="308">
        <v>12.132967930238401</v>
      </c>
    </row>
    <row r="1015" spans="1:3" x14ac:dyDescent="0.35">
      <c r="A1015" s="305">
        <v>45151</v>
      </c>
      <c r="B1015" s="306">
        <v>349.8852</v>
      </c>
      <c r="C1015" s="309">
        <v>12.140535758927699</v>
      </c>
    </row>
    <row r="1016" spans="1:3" x14ac:dyDescent="0.35">
      <c r="A1016" s="302">
        <v>45150</v>
      </c>
      <c r="B1016" s="303">
        <v>349.85140000000001</v>
      </c>
      <c r="C1016" s="308">
        <v>12.1481060717771</v>
      </c>
    </row>
    <row r="1017" spans="1:3" x14ac:dyDescent="0.35">
      <c r="A1017" s="305">
        <v>45149</v>
      </c>
      <c r="B1017" s="306">
        <v>349.81760000000003</v>
      </c>
      <c r="C1017" s="309">
        <v>12.155678870009799</v>
      </c>
    </row>
    <row r="1018" spans="1:3" x14ac:dyDescent="0.35">
      <c r="A1018" s="302">
        <v>45148</v>
      </c>
      <c r="B1018" s="303">
        <v>349.78379999999999</v>
      </c>
      <c r="C1018" s="308">
        <v>12.1632541548502</v>
      </c>
    </row>
    <row r="1019" spans="1:3" x14ac:dyDescent="0.35">
      <c r="A1019" s="305">
        <v>45147</v>
      </c>
      <c r="B1019" s="306">
        <v>349.75</v>
      </c>
      <c r="C1019" s="309">
        <v>12.170831927523</v>
      </c>
    </row>
    <row r="1020" spans="1:3" x14ac:dyDescent="0.35">
      <c r="A1020" s="302">
        <v>45146</v>
      </c>
      <c r="B1020" s="303">
        <v>349.71620000000001</v>
      </c>
      <c r="C1020" s="308">
        <v>12.178376205813599</v>
      </c>
    </row>
    <row r="1021" spans="1:3" x14ac:dyDescent="0.35">
      <c r="A1021" s="305">
        <v>45145</v>
      </c>
      <c r="B1021" s="306">
        <v>349.68239999999997</v>
      </c>
      <c r="C1021" s="309">
        <v>12.185958949486199</v>
      </c>
    </row>
    <row r="1022" spans="1:3" x14ac:dyDescent="0.35">
      <c r="A1022" s="302">
        <v>45144</v>
      </c>
      <c r="B1022" s="303">
        <v>349.64859999999999</v>
      </c>
      <c r="C1022" s="308">
        <v>12.193508184559599</v>
      </c>
    </row>
    <row r="1023" spans="1:3" x14ac:dyDescent="0.35">
      <c r="A1023" s="305">
        <v>45143</v>
      </c>
      <c r="B1023" s="306">
        <v>349.6148</v>
      </c>
      <c r="C1023" s="309">
        <v>12.2010959041273</v>
      </c>
    </row>
    <row r="1024" spans="1:3" x14ac:dyDescent="0.35">
      <c r="A1024" s="302">
        <v>45142</v>
      </c>
      <c r="B1024" s="303">
        <v>349.58100000000002</v>
      </c>
      <c r="C1024" s="308">
        <v>12.2086501008681</v>
      </c>
    </row>
    <row r="1025" spans="1:3" x14ac:dyDescent="0.35">
      <c r="A1025" s="305">
        <v>45141</v>
      </c>
      <c r="B1025" s="306">
        <v>349.54730000000001</v>
      </c>
      <c r="C1025" s="309">
        <v>12.216238879414799</v>
      </c>
    </row>
    <row r="1026" spans="1:3" x14ac:dyDescent="0.35">
      <c r="A1026" s="302">
        <v>45140</v>
      </c>
      <c r="B1026" s="303">
        <v>349.51350000000002</v>
      </c>
      <c r="C1026" s="308">
        <v>12.223798039643199</v>
      </c>
    </row>
    <row r="1027" spans="1:3" x14ac:dyDescent="0.35">
      <c r="A1027" s="305">
        <v>45139</v>
      </c>
      <c r="B1027" s="306">
        <v>349.47969999999998</v>
      </c>
      <c r="C1027" s="309">
        <v>12.2313596808141</v>
      </c>
    </row>
    <row r="1028" spans="1:3" x14ac:dyDescent="0.35">
      <c r="A1028" s="302">
        <v>45138</v>
      </c>
      <c r="B1028" s="303">
        <v>349.44600000000003</v>
      </c>
      <c r="C1028" s="308">
        <v>12.238955923262299</v>
      </c>
    </row>
    <row r="1029" spans="1:3" x14ac:dyDescent="0.35">
      <c r="A1029" s="305">
        <v>45137</v>
      </c>
      <c r="B1029" s="306">
        <v>349.41219999999998</v>
      </c>
      <c r="C1029" s="309">
        <v>12.246522535256499</v>
      </c>
    </row>
    <row r="1030" spans="1:3" x14ac:dyDescent="0.35">
      <c r="A1030" s="302">
        <v>45136</v>
      </c>
      <c r="B1030" s="303">
        <v>349.3784</v>
      </c>
      <c r="C1030" s="308">
        <v>12.254091631862201</v>
      </c>
    </row>
    <row r="1031" spans="1:3" x14ac:dyDescent="0.35">
      <c r="A1031" s="305">
        <v>45135</v>
      </c>
      <c r="B1031" s="306">
        <v>349.34469999999999</v>
      </c>
      <c r="C1031" s="309">
        <v>12.2616953492393</v>
      </c>
    </row>
    <row r="1032" spans="1:3" x14ac:dyDescent="0.35">
      <c r="A1032" s="302">
        <v>45134</v>
      </c>
      <c r="B1032" s="303">
        <v>349.3109</v>
      </c>
      <c r="C1032" s="308">
        <v>12.269233340447</v>
      </c>
    </row>
    <row r="1033" spans="1:3" x14ac:dyDescent="0.35">
      <c r="A1033" s="305">
        <v>45133</v>
      </c>
      <c r="B1033" s="306">
        <v>349.27719999999999</v>
      </c>
      <c r="C1033" s="309">
        <v>12.276842040633801</v>
      </c>
    </row>
    <row r="1034" spans="1:3" x14ac:dyDescent="0.35">
      <c r="A1034" s="302">
        <v>45132</v>
      </c>
      <c r="B1034" s="303">
        <v>349.24340000000001</v>
      </c>
      <c r="C1034" s="308">
        <v>12.284384989842</v>
      </c>
    </row>
    <row r="1035" spans="1:3" x14ac:dyDescent="0.35">
      <c r="A1035" s="305">
        <v>45131</v>
      </c>
      <c r="B1035" s="306">
        <v>349.2097</v>
      </c>
      <c r="C1035" s="309">
        <v>12.2919986777438</v>
      </c>
    </row>
    <row r="1036" spans="1:3" x14ac:dyDescent="0.35">
      <c r="A1036" s="302">
        <v>45130</v>
      </c>
      <c r="B1036" s="303">
        <v>349.17590000000001</v>
      </c>
      <c r="C1036" s="308">
        <v>12.2995465898397</v>
      </c>
    </row>
    <row r="1037" spans="1:3" x14ac:dyDescent="0.35">
      <c r="A1037" s="305">
        <v>45129</v>
      </c>
      <c r="B1037" s="306">
        <v>349.1422</v>
      </c>
      <c r="C1037" s="309">
        <v>12.3071291449864</v>
      </c>
    </row>
    <row r="1038" spans="1:3" x14ac:dyDescent="0.35">
      <c r="A1038" s="302">
        <v>45128</v>
      </c>
      <c r="B1038" s="303">
        <v>349.10840000000002</v>
      </c>
      <c r="C1038" s="308">
        <v>12.314682016506699</v>
      </c>
    </row>
    <row r="1039" spans="1:3" x14ac:dyDescent="0.35">
      <c r="A1039" s="305">
        <v>45127</v>
      </c>
      <c r="B1039" s="306">
        <v>349.07470000000001</v>
      </c>
      <c r="C1039" s="309">
        <v>12.322269544075599</v>
      </c>
    </row>
    <row r="1040" spans="1:3" x14ac:dyDescent="0.35">
      <c r="A1040" s="302">
        <v>45126</v>
      </c>
      <c r="B1040" s="303">
        <v>349.041</v>
      </c>
      <c r="C1040" s="308">
        <v>12.329859562331899</v>
      </c>
    </row>
    <row r="1041" spans="1:3" x14ac:dyDescent="0.35">
      <c r="A1041" s="305">
        <v>45125</v>
      </c>
      <c r="B1041" s="306">
        <v>349.00729999999999</v>
      </c>
      <c r="C1041" s="309">
        <v>12.337452072502201</v>
      </c>
    </row>
    <row r="1042" spans="1:3" x14ac:dyDescent="0.35">
      <c r="A1042" s="302">
        <v>45124</v>
      </c>
      <c r="B1042" s="303">
        <v>348.9735</v>
      </c>
      <c r="C1042" s="308">
        <v>12.345014882820699</v>
      </c>
    </row>
    <row r="1043" spans="1:3" x14ac:dyDescent="0.35">
      <c r="A1043" s="305">
        <v>45123</v>
      </c>
      <c r="B1043" s="306">
        <v>348.93979999999999</v>
      </c>
      <c r="C1043" s="309">
        <v>12.352576199619</v>
      </c>
    </row>
    <row r="1044" spans="1:3" x14ac:dyDescent="0.35">
      <c r="A1044" s="302">
        <v>45122</v>
      </c>
      <c r="B1044" s="303">
        <v>348.90609999999998</v>
      </c>
      <c r="C1044" s="308">
        <v>12.360176179221799</v>
      </c>
    </row>
    <row r="1045" spans="1:3" x14ac:dyDescent="0.35">
      <c r="A1045" s="305">
        <v>45121</v>
      </c>
      <c r="B1045" s="306">
        <v>348.8562</v>
      </c>
      <c r="C1045" s="309">
        <v>12.375446183957401</v>
      </c>
    </row>
    <row r="1046" spans="1:3" x14ac:dyDescent="0.35">
      <c r="A1046" s="302">
        <v>45120</v>
      </c>
      <c r="B1046" s="303">
        <v>348.80630000000002</v>
      </c>
      <c r="C1046" s="308">
        <v>12.390688496531</v>
      </c>
    </row>
    <row r="1047" spans="1:3" x14ac:dyDescent="0.35">
      <c r="A1047" s="305">
        <v>45119</v>
      </c>
      <c r="B1047" s="306">
        <v>348.75639999999999</v>
      </c>
      <c r="C1047" s="309">
        <v>12.4059755370409</v>
      </c>
    </row>
    <row r="1048" spans="1:3" x14ac:dyDescent="0.35">
      <c r="A1048" s="302">
        <v>45118</v>
      </c>
      <c r="B1048" s="303">
        <v>348.70650000000001</v>
      </c>
      <c r="C1048" s="308">
        <v>12.421234869599299</v>
      </c>
    </row>
    <row r="1049" spans="1:3" x14ac:dyDescent="0.35">
      <c r="A1049" s="305">
        <v>45117</v>
      </c>
      <c r="B1049" s="306">
        <v>348.65660000000003</v>
      </c>
      <c r="C1049" s="309">
        <v>12.436466456256101</v>
      </c>
    </row>
    <row r="1050" spans="1:3" x14ac:dyDescent="0.35">
      <c r="A1050" s="302">
        <v>45116</v>
      </c>
      <c r="B1050" s="303">
        <v>348.60680000000002</v>
      </c>
      <c r="C1050" s="308">
        <v>12.451775064708499</v>
      </c>
    </row>
    <row r="1051" spans="1:3" x14ac:dyDescent="0.35">
      <c r="A1051" s="305">
        <v>45115</v>
      </c>
      <c r="B1051" s="306">
        <v>348.55689999999998</v>
      </c>
      <c r="C1051" s="309">
        <v>12.4670236629418</v>
      </c>
    </row>
    <row r="1052" spans="1:3" x14ac:dyDescent="0.35">
      <c r="A1052" s="302">
        <v>45114</v>
      </c>
      <c r="B1052" s="303">
        <v>348.50709999999998</v>
      </c>
      <c r="C1052" s="308">
        <v>12.482313041098299</v>
      </c>
    </row>
    <row r="1053" spans="1:3" x14ac:dyDescent="0.35">
      <c r="A1053" s="305">
        <v>45113</v>
      </c>
      <c r="B1053" s="306">
        <v>348.4572</v>
      </c>
      <c r="C1053" s="309">
        <v>12.497578664352501</v>
      </c>
    </row>
    <row r="1054" spans="1:3" x14ac:dyDescent="0.35">
      <c r="A1054" s="302">
        <v>45112</v>
      </c>
      <c r="B1054" s="303">
        <v>348.4074</v>
      </c>
      <c r="C1054" s="308">
        <v>12.512885099786899</v>
      </c>
    </row>
    <row r="1055" spans="1:3" x14ac:dyDescent="0.35">
      <c r="A1055" s="305">
        <v>45111</v>
      </c>
      <c r="B1055" s="306">
        <v>348.35759999999999</v>
      </c>
      <c r="C1055" s="309">
        <v>12.528163729670799</v>
      </c>
    </row>
    <row r="1056" spans="1:3" x14ac:dyDescent="0.35">
      <c r="A1056" s="302">
        <v>45110</v>
      </c>
      <c r="B1056" s="303">
        <v>348.30779999999999</v>
      </c>
      <c r="C1056" s="308">
        <v>12.5434508803912</v>
      </c>
    </row>
    <row r="1057" spans="1:3" x14ac:dyDescent="0.35">
      <c r="A1057" s="305">
        <v>45109</v>
      </c>
      <c r="B1057" s="306">
        <v>348.25790000000001</v>
      </c>
      <c r="C1057" s="309">
        <v>12.558714238572501</v>
      </c>
    </row>
    <row r="1058" spans="1:3" x14ac:dyDescent="0.35">
      <c r="A1058" s="302">
        <v>45108</v>
      </c>
      <c r="B1058" s="303">
        <v>348.2081</v>
      </c>
      <c r="C1058" s="308">
        <v>12.573982048714701</v>
      </c>
    </row>
    <row r="1059" spans="1:3" x14ac:dyDescent="0.35">
      <c r="A1059" s="305">
        <v>45107</v>
      </c>
      <c r="B1059" s="306">
        <v>348.1583</v>
      </c>
      <c r="C1059" s="309">
        <v>12.589294780625099</v>
      </c>
    </row>
    <row r="1060" spans="1:3" x14ac:dyDescent="0.35">
      <c r="A1060" s="302">
        <v>45106</v>
      </c>
      <c r="B1060" s="303">
        <v>348.10849999999999</v>
      </c>
      <c r="C1060" s="308">
        <v>12.604579637086299</v>
      </c>
    </row>
    <row r="1061" spans="1:3" x14ac:dyDescent="0.35">
      <c r="A1061" s="305">
        <v>45105</v>
      </c>
      <c r="B1061" s="306">
        <v>348.05880000000002</v>
      </c>
      <c r="C1061" s="309">
        <v>12.619905376433101</v>
      </c>
    </row>
    <row r="1062" spans="1:3" x14ac:dyDescent="0.35">
      <c r="A1062" s="302">
        <v>45104</v>
      </c>
      <c r="B1062" s="303">
        <v>348.00900000000001</v>
      </c>
      <c r="C1062" s="308">
        <v>12.6351708466288</v>
      </c>
    </row>
    <row r="1063" spans="1:3" x14ac:dyDescent="0.35">
      <c r="A1063" s="305">
        <v>45103</v>
      </c>
      <c r="B1063" s="306">
        <v>347.95920000000001</v>
      </c>
      <c r="C1063" s="309">
        <v>12.6504812973418</v>
      </c>
    </row>
    <row r="1064" spans="1:3" x14ac:dyDescent="0.35">
      <c r="A1064" s="302">
        <v>45102</v>
      </c>
      <c r="B1064" s="303">
        <v>347.90940000000001</v>
      </c>
      <c r="C1064" s="308">
        <v>12.6657638104935</v>
      </c>
    </row>
    <row r="1065" spans="1:3" x14ac:dyDescent="0.35">
      <c r="A1065" s="305">
        <v>45101</v>
      </c>
      <c r="B1065" s="306">
        <v>347.85969999999998</v>
      </c>
      <c r="C1065" s="309">
        <v>12.681087240943601</v>
      </c>
    </row>
    <row r="1066" spans="1:3" x14ac:dyDescent="0.35">
      <c r="A1066" s="302">
        <v>45100</v>
      </c>
      <c r="B1066" s="303">
        <v>347.80990000000003</v>
      </c>
      <c r="C1066" s="308">
        <v>12.6963503039442</v>
      </c>
    </row>
    <row r="1067" spans="1:3" x14ac:dyDescent="0.35">
      <c r="A1067" s="305">
        <v>45099</v>
      </c>
      <c r="B1067" s="306">
        <v>347.7602</v>
      </c>
      <c r="C1067" s="309">
        <v>12.7116908169972</v>
      </c>
    </row>
    <row r="1068" spans="1:3" x14ac:dyDescent="0.35">
      <c r="A1068" s="302">
        <v>45098</v>
      </c>
      <c r="B1068" s="303">
        <v>347.71050000000002</v>
      </c>
      <c r="C1068" s="308">
        <v>12.7270033483156</v>
      </c>
    </row>
    <row r="1069" spans="1:3" x14ac:dyDescent="0.35">
      <c r="A1069" s="305">
        <v>45097</v>
      </c>
      <c r="B1069" s="306">
        <v>347.66070000000002</v>
      </c>
      <c r="C1069" s="309">
        <v>12.7422919917657</v>
      </c>
    </row>
    <row r="1070" spans="1:3" x14ac:dyDescent="0.35">
      <c r="A1070" s="302">
        <v>45096</v>
      </c>
      <c r="B1070" s="303">
        <v>347.61099999999999</v>
      </c>
      <c r="C1070" s="308">
        <v>12.757621603105701</v>
      </c>
    </row>
    <row r="1071" spans="1:3" x14ac:dyDescent="0.35">
      <c r="A1071" s="305">
        <v>45095</v>
      </c>
      <c r="B1071" s="306">
        <v>347.56130000000002</v>
      </c>
      <c r="C1071" s="309">
        <v>12.7729231783571</v>
      </c>
    </row>
    <row r="1072" spans="1:3" x14ac:dyDescent="0.35">
      <c r="A1072" s="302">
        <v>45094</v>
      </c>
      <c r="B1072" s="303">
        <v>347.51159999999999</v>
      </c>
      <c r="C1072" s="308">
        <v>12.788233285666299</v>
      </c>
    </row>
    <row r="1073" spans="1:3" x14ac:dyDescent="0.35">
      <c r="A1073" s="305">
        <v>45093</v>
      </c>
      <c r="B1073" s="306">
        <v>347.46190000000001</v>
      </c>
      <c r="C1073" s="309">
        <v>12.8035519321715</v>
      </c>
    </row>
    <row r="1074" spans="1:3" x14ac:dyDescent="0.35">
      <c r="A1074" s="302">
        <v>45092</v>
      </c>
      <c r="B1074" s="303">
        <v>347.41219999999998</v>
      </c>
      <c r="C1074" s="308">
        <v>12.8188791250187</v>
      </c>
    </row>
    <row r="1075" spans="1:3" x14ac:dyDescent="0.35">
      <c r="A1075" s="305">
        <v>45091</v>
      </c>
      <c r="B1075" s="306">
        <v>347.3252</v>
      </c>
      <c r="C1075" s="309">
        <v>12.835843394043</v>
      </c>
    </row>
    <row r="1076" spans="1:3" x14ac:dyDescent="0.35">
      <c r="A1076" s="302">
        <v>45090</v>
      </c>
      <c r="B1076" s="303">
        <v>347.23809999999997</v>
      </c>
      <c r="C1076" s="308">
        <v>12.852752092763099</v>
      </c>
    </row>
    <row r="1077" spans="1:3" x14ac:dyDescent="0.35">
      <c r="A1077" s="305">
        <v>45089</v>
      </c>
      <c r="B1077" s="306">
        <v>347.15109999999999</v>
      </c>
      <c r="C1077" s="309">
        <v>12.8697068615721</v>
      </c>
    </row>
    <row r="1078" spans="1:3" x14ac:dyDescent="0.35">
      <c r="A1078" s="302">
        <v>45088</v>
      </c>
      <c r="B1078" s="303">
        <v>347.0641</v>
      </c>
      <c r="C1078" s="308">
        <v>12.8866385120191</v>
      </c>
    </row>
    <row r="1079" spans="1:3" x14ac:dyDescent="0.35">
      <c r="A1079" s="305">
        <v>45087</v>
      </c>
      <c r="B1079" s="306">
        <v>346.97710000000001</v>
      </c>
      <c r="C1079" s="309">
        <v>12.9035837376872</v>
      </c>
    </row>
    <row r="1080" spans="1:3" x14ac:dyDescent="0.35">
      <c r="A1080" s="302">
        <v>45086</v>
      </c>
      <c r="B1080" s="303">
        <v>346.89019999999999</v>
      </c>
      <c r="C1080" s="308">
        <v>12.920538348982801</v>
      </c>
    </row>
    <row r="1081" spans="1:3" x14ac:dyDescent="0.35">
      <c r="A1081" s="305">
        <v>45085</v>
      </c>
      <c r="B1081" s="306">
        <v>346.80329999999998</v>
      </c>
      <c r="C1081" s="309">
        <v>12.937506553764999</v>
      </c>
    </row>
    <row r="1082" spans="1:3" x14ac:dyDescent="0.35">
      <c r="A1082" s="302">
        <v>45084</v>
      </c>
      <c r="B1082" s="303">
        <v>346.71629999999999</v>
      </c>
      <c r="C1082" s="308">
        <v>12.954418991348501</v>
      </c>
    </row>
    <row r="1083" spans="1:3" x14ac:dyDescent="0.35">
      <c r="A1083" s="305">
        <v>45083</v>
      </c>
      <c r="B1083" s="306">
        <v>346.62950000000001</v>
      </c>
      <c r="C1083" s="309">
        <v>12.971410171254799</v>
      </c>
    </row>
    <row r="1084" spans="1:3" x14ac:dyDescent="0.35">
      <c r="A1084" s="302">
        <v>45082</v>
      </c>
      <c r="B1084" s="303">
        <v>346.54259999999999</v>
      </c>
      <c r="C1084" s="308">
        <v>12.9883455355527</v>
      </c>
    </row>
    <row r="1085" spans="1:3" x14ac:dyDescent="0.35">
      <c r="A1085" s="305">
        <v>45081</v>
      </c>
      <c r="B1085" s="306">
        <v>346.45569999999998</v>
      </c>
      <c r="C1085" s="309">
        <v>13.0052944775911</v>
      </c>
    </row>
    <row r="1086" spans="1:3" x14ac:dyDescent="0.35">
      <c r="A1086" s="302">
        <v>45080</v>
      </c>
      <c r="B1086" s="303">
        <v>346.3689</v>
      </c>
      <c r="C1086" s="308">
        <v>13.022252764464501</v>
      </c>
    </row>
    <row r="1087" spans="1:3" x14ac:dyDescent="0.35">
      <c r="A1087" s="305">
        <v>45079</v>
      </c>
      <c r="B1087" s="306">
        <v>346.28210000000001</v>
      </c>
      <c r="C1087" s="309">
        <v>13.039224647285</v>
      </c>
    </row>
    <row r="1088" spans="1:3" x14ac:dyDescent="0.35">
      <c r="A1088" s="302">
        <v>45078</v>
      </c>
      <c r="B1088" s="303">
        <v>346.19529999999997</v>
      </c>
      <c r="C1088" s="308">
        <v>13.0561732219128</v>
      </c>
    </row>
    <row r="1089" spans="1:3" x14ac:dyDescent="0.35">
      <c r="A1089" s="305">
        <v>45077</v>
      </c>
      <c r="B1089" s="306">
        <v>346.10860000000002</v>
      </c>
      <c r="C1089" s="309">
        <v>13.073168054373101</v>
      </c>
    </row>
    <row r="1090" spans="1:3" x14ac:dyDescent="0.35">
      <c r="A1090" s="302">
        <v>45076</v>
      </c>
      <c r="B1090" s="303">
        <v>346.02179999999998</v>
      </c>
      <c r="C1090" s="308">
        <v>13.090143834409799</v>
      </c>
    </row>
    <row r="1091" spans="1:3" x14ac:dyDescent="0.35">
      <c r="A1091" s="305">
        <v>45075</v>
      </c>
      <c r="B1091" s="306">
        <v>345.93509999999998</v>
      </c>
      <c r="C1091" s="309">
        <v>13.107091968085999</v>
      </c>
    </row>
    <row r="1092" spans="1:3" x14ac:dyDescent="0.35">
      <c r="A1092" s="302">
        <v>45074</v>
      </c>
      <c r="B1092" s="303">
        <v>345.84840000000003</v>
      </c>
      <c r="C1092" s="308">
        <v>13.124090685479199</v>
      </c>
    </row>
    <row r="1093" spans="1:3" x14ac:dyDescent="0.35">
      <c r="A1093" s="305">
        <v>45073</v>
      </c>
      <c r="B1093" s="306">
        <v>345.76179999999999</v>
      </c>
      <c r="C1093" s="309">
        <v>13.141098741730699</v>
      </c>
    </row>
    <row r="1094" spans="1:3" x14ac:dyDescent="0.35">
      <c r="A1094" s="302">
        <v>45072</v>
      </c>
      <c r="B1094" s="303">
        <v>345.67509999999999</v>
      </c>
      <c r="C1094" s="308">
        <v>13.158050660616301</v>
      </c>
    </row>
    <row r="1095" spans="1:3" x14ac:dyDescent="0.35">
      <c r="A1095" s="305">
        <v>45071</v>
      </c>
      <c r="B1095" s="306">
        <v>345.58850000000001</v>
      </c>
      <c r="C1095" s="309">
        <v>13.175048918071401</v>
      </c>
    </row>
    <row r="1096" spans="1:3" x14ac:dyDescent="0.35">
      <c r="A1096" s="302">
        <v>45070</v>
      </c>
      <c r="B1096" s="303">
        <v>345.50189999999998</v>
      </c>
      <c r="C1096" s="308">
        <v>13.1920237246556</v>
      </c>
    </row>
    <row r="1097" spans="1:3" x14ac:dyDescent="0.35">
      <c r="A1097" s="305">
        <v>45069</v>
      </c>
      <c r="B1097" s="306">
        <v>345.4153</v>
      </c>
      <c r="C1097" s="309">
        <v>13.2090121394408</v>
      </c>
    </row>
    <row r="1098" spans="1:3" x14ac:dyDescent="0.35">
      <c r="A1098" s="302">
        <v>45068</v>
      </c>
      <c r="B1098" s="303">
        <v>345.32870000000003</v>
      </c>
      <c r="C1098" s="308">
        <v>13.2260141787976</v>
      </c>
    </row>
    <row r="1099" spans="1:3" x14ac:dyDescent="0.35">
      <c r="A1099" s="305">
        <v>45067</v>
      </c>
      <c r="B1099" s="306">
        <v>345.24220000000003</v>
      </c>
      <c r="C1099" s="309">
        <v>13.2430255152715</v>
      </c>
    </row>
    <row r="1100" spans="1:3" x14ac:dyDescent="0.35">
      <c r="A1100" s="302">
        <v>45066</v>
      </c>
      <c r="B1100" s="303">
        <v>345.15570000000002</v>
      </c>
      <c r="C1100" s="308">
        <v>13.26001332912</v>
      </c>
    </row>
    <row r="1101" spans="1:3" x14ac:dyDescent="0.35">
      <c r="A1101" s="305">
        <v>45065</v>
      </c>
      <c r="B1101" s="306">
        <v>345.06920000000002</v>
      </c>
      <c r="C1101" s="309">
        <v>13.277014761138499</v>
      </c>
    </row>
    <row r="1102" spans="1:3" x14ac:dyDescent="0.35">
      <c r="A1102" s="302">
        <v>45064</v>
      </c>
      <c r="B1102" s="303">
        <v>344.98270000000002</v>
      </c>
      <c r="C1102" s="308">
        <v>13.294029827708901</v>
      </c>
    </row>
    <row r="1103" spans="1:3" x14ac:dyDescent="0.35">
      <c r="A1103" s="305">
        <v>45063</v>
      </c>
      <c r="B1103" s="306">
        <v>344.89620000000002</v>
      </c>
      <c r="C1103" s="309">
        <v>13.3110213184108</v>
      </c>
    </row>
    <row r="1104" spans="1:3" x14ac:dyDescent="0.35">
      <c r="A1104" s="302">
        <v>45062</v>
      </c>
      <c r="B1104" s="303">
        <v>344.8098</v>
      </c>
      <c r="C1104" s="308">
        <v>13.328022054951999</v>
      </c>
    </row>
    <row r="1105" spans="1:3" x14ac:dyDescent="0.35">
      <c r="A1105" s="305">
        <v>45061</v>
      </c>
      <c r="B1105" s="306">
        <v>344.72340000000003</v>
      </c>
      <c r="C1105" s="309">
        <v>13.3450364195264</v>
      </c>
    </row>
    <row r="1106" spans="1:3" x14ac:dyDescent="0.35">
      <c r="A1106" s="302">
        <v>45060</v>
      </c>
      <c r="B1106" s="303">
        <v>344.60340000000002</v>
      </c>
      <c r="C1106" s="308">
        <v>13.3431830635511</v>
      </c>
    </row>
    <row r="1107" spans="1:3" x14ac:dyDescent="0.35">
      <c r="A1107" s="305">
        <v>45059</v>
      </c>
      <c r="B1107" s="306">
        <v>344.48340000000002</v>
      </c>
      <c r="C1107" s="309">
        <v>13.341291185669499</v>
      </c>
    </row>
    <row r="1108" spans="1:3" x14ac:dyDescent="0.35">
      <c r="A1108" s="302">
        <v>45058</v>
      </c>
      <c r="B1108" s="303">
        <v>344.36349999999999</v>
      </c>
      <c r="C1108" s="308">
        <v>13.339430965218501</v>
      </c>
    </row>
    <row r="1109" spans="1:3" x14ac:dyDescent="0.35">
      <c r="A1109" s="305">
        <v>45057</v>
      </c>
      <c r="B1109" s="306">
        <v>344.24360000000001</v>
      </c>
      <c r="C1109" s="309">
        <v>13.3375695100631</v>
      </c>
    </row>
    <row r="1110" spans="1:3" x14ac:dyDescent="0.35">
      <c r="A1110" s="302">
        <v>45056</v>
      </c>
      <c r="B1110" s="303">
        <v>344.12380000000002</v>
      </c>
      <c r="C1110" s="308">
        <v>13.335702426915701</v>
      </c>
    </row>
    <row r="1111" spans="1:3" x14ac:dyDescent="0.35">
      <c r="A1111" s="305">
        <v>45055</v>
      </c>
      <c r="B1111" s="306">
        <v>344.00400000000002</v>
      </c>
      <c r="C1111" s="309">
        <v>13.3338341049169</v>
      </c>
    </row>
    <row r="1112" spans="1:3" x14ac:dyDescent="0.35">
      <c r="A1112" s="302">
        <v>45054</v>
      </c>
      <c r="B1112" s="303">
        <v>343.88420000000002</v>
      </c>
      <c r="C1112" s="308">
        <v>13.331964542833299</v>
      </c>
    </row>
    <row r="1113" spans="1:3" x14ac:dyDescent="0.35">
      <c r="A1113" s="305">
        <v>45053</v>
      </c>
      <c r="B1113" s="306">
        <v>343.7645</v>
      </c>
      <c r="C1113" s="309">
        <v>13.330089344849499</v>
      </c>
    </row>
    <row r="1114" spans="1:3" x14ac:dyDescent="0.35">
      <c r="A1114" s="302">
        <v>45052</v>
      </c>
      <c r="B1114" s="303">
        <v>343.64490000000001</v>
      </c>
      <c r="C1114" s="308">
        <v>13.3282458809279</v>
      </c>
    </row>
    <row r="1115" spans="1:3" x14ac:dyDescent="0.35">
      <c r="A1115" s="305">
        <v>45051</v>
      </c>
      <c r="B1115" s="306">
        <v>343.52519999999998</v>
      </c>
      <c r="C1115" s="309">
        <v>13.326330818674</v>
      </c>
    </row>
    <row r="1116" spans="1:3" x14ac:dyDescent="0.35">
      <c r="A1116" s="302">
        <v>45050</v>
      </c>
      <c r="B1116" s="303">
        <v>343.40559999999999</v>
      </c>
      <c r="C1116" s="308">
        <v>13.324484883605001</v>
      </c>
    </row>
    <row r="1117" spans="1:3" x14ac:dyDescent="0.35">
      <c r="A1117" s="305">
        <v>45049</v>
      </c>
      <c r="B1117" s="306">
        <v>343.28609999999998</v>
      </c>
      <c r="C1117" s="309">
        <v>13.3225959154677</v>
      </c>
    </row>
    <row r="1118" spans="1:3" x14ac:dyDescent="0.35">
      <c r="A1118" s="302">
        <v>45048</v>
      </c>
      <c r="B1118" s="303">
        <v>343.16660000000002</v>
      </c>
      <c r="C1118" s="308">
        <v>13.320743115639701</v>
      </c>
    </row>
    <row r="1119" spans="1:3" x14ac:dyDescent="0.35">
      <c r="A1119" s="305">
        <v>45047</v>
      </c>
      <c r="B1119" s="306">
        <v>343.0471</v>
      </c>
      <c r="C1119" s="309">
        <v>13.318851652956299</v>
      </c>
    </row>
    <row r="1120" spans="1:3" x14ac:dyDescent="0.35">
      <c r="A1120" s="302">
        <v>45046</v>
      </c>
      <c r="B1120" s="303">
        <v>342.92770000000002</v>
      </c>
      <c r="C1120" s="308">
        <v>13.316991979232499</v>
      </c>
    </row>
    <row r="1121" spans="1:3" x14ac:dyDescent="0.35">
      <c r="A1121" s="305">
        <v>45045</v>
      </c>
      <c r="B1121" s="306">
        <v>342.80829999999997</v>
      </c>
      <c r="C1121" s="309">
        <v>13.3151310711624</v>
      </c>
    </row>
    <row r="1122" spans="1:3" x14ac:dyDescent="0.35">
      <c r="A1122" s="302">
        <v>45044</v>
      </c>
      <c r="B1122" s="303">
        <v>342.68900000000002</v>
      </c>
      <c r="C1122" s="308">
        <v>13.3132645253619</v>
      </c>
    </row>
    <row r="1123" spans="1:3" x14ac:dyDescent="0.35">
      <c r="A1123" s="305">
        <v>45043</v>
      </c>
      <c r="B1123" s="306">
        <v>342.56970000000001</v>
      </c>
      <c r="C1123" s="309">
        <v>13.311396741066501</v>
      </c>
    </row>
    <row r="1124" spans="1:3" x14ac:dyDescent="0.35">
      <c r="A1124" s="302">
        <v>45042</v>
      </c>
      <c r="B1124" s="303">
        <v>342.45049999999998</v>
      </c>
      <c r="C1124" s="308">
        <v>13.3095608049086</v>
      </c>
    </row>
    <row r="1125" spans="1:3" x14ac:dyDescent="0.35">
      <c r="A1125" s="305">
        <v>45041</v>
      </c>
      <c r="B1125" s="306">
        <v>342.33120000000002</v>
      </c>
      <c r="C1125" s="309">
        <v>13.307653047377</v>
      </c>
    </row>
    <row r="1126" spans="1:3" x14ac:dyDescent="0.35">
      <c r="A1126" s="302">
        <v>45040</v>
      </c>
      <c r="B1126" s="303">
        <v>342.21210000000002</v>
      </c>
      <c r="C1126" s="308">
        <v>13.3058102436485</v>
      </c>
    </row>
    <row r="1127" spans="1:3" x14ac:dyDescent="0.35">
      <c r="A1127" s="305">
        <v>45039</v>
      </c>
      <c r="B1127" s="306">
        <v>342.09289999999999</v>
      </c>
      <c r="C1127" s="309">
        <v>13.3038955688017</v>
      </c>
    </row>
    <row r="1128" spans="1:3" x14ac:dyDescent="0.35">
      <c r="A1128" s="302">
        <v>45038</v>
      </c>
      <c r="B1128" s="303">
        <v>341.97390000000001</v>
      </c>
      <c r="C1128" s="308">
        <v>13.3020834265165</v>
      </c>
    </row>
    <row r="1129" spans="1:3" x14ac:dyDescent="0.35">
      <c r="A1129" s="305">
        <v>45037</v>
      </c>
      <c r="B1129" s="306">
        <v>341.85480000000001</v>
      </c>
      <c r="C1129" s="309">
        <v>13.300161836162699</v>
      </c>
    </row>
    <row r="1130" spans="1:3" x14ac:dyDescent="0.35">
      <c r="A1130" s="302">
        <v>45036</v>
      </c>
      <c r="B1130" s="303">
        <v>341.73579999999998</v>
      </c>
      <c r="C1130" s="308">
        <v>13.298309688062799</v>
      </c>
    </row>
    <row r="1131" spans="1:3" x14ac:dyDescent="0.35">
      <c r="A1131" s="305">
        <v>45035</v>
      </c>
      <c r="B1131" s="306">
        <v>341.61680000000001</v>
      </c>
      <c r="C1131" s="309">
        <v>13.296418735706</v>
      </c>
    </row>
    <row r="1132" spans="1:3" x14ac:dyDescent="0.35">
      <c r="A1132" s="302">
        <v>45034</v>
      </c>
      <c r="B1132" s="303">
        <v>341.49790000000002</v>
      </c>
      <c r="C1132" s="308">
        <v>13.294559704443699</v>
      </c>
    </row>
    <row r="1133" spans="1:3" x14ac:dyDescent="0.35">
      <c r="A1133" s="305">
        <v>45033</v>
      </c>
      <c r="B1133" s="306">
        <v>341.37900000000002</v>
      </c>
      <c r="C1133" s="309">
        <v>13.292699439276101</v>
      </c>
    </row>
    <row r="1134" spans="1:3" x14ac:dyDescent="0.35">
      <c r="A1134" s="302">
        <v>45032</v>
      </c>
      <c r="B1134" s="303">
        <v>341.2602</v>
      </c>
      <c r="C1134" s="308">
        <v>13.290833526710401</v>
      </c>
    </row>
    <row r="1135" spans="1:3" x14ac:dyDescent="0.35">
      <c r="A1135" s="305">
        <v>45031</v>
      </c>
      <c r="B1135" s="306">
        <v>341.14139999999998</v>
      </c>
      <c r="C1135" s="309">
        <v>13.2889663760897</v>
      </c>
    </row>
    <row r="1136" spans="1:3" x14ac:dyDescent="0.35">
      <c r="A1136" s="302">
        <v>45030</v>
      </c>
      <c r="B1136" s="303">
        <v>340.96019999999999</v>
      </c>
      <c r="C1136" s="308">
        <v>13.287857845352301</v>
      </c>
    </row>
    <row r="1137" spans="1:3" x14ac:dyDescent="0.35">
      <c r="A1137" s="305">
        <v>45029</v>
      </c>
      <c r="B1137" s="306">
        <v>340.7792</v>
      </c>
      <c r="C1137" s="309">
        <v>13.286776983960999</v>
      </c>
    </row>
    <row r="1138" spans="1:3" x14ac:dyDescent="0.35">
      <c r="A1138" s="302">
        <v>45028</v>
      </c>
      <c r="B1138" s="303">
        <v>340.59829999999999</v>
      </c>
      <c r="C1138" s="308">
        <v>13.285728255251399</v>
      </c>
    </row>
    <row r="1139" spans="1:3" x14ac:dyDescent="0.35">
      <c r="A1139" s="305">
        <v>45027</v>
      </c>
      <c r="B1139" s="306">
        <v>340.41739999999999</v>
      </c>
      <c r="C1139" s="309">
        <v>13.2846407323325</v>
      </c>
    </row>
    <row r="1140" spans="1:3" x14ac:dyDescent="0.35">
      <c r="A1140" s="302">
        <v>45026</v>
      </c>
      <c r="B1140" s="303">
        <v>340.23669999999998</v>
      </c>
      <c r="C1140" s="308">
        <v>13.283543228226099</v>
      </c>
    </row>
    <row r="1141" spans="1:3" x14ac:dyDescent="0.35">
      <c r="A1141" s="305">
        <v>45025</v>
      </c>
      <c r="B1141" s="306">
        <v>340.05610000000001</v>
      </c>
      <c r="C1141" s="309">
        <v>13.2825156295753</v>
      </c>
    </row>
    <row r="1142" spans="1:3" x14ac:dyDescent="0.35">
      <c r="A1142" s="302">
        <v>45024</v>
      </c>
      <c r="B1142" s="303">
        <v>339.87549999999999</v>
      </c>
      <c r="C1142" s="308">
        <v>13.281411443480501</v>
      </c>
    </row>
    <row r="1143" spans="1:3" x14ac:dyDescent="0.35">
      <c r="A1143" s="305">
        <v>45023</v>
      </c>
      <c r="B1143" s="306">
        <v>339.69499999999999</v>
      </c>
      <c r="C1143" s="309">
        <v>13.2803016761863</v>
      </c>
    </row>
    <row r="1144" spans="1:3" x14ac:dyDescent="0.35">
      <c r="A1144" s="302">
        <v>45022</v>
      </c>
      <c r="B1144" s="303">
        <v>339.5147</v>
      </c>
      <c r="C1144" s="308">
        <v>13.2792574807784</v>
      </c>
    </row>
    <row r="1145" spans="1:3" x14ac:dyDescent="0.35">
      <c r="A1145" s="305">
        <v>45021</v>
      </c>
      <c r="B1145" s="306">
        <v>339.33440000000002</v>
      </c>
      <c r="C1145" s="309">
        <v>13.2781743799625</v>
      </c>
    </row>
    <row r="1146" spans="1:3" x14ac:dyDescent="0.35">
      <c r="A1146" s="302">
        <v>45020</v>
      </c>
      <c r="B1146" s="303">
        <v>339.15429999999998</v>
      </c>
      <c r="C1146" s="308">
        <v>13.2771191136474</v>
      </c>
    </row>
    <row r="1147" spans="1:3" x14ac:dyDescent="0.35">
      <c r="A1147" s="305">
        <v>45019</v>
      </c>
      <c r="B1147" s="306">
        <v>338.9742</v>
      </c>
      <c r="C1147" s="309">
        <v>13.276024891878301</v>
      </c>
    </row>
    <row r="1148" spans="1:3" x14ac:dyDescent="0.35">
      <c r="A1148" s="302">
        <v>45018</v>
      </c>
      <c r="B1148" s="303">
        <v>338.79419999999999</v>
      </c>
      <c r="C1148" s="308">
        <v>13.2749250894881</v>
      </c>
    </row>
    <row r="1149" spans="1:3" x14ac:dyDescent="0.35">
      <c r="A1149" s="305">
        <v>45017</v>
      </c>
      <c r="B1149" s="306">
        <v>338.61430000000001</v>
      </c>
      <c r="C1149" s="309">
        <v>13.273857591403001</v>
      </c>
    </row>
    <row r="1150" spans="1:3" x14ac:dyDescent="0.35">
      <c r="A1150" s="302">
        <v>45016</v>
      </c>
      <c r="B1150" s="303">
        <v>338.43450000000001</v>
      </c>
      <c r="C1150" s="308">
        <v>13.272746624253999</v>
      </c>
    </row>
    <row r="1151" spans="1:3" x14ac:dyDescent="0.35">
      <c r="A1151" s="305">
        <v>45015</v>
      </c>
      <c r="B1151" s="306">
        <v>338.25479999999999</v>
      </c>
      <c r="C1151" s="309">
        <v>13.2716679849415</v>
      </c>
    </row>
    <row r="1152" spans="1:3" x14ac:dyDescent="0.35">
      <c r="A1152" s="302">
        <v>45014</v>
      </c>
      <c r="B1152" s="303">
        <v>338.0752</v>
      </c>
      <c r="C1152" s="308">
        <v>13.2706217240912</v>
      </c>
    </row>
    <row r="1153" spans="1:3" x14ac:dyDescent="0.35">
      <c r="A1153" s="305">
        <v>45013</v>
      </c>
      <c r="B1153" s="306">
        <v>337.89569999999998</v>
      </c>
      <c r="C1153" s="309">
        <v>13.2695319518677</v>
      </c>
    </row>
    <row r="1154" spans="1:3" x14ac:dyDescent="0.35">
      <c r="A1154" s="302">
        <v>45012</v>
      </c>
      <c r="B1154" s="303">
        <v>337.71629999999999</v>
      </c>
      <c r="C1154" s="308">
        <v>13.2684365920222</v>
      </c>
    </row>
    <row r="1155" spans="1:3" x14ac:dyDescent="0.35">
      <c r="A1155" s="305">
        <v>45011</v>
      </c>
      <c r="B1155" s="306">
        <v>337.53699999999998</v>
      </c>
      <c r="C1155" s="309">
        <v>13.2673736460579</v>
      </c>
    </row>
    <row r="1156" spans="1:3" x14ac:dyDescent="0.35">
      <c r="A1156" s="302">
        <v>45010</v>
      </c>
      <c r="B1156" s="303">
        <v>337.3578</v>
      </c>
      <c r="C1156" s="308">
        <v>13.266305136097699</v>
      </c>
    </row>
    <row r="1157" spans="1:3" x14ac:dyDescent="0.35">
      <c r="A1157" s="305">
        <v>45009</v>
      </c>
      <c r="B1157" s="306">
        <v>337.17869999999999</v>
      </c>
      <c r="C1157" s="309">
        <v>13.265231054504801</v>
      </c>
    </row>
    <row r="1158" spans="1:3" x14ac:dyDescent="0.35">
      <c r="A1158" s="302">
        <v>45008</v>
      </c>
      <c r="B1158" s="303">
        <v>336.99970000000002</v>
      </c>
      <c r="C1158" s="308">
        <v>13.264151393637601</v>
      </c>
    </row>
    <row r="1159" spans="1:3" x14ac:dyDescent="0.35">
      <c r="A1159" s="305">
        <v>45007</v>
      </c>
      <c r="B1159" s="306">
        <v>336.82069999999999</v>
      </c>
      <c r="C1159" s="309">
        <v>13.2630706058361</v>
      </c>
    </row>
    <row r="1160" spans="1:3" x14ac:dyDescent="0.35">
      <c r="A1160" s="302">
        <v>45006</v>
      </c>
      <c r="B1160" s="303">
        <v>336.64190000000002</v>
      </c>
      <c r="C1160" s="308">
        <v>13.2619797654362</v>
      </c>
    </row>
    <row r="1161" spans="1:3" x14ac:dyDescent="0.35">
      <c r="A1161" s="305">
        <v>45005</v>
      </c>
      <c r="B1161" s="306">
        <v>336.46319999999997</v>
      </c>
      <c r="C1161" s="309">
        <v>13.260921448915401</v>
      </c>
    </row>
    <row r="1162" spans="1:3" x14ac:dyDescent="0.35">
      <c r="A1162" s="302">
        <v>45004</v>
      </c>
      <c r="B1162" s="303">
        <v>336.28449999999998</v>
      </c>
      <c r="C1162" s="308">
        <v>13.259823881781299</v>
      </c>
    </row>
    <row r="1163" spans="1:3" x14ac:dyDescent="0.35">
      <c r="A1163" s="305">
        <v>45003</v>
      </c>
      <c r="B1163" s="306">
        <v>336.10599999999999</v>
      </c>
      <c r="C1163" s="309">
        <v>13.2587543983442</v>
      </c>
    </row>
    <row r="1164" spans="1:3" x14ac:dyDescent="0.35">
      <c r="A1164" s="302">
        <v>45002</v>
      </c>
      <c r="B1164" s="303">
        <v>335.92750000000001</v>
      </c>
      <c r="C1164" s="308">
        <v>13.2576837985655</v>
      </c>
    </row>
    <row r="1165" spans="1:3" x14ac:dyDescent="0.35">
      <c r="A1165" s="305">
        <v>45001</v>
      </c>
      <c r="B1165" s="306">
        <v>335.74919999999997</v>
      </c>
      <c r="C1165" s="309">
        <v>13.2566031371226</v>
      </c>
    </row>
    <row r="1166" spans="1:3" x14ac:dyDescent="0.35">
      <c r="A1166" s="302">
        <v>45000</v>
      </c>
      <c r="B1166" s="303">
        <v>335.57089999999999</v>
      </c>
      <c r="C1166" s="308">
        <v>13.255521347952101</v>
      </c>
    </row>
    <row r="1167" spans="1:3" x14ac:dyDescent="0.35">
      <c r="A1167" s="305">
        <v>44999</v>
      </c>
      <c r="B1167" s="306">
        <v>335.35950000000003</v>
      </c>
      <c r="C1167" s="309">
        <v>13.2511774783272</v>
      </c>
    </row>
    <row r="1168" spans="1:3" x14ac:dyDescent="0.35">
      <c r="A1168" s="302">
        <v>44998</v>
      </c>
      <c r="B1168" s="303">
        <v>335.14830000000001</v>
      </c>
      <c r="C1168" s="308">
        <v>13.246819510382</v>
      </c>
    </row>
    <row r="1169" spans="1:3" x14ac:dyDescent="0.35">
      <c r="A1169" s="305">
        <v>44997</v>
      </c>
      <c r="B1169" s="306">
        <v>334.93709999999999</v>
      </c>
      <c r="C1169" s="309">
        <v>13.242418095141501</v>
      </c>
    </row>
    <row r="1170" spans="1:3" x14ac:dyDescent="0.35">
      <c r="A1170" s="302">
        <v>44996</v>
      </c>
      <c r="B1170" s="303">
        <v>334.72620000000001</v>
      </c>
      <c r="C1170" s="308">
        <v>13.238074650087199</v>
      </c>
    </row>
    <row r="1171" spans="1:3" x14ac:dyDescent="0.35">
      <c r="A1171" s="305">
        <v>44995</v>
      </c>
      <c r="B1171" s="306">
        <v>334.51530000000002</v>
      </c>
      <c r="C1171" s="309">
        <v>13.233649402681699</v>
      </c>
    </row>
    <row r="1172" spans="1:3" x14ac:dyDescent="0.35">
      <c r="A1172" s="302">
        <v>44994</v>
      </c>
      <c r="B1172" s="303">
        <v>334.30459999999999</v>
      </c>
      <c r="C1172" s="308">
        <v>13.229286658535599</v>
      </c>
    </row>
    <row r="1173" spans="1:3" x14ac:dyDescent="0.35">
      <c r="A1173" s="305">
        <v>44993</v>
      </c>
      <c r="B1173" s="306">
        <v>334.09399999999999</v>
      </c>
      <c r="C1173" s="309">
        <v>13.2249142664259</v>
      </c>
    </row>
    <row r="1174" spans="1:3" x14ac:dyDescent="0.35">
      <c r="A1174" s="302">
        <v>44992</v>
      </c>
      <c r="B1174" s="303">
        <v>333.88350000000003</v>
      </c>
      <c r="C1174" s="308">
        <v>13.220532213664001</v>
      </c>
    </row>
    <row r="1175" spans="1:3" x14ac:dyDescent="0.35">
      <c r="A1175" s="305">
        <v>44991</v>
      </c>
      <c r="B1175" s="306">
        <v>333.67320000000001</v>
      </c>
      <c r="C1175" s="309">
        <v>13.2161744178077</v>
      </c>
    </row>
    <row r="1176" spans="1:3" x14ac:dyDescent="0.35">
      <c r="A1176" s="302">
        <v>44990</v>
      </c>
      <c r="B1176" s="303">
        <v>333.46300000000002</v>
      </c>
      <c r="C1176" s="308">
        <v>13.211806976047001</v>
      </c>
    </row>
    <row r="1177" spans="1:3" x14ac:dyDescent="0.35">
      <c r="A1177" s="305">
        <v>44989</v>
      </c>
      <c r="B1177" s="306">
        <v>333.25299999999999</v>
      </c>
      <c r="C1177" s="309">
        <v>13.2074253890801</v>
      </c>
    </row>
    <row r="1178" spans="1:3" x14ac:dyDescent="0.35">
      <c r="A1178" s="302">
        <v>44988</v>
      </c>
      <c r="B1178" s="303">
        <v>333.04309999999998</v>
      </c>
      <c r="C1178" s="308">
        <v>13.203072606804101</v>
      </c>
    </row>
    <row r="1179" spans="1:3" x14ac:dyDescent="0.35">
      <c r="A1179" s="305">
        <v>44987</v>
      </c>
      <c r="B1179" s="306">
        <v>332.83330000000001</v>
      </c>
      <c r="C1179" s="309">
        <v>13.1987101807767</v>
      </c>
    </row>
    <row r="1180" spans="1:3" x14ac:dyDescent="0.35">
      <c r="A1180" s="302">
        <v>44986</v>
      </c>
      <c r="B1180" s="303">
        <v>332.62360000000001</v>
      </c>
      <c r="C1180" s="308">
        <v>13.1942995774402</v>
      </c>
    </row>
    <row r="1181" spans="1:3" x14ac:dyDescent="0.35">
      <c r="A1181" s="305">
        <v>44985</v>
      </c>
      <c r="B1181" s="306">
        <v>332.41410000000002</v>
      </c>
      <c r="C1181" s="309">
        <v>13.1899518554499</v>
      </c>
    </row>
    <row r="1182" spans="1:3" x14ac:dyDescent="0.35">
      <c r="A1182" s="302">
        <v>44984</v>
      </c>
      <c r="B1182" s="303">
        <v>332.2047</v>
      </c>
      <c r="C1182" s="308">
        <v>13.185594491939501</v>
      </c>
    </row>
    <row r="1183" spans="1:3" x14ac:dyDescent="0.35">
      <c r="A1183" s="305">
        <v>44983</v>
      </c>
      <c r="B1183" s="306">
        <v>331.99540000000002</v>
      </c>
      <c r="C1183" s="309">
        <v>13.1811888894078</v>
      </c>
    </row>
    <row r="1184" spans="1:3" x14ac:dyDescent="0.35">
      <c r="A1184" s="302">
        <v>44982</v>
      </c>
      <c r="B1184" s="303">
        <v>331.78629999999998</v>
      </c>
      <c r="C1184" s="308">
        <v>13.176846294857301</v>
      </c>
    </row>
    <row r="1185" spans="1:3" x14ac:dyDescent="0.35">
      <c r="A1185" s="305">
        <v>44981</v>
      </c>
      <c r="B1185" s="306">
        <v>331.57729999999998</v>
      </c>
      <c r="C1185" s="309">
        <v>13.1724554335884</v>
      </c>
    </row>
    <row r="1186" spans="1:3" x14ac:dyDescent="0.35">
      <c r="A1186" s="302">
        <v>44980</v>
      </c>
      <c r="B1186" s="303">
        <v>331.36840000000001</v>
      </c>
      <c r="C1186" s="308">
        <v>13.168093526604901</v>
      </c>
    </row>
    <row r="1187" spans="1:3" x14ac:dyDescent="0.35">
      <c r="A1187" s="305">
        <v>44979</v>
      </c>
      <c r="B1187" s="306">
        <v>331.15969999999999</v>
      </c>
      <c r="C1187" s="309">
        <v>13.1637174567733</v>
      </c>
    </row>
    <row r="1188" spans="1:3" x14ac:dyDescent="0.35">
      <c r="A1188" s="302">
        <v>44978</v>
      </c>
      <c r="B1188" s="303">
        <v>330.9511</v>
      </c>
      <c r="C1188" s="308">
        <v>13.159370399015801</v>
      </c>
    </row>
    <row r="1189" spans="1:3" x14ac:dyDescent="0.35">
      <c r="A1189" s="305">
        <v>44977</v>
      </c>
      <c r="B1189" s="306">
        <v>330.74259999999998</v>
      </c>
      <c r="C1189" s="309">
        <v>13.154974978762599</v>
      </c>
    </row>
    <row r="1190" spans="1:3" x14ac:dyDescent="0.35">
      <c r="A1190" s="302">
        <v>44976</v>
      </c>
      <c r="B1190" s="303">
        <v>330.53429999999997</v>
      </c>
      <c r="C1190" s="308">
        <v>13.1506428206606</v>
      </c>
    </row>
    <row r="1191" spans="1:3" x14ac:dyDescent="0.35">
      <c r="A1191" s="305">
        <v>44975</v>
      </c>
      <c r="B1191" s="306">
        <v>330.32600000000002</v>
      </c>
      <c r="C1191" s="309">
        <v>13.146228019487101</v>
      </c>
    </row>
    <row r="1192" spans="1:3" x14ac:dyDescent="0.35">
      <c r="A1192" s="302">
        <v>44974</v>
      </c>
      <c r="B1192" s="303">
        <v>330.11799999999999</v>
      </c>
      <c r="C1192" s="308">
        <v>13.141872034300601</v>
      </c>
    </row>
    <row r="1193" spans="1:3" x14ac:dyDescent="0.35">
      <c r="A1193" s="305">
        <v>44973</v>
      </c>
      <c r="B1193" s="306">
        <v>329.91</v>
      </c>
      <c r="C1193" s="309">
        <v>13.137510892456101</v>
      </c>
    </row>
    <row r="1194" spans="1:3" x14ac:dyDescent="0.35">
      <c r="A1194" s="302">
        <v>44972</v>
      </c>
      <c r="B1194" s="303">
        <v>329.7022</v>
      </c>
      <c r="C1194" s="308">
        <v>13.1331355718469</v>
      </c>
    </row>
    <row r="1195" spans="1:3" x14ac:dyDescent="0.35">
      <c r="A1195" s="305">
        <v>44971</v>
      </c>
      <c r="B1195" s="306">
        <v>329.56900000000002</v>
      </c>
      <c r="C1195" s="309">
        <v>13.1139782008587</v>
      </c>
    </row>
    <row r="1196" spans="1:3" x14ac:dyDescent="0.35">
      <c r="A1196" s="302">
        <v>44970</v>
      </c>
      <c r="B1196" s="303">
        <v>329.4359</v>
      </c>
      <c r="C1196" s="308">
        <v>13.094807337522001</v>
      </c>
    </row>
    <row r="1197" spans="1:3" x14ac:dyDescent="0.35">
      <c r="A1197" s="305">
        <v>44969</v>
      </c>
      <c r="B1197" s="306">
        <v>329.30290000000002</v>
      </c>
      <c r="C1197" s="309">
        <v>13.0756618198737</v>
      </c>
    </row>
    <row r="1198" spans="1:3" x14ac:dyDescent="0.35">
      <c r="A1198" s="302">
        <v>44968</v>
      </c>
      <c r="B1198" s="303">
        <v>329.16989999999998</v>
      </c>
      <c r="C1198" s="308">
        <v>13.056546150144699</v>
      </c>
    </row>
    <row r="1199" spans="1:3" x14ac:dyDescent="0.35">
      <c r="A1199" s="305">
        <v>44967</v>
      </c>
      <c r="B1199" s="306">
        <v>329.03699999999998</v>
      </c>
      <c r="C1199" s="309">
        <v>13.0374170178792</v>
      </c>
    </row>
    <row r="1200" spans="1:3" x14ac:dyDescent="0.35">
      <c r="A1200" s="302">
        <v>44966</v>
      </c>
      <c r="B1200" s="303">
        <v>328.90410000000003</v>
      </c>
      <c r="C1200" s="308">
        <v>13.018278906667399</v>
      </c>
    </row>
    <row r="1201" spans="1:3" x14ac:dyDescent="0.35">
      <c r="A1201" s="305">
        <v>44965</v>
      </c>
      <c r="B1201" s="306">
        <v>328.7713</v>
      </c>
      <c r="C1201" s="309">
        <v>12.9991273423674</v>
      </c>
    </row>
    <row r="1202" spans="1:3" x14ac:dyDescent="0.35">
      <c r="A1202" s="302">
        <v>44964</v>
      </c>
      <c r="B1202" s="303">
        <v>328.63850000000002</v>
      </c>
      <c r="C1202" s="308">
        <v>12.980005638025</v>
      </c>
    </row>
    <row r="1203" spans="1:3" x14ac:dyDescent="0.35">
      <c r="A1203" s="305">
        <v>44963</v>
      </c>
      <c r="B1203" s="306">
        <v>328.50580000000002</v>
      </c>
      <c r="C1203" s="309">
        <v>12.960870495141601</v>
      </c>
    </row>
    <row r="1204" spans="1:3" x14ac:dyDescent="0.35">
      <c r="A1204" s="302">
        <v>44962</v>
      </c>
      <c r="B1204" s="303">
        <v>328.37310000000002</v>
      </c>
      <c r="C1204" s="308">
        <v>12.9417652207859</v>
      </c>
    </row>
    <row r="1205" spans="1:3" x14ac:dyDescent="0.35">
      <c r="A1205" s="305">
        <v>44961</v>
      </c>
      <c r="B1205" s="306">
        <v>328.2405</v>
      </c>
      <c r="C1205" s="309">
        <v>12.922646522449501</v>
      </c>
    </row>
    <row r="1206" spans="1:3" x14ac:dyDescent="0.35">
      <c r="A1206" s="302">
        <v>44960</v>
      </c>
      <c r="B1206" s="303">
        <v>328.108</v>
      </c>
      <c r="C1206" s="308">
        <v>12.903553261064401</v>
      </c>
    </row>
    <row r="1207" spans="1:3" x14ac:dyDescent="0.35">
      <c r="A1207" s="305">
        <v>44959</v>
      </c>
      <c r="B1207" s="306">
        <v>327.97550000000001</v>
      </c>
      <c r="C1207" s="309">
        <v>12.884412182789999</v>
      </c>
    </row>
    <row r="1208" spans="1:3" x14ac:dyDescent="0.35">
      <c r="A1208" s="302">
        <v>44958</v>
      </c>
      <c r="B1208" s="303">
        <v>327.84300000000002</v>
      </c>
      <c r="C1208" s="308">
        <v>12.8653009851525</v>
      </c>
    </row>
    <row r="1209" spans="1:3" x14ac:dyDescent="0.35">
      <c r="A1209" s="305">
        <v>44957</v>
      </c>
      <c r="B1209" s="306">
        <v>327.7106</v>
      </c>
      <c r="C1209" s="309">
        <v>12.846176387641099</v>
      </c>
    </row>
    <row r="1210" spans="1:3" x14ac:dyDescent="0.35">
      <c r="A1210" s="302">
        <v>44956</v>
      </c>
      <c r="B1210" s="303">
        <v>327.57830000000001</v>
      </c>
      <c r="C1210" s="308">
        <v>12.8271161221548</v>
      </c>
    </row>
    <row r="1211" spans="1:3" x14ac:dyDescent="0.35">
      <c r="A1211" s="305">
        <v>44955</v>
      </c>
      <c r="B1211" s="306">
        <v>327.44600000000003</v>
      </c>
      <c r="C1211" s="309">
        <v>12.8080080366998</v>
      </c>
    </row>
    <row r="1212" spans="1:3" x14ac:dyDescent="0.35">
      <c r="A1212" s="302">
        <v>44954</v>
      </c>
      <c r="B1212" s="303">
        <v>327.31380000000001</v>
      </c>
      <c r="C1212" s="308">
        <v>12.788925442186001</v>
      </c>
    </row>
    <row r="1213" spans="1:3" x14ac:dyDescent="0.35">
      <c r="A1213" s="305">
        <v>44953</v>
      </c>
      <c r="B1213" s="306">
        <v>327.1816</v>
      </c>
      <c r="C1213" s="309">
        <v>12.769833889516599</v>
      </c>
    </row>
    <row r="1214" spans="1:3" x14ac:dyDescent="0.35">
      <c r="A1214" s="302">
        <v>44952</v>
      </c>
      <c r="B1214" s="303">
        <v>327.04950000000002</v>
      </c>
      <c r="C1214" s="308">
        <v>12.7507289765507</v>
      </c>
    </row>
    <row r="1215" spans="1:3" x14ac:dyDescent="0.35">
      <c r="A1215" s="305">
        <v>44951</v>
      </c>
      <c r="B1215" s="306">
        <v>326.91739999999999</v>
      </c>
      <c r="C1215" s="309">
        <v>12.731653977415499</v>
      </c>
    </row>
    <row r="1216" spans="1:3" x14ac:dyDescent="0.35">
      <c r="A1216" s="302">
        <v>44950</v>
      </c>
      <c r="B1216" s="303">
        <v>326.78539999999998</v>
      </c>
      <c r="C1216" s="308">
        <v>12.7125656326517</v>
      </c>
    </row>
    <row r="1217" spans="1:3" x14ac:dyDescent="0.35">
      <c r="A1217" s="305">
        <v>44949</v>
      </c>
      <c r="B1217" s="306">
        <v>326.65339999999998</v>
      </c>
      <c r="C1217" s="309">
        <v>12.6934683317918</v>
      </c>
    </row>
    <row r="1218" spans="1:3" x14ac:dyDescent="0.35">
      <c r="A1218" s="302">
        <v>44948</v>
      </c>
      <c r="B1218" s="303">
        <v>326.5215</v>
      </c>
      <c r="C1218" s="308">
        <v>12.6743965760281</v>
      </c>
    </row>
    <row r="1219" spans="1:3" x14ac:dyDescent="0.35">
      <c r="A1219" s="305">
        <v>44947</v>
      </c>
      <c r="B1219" s="306">
        <v>326.38959999999997</v>
      </c>
      <c r="C1219" s="309">
        <v>12.655315867751399</v>
      </c>
    </row>
    <row r="1220" spans="1:3" x14ac:dyDescent="0.35">
      <c r="A1220" s="302">
        <v>44946</v>
      </c>
      <c r="B1220" s="303">
        <v>326.25779999999997</v>
      </c>
      <c r="C1220" s="308">
        <v>12.6362607243555</v>
      </c>
    </row>
    <row r="1221" spans="1:3" x14ac:dyDescent="0.35">
      <c r="A1221" s="305">
        <v>44945</v>
      </c>
      <c r="B1221" s="306">
        <v>326.12610000000001</v>
      </c>
      <c r="C1221" s="309">
        <v>12.617192275099599</v>
      </c>
    </row>
    <row r="1222" spans="1:3" x14ac:dyDescent="0.35">
      <c r="A1222" s="302">
        <v>44944</v>
      </c>
      <c r="B1222" s="303">
        <v>325.99439999999998</v>
      </c>
      <c r="C1222" s="308">
        <v>12.5981537730355</v>
      </c>
    </row>
    <row r="1223" spans="1:3" x14ac:dyDescent="0.35">
      <c r="A1223" s="305">
        <v>44943</v>
      </c>
      <c r="B1223" s="306">
        <v>325.86270000000002</v>
      </c>
      <c r="C1223" s="309">
        <v>12.579067431835901</v>
      </c>
    </row>
    <row r="1224" spans="1:3" x14ac:dyDescent="0.35">
      <c r="A1224" s="302">
        <v>44942</v>
      </c>
      <c r="B1224" s="303">
        <v>325.73110000000003</v>
      </c>
      <c r="C1224" s="308">
        <v>12.5600066900634</v>
      </c>
    </row>
    <row r="1225" spans="1:3" x14ac:dyDescent="0.35">
      <c r="A1225" s="305">
        <v>44941</v>
      </c>
      <c r="B1225" s="306">
        <v>325.59960000000001</v>
      </c>
      <c r="C1225" s="309">
        <v>12.540971565742</v>
      </c>
    </row>
    <row r="1226" spans="1:3" x14ac:dyDescent="0.35">
      <c r="A1226" s="302">
        <v>44940</v>
      </c>
      <c r="B1226" s="303">
        <v>325.51900000000001</v>
      </c>
      <c r="C1226" s="308">
        <v>12.531238127437399</v>
      </c>
    </row>
    <row r="1227" spans="1:3" x14ac:dyDescent="0.35">
      <c r="A1227" s="305">
        <v>44939</v>
      </c>
      <c r="B1227" s="306">
        <v>325.43849999999998</v>
      </c>
      <c r="C1227" s="309">
        <v>12.5214972232537</v>
      </c>
    </row>
    <row r="1228" spans="1:3" x14ac:dyDescent="0.35">
      <c r="A1228" s="302">
        <v>44938</v>
      </c>
      <c r="B1228" s="303">
        <v>325.358</v>
      </c>
      <c r="C1228" s="308">
        <v>12.511753186371401</v>
      </c>
    </row>
    <row r="1229" spans="1:3" x14ac:dyDescent="0.35">
      <c r="A1229" s="305">
        <v>44937</v>
      </c>
      <c r="B1229" s="306">
        <v>325.27749999999997</v>
      </c>
      <c r="C1229" s="309">
        <v>12.5020060152789</v>
      </c>
    </row>
    <row r="1230" spans="1:3" x14ac:dyDescent="0.35">
      <c r="A1230" s="302">
        <v>44936</v>
      </c>
      <c r="B1230" s="303">
        <v>325.197</v>
      </c>
      <c r="C1230" s="308">
        <v>12.492294621836299</v>
      </c>
    </row>
    <row r="1231" spans="1:3" x14ac:dyDescent="0.35">
      <c r="A1231" s="305">
        <v>44935</v>
      </c>
      <c r="B1231" s="306">
        <v>325.11649999999997</v>
      </c>
      <c r="C1231" s="309">
        <v>12.482541180671101</v>
      </c>
    </row>
    <row r="1232" spans="1:3" x14ac:dyDescent="0.35">
      <c r="A1232" s="302">
        <v>44934</v>
      </c>
      <c r="B1232" s="303">
        <v>325.03609999999998</v>
      </c>
      <c r="C1232" s="308">
        <v>12.472819203933099</v>
      </c>
    </row>
    <row r="1233" spans="1:3" x14ac:dyDescent="0.35">
      <c r="A1233" s="305">
        <v>44933</v>
      </c>
      <c r="B1233" s="306">
        <v>324.95569999999998</v>
      </c>
      <c r="C1233" s="309">
        <v>12.4630940980666</v>
      </c>
    </row>
    <row r="1234" spans="1:3" x14ac:dyDescent="0.35">
      <c r="A1234" s="302">
        <v>44932</v>
      </c>
      <c r="B1234" s="303">
        <v>324.87529999999998</v>
      </c>
      <c r="C1234" s="308">
        <v>12.4533269366098</v>
      </c>
    </row>
    <row r="1235" spans="1:3" x14ac:dyDescent="0.35">
      <c r="A1235" s="305">
        <v>44931</v>
      </c>
      <c r="B1235" s="306">
        <v>324.79489999999998</v>
      </c>
      <c r="C1235" s="309">
        <v>12.443595565055199</v>
      </c>
    </row>
    <row r="1236" spans="1:3" x14ac:dyDescent="0.35">
      <c r="A1236" s="302">
        <v>44930</v>
      </c>
      <c r="B1236" s="303">
        <v>324.71449999999999</v>
      </c>
      <c r="C1236" s="308">
        <v>12.4338610598366</v>
      </c>
    </row>
    <row r="1237" spans="1:3" x14ac:dyDescent="0.35">
      <c r="A1237" s="305">
        <v>44929</v>
      </c>
      <c r="B1237" s="306">
        <v>324.63420000000002</v>
      </c>
      <c r="C1237" s="309">
        <v>12.424119116839799</v>
      </c>
    </row>
    <row r="1238" spans="1:3" x14ac:dyDescent="0.35">
      <c r="A1238" s="302">
        <v>44928</v>
      </c>
      <c r="B1238" s="303">
        <v>324.5539</v>
      </c>
      <c r="C1238" s="308">
        <v>12.4144129790241</v>
      </c>
    </row>
    <row r="1239" spans="1:3" x14ac:dyDescent="0.35">
      <c r="A1239" s="305">
        <v>44927</v>
      </c>
      <c r="B1239" s="306">
        <v>324.47359999999998</v>
      </c>
      <c r="C1239" s="309">
        <v>12.4046647747428</v>
      </c>
    </row>
    <row r="1240" spans="1:3" x14ac:dyDescent="0.35">
      <c r="A1240" s="302">
        <v>44926</v>
      </c>
      <c r="B1240" s="303">
        <v>324.39330000000001</v>
      </c>
      <c r="C1240" s="308">
        <v>12.394952378411499</v>
      </c>
    </row>
    <row r="1241" spans="1:3" x14ac:dyDescent="0.35">
      <c r="A1241" s="305">
        <v>44925</v>
      </c>
      <c r="B1241" s="306">
        <v>324.31310000000002</v>
      </c>
      <c r="C1241" s="309">
        <v>12.385232560114</v>
      </c>
    </row>
    <row r="1242" spans="1:3" x14ac:dyDescent="0.35">
      <c r="A1242" s="302">
        <v>44924</v>
      </c>
      <c r="B1242" s="303">
        <v>324.2328</v>
      </c>
      <c r="C1242" s="308">
        <v>12.3754749567024</v>
      </c>
    </row>
    <row r="1243" spans="1:3" x14ac:dyDescent="0.35">
      <c r="A1243" s="305">
        <v>44923</v>
      </c>
      <c r="B1243" s="306">
        <v>324.15260000000001</v>
      </c>
      <c r="C1243" s="309">
        <v>12.3657878298584</v>
      </c>
    </row>
    <row r="1244" spans="1:3" x14ac:dyDescent="0.35">
      <c r="A1244" s="302">
        <v>44922</v>
      </c>
      <c r="B1244" s="303">
        <v>324.07240000000002</v>
      </c>
      <c r="C1244" s="308">
        <v>12.356058625665399</v>
      </c>
    </row>
    <row r="1245" spans="1:3" x14ac:dyDescent="0.35">
      <c r="A1245" s="305">
        <v>44921</v>
      </c>
      <c r="B1245" s="306">
        <v>323.99220000000003</v>
      </c>
      <c r="C1245" s="309">
        <v>12.346326290713501</v>
      </c>
    </row>
    <row r="1246" spans="1:3" x14ac:dyDescent="0.35">
      <c r="A1246" s="302">
        <v>44920</v>
      </c>
      <c r="B1246" s="303">
        <v>323.91210000000001</v>
      </c>
      <c r="C1246" s="308">
        <v>12.336625504698301</v>
      </c>
    </row>
    <row r="1247" spans="1:3" x14ac:dyDescent="0.35">
      <c r="A1247" s="305">
        <v>44919</v>
      </c>
      <c r="B1247" s="306">
        <v>323.83190000000002</v>
      </c>
      <c r="C1247" s="309">
        <v>12.3268869092753</v>
      </c>
    </row>
    <row r="1248" spans="1:3" x14ac:dyDescent="0.35">
      <c r="A1248" s="302">
        <v>44918</v>
      </c>
      <c r="B1248" s="303">
        <v>323.7518</v>
      </c>
      <c r="C1248" s="308">
        <v>12.317140905449801</v>
      </c>
    </row>
    <row r="1249" spans="1:3" x14ac:dyDescent="0.35">
      <c r="A1249" s="305">
        <v>44917</v>
      </c>
      <c r="B1249" s="306">
        <v>323.67169999999999</v>
      </c>
      <c r="C1249" s="309">
        <v>12.307430738563101</v>
      </c>
    </row>
    <row r="1250" spans="1:3" x14ac:dyDescent="0.35">
      <c r="A1250" s="302">
        <v>44916</v>
      </c>
      <c r="B1250" s="303">
        <v>323.5917</v>
      </c>
      <c r="C1250" s="308">
        <v>12.2977521480619</v>
      </c>
    </row>
    <row r="1251" spans="1:3" x14ac:dyDescent="0.35">
      <c r="A1251" s="305">
        <v>44915</v>
      </c>
      <c r="B1251" s="306">
        <v>323.51159999999999</v>
      </c>
      <c r="C1251" s="309">
        <v>12.2879967567808</v>
      </c>
    </row>
    <row r="1252" spans="1:3" x14ac:dyDescent="0.35">
      <c r="A1252" s="302">
        <v>44914</v>
      </c>
      <c r="B1252" s="303">
        <v>323.4316</v>
      </c>
      <c r="C1252" s="308">
        <v>12.2783119213059</v>
      </c>
    </row>
    <row r="1253" spans="1:3" x14ac:dyDescent="0.35">
      <c r="A1253" s="305">
        <v>44913</v>
      </c>
      <c r="B1253" s="306">
        <v>323.35149999999999</v>
      </c>
      <c r="C1253" s="309">
        <v>12.268550265071999</v>
      </c>
    </row>
    <row r="1254" spans="1:3" x14ac:dyDescent="0.35">
      <c r="A1254" s="302">
        <v>44912</v>
      </c>
      <c r="B1254" s="303">
        <v>323.2715</v>
      </c>
      <c r="C1254" s="308">
        <v>12.258859178587199</v>
      </c>
    </row>
    <row r="1255" spans="1:3" x14ac:dyDescent="0.35">
      <c r="A1255" s="305">
        <v>44911</v>
      </c>
      <c r="B1255" s="306">
        <v>323.19159999999999</v>
      </c>
      <c r="C1255" s="309">
        <v>12.2491607142733</v>
      </c>
    </row>
    <row r="1256" spans="1:3" x14ac:dyDescent="0.35">
      <c r="A1256" s="302">
        <v>44910</v>
      </c>
      <c r="B1256" s="303">
        <v>323.11160000000001</v>
      </c>
      <c r="C1256" s="308">
        <v>12.2394243932567</v>
      </c>
    </row>
    <row r="1257" spans="1:3" x14ac:dyDescent="0.35">
      <c r="A1257" s="305">
        <v>44909</v>
      </c>
      <c r="B1257" s="306">
        <v>323.03429999999997</v>
      </c>
      <c r="C1257" s="309">
        <v>12.2129624515547</v>
      </c>
    </row>
    <row r="1258" spans="1:3" x14ac:dyDescent="0.35">
      <c r="A1258" s="302">
        <v>44908</v>
      </c>
      <c r="B1258" s="303">
        <v>322.95710000000003</v>
      </c>
      <c r="C1258" s="308">
        <v>12.1864960927513</v>
      </c>
    </row>
    <row r="1259" spans="1:3" x14ac:dyDescent="0.35">
      <c r="A1259" s="305">
        <v>44907</v>
      </c>
      <c r="B1259" s="306">
        <v>322.87979999999999</v>
      </c>
      <c r="C1259" s="309">
        <v>12.160033792538499</v>
      </c>
    </row>
    <row r="1260" spans="1:3" x14ac:dyDescent="0.35">
      <c r="A1260" s="302">
        <v>44906</v>
      </c>
      <c r="B1260" s="303">
        <v>322.80259999999998</v>
      </c>
      <c r="C1260" s="308">
        <v>12.1336060459953</v>
      </c>
    </row>
    <row r="1261" spans="1:3" x14ac:dyDescent="0.35">
      <c r="A1261" s="305">
        <v>44905</v>
      </c>
      <c r="B1261" s="306">
        <v>322.72550000000001</v>
      </c>
      <c r="C1261" s="309">
        <v>12.1071739100983</v>
      </c>
    </row>
    <row r="1262" spans="1:3" x14ac:dyDescent="0.35">
      <c r="A1262" s="302">
        <v>44904</v>
      </c>
      <c r="B1262" s="303">
        <v>322.64830000000001</v>
      </c>
      <c r="C1262" s="308">
        <v>12.080745805504</v>
      </c>
    </row>
    <row r="1263" spans="1:3" x14ac:dyDescent="0.35">
      <c r="A1263" s="305">
        <v>44903</v>
      </c>
      <c r="B1263" s="306">
        <v>322.5711</v>
      </c>
      <c r="C1263" s="309">
        <v>12.0542785920331</v>
      </c>
    </row>
    <row r="1264" spans="1:3" x14ac:dyDescent="0.35">
      <c r="A1264" s="302">
        <v>44902</v>
      </c>
      <c r="B1264" s="303">
        <v>322.49400000000003</v>
      </c>
      <c r="C1264" s="308">
        <v>12.027884867234899</v>
      </c>
    </row>
    <row r="1265" spans="1:3" x14ac:dyDescent="0.35">
      <c r="A1265" s="305">
        <v>44901</v>
      </c>
      <c r="B1265" s="306">
        <v>322.4169</v>
      </c>
      <c r="C1265" s="309">
        <v>12.001490959063201</v>
      </c>
    </row>
    <row r="1266" spans="1:3" x14ac:dyDescent="0.35">
      <c r="A1266" s="302">
        <v>44900</v>
      </c>
      <c r="B1266" s="303">
        <v>322.33980000000003</v>
      </c>
      <c r="C1266" s="308">
        <v>11.9750579693783</v>
      </c>
    </row>
    <row r="1267" spans="1:3" x14ac:dyDescent="0.35">
      <c r="A1267" s="305">
        <v>44899</v>
      </c>
      <c r="B1267" s="306">
        <v>322.2627</v>
      </c>
      <c r="C1267" s="309">
        <v>11.9486637034876</v>
      </c>
    </row>
    <row r="1268" spans="1:3" x14ac:dyDescent="0.35">
      <c r="A1268" s="302">
        <v>44898</v>
      </c>
      <c r="B1268" s="303">
        <v>322.1857</v>
      </c>
      <c r="C1268" s="308">
        <v>11.9222651126081</v>
      </c>
    </row>
    <row r="1269" spans="1:3" x14ac:dyDescent="0.35">
      <c r="A1269" s="305">
        <v>44897</v>
      </c>
      <c r="B1269" s="306">
        <v>322.10860000000002</v>
      </c>
      <c r="C1269" s="309">
        <v>11.8958704891119</v>
      </c>
    </row>
    <row r="1270" spans="1:3" x14ac:dyDescent="0.35">
      <c r="A1270" s="302">
        <v>44896</v>
      </c>
      <c r="B1270" s="303">
        <v>322.03160000000003</v>
      </c>
      <c r="C1270" s="308">
        <v>11.8694715589357</v>
      </c>
    </row>
    <row r="1271" spans="1:3" x14ac:dyDescent="0.35">
      <c r="A1271" s="305">
        <v>44895</v>
      </c>
      <c r="B1271" s="306">
        <v>321.95460000000003</v>
      </c>
      <c r="C1271" s="309">
        <v>11.843111316610299</v>
      </c>
    </row>
    <row r="1272" spans="1:3" x14ac:dyDescent="0.35">
      <c r="A1272" s="302">
        <v>44894</v>
      </c>
      <c r="B1272" s="303">
        <v>321.87759999999997</v>
      </c>
      <c r="C1272" s="308">
        <v>11.8167508911397</v>
      </c>
    </row>
    <row r="1273" spans="1:3" x14ac:dyDescent="0.35">
      <c r="A1273" s="305">
        <v>44893</v>
      </c>
      <c r="B1273" s="306">
        <v>321.80070000000001</v>
      </c>
      <c r="C1273" s="309">
        <v>11.7903861866569</v>
      </c>
    </row>
    <row r="1274" spans="1:3" x14ac:dyDescent="0.35">
      <c r="A1274" s="302">
        <v>44892</v>
      </c>
      <c r="B1274" s="303">
        <v>321.72370000000001</v>
      </c>
      <c r="C1274" s="308">
        <v>11.7640254040335</v>
      </c>
    </row>
    <row r="1275" spans="1:3" x14ac:dyDescent="0.35">
      <c r="A1275" s="305">
        <v>44891</v>
      </c>
      <c r="B1275" s="306">
        <v>321.64679999999998</v>
      </c>
      <c r="C1275" s="309">
        <v>11.7376603606836</v>
      </c>
    </row>
    <row r="1276" spans="1:3" x14ac:dyDescent="0.35">
      <c r="A1276" s="302">
        <v>44890</v>
      </c>
      <c r="B1276" s="303">
        <v>321.56990000000002</v>
      </c>
      <c r="C1276" s="308">
        <v>11.711333960263</v>
      </c>
    </row>
    <row r="1277" spans="1:3" x14ac:dyDescent="0.35">
      <c r="A1277" s="305">
        <v>44889</v>
      </c>
      <c r="B1277" s="306">
        <v>321.49299999999999</v>
      </c>
      <c r="C1277" s="309">
        <v>11.685007376929301</v>
      </c>
    </row>
    <row r="1278" spans="1:3" x14ac:dyDescent="0.35">
      <c r="A1278" s="302">
        <v>44888</v>
      </c>
      <c r="B1278" s="303">
        <v>321.41609999999997</v>
      </c>
      <c r="C1278" s="308">
        <v>11.6586418209105</v>
      </c>
    </row>
    <row r="1279" spans="1:3" x14ac:dyDescent="0.35">
      <c r="A1279" s="305">
        <v>44887</v>
      </c>
      <c r="B1279" s="306">
        <v>321.33929999999998</v>
      </c>
      <c r="C1279" s="309">
        <v>11.632349620468601</v>
      </c>
    </row>
    <row r="1280" spans="1:3" x14ac:dyDescent="0.35">
      <c r="A1280" s="302">
        <v>44886</v>
      </c>
      <c r="B1280" s="303">
        <v>321.26240000000001</v>
      </c>
      <c r="C1280" s="308">
        <v>11.6059837257833</v>
      </c>
    </row>
    <row r="1281" spans="1:3" x14ac:dyDescent="0.35">
      <c r="A1281" s="305">
        <v>44885</v>
      </c>
      <c r="B1281" s="306">
        <v>321.18560000000002</v>
      </c>
      <c r="C1281" s="309">
        <v>11.579691168863601</v>
      </c>
    </row>
    <row r="1282" spans="1:3" x14ac:dyDescent="0.35">
      <c r="A1282" s="302">
        <v>44884</v>
      </c>
      <c r="B1282" s="303">
        <v>321.10879999999997</v>
      </c>
      <c r="C1282" s="308">
        <v>11.553398429262799</v>
      </c>
    </row>
    <row r="1283" spans="1:3" x14ac:dyDescent="0.35">
      <c r="A1283" s="305">
        <v>44883</v>
      </c>
      <c r="B1283" s="306">
        <v>321.03199999999998</v>
      </c>
      <c r="C1283" s="309">
        <v>11.5270667622716</v>
      </c>
    </row>
    <row r="1284" spans="1:3" x14ac:dyDescent="0.35">
      <c r="A1284" s="302">
        <v>44882</v>
      </c>
      <c r="B1284" s="303">
        <v>320.95530000000002</v>
      </c>
      <c r="C1284" s="308">
        <v>11.5008084065948</v>
      </c>
    </row>
    <row r="1285" spans="1:3" x14ac:dyDescent="0.35">
      <c r="A1285" s="305">
        <v>44881</v>
      </c>
      <c r="B1285" s="306">
        <v>320.87849999999997</v>
      </c>
      <c r="C1285" s="309">
        <v>11.474476401366999</v>
      </c>
    </row>
    <row r="1286" spans="1:3" x14ac:dyDescent="0.35">
      <c r="A1286" s="302">
        <v>44880</v>
      </c>
      <c r="B1286" s="303">
        <v>320.80180000000001</v>
      </c>
      <c r="C1286" s="308">
        <v>11.448217689665</v>
      </c>
    </row>
    <row r="1287" spans="1:3" x14ac:dyDescent="0.35">
      <c r="A1287" s="305">
        <v>44879</v>
      </c>
      <c r="B1287" s="306">
        <v>320.70600000000002</v>
      </c>
      <c r="C1287" s="309">
        <v>11.428562494202</v>
      </c>
    </row>
    <row r="1288" spans="1:3" x14ac:dyDescent="0.35">
      <c r="A1288" s="302">
        <v>44878</v>
      </c>
      <c r="B1288" s="303">
        <v>320.61020000000002</v>
      </c>
      <c r="C1288" s="308">
        <v>11.408902490427501</v>
      </c>
    </row>
    <row r="1289" spans="1:3" x14ac:dyDescent="0.35">
      <c r="A1289" s="305">
        <v>44877</v>
      </c>
      <c r="B1289" s="306">
        <v>320.5145</v>
      </c>
      <c r="C1289" s="309">
        <v>11.389311141277</v>
      </c>
    </row>
    <row r="1290" spans="1:3" x14ac:dyDescent="0.35">
      <c r="A1290" s="302">
        <v>44876</v>
      </c>
      <c r="B1290" s="303">
        <v>320.41879999999998</v>
      </c>
      <c r="C1290" s="308">
        <v>11.369676275271299</v>
      </c>
    </row>
    <row r="1291" spans="1:3" x14ac:dyDescent="0.35">
      <c r="A1291" s="305">
        <v>44875</v>
      </c>
      <c r="B1291" s="306">
        <v>320.32310000000001</v>
      </c>
      <c r="C1291" s="309">
        <v>11.3500366041626</v>
      </c>
    </row>
    <row r="1292" spans="1:3" x14ac:dyDescent="0.35">
      <c r="A1292" s="302">
        <v>44874</v>
      </c>
      <c r="B1292" s="303">
        <v>320.22750000000002</v>
      </c>
      <c r="C1292" s="308">
        <v>11.330388187059301</v>
      </c>
    </row>
    <row r="1293" spans="1:3" x14ac:dyDescent="0.35">
      <c r="A1293" s="305">
        <v>44873</v>
      </c>
      <c r="B1293" s="306">
        <v>320.13189999999997</v>
      </c>
      <c r="C1293" s="309">
        <v>11.310773677086299</v>
      </c>
    </row>
    <row r="1294" spans="1:3" x14ac:dyDescent="0.35">
      <c r="A1294" s="302">
        <v>44872</v>
      </c>
      <c r="B1294" s="303">
        <v>320.03629999999998</v>
      </c>
      <c r="C1294" s="308">
        <v>11.2911543652307</v>
      </c>
    </row>
    <row r="1295" spans="1:3" x14ac:dyDescent="0.35">
      <c r="A1295" s="305">
        <v>44871</v>
      </c>
      <c r="B1295" s="306">
        <v>319.94080000000002</v>
      </c>
      <c r="C1295" s="309">
        <v>11.2715650285273</v>
      </c>
    </row>
    <row r="1296" spans="1:3" x14ac:dyDescent="0.35">
      <c r="A1296" s="302">
        <v>44870</v>
      </c>
      <c r="B1296" s="303">
        <v>319.84519999999998</v>
      </c>
      <c r="C1296" s="308">
        <v>11.2519361118734</v>
      </c>
    </row>
    <row r="1297" spans="1:3" x14ac:dyDescent="0.35">
      <c r="A1297" s="305">
        <v>44869</v>
      </c>
      <c r="B1297" s="306">
        <v>319.74970000000002</v>
      </c>
      <c r="C1297" s="309">
        <v>11.232337175360399</v>
      </c>
    </row>
    <row r="1298" spans="1:3" x14ac:dyDescent="0.35">
      <c r="A1298" s="302">
        <v>44868</v>
      </c>
      <c r="B1298" s="303">
        <v>319.65429999999998</v>
      </c>
      <c r="C1298" s="308">
        <v>11.212729537341801</v>
      </c>
    </row>
    <row r="1299" spans="1:3" x14ac:dyDescent="0.35">
      <c r="A1299" s="305">
        <v>44867</v>
      </c>
      <c r="B1299" s="306">
        <v>319.55880000000002</v>
      </c>
      <c r="C1299" s="309">
        <v>11.193121004569401</v>
      </c>
    </row>
    <row r="1300" spans="1:3" x14ac:dyDescent="0.35">
      <c r="A1300" s="302">
        <v>44866</v>
      </c>
      <c r="B1300" s="303">
        <v>319.46339999999998</v>
      </c>
      <c r="C1300" s="308">
        <v>11.1735037794622</v>
      </c>
    </row>
    <row r="1301" spans="1:3" x14ac:dyDescent="0.35">
      <c r="A1301" s="305">
        <v>44865</v>
      </c>
      <c r="B1301" s="306">
        <v>319.36799999999999</v>
      </c>
      <c r="C1301" s="309">
        <v>11.153920447722999</v>
      </c>
    </row>
    <row r="1302" spans="1:3" x14ac:dyDescent="0.35">
      <c r="A1302" s="302">
        <v>44864</v>
      </c>
      <c r="B1302" s="303">
        <v>319.27269999999999</v>
      </c>
      <c r="C1302" s="308">
        <v>11.134367125641299</v>
      </c>
    </row>
    <row r="1303" spans="1:3" x14ac:dyDescent="0.35">
      <c r="A1303" s="305">
        <v>44863</v>
      </c>
      <c r="B1303" s="306">
        <v>319.17739999999998</v>
      </c>
      <c r="C1303" s="309">
        <v>11.114770329141599</v>
      </c>
    </row>
    <row r="1304" spans="1:3" x14ac:dyDescent="0.35">
      <c r="A1304" s="302">
        <v>44862</v>
      </c>
      <c r="B1304" s="303">
        <v>319.08210000000003</v>
      </c>
      <c r="C1304" s="308">
        <v>11.095168742868999</v>
      </c>
    </row>
    <row r="1305" spans="1:3" x14ac:dyDescent="0.35">
      <c r="A1305" s="305">
        <v>44861</v>
      </c>
      <c r="B1305" s="306">
        <v>318.98680000000002</v>
      </c>
      <c r="C1305" s="309">
        <v>11.0756010431092</v>
      </c>
    </row>
    <row r="1306" spans="1:3" x14ac:dyDescent="0.35">
      <c r="A1306" s="302">
        <v>44860</v>
      </c>
      <c r="B1306" s="303">
        <v>318.89159999999998</v>
      </c>
      <c r="C1306" s="308">
        <v>11.056024695554299</v>
      </c>
    </row>
    <row r="1307" spans="1:3" x14ac:dyDescent="0.35">
      <c r="A1307" s="305">
        <v>44859</v>
      </c>
      <c r="B1307" s="306">
        <v>318.79629999999997</v>
      </c>
      <c r="C1307" s="309">
        <v>11.036408731575399</v>
      </c>
    </row>
    <row r="1308" spans="1:3" x14ac:dyDescent="0.35">
      <c r="A1308" s="302">
        <v>44858</v>
      </c>
      <c r="B1308" s="303">
        <v>318.70119999999997</v>
      </c>
      <c r="C1308" s="308">
        <v>11.016896310887899</v>
      </c>
    </row>
    <row r="1309" spans="1:3" x14ac:dyDescent="0.35">
      <c r="A1309" s="305">
        <v>44857</v>
      </c>
      <c r="B1309" s="306">
        <v>318.60599999999999</v>
      </c>
      <c r="C1309" s="309">
        <v>10.9973055963746</v>
      </c>
    </row>
    <row r="1310" spans="1:3" x14ac:dyDescent="0.35">
      <c r="A1310" s="302">
        <v>44856</v>
      </c>
      <c r="B1310" s="303">
        <v>318.51089999999999</v>
      </c>
      <c r="C1310" s="308">
        <v>10.9777449327414</v>
      </c>
    </row>
    <row r="1311" spans="1:3" x14ac:dyDescent="0.35">
      <c r="A1311" s="305">
        <v>44855</v>
      </c>
      <c r="B1311" s="306">
        <v>318.41579999999999</v>
      </c>
      <c r="C1311" s="309">
        <v>10.958179484070101</v>
      </c>
    </row>
    <row r="1312" spans="1:3" x14ac:dyDescent="0.35">
      <c r="A1312" s="302">
        <v>44854</v>
      </c>
      <c r="B1312" s="303">
        <v>318.32069999999999</v>
      </c>
      <c r="C1312" s="308">
        <v>10.9386092486045</v>
      </c>
    </row>
    <row r="1313" spans="1:3" x14ac:dyDescent="0.35">
      <c r="A1313" s="305">
        <v>44853</v>
      </c>
      <c r="B1313" s="306">
        <v>318.22570000000002</v>
      </c>
      <c r="C1313" s="309">
        <v>10.919069080059501</v>
      </c>
    </row>
    <row r="1314" spans="1:3" x14ac:dyDescent="0.35">
      <c r="A1314" s="302">
        <v>44852</v>
      </c>
      <c r="B1314" s="303">
        <v>318.13069999999999</v>
      </c>
      <c r="C1314" s="308">
        <v>10.899524129735401</v>
      </c>
    </row>
    <row r="1315" spans="1:3" x14ac:dyDescent="0.35">
      <c r="A1315" s="305">
        <v>44851</v>
      </c>
      <c r="B1315" s="306">
        <v>318.03570000000002</v>
      </c>
      <c r="C1315" s="309">
        <v>10.8799743958766</v>
      </c>
    </row>
    <row r="1316" spans="1:3" x14ac:dyDescent="0.35">
      <c r="A1316" s="302">
        <v>44850</v>
      </c>
      <c r="B1316" s="303">
        <v>317.94069999999999</v>
      </c>
      <c r="C1316" s="308">
        <v>10.8604198767267</v>
      </c>
    </row>
    <row r="1317" spans="1:3" x14ac:dyDescent="0.35">
      <c r="A1317" s="305">
        <v>44849</v>
      </c>
      <c r="B1317" s="306">
        <v>317.8458</v>
      </c>
      <c r="C1317" s="309">
        <v>10.840895443066</v>
      </c>
    </row>
    <row r="1318" spans="1:3" x14ac:dyDescent="0.35">
      <c r="A1318" s="302">
        <v>44848</v>
      </c>
      <c r="B1318" s="303">
        <v>317.73829999999998</v>
      </c>
      <c r="C1318" s="308">
        <v>10.8199864883576</v>
      </c>
    </row>
    <row r="1319" spans="1:3" x14ac:dyDescent="0.35">
      <c r="A1319" s="305">
        <v>44847</v>
      </c>
      <c r="B1319" s="306">
        <v>317.63080000000002</v>
      </c>
      <c r="C1319" s="309">
        <v>10.7990712756843</v>
      </c>
    </row>
    <row r="1320" spans="1:3" x14ac:dyDescent="0.35">
      <c r="A1320" s="302">
        <v>44846</v>
      </c>
      <c r="B1320" s="303">
        <v>317.52339999999998</v>
      </c>
      <c r="C1320" s="308">
        <v>10.7781846904318</v>
      </c>
    </row>
    <row r="1321" spans="1:3" x14ac:dyDescent="0.35">
      <c r="A1321" s="305">
        <v>44845</v>
      </c>
      <c r="B1321" s="306">
        <v>317.416</v>
      </c>
      <c r="C1321" s="309">
        <v>10.7572918520379</v>
      </c>
    </row>
    <row r="1322" spans="1:3" x14ac:dyDescent="0.35">
      <c r="A1322" s="302">
        <v>44844</v>
      </c>
      <c r="B1322" s="303">
        <v>317.30860000000001</v>
      </c>
      <c r="C1322" s="308">
        <v>10.736392757694199</v>
      </c>
    </row>
    <row r="1323" spans="1:3" x14ac:dyDescent="0.35">
      <c r="A1323" s="305">
        <v>44843</v>
      </c>
      <c r="B1323" s="306">
        <v>317.2013</v>
      </c>
      <c r="C1323" s="309">
        <v>10.715522308458</v>
      </c>
    </row>
    <row r="1324" spans="1:3" x14ac:dyDescent="0.35">
      <c r="A1324" s="302">
        <v>44842</v>
      </c>
      <c r="B1324" s="303">
        <v>317.09399999999999</v>
      </c>
      <c r="C1324" s="308">
        <v>10.6946069656187</v>
      </c>
    </row>
    <row r="1325" spans="1:3" x14ac:dyDescent="0.35">
      <c r="A1325" s="305">
        <v>44841</v>
      </c>
      <c r="B1325" s="306">
        <v>316.98680000000002</v>
      </c>
      <c r="C1325" s="309">
        <v>10.673758927152999</v>
      </c>
    </row>
    <row r="1326" spans="1:3" x14ac:dyDescent="0.35">
      <c r="A1326" s="302">
        <v>44840</v>
      </c>
      <c r="B1326" s="303">
        <v>316.87959999999998</v>
      </c>
      <c r="C1326" s="308">
        <v>10.6529046424134</v>
      </c>
    </row>
    <row r="1327" spans="1:3" x14ac:dyDescent="0.35">
      <c r="A1327" s="305">
        <v>44839</v>
      </c>
      <c r="B1327" s="306">
        <v>316.7724</v>
      </c>
      <c r="C1327" s="309">
        <v>10.632005470614599</v>
      </c>
    </row>
    <row r="1328" spans="1:3" x14ac:dyDescent="0.35">
      <c r="A1328" s="302">
        <v>44838</v>
      </c>
      <c r="B1328" s="303">
        <v>316.6653</v>
      </c>
      <c r="C1328" s="308">
        <v>10.6111736163967</v>
      </c>
    </row>
    <row r="1329" spans="1:3" x14ac:dyDescent="0.35">
      <c r="A1329" s="305">
        <v>44837</v>
      </c>
      <c r="B1329" s="306">
        <v>316.5582</v>
      </c>
      <c r="C1329" s="309">
        <v>10.590296882975</v>
      </c>
    </row>
    <row r="1330" spans="1:3" x14ac:dyDescent="0.35">
      <c r="A1330" s="302">
        <v>44836</v>
      </c>
      <c r="B1330" s="303">
        <v>316.4511</v>
      </c>
      <c r="C1330" s="308">
        <v>10.5694139055273</v>
      </c>
    </row>
    <row r="1331" spans="1:3" x14ac:dyDescent="0.35">
      <c r="A1331" s="305">
        <v>44835</v>
      </c>
      <c r="B1331" s="306">
        <v>316.34410000000003</v>
      </c>
      <c r="C1331" s="309">
        <v>10.5485982588664</v>
      </c>
    </row>
    <row r="1332" spans="1:3" x14ac:dyDescent="0.35">
      <c r="A1332" s="302">
        <v>44834</v>
      </c>
      <c r="B1332" s="303">
        <v>316.2371</v>
      </c>
      <c r="C1332" s="308">
        <v>10.527737739571</v>
      </c>
    </row>
    <row r="1333" spans="1:3" x14ac:dyDescent="0.35">
      <c r="A1333" s="305">
        <v>44833</v>
      </c>
      <c r="B1333" s="306">
        <v>316.13010000000003</v>
      </c>
      <c r="C1333" s="309">
        <v>10.5068709782964</v>
      </c>
    </row>
    <row r="1334" spans="1:3" x14ac:dyDescent="0.35">
      <c r="A1334" s="302">
        <v>44832</v>
      </c>
      <c r="B1334" s="303">
        <v>316.02319999999997</v>
      </c>
      <c r="C1334" s="308">
        <v>10.486032933608399</v>
      </c>
    </row>
    <row r="1335" spans="1:3" x14ac:dyDescent="0.35">
      <c r="A1335" s="305">
        <v>44831</v>
      </c>
      <c r="B1335" s="306">
        <v>315.91629999999998</v>
      </c>
      <c r="C1335" s="309">
        <v>10.465188651799799</v>
      </c>
    </row>
    <row r="1336" spans="1:3" x14ac:dyDescent="0.35">
      <c r="A1336" s="302">
        <v>44830</v>
      </c>
      <c r="B1336" s="303">
        <v>315.80950000000001</v>
      </c>
      <c r="C1336" s="308">
        <v>10.4443731019037</v>
      </c>
    </row>
    <row r="1337" spans="1:3" x14ac:dyDescent="0.35">
      <c r="A1337" s="305">
        <v>44829</v>
      </c>
      <c r="B1337" s="306">
        <v>315.70260000000002</v>
      </c>
      <c r="C1337" s="309">
        <v>10.4235163426857</v>
      </c>
    </row>
    <row r="1338" spans="1:3" x14ac:dyDescent="0.35">
      <c r="A1338" s="302">
        <v>44828</v>
      </c>
      <c r="B1338" s="303">
        <v>315.59589999999997</v>
      </c>
      <c r="C1338" s="308">
        <v>10.4027233025536</v>
      </c>
    </row>
    <row r="1339" spans="1:3" x14ac:dyDescent="0.35">
      <c r="A1339" s="305">
        <v>44827</v>
      </c>
      <c r="B1339" s="306">
        <v>315.48910000000001</v>
      </c>
      <c r="C1339" s="309">
        <v>10.381889047499101</v>
      </c>
    </row>
    <row r="1340" spans="1:3" x14ac:dyDescent="0.35">
      <c r="A1340" s="302">
        <v>44826</v>
      </c>
      <c r="B1340" s="303">
        <v>315.38240000000002</v>
      </c>
      <c r="C1340" s="308">
        <v>10.3610835445731</v>
      </c>
    </row>
    <row r="1341" spans="1:3" x14ac:dyDescent="0.35">
      <c r="A1341" s="305">
        <v>44825</v>
      </c>
      <c r="B1341" s="306">
        <v>315.2758</v>
      </c>
      <c r="C1341" s="309">
        <v>10.3402681897802</v>
      </c>
    </row>
    <row r="1342" spans="1:3" x14ac:dyDescent="0.35">
      <c r="A1342" s="302">
        <v>44824</v>
      </c>
      <c r="B1342" s="303">
        <v>315.16910000000001</v>
      </c>
      <c r="C1342" s="308">
        <v>10.319450224843401</v>
      </c>
    </row>
    <row r="1343" spans="1:3" x14ac:dyDescent="0.35">
      <c r="A1343" s="305">
        <v>44823</v>
      </c>
      <c r="B1343" s="306">
        <v>315.0625</v>
      </c>
      <c r="C1343" s="309">
        <v>10.298622415935901</v>
      </c>
    </row>
    <row r="1344" spans="1:3" x14ac:dyDescent="0.35">
      <c r="A1344" s="302">
        <v>44822</v>
      </c>
      <c r="B1344" s="303">
        <v>314.95600000000002</v>
      </c>
      <c r="C1344" s="308">
        <v>10.2778620052647</v>
      </c>
    </row>
    <row r="1345" spans="1:3" x14ac:dyDescent="0.35">
      <c r="A1345" s="305">
        <v>44821</v>
      </c>
      <c r="B1345" s="306">
        <v>314.8494</v>
      </c>
      <c r="C1345" s="309">
        <v>10.257021741528501</v>
      </c>
    </row>
    <row r="1346" spans="1:3" x14ac:dyDescent="0.35">
      <c r="A1346" s="302">
        <v>44820</v>
      </c>
      <c r="B1346" s="303">
        <v>314.74299999999999</v>
      </c>
      <c r="C1346" s="308">
        <v>10.236283902132501</v>
      </c>
    </row>
    <row r="1347" spans="1:3" x14ac:dyDescent="0.35">
      <c r="A1347" s="305">
        <v>44819</v>
      </c>
      <c r="B1347" s="306">
        <v>314.63650000000001</v>
      </c>
      <c r="C1347" s="309">
        <v>10.2154662070801</v>
      </c>
    </row>
    <row r="1348" spans="1:3" x14ac:dyDescent="0.35">
      <c r="A1348" s="302">
        <v>44818</v>
      </c>
      <c r="B1348" s="303">
        <v>314.55459999999999</v>
      </c>
      <c r="C1348" s="308">
        <v>10.1981260111419</v>
      </c>
    </row>
    <row r="1349" spans="1:3" x14ac:dyDescent="0.35">
      <c r="A1349" s="305">
        <v>44817</v>
      </c>
      <c r="B1349" s="306">
        <v>314.47280000000001</v>
      </c>
      <c r="C1349" s="309">
        <v>10.180817279528201</v>
      </c>
    </row>
    <row r="1350" spans="1:3" x14ac:dyDescent="0.35">
      <c r="A1350" s="302">
        <v>44816</v>
      </c>
      <c r="B1350" s="303">
        <v>314.39089999999999</v>
      </c>
      <c r="C1350" s="308">
        <v>10.1634699413916</v>
      </c>
    </row>
    <row r="1351" spans="1:3" x14ac:dyDescent="0.35">
      <c r="A1351" s="305">
        <v>44815</v>
      </c>
      <c r="B1351" s="306">
        <v>314.3091</v>
      </c>
      <c r="C1351" s="309">
        <v>10.1461926721085</v>
      </c>
    </row>
    <row r="1352" spans="1:3" x14ac:dyDescent="0.35">
      <c r="A1352" s="302">
        <v>44814</v>
      </c>
      <c r="B1352" s="303">
        <v>314.22730000000001</v>
      </c>
      <c r="C1352" s="308">
        <v>10.1288732327726</v>
      </c>
    </row>
    <row r="1353" spans="1:3" x14ac:dyDescent="0.35">
      <c r="A1353" s="305">
        <v>44813</v>
      </c>
      <c r="B1353" s="306">
        <v>314.1456</v>
      </c>
      <c r="C1353" s="309">
        <v>10.1115852750199</v>
      </c>
    </row>
    <row r="1354" spans="1:3" x14ac:dyDescent="0.35">
      <c r="A1354" s="302">
        <v>44812</v>
      </c>
      <c r="B1354" s="303">
        <v>314.06380000000001</v>
      </c>
      <c r="C1354" s="308">
        <v>10.0942586990974</v>
      </c>
    </row>
    <row r="1355" spans="1:3" x14ac:dyDescent="0.35">
      <c r="A1355" s="305">
        <v>44811</v>
      </c>
      <c r="B1355" s="306">
        <v>313.9821</v>
      </c>
      <c r="C1355" s="309">
        <v>10.0769636097766</v>
      </c>
    </row>
    <row r="1356" spans="1:3" x14ac:dyDescent="0.35">
      <c r="A1356" s="302">
        <v>44810</v>
      </c>
      <c r="B1356" s="303">
        <v>313.90039999999999</v>
      </c>
      <c r="C1356" s="308">
        <v>10.059664954824401</v>
      </c>
    </row>
    <row r="1357" spans="1:3" x14ac:dyDescent="0.35">
      <c r="A1357" s="305">
        <v>44809</v>
      </c>
      <c r="B1357" s="306">
        <v>313.81869999999998</v>
      </c>
      <c r="C1357" s="309">
        <v>10.0423627331379</v>
      </c>
    </row>
    <row r="1358" spans="1:3" x14ac:dyDescent="0.35">
      <c r="A1358" s="302">
        <v>44808</v>
      </c>
      <c r="B1358" s="303">
        <v>313.7371</v>
      </c>
      <c r="C1358" s="308">
        <v>10.025053427907901</v>
      </c>
    </row>
    <row r="1359" spans="1:3" x14ac:dyDescent="0.35">
      <c r="A1359" s="305">
        <v>44807</v>
      </c>
      <c r="B1359" s="306">
        <v>313.65539999999999</v>
      </c>
      <c r="C1359" s="309">
        <v>10.0077440751512</v>
      </c>
    </row>
    <row r="1360" spans="1:3" x14ac:dyDescent="0.35">
      <c r="A1360" s="302">
        <v>44806</v>
      </c>
      <c r="B1360" s="303">
        <v>313.57380000000001</v>
      </c>
      <c r="C1360" s="308">
        <v>9.9904662287726307</v>
      </c>
    </row>
    <row r="1361" spans="1:3" x14ac:dyDescent="0.35">
      <c r="A1361" s="305">
        <v>44805</v>
      </c>
      <c r="B1361" s="306">
        <v>313.49220000000003</v>
      </c>
      <c r="C1361" s="309">
        <v>9.9731848184818492</v>
      </c>
    </row>
    <row r="1362" spans="1:3" x14ac:dyDescent="0.35">
      <c r="A1362" s="302">
        <v>44804</v>
      </c>
      <c r="B1362" s="303">
        <v>313.41070000000002</v>
      </c>
      <c r="C1362" s="308">
        <v>9.9559349268330308</v>
      </c>
    </row>
    <row r="1363" spans="1:3" x14ac:dyDescent="0.35">
      <c r="A1363" s="305">
        <v>44803</v>
      </c>
      <c r="B1363" s="306">
        <v>313.32909999999998</v>
      </c>
      <c r="C1363" s="309">
        <v>9.9386078145652093</v>
      </c>
    </row>
    <row r="1364" spans="1:3" x14ac:dyDescent="0.35">
      <c r="A1364" s="302">
        <v>44802</v>
      </c>
      <c r="B1364" s="303">
        <v>313.24759999999998</v>
      </c>
      <c r="C1364" s="308">
        <v>9.9213508025109594</v>
      </c>
    </row>
    <row r="1365" spans="1:3" x14ac:dyDescent="0.35">
      <c r="A1365" s="305">
        <v>44801</v>
      </c>
      <c r="B1365" s="306">
        <v>313.16609999999997</v>
      </c>
      <c r="C1365" s="309">
        <v>9.9040902293741695</v>
      </c>
    </row>
    <row r="1366" spans="1:3" x14ac:dyDescent="0.35">
      <c r="A1366" s="302">
        <v>44800</v>
      </c>
      <c r="B1366" s="303">
        <v>313.08460000000002</v>
      </c>
      <c r="C1366" s="308">
        <v>9.8868260940524504</v>
      </c>
    </row>
    <row r="1367" spans="1:3" x14ac:dyDescent="0.35">
      <c r="A1367" s="305">
        <v>44799</v>
      </c>
      <c r="B1367" s="306">
        <v>313.00310000000002</v>
      </c>
      <c r="C1367" s="309">
        <v>9.8695198293213195</v>
      </c>
    </row>
    <row r="1368" spans="1:3" x14ac:dyDescent="0.35">
      <c r="A1368" s="302">
        <v>44798</v>
      </c>
      <c r="B1368" s="303">
        <v>312.92169999999999</v>
      </c>
      <c r="C1368" s="308">
        <v>9.8522836737616899</v>
      </c>
    </row>
    <row r="1369" spans="1:3" x14ac:dyDescent="0.35">
      <c r="A1369" s="305">
        <v>44797</v>
      </c>
      <c r="B1369" s="306">
        <v>312.84030000000001</v>
      </c>
      <c r="C1369" s="309">
        <v>9.8350053980040606</v>
      </c>
    </row>
    <row r="1370" spans="1:3" x14ac:dyDescent="0.35">
      <c r="A1370" s="302">
        <v>44796</v>
      </c>
      <c r="B1370" s="303">
        <v>312.75889999999998</v>
      </c>
      <c r="C1370" s="308">
        <v>9.8177621269243005</v>
      </c>
    </row>
    <row r="1371" spans="1:3" x14ac:dyDescent="0.35">
      <c r="A1371" s="305">
        <v>44795</v>
      </c>
      <c r="B1371" s="306">
        <v>312.67750000000001</v>
      </c>
      <c r="C1371" s="309">
        <v>9.8004767376201301</v>
      </c>
    </row>
    <row r="1372" spans="1:3" x14ac:dyDescent="0.35">
      <c r="A1372" s="302">
        <v>44794</v>
      </c>
      <c r="B1372" s="303">
        <v>312.59609999999998</v>
      </c>
      <c r="C1372" s="308">
        <v>9.7832263466172904</v>
      </c>
    </row>
    <row r="1373" spans="1:3" x14ac:dyDescent="0.35">
      <c r="A1373" s="305">
        <v>44793</v>
      </c>
      <c r="B1373" s="306">
        <v>312.51479999999998</v>
      </c>
      <c r="C1373" s="309">
        <v>9.76596896281516</v>
      </c>
    </row>
    <row r="1374" spans="1:3" x14ac:dyDescent="0.35">
      <c r="A1374" s="302">
        <v>44792</v>
      </c>
      <c r="B1374" s="303">
        <v>312.43349999999998</v>
      </c>
      <c r="C1374" s="308">
        <v>9.7487465781839102</v>
      </c>
    </row>
    <row r="1375" spans="1:3" x14ac:dyDescent="0.35">
      <c r="A1375" s="305">
        <v>44791</v>
      </c>
      <c r="B1375" s="306">
        <v>312.35219999999998</v>
      </c>
      <c r="C1375" s="309">
        <v>9.7314820865100309</v>
      </c>
    </row>
    <row r="1376" spans="1:3" x14ac:dyDescent="0.35">
      <c r="A1376" s="302">
        <v>44790</v>
      </c>
      <c r="B1376" s="303">
        <v>312.27089999999998</v>
      </c>
      <c r="C1376" s="308">
        <v>9.7142140403011599</v>
      </c>
    </row>
    <row r="1377" spans="1:3" x14ac:dyDescent="0.35">
      <c r="A1377" s="305">
        <v>44789</v>
      </c>
      <c r="B1377" s="306">
        <v>312.18959999999998</v>
      </c>
      <c r="C1377" s="309">
        <v>9.6969809837005698</v>
      </c>
    </row>
    <row r="1378" spans="1:3" x14ac:dyDescent="0.35">
      <c r="A1378" s="302">
        <v>44788</v>
      </c>
      <c r="B1378" s="303">
        <v>312.10840000000002</v>
      </c>
      <c r="C1378" s="308">
        <v>9.6797409645794197</v>
      </c>
    </row>
    <row r="1379" spans="1:3" x14ac:dyDescent="0.35">
      <c r="A1379" s="305">
        <v>44787</v>
      </c>
      <c r="B1379" s="306">
        <v>312.05720000000002</v>
      </c>
      <c r="C1379" s="309">
        <v>9.6599758230018793</v>
      </c>
    </row>
    <row r="1380" spans="1:3" x14ac:dyDescent="0.35">
      <c r="A1380" s="302">
        <v>44786</v>
      </c>
      <c r="B1380" s="303">
        <v>312.00599999999997</v>
      </c>
      <c r="C1380" s="308">
        <v>9.6402113204152506</v>
      </c>
    </row>
    <row r="1381" spans="1:3" x14ac:dyDescent="0.35">
      <c r="A1381" s="305">
        <v>44785</v>
      </c>
      <c r="B1381" s="306">
        <v>311.95479999999998</v>
      </c>
      <c r="C1381" s="309">
        <v>9.6204474567885292</v>
      </c>
    </row>
    <row r="1382" spans="1:3" x14ac:dyDescent="0.35">
      <c r="A1382" s="302">
        <v>44784</v>
      </c>
      <c r="B1382" s="303">
        <v>311.90359999999998</v>
      </c>
      <c r="C1382" s="308">
        <v>9.6006842320907406</v>
      </c>
    </row>
    <row r="1383" spans="1:3" x14ac:dyDescent="0.35">
      <c r="A1383" s="305">
        <v>44783</v>
      </c>
      <c r="B1383" s="306">
        <v>311.85239999999999</v>
      </c>
      <c r="C1383" s="309">
        <v>9.5809216462908999</v>
      </c>
    </row>
    <row r="1384" spans="1:3" x14ac:dyDescent="0.35">
      <c r="A1384" s="302">
        <v>44782</v>
      </c>
      <c r="B1384" s="303">
        <v>311.80119999999999</v>
      </c>
      <c r="C1384" s="308">
        <v>9.5611596993580292</v>
      </c>
    </row>
    <row r="1385" spans="1:3" x14ac:dyDescent="0.35">
      <c r="A1385" s="305">
        <v>44781</v>
      </c>
      <c r="B1385" s="306">
        <v>311.75009999999997</v>
      </c>
      <c r="C1385" s="309">
        <v>9.5414335288388195</v>
      </c>
    </row>
    <row r="1386" spans="1:3" x14ac:dyDescent="0.35">
      <c r="A1386" s="302">
        <v>44780</v>
      </c>
      <c r="B1386" s="303">
        <v>311.69889999999998</v>
      </c>
      <c r="C1386" s="308">
        <v>9.52167285897902</v>
      </c>
    </row>
    <row r="1387" spans="1:3" x14ac:dyDescent="0.35">
      <c r="A1387" s="305">
        <v>44779</v>
      </c>
      <c r="B1387" s="306">
        <v>311.64780000000002</v>
      </c>
      <c r="C1387" s="309">
        <v>9.5019479643351108</v>
      </c>
    </row>
    <row r="1388" spans="1:3" x14ac:dyDescent="0.35">
      <c r="A1388" s="302">
        <v>44778</v>
      </c>
      <c r="B1388" s="303">
        <v>311.59660000000002</v>
      </c>
      <c r="C1388" s="308">
        <v>9.48218857142456</v>
      </c>
    </row>
    <row r="1389" spans="1:3" x14ac:dyDescent="0.35">
      <c r="A1389" s="305">
        <v>44777</v>
      </c>
      <c r="B1389" s="306">
        <v>311.5455</v>
      </c>
      <c r="C1389" s="309">
        <v>9.4624649525321995</v>
      </c>
    </row>
    <row r="1390" spans="1:3" x14ac:dyDescent="0.35">
      <c r="A1390" s="302">
        <v>44776</v>
      </c>
      <c r="B1390" s="303">
        <v>311.49439999999998</v>
      </c>
      <c r="C1390" s="308">
        <v>9.4427804236196895</v>
      </c>
    </row>
    <row r="1391" spans="1:3" x14ac:dyDescent="0.35">
      <c r="A1391" s="305">
        <v>44775</v>
      </c>
      <c r="B1391" s="306">
        <v>311.44330000000002</v>
      </c>
      <c r="C1391" s="309">
        <v>9.4230580722365804</v>
      </c>
    </row>
    <row r="1392" spans="1:3" x14ac:dyDescent="0.35">
      <c r="A1392" s="302">
        <v>44774</v>
      </c>
      <c r="B1392" s="303">
        <v>311.3922</v>
      </c>
      <c r="C1392" s="308">
        <v>9.4033363583375795</v>
      </c>
    </row>
    <row r="1393" spans="1:3" x14ac:dyDescent="0.35">
      <c r="A1393" s="305">
        <v>44773</v>
      </c>
      <c r="B1393" s="306">
        <v>311.34109999999998</v>
      </c>
      <c r="C1393" s="309">
        <v>9.3836152818917604</v>
      </c>
    </row>
    <row r="1394" spans="1:3" x14ac:dyDescent="0.35">
      <c r="A1394" s="302">
        <v>44772</v>
      </c>
      <c r="B1394" s="303">
        <v>311.29000000000002</v>
      </c>
      <c r="C1394" s="308">
        <v>9.3638948428682305</v>
      </c>
    </row>
    <row r="1395" spans="1:3" x14ac:dyDescent="0.35">
      <c r="A1395" s="305">
        <v>44771</v>
      </c>
      <c r="B1395" s="306">
        <v>311.2389</v>
      </c>
      <c r="C1395" s="309">
        <v>9.3441750412360793</v>
      </c>
    </row>
    <row r="1396" spans="1:3" x14ac:dyDescent="0.35">
      <c r="A1396" s="302">
        <v>44770</v>
      </c>
      <c r="B1396" s="303">
        <v>311.18779999999998</v>
      </c>
      <c r="C1396" s="308">
        <v>9.3244558769644108</v>
      </c>
    </row>
    <row r="1397" spans="1:3" x14ac:dyDescent="0.35">
      <c r="A1397" s="305">
        <v>44769</v>
      </c>
      <c r="B1397" s="306">
        <v>311.13679999999999</v>
      </c>
      <c r="C1397" s="309">
        <v>9.3047724807984</v>
      </c>
    </row>
    <row r="1398" spans="1:3" x14ac:dyDescent="0.35">
      <c r="A1398" s="302">
        <v>44768</v>
      </c>
      <c r="B1398" s="303">
        <v>311.08569999999997</v>
      </c>
      <c r="C1398" s="308">
        <v>9.2850545905872792</v>
      </c>
    </row>
    <row r="1399" spans="1:3" x14ac:dyDescent="0.35">
      <c r="A1399" s="305">
        <v>44767</v>
      </c>
      <c r="B1399" s="306">
        <v>311.03469999999999</v>
      </c>
      <c r="C1399" s="309">
        <v>9.2653724672846405</v>
      </c>
    </row>
    <row r="1400" spans="1:3" x14ac:dyDescent="0.35">
      <c r="A1400" s="302">
        <v>44766</v>
      </c>
      <c r="B1400" s="303">
        <v>310.98360000000002</v>
      </c>
      <c r="C1400" s="308">
        <v>9.2456558510105804</v>
      </c>
    </row>
    <row r="1401" spans="1:3" x14ac:dyDescent="0.35">
      <c r="A1401" s="305">
        <v>44765</v>
      </c>
      <c r="B1401" s="306">
        <v>310.93259999999998</v>
      </c>
      <c r="C1401" s="309">
        <v>9.2259750004478907</v>
      </c>
    </row>
    <row r="1402" spans="1:3" x14ac:dyDescent="0.35">
      <c r="A1402" s="302">
        <v>44764</v>
      </c>
      <c r="B1402" s="303">
        <v>310.88159999999999</v>
      </c>
      <c r="C1402" s="308">
        <v>9.2063331478577606</v>
      </c>
    </row>
    <row r="1403" spans="1:3" x14ac:dyDescent="0.35">
      <c r="A1403" s="305">
        <v>44763</v>
      </c>
      <c r="B1403" s="306">
        <v>310.8306</v>
      </c>
      <c r="C1403" s="309">
        <v>9.1866535618112</v>
      </c>
    </row>
    <row r="1404" spans="1:3" x14ac:dyDescent="0.35">
      <c r="A1404" s="302">
        <v>44762</v>
      </c>
      <c r="B1404" s="303">
        <v>310.77960000000002</v>
      </c>
      <c r="C1404" s="308">
        <v>9.1669746117433206</v>
      </c>
    </row>
    <row r="1405" spans="1:3" x14ac:dyDescent="0.35">
      <c r="A1405" s="305">
        <v>44761</v>
      </c>
      <c r="B1405" s="306">
        <v>310.72859999999997</v>
      </c>
      <c r="C1405" s="309">
        <v>9.1472962976232903</v>
      </c>
    </row>
    <row r="1406" spans="1:3" x14ac:dyDescent="0.35">
      <c r="A1406" s="302">
        <v>44760</v>
      </c>
      <c r="B1406" s="303">
        <v>310.67759999999998</v>
      </c>
      <c r="C1406" s="308">
        <v>9.1276186194202893</v>
      </c>
    </row>
    <row r="1407" spans="1:3" x14ac:dyDescent="0.35">
      <c r="A1407" s="305">
        <v>44759</v>
      </c>
      <c r="B1407" s="306">
        <v>310.6266</v>
      </c>
      <c r="C1407" s="309">
        <v>9.10794157710348</v>
      </c>
    </row>
    <row r="1408" spans="1:3" x14ac:dyDescent="0.35">
      <c r="A1408" s="302">
        <v>44758</v>
      </c>
      <c r="B1408" s="303">
        <v>310.57569999999998</v>
      </c>
      <c r="C1408" s="308">
        <v>9.08830029518667</v>
      </c>
    </row>
    <row r="1409" spans="1:3" x14ac:dyDescent="0.35">
      <c r="A1409" s="305">
        <v>44757</v>
      </c>
      <c r="B1409" s="306">
        <v>310.5247</v>
      </c>
      <c r="C1409" s="309">
        <v>9.0686245239822991</v>
      </c>
    </row>
    <row r="1410" spans="1:3" x14ac:dyDescent="0.35">
      <c r="A1410" s="302">
        <v>44756</v>
      </c>
      <c r="B1410" s="303">
        <v>310.43810000000002</v>
      </c>
      <c r="C1410" s="308">
        <v>9.0743729871677701</v>
      </c>
    </row>
    <row r="1411" spans="1:3" x14ac:dyDescent="0.35">
      <c r="A1411" s="305">
        <v>44755</v>
      </c>
      <c r="B1411" s="306">
        <v>310.35160000000002</v>
      </c>
      <c r="C1411" s="309">
        <v>9.0801604122073503</v>
      </c>
    </row>
    <row r="1412" spans="1:3" x14ac:dyDescent="0.35">
      <c r="A1412" s="302">
        <v>44754</v>
      </c>
      <c r="B1412" s="303">
        <v>310.26499999999999</v>
      </c>
      <c r="C1412" s="308">
        <v>9.0859165199952496</v>
      </c>
    </row>
    <row r="1413" spans="1:3" x14ac:dyDescent="0.35">
      <c r="A1413" s="305">
        <v>44753</v>
      </c>
      <c r="B1413" s="306">
        <v>310.17849999999999</v>
      </c>
      <c r="C1413" s="309">
        <v>9.0916732523635506</v>
      </c>
    </row>
    <row r="1414" spans="1:3" x14ac:dyDescent="0.35">
      <c r="A1414" s="302">
        <v>44752</v>
      </c>
      <c r="B1414" s="303">
        <v>310.09210000000002</v>
      </c>
      <c r="C1414" s="308">
        <v>9.0974689868207204</v>
      </c>
    </row>
    <row r="1415" spans="1:3" x14ac:dyDescent="0.35">
      <c r="A1415" s="305">
        <v>44751</v>
      </c>
      <c r="B1415" s="306">
        <v>310.00560000000002</v>
      </c>
      <c r="C1415" s="309">
        <v>9.1032333742873703</v>
      </c>
    </row>
    <row r="1416" spans="1:3" x14ac:dyDescent="0.35">
      <c r="A1416" s="302">
        <v>44750</v>
      </c>
      <c r="B1416" s="303">
        <v>309.91919999999999</v>
      </c>
      <c r="C1416" s="308">
        <v>9.1089983823014293</v>
      </c>
    </row>
    <row r="1417" spans="1:3" x14ac:dyDescent="0.35">
      <c r="A1417" s="305">
        <v>44749</v>
      </c>
      <c r="B1417" s="306">
        <v>309.83280000000002</v>
      </c>
      <c r="C1417" s="309">
        <v>9.11476721536404</v>
      </c>
    </row>
    <row r="1418" spans="1:3" x14ac:dyDescent="0.35">
      <c r="A1418" s="302">
        <v>44748</v>
      </c>
      <c r="B1418" s="303">
        <v>309.74639999999999</v>
      </c>
      <c r="C1418" s="308">
        <v>9.1205014352287002</v>
      </c>
    </row>
    <row r="1419" spans="1:3" x14ac:dyDescent="0.35">
      <c r="A1419" s="305">
        <v>44747</v>
      </c>
      <c r="B1419" s="306">
        <v>309.66000000000003</v>
      </c>
      <c r="C1419" s="309">
        <v>9.1262779150206299</v>
      </c>
    </row>
    <row r="1420" spans="1:3" x14ac:dyDescent="0.35">
      <c r="A1420" s="302">
        <v>44746</v>
      </c>
      <c r="B1420" s="303">
        <v>309.57369999999997</v>
      </c>
      <c r="C1420" s="308">
        <v>9.1320550120228194</v>
      </c>
    </row>
    <row r="1421" spans="1:3" x14ac:dyDescent="0.35">
      <c r="A1421" s="305">
        <v>44745</v>
      </c>
      <c r="B1421" s="306">
        <v>309.48739999999998</v>
      </c>
      <c r="C1421" s="309">
        <v>9.1377974566860498</v>
      </c>
    </row>
    <row r="1422" spans="1:3" x14ac:dyDescent="0.35">
      <c r="A1422" s="302">
        <v>44744</v>
      </c>
      <c r="B1422" s="303">
        <v>309.40109999999999</v>
      </c>
      <c r="C1422" s="308">
        <v>9.1435822108587193</v>
      </c>
    </row>
    <row r="1423" spans="1:3" x14ac:dyDescent="0.35">
      <c r="A1423" s="305">
        <v>44743</v>
      </c>
      <c r="B1423" s="306">
        <v>309.31490000000002</v>
      </c>
      <c r="C1423" s="309">
        <v>9.1493675781652506</v>
      </c>
    </row>
    <row r="1424" spans="1:3" x14ac:dyDescent="0.35">
      <c r="A1424" s="302">
        <v>44742</v>
      </c>
      <c r="B1424" s="303">
        <v>309.22859999999997</v>
      </c>
      <c r="C1424" s="308">
        <v>9.1551214856148793</v>
      </c>
    </row>
    <row r="1425" spans="1:3" x14ac:dyDescent="0.35">
      <c r="A1425" s="305">
        <v>44741</v>
      </c>
      <c r="B1425" s="306">
        <v>309.14240000000001</v>
      </c>
      <c r="C1425" s="309">
        <v>9.1608759779787299</v>
      </c>
    </row>
    <row r="1426" spans="1:3" x14ac:dyDescent="0.35">
      <c r="A1426" s="302">
        <v>44740</v>
      </c>
      <c r="B1426" s="303">
        <v>309.05619999999999</v>
      </c>
      <c r="C1426" s="308">
        <v>9.1666342876317994</v>
      </c>
    </row>
    <row r="1427" spans="1:3" x14ac:dyDescent="0.35">
      <c r="A1427" s="305">
        <v>44739</v>
      </c>
      <c r="B1427" s="306">
        <v>308.9701</v>
      </c>
      <c r="C1427" s="309">
        <v>9.1724317526768395</v>
      </c>
    </row>
    <row r="1428" spans="1:3" x14ac:dyDescent="0.35">
      <c r="A1428" s="302">
        <v>44738</v>
      </c>
      <c r="B1428" s="303">
        <v>308.88389999999998</v>
      </c>
      <c r="C1428" s="308">
        <v>9.1781977200396394</v>
      </c>
    </row>
    <row r="1429" spans="1:3" x14ac:dyDescent="0.35">
      <c r="A1429" s="305">
        <v>44737</v>
      </c>
      <c r="B1429" s="306">
        <v>308.7978</v>
      </c>
      <c r="C1429" s="309">
        <v>9.1839642688688397</v>
      </c>
    </row>
    <row r="1430" spans="1:3" x14ac:dyDescent="0.35">
      <c r="A1430" s="302">
        <v>44736</v>
      </c>
      <c r="B1430" s="303">
        <v>308.71170000000001</v>
      </c>
      <c r="C1430" s="308">
        <v>9.1897346439849201</v>
      </c>
    </row>
    <row r="1431" spans="1:3" x14ac:dyDescent="0.35">
      <c r="A1431" s="305">
        <v>44735</v>
      </c>
      <c r="B1431" s="306">
        <v>308.62569999999999</v>
      </c>
      <c r="C1431" s="309">
        <v>9.1955055957151899</v>
      </c>
    </row>
    <row r="1432" spans="1:3" x14ac:dyDescent="0.35">
      <c r="A1432" s="302">
        <v>44734</v>
      </c>
      <c r="B1432" s="303">
        <v>308.53960000000001</v>
      </c>
      <c r="C1432" s="308">
        <v>9.2012836317136504</v>
      </c>
    </row>
    <row r="1433" spans="1:3" x14ac:dyDescent="0.35">
      <c r="A1433" s="305">
        <v>44733</v>
      </c>
      <c r="B1433" s="306">
        <v>308.45359999999999</v>
      </c>
      <c r="C1433" s="309">
        <v>9.2070622457057603</v>
      </c>
    </row>
    <row r="1434" spans="1:3" x14ac:dyDescent="0.35">
      <c r="A1434" s="302">
        <v>44732</v>
      </c>
      <c r="B1434" s="303">
        <v>308.36759999999998</v>
      </c>
      <c r="C1434" s="308">
        <v>9.2128060156937295</v>
      </c>
    </row>
    <row r="1435" spans="1:3" x14ac:dyDescent="0.35">
      <c r="A1435" s="305">
        <v>44731</v>
      </c>
      <c r="B1435" s="306">
        <v>308.28160000000003</v>
      </c>
      <c r="C1435" s="309">
        <v>9.2185922891960708</v>
      </c>
    </row>
    <row r="1436" spans="1:3" x14ac:dyDescent="0.35">
      <c r="A1436" s="302">
        <v>44730</v>
      </c>
      <c r="B1436" s="303">
        <v>308.19569999999999</v>
      </c>
      <c r="C1436" s="308">
        <v>9.2243791365057994</v>
      </c>
    </row>
    <row r="1437" spans="1:3" x14ac:dyDescent="0.35">
      <c r="A1437" s="305">
        <v>44729</v>
      </c>
      <c r="B1437" s="306">
        <v>308.10980000000001</v>
      </c>
      <c r="C1437" s="309">
        <v>9.2301311003495492</v>
      </c>
    </row>
    <row r="1438" spans="1:3" x14ac:dyDescent="0.35">
      <c r="A1438" s="302">
        <v>44728</v>
      </c>
      <c r="B1438" s="303">
        <v>308.02390000000003</v>
      </c>
      <c r="C1438" s="308">
        <v>9.23592561752519</v>
      </c>
    </row>
    <row r="1439" spans="1:3" x14ac:dyDescent="0.35">
      <c r="A1439" s="305">
        <v>44727</v>
      </c>
      <c r="B1439" s="306">
        <v>307.93799999999999</v>
      </c>
      <c r="C1439" s="309">
        <v>9.2416852290759195</v>
      </c>
    </row>
    <row r="1440" spans="1:3" x14ac:dyDescent="0.35">
      <c r="A1440" s="302">
        <v>44726</v>
      </c>
      <c r="B1440" s="303">
        <v>307.81459999999998</v>
      </c>
      <c r="C1440" s="308">
        <v>9.2186376774363907</v>
      </c>
    </row>
    <row r="1441" spans="1:3" x14ac:dyDescent="0.35">
      <c r="A1441" s="305">
        <v>44725</v>
      </c>
      <c r="B1441" s="306">
        <v>307.69130000000001</v>
      </c>
      <c r="C1441" s="309">
        <v>9.1956168626647994</v>
      </c>
    </row>
    <row r="1442" spans="1:3" x14ac:dyDescent="0.35">
      <c r="A1442" s="302">
        <v>44724</v>
      </c>
      <c r="B1442" s="303">
        <v>307.56799999999998</v>
      </c>
      <c r="C1442" s="308">
        <v>9.1725873045621604</v>
      </c>
    </row>
    <row r="1443" spans="1:3" x14ac:dyDescent="0.35">
      <c r="A1443" s="305">
        <v>44723</v>
      </c>
      <c r="B1443" s="306">
        <v>307.44479999999999</v>
      </c>
      <c r="C1443" s="309">
        <v>9.1495457498588806</v>
      </c>
    </row>
    <row r="1444" spans="1:3" x14ac:dyDescent="0.35">
      <c r="A1444" s="302">
        <v>44722</v>
      </c>
      <c r="B1444" s="303">
        <v>307.32159999999999</v>
      </c>
      <c r="C1444" s="308">
        <v>9.1265342066156592</v>
      </c>
    </row>
    <row r="1445" spans="1:3" x14ac:dyDescent="0.35">
      <c r="A1445" s="305">
        <v>44721</v>
      </c>
      <c r="B1445" s="306">
        <v>307.19850000000002</v>
      </c>
      <c r="C1445" s="309">
        <v>9.1035106854127701</v>
      </c>
    </row>
    <row r="1446" spans="1:3" x14ac:dyDescent="0.35">
      <c r="A1446" s="302">
        <v>44720</v>
      </c>
      <c r="B1446" s="303">
        <v>307.0754</v>
      </c>
      <c r="C1446" s="308">
        <v>9.0804784295699594</v>
      </c>
    </row>
    <row r="1447" spans="1:3" x14ac:dyDescent="0.35">
      <c r="A1447" s="305">
        <v>44719</v>
      </c>
      <c r="B1447" s="306">
        <v>306.95240000000001</v>
      </c>
      <c r="C1447" s="309">
        <v>9.0574729632312696</v>
      </c>
    </row>
    <row r="1448" spans="1:3" x14ac:dyDescent="0.35">
      <c r="A1448" s="302">
        <v>44718</v>
      </c>
      <c r="B1448" s="303">
        <v>306.82940000000002</v>
      </c>
      <c r="C1448" s="308">
        <v>9.0344587657899105</v>
      </c>
    </row>
    <row r="1449" spans="1:3" x14ac:dyDescent="0.35">
      <c r="A1449" s="305">
        <v>44717</v>
      </c>
      <c r="B1449" s="306">
        <v>306.70650000000001</v>
      </c>
      <c r="C1449" s="309">
        <v>9.0114713748767095</v>
      </c>
    </row>
    <row r="1450" spans="1:3" x14ac:dyDescent="0.35">
      <c r="A1450" s="302">
        <v>44716</v>
      </c>
      <c r="B1450" s="303">
        <v>306.58359999999999</v>
      </c>
      <c r="C1450" s="308">
        <v>8.9884752564085701</v>
      </c>
    </row>
    <row r="1451" spans="1:3" x14ac:dyDescent="0.35">
      <c r="A1451" s="305">
        <v>44715</v>
      </c>
      <c r="B1451" s="306">
        <v>306.46080000000001</v>
      </c>
      <c r="C1451" s="309">
        <v>8.9655059615133705</v>
      </c>
    </row>
    <row r="1452" spans="1:3" x14ac:dyDescent="0.35">
      <c r="A1452" s="302">
        <v>44714</v>
      </c>
      <c r="B1452" s="303">
        <v>306.33800000000002</v>
      </c>
      <c r="C1452" s="308">
        <v>8.9425279426214708</v>
      </c>
    </row>
    <row r="1453" spans="1:3" x14ac:dyDescent="0.35">
      <c r="A1453" s="305">
        <v>44713</v>
      </c>
      <c r="B1453" s="306">
        <v>306.21530000000001</v>
      </c>
      <c r="C1453" s="309">
        <v>8.9195380221171696</v>
      </c>
    </row>
    <row r="1454" spans="1:3" x14ac:dyDescent="0.35">
      <c r="A1454" s="302">
        <v>44712</v>
      </c>
      <c r="B1454" s="303">
        <v>306.0926</v>
      </c>
      <c r="C1454" s="308">
        <v>8.8965781242439999</v>
      </c>
    </row>
    <row r="1455" spans="1:3" x14ac:dyDescent="0.35">
      <c r="A1455" s="305">
        <v>44711</v>
      </c>
      <c r="B1455" s="306">
        <v>305.9699</v>
      </c>
      <c r="C1455" s="309">
        <v>8.8735707603716705</v>
      </c>
    </row>
    <row r="1456" spans="1:3" x14ac:dyDescent="0.35">
      <c r="A1456" s="302">
        <v>44710</v>
      </c>
      <c r="B1456" s="303">
        <v>305.84739999999999</v>
      </c>
      <c r="C1456" s="308">
        <v>8.8506258474832595</v>
      </c>
    </row>
    <row r="1457" spans="1:3" x14ac:dyDescent="0.35">
      <c r="A1457" s="305">
        <v>44709</v>
      </c>
      <c r="B1457" s="306">
        <v>305.72480000000002</v>
      </c>
      <c r="C1457" s="309">
        <v>8.8276366313228003</v>
      </c>
    </row>
    <row r="1458" spans="1:3" x14ac:dyDescent="0.35">
      <c r="A1458" s="302">
        <v>44708</v>
      </c>
      <c r="B1458" s="303">
        <v>305.60230000000001</v>
      </c>
      <c r="C1458" s="308">
        <v>8.8046742933802005</v>
      </c>
    </row>
    <row r="1459" spans="1:3" x14ac:dyDescent="0.35">
      <c r="A1459" s="305">
        <v>44707</v>
      </c>
      <c r="B1459" s="306">
        <v>305.47989999999999</v>
      </c>
      <c r="C1459" s="309">
        <v>8.7817388489600603</v>
      </c>
    </row>
    <row r="1460" spans="1:3" x14ac:dyDescent="0.35">
      <c r="A1460" s="302">
        <v>44706</v>
      </c>
      <c r="B1460" s="303">
        <v>305.35750000000002</v>
      </c>
      <c r="C1460" s="308">
        <v>8.7587946965050598</v>
      </c>
    </row>
    <row r="1461" spans="1:3" x14ac:dyDescent="0.35">
      <c r="A1461" s="305">
        <v>44705</v>
      </c>
      <c r="B1461" s="306">
        <v>305.23520000000002</v>
      </c>
      <c r="C1461" s="309">
        <v>8.7358774546911899</v>
      </c>
    </row>
    <row r="1462" spans="1:3" x14ac:dyDescent="0.35">
      <c r="A1462" s="302">
        <v>44704</v>
      </c>
      <c r="B1462" s="303">
        <v>305.11290000000002</v>
      </c>
      <c r="C1462" s="308">
        <v>8.7129515084486808</v>
      </c>
    </row>
    <row r="1463" spans="1:3" x14ac:dyDescent="0.35">
      <c r="A1463" s="305">
        <v>44703</v>
      </c>
      <c r="B1463" s="306">
        <v>304.99059999999997</v>
      </c>
      <c r="C1463" s="309">
        <v>8.6899781187857705</v>
      </c>
    </row>
    <row r="1464" spans="1:3" x14ac:dyDescent="0.35">
      <c r="A1464" s="302">
        <v>44702</v>
      </c>
      <c r="B1464" s="303">
        <v>304.86840000000001</v>
      </c>
      <c r="C1464" s="308">
        <v>8.6670703935481601</v>
      </c>
    </row>
    <row r="1465" spans="1:3" x14ac:dyDescent="0.35">
      <c r="A1465" s="305">
        <v>44701</v>
      </c>
      <c r="B1465" s="306">
        <v>304.74630000000002</v>
      </c>
      <c r="C1465" s="309">
        <v>8.6441508808393603</v>
      </c>
    </row>
    <row r="1466" spans="1:3" x14ac:dyDescent="0.35">
      <c r="A1466" s="302">
        <v>44700</v>
      </c>
      <c r="B1466" s="303">
        <v>304.62419999999997</v>
      </c>
      <c r="C1466" s="308">
        <v>8.6212226725758203</v>
      </c>
    </row>
    <row r="1467" spans="1:3" x14ac:dyDescent="0.35">
      <c r="A1467" s="305">
        <v>44699</v>
      </c>
      <c r="B1467" s="306">
        <v>304.50209999999998</v>
      </c>
      <c r="C1467" s="309">
        <v>8.5982857638080308</v>
      </c>
    </row>
    <row r="1468" spans="1:3" x14ac:dyDescent="0.35">
      <c r="A1468" s="302">
        <v>44698</v>
      </c>
      <c r="B1468" s="303">
        <v>304.38010000000003</v>
      </c>
      <c r="C1468" s="308">
        <v>8.5753758205663893</v>
      </c>
    </row>
    <row r="1469" spans="1:3" x14ac:dyDescent="0.35">
      <c r="A1469" s="305">
        <v>44697</v>
      </c>
      <c r="B1469" s="306">
        <v>304.25819999999999</v>
      </c>
      <c r="C1469" s="309">
        <v>8.5524928582055395</v>
      </c>
    </row>
    <row r="1470" spans="1:3" x14ac:dyDescent="0.35">
      <c r="A1470" s="302">
        <v>44696</v>
      </c>
      <c r="B1470" s="303">
        <v>304.13630000000001</v>
      </c>
      <c r="C1470" s="308">
        <v>8.5296012075644096</v>
      </c>
    </row>
    <row r="1471" spans="1:3" x14ac:dyDescent="0.35">
      <c r="A1471" s="305">
        <v>44695</v>
      </c>
      <c r="B1471" s="306">
        <v>304.03539999999998</v>
      </c>
      <c r="C1471" s="309">
        <v>8.5119884648055208</v>
      </c>
    </row>
    <row r="1472" spans="1:3" x14ac:dyDescent="0.35">
      <c r="A1472" s="302">
        <v>44694</v>
      </c>
      <c r="B1472" s="303">
        <v>303.93459999999999</v>
      </c>
      <c r="C1472" s="308">
        <v>8.4944054458776606</v>
      </c>
    </row>
    <row r="1473" spans="1:3" x14ac:dyDescent="0.35">
      <c r="A1473" s="305">
        <v>44693</v>
      </c>
      <c r="B1473" s="306">
        <v>303.8338</v>
      </c>
      <c r="C1473" s="309">
        <v>8.4768164632208798</v>
      </c>
    </row>
    <row r="1474" spans="1:3" x14ac:dyDescent="0.35">
      <c r="A1474" s="302">
        <v>44692</v>
      </c>
      <c r="B1474" s="303">
        <v>303.733</v>
      </c>
      <c r="C1474" s="308">
        <v>8.4592215138005304</v>
      </c>
    </row>
    <row r="1475" spans="1:3" x14ac:dyDescent="0.35">
      <c r="A1475" s="305">
        <v>44691</v>
      </c>
      <c r="B1475" s="306">
        <v>303.63229999999999</v>
      </c>
      <c r="C1475" s="309">
        <v>8.4416563093758494</v>
      </c>
    </row>
    <row r="1476" spans="1:3" x14ac:dyDescent="0.35">
      <c r="A1476" s="302">
        <v>44690</v>
      </c>
      <c r="B1476" s="303">
        <v>303.53160000000003</v>
      </c>
      <c r="C1476" s="308">
        <v>8.4240464142346099</v>
      </c>
    </row>
    <row r="1477" spans="1:3" x14ac:dyDescent="0.35">
      <c r="A1477" s="305">
        <v>44689</v>
      </c>
      <c r="B1477" s="306">
        <v>303.43090000000001</v>
      </c>
      <c r="C1477" s="309">
        <v>8.4064692850438991</v>
      </c>
    </row>
    <row r="1478" spans="1:3" x14ac:dyDescent="0.35">
      <c r="A1478" s="302">
        <v>44688</v>
      </c>
      <c r="B1478" s="303">
        <v>303.33030000000002</v>
      </c>
      <c r="C1478" s="308">
        <v>8.3889219220335196</v>
      </c>
    </row>
    <row r="1479" spans="1:3" x14ac:dyDescent="0.35">
      <c r="A1479" s="305">
        <v>44687</v>
      </c>
      <c r="B1479" s="306">
        <v>303.22969999999998</v>
      </c>
      <c r="C1479" s="309">
        <v>8.3713298704603396</v>
      </c>
    </row>
    <row r="1480" spans="1:3" x14ac:dyDescent="0.35">
      <c r="A1480" s="302">
        <v>44686</v>
      </c>
      <c r="B1480" s="303">
        <v>303.12920000000003</v>
      </c>
      <c r="C1480" s="308">
        <v>8.3537676026634404</v>
      </c>
    </row>
    <row r="1481" spans="1:3" x14ac:dyDescent="0.35">
      <c r="A1481" s="305">
        <v>44685</v>
      </c>
      <c r="B1481" s="306">
        <v>303.02859999999998</v>
      </c>
      <c r="C1481" s="309">
        <v>8.3362023629363602</v>
      </c>
    </row>
    <row r="1482" spans="1:3" x14ac:dyDescent="0.35">
      <c r="A1482" s="302">
        <v>44684</v>
      </c>
      <c r="B1482" s="303">
        <v>302.9282</v>
      </c>
      <c r="C1482" s="308">
        <v>8.3186639391069104</v>
      </c>
    </row>
    <row r="1483" spans="1:3" x14ac:dyDescent="0.35">
      <c r="A1483" s="305">
        <v>44683</v>
      </c>
      <c r="B1483" s="306">
        <v>302.82769999999999</v>
      </c>
      <c r="C1483" s="309">
        <v>8.3010838058555194</v>
      </c>
    </row>
    <row r="1484" spans="1:3" x14ac:dyDescent="0.35">
      <c r="A1484" s="302">
        <v>44682</v>
      </c>
      <c r="B1484" s="303">
        <v>302.72730000000001</v>
      </c>
      <c r="C1484" s="308">
        <v>8.2835334806314407</v>
      </c>
    </row>
    <row r="1485" spans="1:3" x14ac:dyDescent="0.35">
      <c r="A1485" s="305">
        <v>44681</v>
      </c>
      <c r="B1485" s="306">
        <v>302.62689999999998</v>
      </c>
      <c r="C1485" s="309">
        <v>8.2659772032010395</v>
      </c>
    </row>
    <row r="1486" spans="1:3" x14ac:dyDescent="0.35">
      <c r="A1486" s="302">
        <v>44680</v>
      </c>
      <c r="B1486" s="303">
        <v>302.5265</v>
      </c>
      <c r="C1486" s="308">
        <v>8.2484149705357499</v>
      </c>
    </row>
    <row r="1487" spans="1:3" x14ac:dyDescent="0.35">
      <c r="A1487" s="305">
        <v>44679</v>
      </c>
      <c r="B1487" s="306">
        <v>302.42619999999999</v>
      </c>
      <c r="C1487" s="309">
        <v>8.2308825671400996</v>
      </c>
    </row>
    <row r="1488" spans="1:3" x14ac:dyDescent="0.35">
      <c r="A1488" s="302">
        <v>44678</v>
      </c>
      <c r="B1488" s="303">
        <v>302.32589999999999</v>
      </c>
      <c r="C1488" s="308">
        <v>8.2133442145898297</v>
      </c>
    </row>
    <row r="1489" spans="1:3" x14ac:dyDescent="0.35">
      <c r="A1489" s="305">
        <v>44677</v>
      </c>
      <c r="B1489" s="306">
        <v>302.22559999999999</v>
      </c>
      <c r="C1489" s="309">
        <v>8.1957999098563992</v>
      </c>
    </row>
    <row r="1490" spans="1:3" x14ac:dyDescent="0.35">
      <c r="A1490" s="302">
        <v>44676</v>
      </c>
      <c r="B1490" s="303">
        <v>302.12540000000001</v>
      </c>
      <c r="C1490" s="308">
        <v>8.1782467216261008</v>
      </c>
    </row>
    <row r="1491" spans="1:3" x14ac:dyDescent="0.35">
      <c r="A1491" s="305">
        <v>44675</v>
      </c>
      <c r="B1491" s="306">
        <v>302.02519999999998</v>
      </c>
      <c r="C1491" s="309">
        <v>8.1607263210443897</v>
      </c>
    </row>
    <row r="1492" spans="1:3" x14ac:dyDescent="0.35">
      <c r="A1492" s="302">
        <v>44674</v>
      </c>
      <c r="B1492" s="303">
        <v>301.92509999999999</v>
      </c>
      <c r="C1492" s="308">
        <v>8.1431970546233607</v>
      </c>
    </row>
    <row r="1493" spans="1:3" x14ac:dyDescent="0.35">
      <c r="A1493" s="305">
        <v>44673</v>
      </c>
      <c r="B1493" s="306">
        <v>301.82490000000001</v>
      </c>
      <c r="C1493" s="309">
        <v>8.1256647585625608</v>
      </c>
    </row>
    <row r="1494" spans="1:3" x14ac:dyDescent="0.35">
      <c r="A1494" s="302">
        <v>44672</v>
      </c>
      <c r="B1494" s="303">
        <v>301.72489999999999</v>
      </c>
      <c r="C1494" s="308">
        <v>8.1081594322228199</v>
      </c>
    </row>
    <row r="1495" spans="1:3" x14ac:dyDescent="0.35">
      <c r="A1495" s="305">
        <v>44671</v>
      </c>
      <c r="B1495" s="306">
        <v>301.62479999999999</v>
      </c>
      <c r="C1495" s="309">
        <v>8.0906123352927306</v>
      </c>
    </row>
    <row r="1496" spans="1:3" x14ac:dyDescent="0.35">
      <c r="A1496" s="302">
        <v>44670</v>
      </c>
      <c r="B1496" s="303">
        <v>301.52480000000003</v>
      </c>
      <c r="C1496" s="308">
        <v>8.0730951309100192</v>
      </c>
    </row>
    <row r="1497" spans="1:3" x14ac:dyDescent="0.35">
      <c r="A1497" s="305">
        <v>44669</v>
      </c>
      <c r="B1497" s="306">
        <v>301.4248</v>
      </c>
      <c r="C1497" s="309">
        <v>8.0555719860120103</v>
      </c>
    </row>
    <row r="1498" spans="1:3" x14ac:dyDescent="0.35">
      <c r="A1498" s="302">
        <v>44668</v>
      </c>
      <c r="B1498" s="303">
        <v>301.32479999999998</v>
      </c>
      <c r="C1498" s="308">
        <v>8.0380428975763198</v>
      </c>
    </row>
    <row r="1499" spans="1:3" x14ac:dyDescent="0.35">
      <c r="A1499" s="305">
        <v>44667</v>
      </c>
      <c r="B1499" s="306">
        <v>301.22489999999999</v>
      </c>
      <c r="C1499" s="309">
        <v>8.0205437230083003</v>
      </c>
    </row>
    <row r="1500" spans="1:3" x14ac:dyDescent="0.35">
      <c r="A1500" s="302">
        <v>44666</v>
      </c>
      <c r="B1500" s="303">
        <v>301.125</v>
      </c>
      <c r="C1500" s="308">
        <v>8.0030386110190506</v>
      </c>
    </row>
    <row r="1501" spans="1:3" x14ac:dyDescent="0.35">
      <c r="A1501" s="305">
        <v>44665</v>
      </c>
      <c r="B1501" s="306">
        <v>300.96800000000002</v>
      </c>
      <c r="C1501" s="309">
        <v>7.9689174301526498</v>
      </c>
    </row>
    <row r="1502" spans="1:3" x14ac:dyDescent="0.35">
      <c r="A1502" s="302">
        <v>44664</v>
      </c>
      <c r="B1502" s="303">
        <v>300.81110000000001</v>
      </c>
      <c r="C1502" s="308">
        <v>7.9348568283321397</v>
      </c>
    </row>
    <row r="1503" spans="1:3" x14ac:dyDescent="0.35">
      <c r="A1503" s="305">
        <v>44663</v>
      </c>
      <c r="B1503" s="306">
        <v>300.6542</v>
      </c>
      <c r="C1503" s="309">
        <v>7.9007434693417604</v>
      </c>
    </row>
    <row r="1504" spans="1:3" x14ac:dyDescent="0.35">
      <c r="A1504" s="302">
        <v>44662</v>
      </c>
      <c r="B1504" s="303">
        <v>300.49740000000003</v>
      </c>
      <c r="C1504" s="308">
        <v>7.8666906930880698</v>
      </c>
    </row>
    <row r="1505" spans="1:3" x14ac:dyDescent="0.35">
      <c r="A1505" s="305">
        <v>44661</v>
      </c>
      <c r="B1505" s="306">
        <v>300.3408</v>
      </c>
      <c r="C1505" s="309">
        <v>7.8326569725004802</v>
      </c>
    </row>
    <row r="1506" spans="1:3" x14ac:dyDescent="0.35">
      <c r="A1506" s="302">
        <v>44660</v>
      </c>
      <c r="B1506" s="303">
        <v>300.1841</v>
      </c>
      <c r="C1506" s="308">
        <v>7.79857333492299</v>
      </c>
    </row>
    <row r="1507" spans="1:3" x14ac:dyDescent="0.35">
      <c r="A1507" s="305">
        <v>44659</v>
      </c>
      <c r="B1507" s="306">
        <v>300.02760000000001</v>
      </c>
      <c r="C1507" s="309">
        <v>7.7645475041692098</v>
      </c>
    </row>
    <row r="1508" spans="1:3" x14ac:dyDescent="0.35">
      <c r="A1508" s="302">
        <v>44658</v>
      </c>
      <c r="B1508" s="303">
        <v>299.87119999999999</v>
      </c>
      <c r="C1508" s="308">
        <v>7.7305435903331396</v>
      </c>
    </row>
    <row r="1509" spans="1:3" x14ac:dyDescent="0.35">
      <c r="A1509" s="305">
        <v>44657</v>
      </c>
      <c r="B1509" s="306">
        <v>299.71480000000003</v>
      </c>
      <c r="C1509" s="309">
        <v>7.6965256739504104</v>
      </c>
    </row>
    <row r="1510" spans="1:3" x14ac:dyDescent="0.35">
      <c r="A1510" s="302">
        <v>44656</v>
      </c>
      <c r="B1510" s="303">
        <v>299.55849999999998</v>
      </c>
      <c r="C1510" s="308">
        <v>7.66249099243994</v>
      </c>
    </row>
    <row r="1511" spans="1:3" x14ac:dyDescent="0.35">
      <c r="A1511" s="305">
        <v>44655</v>
      </c>
      <c r="B1511" s="306">
        <v>299.40230000000003</v>
      </c>
      <c r="C1511" s="309">
        <v>7.6285169522598899</v>
      </c>
    </row>
    <row r="1512" spans="1:3" x14ac:dyDescent="0.35">
      <c r="A1512" s="302">
        <v>44654</v>
      </c>
      <c r="B1512" s="303">
        <v>299.24619999999999</v>
      </c>
      <c r="C1512" s="308">
        <v>7.5945261825660504</v>
      </c>
    </row>
    <row r="1513" spans="1:3" x14ac:dyDescent="0.35">
      <c r="A1513" s="305">
        <v>44653</v>
      </c>
      <c r="B1513" s="306">
        <v>299.09019999999998</v>
      </c>
      <c r="C1513" s="309">
        <v>7.5605960728127499</v>
      </c>
    </row>
    <row r="1514" spans="1:3" x14ac:dyDescent="0.35">
      <c r="A1514" s="302">
        <v>44652</v>
      </c>
      <c r="B1514" s="303">
        <v>298.93419999999998</v>
      </c>
      <c r="C1514" s="308">
        <v>7.5266132991858203</v>
      </c>
    </row>
    <row r="1515" spans="1:3" x14ac:dyDescent="0.35">
      <c r="A1515" s="305">
        <v>44651</v>
      </c>
      <c r="B1515" s="306">
        <v>298.77839999999998</v>
      </c>
      <c r="C1515" s="309">
        <v>7.4926884936732003</v>
      </c>
    </row>
    <row r="1516" spans="1:3" x14ac:dyDescent="0.35">
      <c r="A1516" s="302">
        <v>44650</v>
      </c>
      <c r="B1516" s="303">
        <v>298.62259999999998</v>
      </c>
      <c r="C1516" s="308">
        <v>7.4587497224672203</v>
      </c>
    </row>
    <row r="1517" spans="1:3" x14ac:dyDescent="0.35">
      <c r="A1517" s="305">
        <v>44649</v>
      </c>
      <c r="B1517" s="306">
        <v>298.46679999999998</v>
      </c>
      <c r="C1517" s="309">
        <v>7.4247969769423099</v>
      </c>
    </row>
    <row r="1518" spans="1:3" x14ac:dyDescent="0.35">
      <c r="A1518" s="302">
        <v>44648</v>
      </c>
      <c r="B1518" s="303">
        <v>298.31119999999999</v>
      </c>
      <c r="C1518" s="308">
        <v>7.3908635874041702</v>
      </c>
    </row>
    <row r="1519" spans="1:3" x14ac:dyDescent="0.35">
      <c r="A1519" s="305">
        <v>44647</v>
      </c>
      <c r="B1519" s="306">
        <v>298.15570000000002</v>
      </c>
      <c r="C1519" s="309">
        <v>7.3569909075066002</v>
      </c>
    </row>
    <row r="1520" spans="1:3" x14ac:dyDescent="0.35">
      <c r="A1520" s="302">
        <v>44646</v>
      </c>
      <c r="B1520" s="303">
        <v>298.00020000000001</v>
      </c>
      <c r="C1520" s="308">
        <v>7.3230656200874096</v>
      </c>
    </row>
    <row r="1521" spans="1:3" x14ac:dyDescent="0.35">
      <c r="A1521" s="305">
        <v>44645</v>
      </c>
      <c r="B1521" s="306">
        <v>297.84480000000002</v>
      </c>
      <c r="C1521" s="309">
        <v>7.2892010462185501</v>
      </c>
    </row>
    <row r="1522" spans="1:3" x14ac:dyDescent="0.35">
      <c r="A1522" s="302">
        <v>44644</v>
      </c>
      <c r="B1522" s="303">
        <v>297.68950000000001</v>
      </c>
      <c r="C1522" s="308">
        <v>7.2553199001845403</v>
      </c>
    </row>
    <row r="1523" spans="1:3" x14ac:dyDescent="0.35">
      <c r="A1523" s="305">
        <v>44643</v>
      </c>
      <c r="B1523" s="306">
        <v>297.53429999999997</v>
      </c>
      <c r="C1523" s="309">
        <v>7.2214608474167701</v>
      </c>
    </row>
    <row r="1524" spans="1:3" x14ac:dyDescent="0.35">
      <c r="A1524" s="302">
        <v>44642</v>
      </c>
      <c r="B1524" s="303">
        <v>297.37909999999999</v>
      </c>
      <c r="C1524" s="308">
        <v>7.1875878574672498</v>
      </c>
    </row>
    <row r="1525" spans="1:3" x14ac:dyDescent="0.35">
      <c r="A1525" s="305">
        <v>44641</v>
      </c>
      <c r="B1525" s="306">
        <v>297.22410000000002</v>
      </c>
      <c r="C1525" s="309">
        <v>7.1537730247468403</v>
      </c>
    </row>
    <row r="1526" spans="1:3" x14ac:dyDescent="0.35">
      <c r="A1526" s="302">
        <v>44640</v>
      </c>
      <c r="B1526" s="303">
        <v>297.06909999999999</v>
      </c>
      <c r="C1526" s="308">
        <v>7.1199442673149598</v>
      </c>
    </row>
    <row r="1527" spans="1:3" x14ac:dyDescent="0.35">
      <c r="A1527" s="305">
        <v>44639</v>
      </c>
      <c r="B1527" s="306">
        <v>296.91419999999999</v>
      </c>
      <c r="C1527" s="309">
        <v>7.0861376429264702</v>
      </c>
    </row>
    <row r="1528" spans="1:3" x14ac:dyDescent="0.35">
      <c r="A1528" s="302">
        <v>44638</v>
      </c>
      <c r="B1528" s="303">
        <v>296.75940000000003</v>
      </c>
      <c r="C1528" s="308">
        <v>7.05231454743467</v>
      </c>
    </row>
    <row r="1529" spans="1:3" x14ac:dyDescent="0.35">
      <c r="A1529" s="305">
        <v>44637</v>
      </c>
      <c r="B1529" s="306">
        <v>296.6046</v>
      </c>
      <c r="C1529" s="309">
        <v>7.01851615319503</v>
      </c>
    </row>
    <row r="1530" spans="1:3" x14ac:dyDescent="0.35">
      <c r="A1530" s="302">
        <v>44636</v>
      </c>
      <c r="B1530" s="303">
        <v>296.45</v>
      </c>
      <c r="C1530" s="308">
        <v>6.9847373974902496</v>
      </c>
    </row>
    <row r="1531" spans="1:3" x14ac:dyDescent="0.35">
      <c r="A1531" s="305">
        <v>44635</v>
      </c>
      <c r="B1531" s="306">
        <v>296.29539999999997</v>
      </c>
      <c r="C1531" s="309">
        <v>6.9509447419962402</v>
      </c>
    </row>
    <row r="1532" spans="1:3" x14ac:dyDescent="0.35">
      <c r="A1532" s="302">
        <v>44634</v>
      </c>
      <c r="B1532" s="303">
        <v>296.12009999999998</v>
      </c>
      <c r="C1532" s="308">
        <v>6.9032964486038004</v>
      </c>
    </row>
    <row r="1533" spans="1:3" x14ac:dyDescent="0.35">
      <c r="A1533" s="305">
        <v>44633</v>
      </c>
      <c r="B1533" s="306">
        <v>295.94499999999999</v>
      </c>
      <c r="C1533" s="309">
        <v>6.8556678510833997</v>
      </c>
    </row>
    <row r="1534" spans="1:3" x14ac:dyDescent="0.35">
      <c r="A1534" s="302">
        <v>44632</v>
      </c>
      <c r="B1534" s="303">
        <v>295.77</v>
      </c>
      <c r="C1534" s="308">
        <v>6.8081000385674901</v>
      </c>
    </row>
    <row r="1535" spans="1:3" x14ac:dyDescent="0.35">
      <c r="A1535" s="305">
        <v>44631</v>
      </c>
      <c r="B1535" s="306">
        <v>295.5951</v>
      </c>
      <c r="C1535" s="309">
        <v>6.7605544272956202</v>
      </c>
    </row>
    <row r="1536" spans="1:3" x14ac:dyDescent="0.35">
      <c r="A1536" s="302">
        <v>44630</v>
      </c>
      <c r="B1536" s="303">
        <v>295.42039999999997</v>
      </c>
      <c r="C1536" s="308">
        <v>6.7130286021016801</v>
      </c>
    </row>
    <row r="1537" spans="1:3" x14ac:dyDescent="0.35">
      <c r="A1537" s="305">
        <v>44629</v>
      </c>
      <c r="B1537" s="306">
        <v>295.2457</v>
      </c>
      <c r="C1537" s="309">
        <v>6.6655274393614397</v>
      </c>
    </row>
    <row r="1538" spans="1:3" x14ac:dyDescent="0.35">
      <c r="A1538" s="302">
        <v>44628</v>
      </c>
      <c r="B1538" s="303">
        <v>295.0711</v>
      </c>
      <c r="C1538" s="308">
        <v>6.6180099828223797</v>
      </c>
    </row>
    <row r="1539" spans="1:3" x14ac:dyDescent="0.35">
      <c r="A1539" s="305">
        <v>44627</v>
      </c>
      <c r="B1539" s="306">
        <v>294.89659999999998</v>
      </c>
      <c r="C1539" s="309">
        <v>6.57055330233392</v>
      </c>
    </row>
    <row r="1540" spans="1:3" x14ac:dyDescent="0.35">
      <c r="A1540" s="302">
        <v>44626</v>
      </c>
      <c r="B1540" s="303">
        <v>294.72219999999999</v>
      </c>
      <c r="C1540" s="308">
        <v>6.5230803706160101</v>
      </c>
    </row>
    <row r="1541" spans="1:3" x14ac:dyDescent="0.35">
      <c r="A1541" s="305">
        <v>44625</v>
      </c>
      <c r="B1541" s="306">
        <v>294.54790000000003</v>
      </c>
      <c r="C1541" s="309">
        <v>6.4756297217154399</v>
      </c>
    </row>
    <row r="1542" spans="1:3" x14ac:dyDescent="0.35">
      <c r="A1542" s="302">
        <v>44624</v>
      </c>
      <c r="B1542" s="303">
        <v>294.37380000000002</v>
      </c>
      <c r="C1542" s="308">
        <v>6.4282375195096604</v>
      </c>
    </row>
    <row r="1543" spans="1:3" x14ac:dyDescent="0.35">
      <c r="A1543" s="305">
        <v>44623</v>
      </c>
      <c r="B1543" s="306">
        <v>294.19970000000001</v>
      </c>
      <c r="C1543" s="309">
        <v>6.3808699375020801</v>
      </c>
    </row>
    <row r="1544" spans="1:3" x14ac:dyDescent="0.35">
      <c r="A1544" s="302">
        <v>44622</v>
      </c>
      <c r="B1544" s="303">
        <v>294.02569999999997</v>
      </c>
      <c r="C1544" s="308">
        <v>6.3334861894277603</v>
      </c>
    </row>
    <row r="1545" spans="1:3" x14ac:dyDescent="0.35">
      <c r="A1545" s="305">
        <v>44621</v>
      </c>
      <c r="B1545" s="306">
        <v>293.8519</v>
      </c>
      <c r="C1545" s="309">
        <v>6.2861609332432504</v>
      </c>
    </row>
    <row r="1546" spans="1:3" x14ac:dyDescent="0.35">
      <c r="A1546" s="302">
        <v>44620</v>
      </c>
      <c r="B1546" s="303">
        <v>293.67809999999997</v>
      </c>
      <c r="C1546" s="308">
        <v>6.2388218440701504</v>
      </c>
    </row>
    <row r="1547" spans="1:3" x14ac:dyDescent="0.35">
      <c r="A1547" s="305">
        <v>44619</v>
      </c>
      <c r="B1547" s="306">
        <v>293.50439999999998</v>
      </c>
      <c r="C1547" s="309">
        <v>6.1915050963922198</v>
      </c>
    </row>
    <row r="1548" spans="1:3" x14ac:dyDescent="0.35">
      <c r="A1548" s="302">
        <v>44618</v>
      </c>
      <c r="B1548" s="303">
        <v>293.33089999999999</v>
      </c>
      <c r="C1548" s="308">
        <v>6.1442084766744403</v>
      </c>
    </row>
    <row r="1549" spans="1:3" x14ac:dyDescent="0.35">
      <c r="A1549" s="305">
        <v>44617</v>
      </c>
      <c r="B1549" s="306">
        <v>293.1574</v>
      </c>
      <c r="C1549" s="309">
        <v>6.0969364581708501</v>
      </c>
    </row>
    <row r="1550" spans="1:3" x14ac:dyDescent="0.35">
      <c r="A1550" s="302">
        <v>44616</v>
      </c>
      <c r="B1550" s="303">
        <v>292.98410000000001</v>
      </c>
      <c r="C1550" s="308">
        <v>6.0497230069804804</v>
      </c>
    </row>
    <row r="1551" spans="1:3" x14ac:dyDescent="0.35">
      <c r="A1551" s="305">
        <v>44615</v>
      </c>
      <c r="B1551" s="306">
        <v>292.81079999999997</v>
      </c>
      <c r="C1551" s="309">
        <v>6.00249574539487</v>
      </c>
    </row>
    <row r="1552" spans="1:3" x14ac:dyDescent="0.35">
      <c r="A1552" s="302">
        <v>44614</v>
      </c>
      <c r="B1552" s="303">
        <v>292.6377</v>
      </c>
      <c r="C1552" s="308">
        <v>5.9552887181206504</v>
      </c>
    </row>
    <row r="1553" spans="1:3" x14ac:dyDescent="0.35">
      <c r="A1553" s="305">
        <v>44613</v>
      </c>
      <c r="B1553" s="306">
        <v>292.46460000000002</v>
      </c>
      <c r="C1553" s="309">
        <v>5.9081062642178503</v>
      </c>
    </row>
    <row r="1554" spans="1:3" x14ac:dyDescent="0.35">
      <c r="A1554" s="302">
        <v>44612</v>
      </c>
      <c r="B1554" s="303">
        <v>292.29169999999999</v>
      </c>
      <c r="C1554" s="308">
        <v>5.8609440978222</v>
      </c>
    </row>
    <row r="1555" spans="1:3" x14ac:dyDescent="0.35">
      <c r="A1555" s="305">
        <v>44611</v>
      </c>
      <c r="B1555" s="306">
        <v>292.11880000000002</v>
      </c>
      <c r="C1555" s="309">
        <v>5.8138064909205598</v>
      </c>
    </row>
    <row r="1556" spans="1:3" x14ac:dyDescent="0.35">
      <c r="A1556" s="302">
        <v>44610</v>
      </c>
      <c r="B1556" s="303">
        <v>291.9461</v>
      </c>
      <c r="C1556" s="308">
        <v>5.7666892247319499</v>
      </c>
    </row>
    <row r="1557" spans="1:3" x14ac:dyDescent="0.35">
      <c r="A1557" s="305">
        <v>44609</v>
      </c>
      <c r="B1557" s="306">
        <v>291.77350000000001</v>
      </c>
      <c r="C1557" s="309">
        <v>5.7196327376552603</v>
      </c>
    </row>
    <row r="1558" spans="1:3" x14ac:dyDescent="0.35">
      <c r="A1558" s="302">
        <v>44608</v>
      </c>
      <c r="B1558" s="303">
        <v>291.60090000000002</v>
      </c>
      <c r="C1558" s="308">
        <v>5.6725241775887199</v>
      </c>
    </row>
    <row r="1559" spans="1:3" x14ac:dyDescent="0.35">
      <c r="A1559" s="305">
        <v>44607</v>
      </c>
      <c r="B1559" s="306">
        <v>291.42849999999999</v>
      </c>
      <c r="C1559" s="309">
        <v>5.6254743439284303</v>
      </c>
    </row>
    <row r="1560" spans="1:3" x14ac:dyDescent="0.35">
      <c r="A1560" s="302">
        <v>44606</v>
      </c>
      <c r="B1560" s="303">
        <v>291.36009999999999</v>
      </c>
      <c r="C1560" s="308">
        <v>5.6136216006170896</v>
      </c>
    </row>
    <row r="1561" spans="1:3" x14ac:dyDescent="0.35">
      <c r="A1561" s="305">
        <v>44605</v>
      </c>
      <c r="B1561" s="306">
        <v>291.29180000000002</v>
      </c>
      <c r="C1561" s="309">
        <v>5.6017639217531601</v>
      </c>
    </row>
    <row r="1562" spans="1:3" x14ac:dyDescent="0.35">
      <c r="A1562" s="302">
        <v>44604</v>
      </c>
      <c r="B1562" s="303">
        <v>291.2235</v>
      </c>
      <c r="C1562" s="308">
        <v>5.5899416292823103</v>
      </c>
    </row>
    <row r="1563" spans="1:3" x14ac:dyDescent="0.35">
      <c r="A1563" s="305">
        <v>44603</v>
      </c>
      <c r="B1563" s="306">
        <v>291.1551</v>
      </c>
      <c r="C1563" s="309">
        <v>5.5780418925171604</v>
      </c>
    </row>
    <row r="1564" spans="1:3" x14ac:dyDescent="0.35">
      <c r="A1564" s="302">
        <v>44602</v>
      </c>
      <c r="B1564" s="303">
        <v>291.08679999999998</v>
      </c>
      <c r="C1564" s="308">
        <v>5.5662137981406996</v>
      </c>
    </row>
    <row r="1565" spans="1:3" x14ac:dyDescent="0.35">
      <c r="A1565" s="305">
        <v>44601</v>
      </c>
      <c r="B1565" s="306">
        <v>291.01850000000002</v>
      </c>
      <c r="C1565" s="309">
        <v>5.55434451836003</v>
      </c>
    </row>
    <row r="1566" spans="1:3" x14ac:dyDescent="0.35">
      <c r="A1566" s="302">
        <v>44600</v>
      </c>
      <c r="B1566" s="303">
        <v>290.95030000000003</v>
      </c>
      <c r="C1566" s="308">
        <v>5.5425086117084401</v>
      </c>
    </row>
    <row r="1567" spans="1:3" x14ac:dyDescent="0.35">
      <c r="A1567" s="305">
        <v>44599</v>
      </c>
      <c r="B1567" s="306">
        <v>290.88200000000001</v>
      </c>
      <c r="C1567" s="309">
        <v>5.5306335313591202</v>
      </c>
    </row>
    <row r="1568" spans="1:3" x14ac:dyDescent="0.35">
      <c r="A1568" s="302">
        <v>44598</v>
      </c>
      <c r="B1568" s="303">
        <v>290.81380000000001</v>
      </c>
      <c r="C1568" s="308">
        <v>5.5188301173024898</v>
      </c>
    </row>
    <row r="1569" spans="1:3" x14ac:dyDescent="0.35">
      <c r="A1569" s="305">
        <v>44597</v>
      </c>
      <c r="B1569" s="306">
        <v>290.74549999999999</v>
      </c>
      <c r="C1569" s="309">
        <v>5.5069492324999096</v>
      </c>
    </row>
    <row r="1570" spans="1:3" x14ac:dyDescent="0.35">
      <c r="A1570" s="302">
        <v>44596</v>
      </c>
      <c r="B1570" s="303">
        <v>290.6773</v>
      </c>
      <c r="C1570" s="308">
        <v>5.4951017343268402</v>
      </c>
    </row>
    <row r="1571" spans="1:3" x14ac:dyDescent="0.35">
      <c r="A1571" s="305">
        <v>44595</v>
      </c>
      <c r="B1571" s="306">
        <v>290.60910000000001</v>
      </c>
      <c r="C1571" s="309">
        <v>5.4832513377369203</v>
      </c>
    </row>
    <row r="1572" spans="1:3" x14ac:dyDescent="0.35">
      <c r="A1572" s="302">
        <v>44594</v>
      </c>
      <c r="B1572" s="303">
        <v>290.541</v>
      </c>
      <c r="C1572" s="308">
        <v>5.4714343434050097</v>
      </c>
    </row>
    <row r="1573" spans="1:3" x14ac:dyDescent="0.35">
      <c r="A1573" s="305">
        <v>44593</v>
      </c>
      <c r="B1573" s="306">
        <v>290.47280000000001</v>
      </c>
      <c r="C1573" s="309">
        <v>5.45957815123122</v>
      </c>
    </row>
    <row r="1574" spans="1:3" x14ac:dyDescent="0.35">
      <c r="A1574" s="302">
        <v>44592</v>
      </c>
      <c r="B1574" s="303">
        <v>290.40469999999999</v>
      </c>
      <c r="C1574" s="308">
        <v>5.4477553680717099</v>
      </c>
    </row>
    <row r="1575" spans="1:3" x14ac:dyDescent="0.35">
      <c r="A1575" s="305">
        <v>44591</v>
      </c>
      <c r="B1575" s="306">
        <v>290.3365</v>
      </c>
      <c r="C1575" s="309">
        <v>5.4358933760592203</v>
      </c>
    </row>
    <row r="1576" spans="1:3" x14ac:dyDescent="0.35">
      <c r="A1576" s="302">
        <v>44590</v>
      </c>
      <c r="B1576" s="303">
        <v>290.26839999999999</v>
      </c>
      <c r="C1576" s="308">
        <v>5.4240647998195604</v>
      </c>
    </row>
    <row r="1577" spans="1:3" x14ac:dyDescent="0.35">
      <c r="A1577" s="305">
        <v>44589</v>
      </c>
      <c r="B1577" s="306">
        <v>290.20030000000003</v>
      </c>
      <c r="C1577" s="309">
        <v>5.4122333276668</v>
      </c>
    </row>
    <row r="1578" spans="1:3" x14ac:dyDescent="0.35">
      <c r="A1578" s="302">
        <v>44588</v>
      </c>
      <c r="B1578" s="303">
        <v>290.13220000000001</v>
      </c>
      <c r="C1578" s="308">
        <v>5.4003989585373002</v>
      </c>
    </row>
    <row r="1579" spans="1:3" x14ac:dyDescent="0.35">
      <c r="A1579" s="305">
        <v>44587</v>
      </c>
      <c r="B1579" s="306">
        <v>290.06420000000003</v>
      </c>
      <c r="C1579" s="309">
        <v>5.3885597335494904</v>
      </c>
    </row>
    <row r="1580" spans="1:3" x14ac:dyDescent="0.35">
      <c r="A1580" s="302">
        <v>44586</v>
      </c>
      <c r="B1580" s="303">
        <v>289.99610000000001</v>
      </c>
      <c r="C1580" s="308">
        <v>5.3767195713362703</v>
      </c>
    </row>
    <row r="1581" spans="1:3" x14ac:dyDescent="0.35">
      <c r="A1581" s="305">
        <v>44585</v>
      </c>
      <c r="B1581" s="306">
        <v>289.92809999999997</v>
      </c>
      <c r="C1581" s="309">
        <v>5.3649128506932398</v>
      </c>
    </row>
    <row r="1582" spans="1:3" x14ac:dyDescent="0.35">
      <c r="A1582" s="302">
        <v>44584</v>
      </c>
      <c r="B1582" s="303">
        <v>289.86009999999999</v>
      </c>
      <c r="C1582" s="308">
        <v>5.3530649458932604</v>
      </c>
    </row>
    <row r="1583" spans="1:3" x14ac:dyDescent="0.35">
      <c r="A1583" s="305">
        <v>44583</v>
      </c>
      <c r="B1583" s="306">
        <v>289.7921</v>
      </c>
      <c r="C1583" s="309">
        <v>5.3412524391272402</v>
      </c>
    </row>
    <row r="1584" spans="1:3" x14ac:dyDescent="0.35">
      <c r="A1584" s="302">
        <v>44582</v>
      </c>
      <c r="B1584" s="303">
        <v>289.72410000000002</v>
      </c>
      <c r="C1584" s="308">
        <v>5.32943703790417</v>
      </c>
    </row>
    <row r="1585" spans="1:3" x14ac:dyDescent="0.35">
      <c r="A1585" s="305">
        <v>44581</v>
      </c>
      <c r="B1585" s="306">
        <v>289.65609999999998</v>
      </c>
      <c r="C1585" s="309">
        <v>5.3175804481747697</v>
      </c>
    </row>
    <row r="1586" spans="1:3" x14ac:dyDescent="0.35">
      <c r="A1586" s="302">
        <v>44580</v>
      </c>
      <c r="B1586" s="303">
        <v>289.58819999999997</v>
      </c>
      <c r="C1586" s="308">
        <v>5.3057956184312998</v>
      </c>
    </row>
    <row r="1587" spans="1:3" x14ac:dyDescent="0.35">
      <c r="A1587" s="305">
        <v>44579</v>
      </c>
      <c r="B1587" s="306">
        <v>289.52019999999999</v>
      </c>
      <c r="C1587" s="309">
        <v>5.2939332377571198</v>
      </c>
    </row>
    <row r="1588" spans="1:3" x14ac:dyDescent="0.35">
      <c r="A1588" s="302">
        <v>44578</v>
      </c>
      <c r="B1588" s="303">
        <v>289.45229999999998</v>
      </c>
      <c r="C1588" s="308">
        <v>5.2821043304809701</v>
      </c>
    </row>
    <row r="1589" spans="1:3" x14ac:dyDescent="0.35">
      <c r="A1589" s="305">
        <v>44577</v>
      </c>
      <c r="B1589" s="306">
        <v>289.38440000000003</v>
      </c>
      <c r="C1589" s="309">
        <v>5.2703108260745397</v>
      </c>
    </row>
    <row r="1590" spans="1:3" x14ac:dyDescent="0.35">
      <c r="A1590" s="302">
        <v>44576</v>
      </c>
      <c r="B1590" s="303">
        <v>289.31650000000002</v>
      </c>
      <c r="C1590" s="308">
        <v>5.2584761348294</v>
      </c>
    </row>
    <row r="1591" spans="1:3" x14ac:dyDescent="0.35">
      <c r="A1591" s="305">
        <v>44575</v>
      </c>
      <c r="B1591" s="306">
        <v>289.26990000000001</v>
      </c>
      <c r="C1591" s="309">
        <v>5.2364300728837199</v>
      </c>
    </row>
    <row r="1592" spans="1:3" x14ac:dyDescent="0.35">
      <c r="A1592" s="302">
        <v>44574</v>
      </c>
      <c r="B1592" s="303">
        <v>289.22340000000003</v>
      </c>
      <c r="C1592" s="308">
        <v>5.2144225225045</v>
      </c>
    </row>
    <row r="1593" spans="1:3" x14ac:dyDescent="0.35">
      <c r="A1593" s="305">
        <v>44573</v>
      </c>
      <c r="B1593" s="306">
        <v>289.17689999999999</v>
      </c>
      <c r="C1593" s="309">
        <v>5.1924171016082799</v>
      </c>
    </row>
    <row r="1594" spans="1:3" x14ac:dyDescent="0.35">
      <c r="A1594" s="302">
        <v>44572</v>
      </c>
      <c r="B1594" s="303">
        <v>289.13040000000001</v>
      </c>
      <c r="C1594" s="308">
        <v>5.170413809886</v>
      </c>
    </row>
    <row r="1595" spans="1:3" x14ac:dyDescent="0.35">
      <c r="A1595" s="305">
        <v>44571</v>
      </c>
      <c r="B1595" s="306">
        <v>289.0838</v>
      </c>
      <c r="C1595" s="309">
        <v>5.1483762740543604</v>
      </c>
    </row>
    <row r="1596" spans="1:3" x14ac:dyDescent="0.35">
      <c r="A1596" s="302">
        <v>44570</v>
      </c>
      <c r="B1596" s="303">
        <v>289.03730000000002</v>
      </c>
      <c r="C1596" s="308">
        <v>5.1263390057859297</v>
      </c>
    </row>
    <row r="1597" spans="1:3" x14ac:dyDescent="0.35">
      <c r="A1597" s="305">
        <v>44569</v>
      </c>
      <c r="B1597" s="306">
        <v>288.99079999999998</v>
      </c>
      <c r="C1597" s="309">
        <v>5.1043421113406797</v>
      </c>
    </row>
    <row r="1598" spans="1:3" x14ac:dyDescent="0.35">
      <c r="A1598" s="302">
        <v>44568</v>
      </c>
      <c r="B1598" s="303">
        <v>288.9443</v>
      </c>
      <c r="C1598" s="308">
        <v>5.0823473448318204</v>
      </c>
    </row>
    <row r="1599" spans="1:3" x14ac:dyDescent="0.35">
      <c r="A1599" s="305">
        <v>44567</v>
      </c>
      <c r="B1599" s="306">
        <v>288.89789999999999</v>
      </c>
      <c r="C1599" s="309">
        <v>5.0603910718747001</v>
      </c>
    </row>
    <row r="1600" spans="1:3" x14ac:dyDescent="0.35">
      <c r="A1600" s="302">
        <v>44566</v>
      </c>
      <c r="B1600" s="303">
        <v>288.85140000000001</v>
      </c>
      <c r="C1600" s="308">
        <v>5.0384005585535796</v>
      </c>
    </row>
    <row r="1601" spans="1:3" x14ac:dyDescent="0.35">
      <c r="A1601" s="305">
        <v>44565</v>
      </c>
      <c r="B1601" s="306">
        <v>288.80489999999998</v>
      </c>
      <c r="C1601" s="309">
        <v>5.0164121722428998</v>
      </c>
    </row>
    <row r="1602" spans="1:3" x14ac:dyDescent="0.35">
      <c r="A1602" s="302">
        <v>44564</v>
      </c>
      <c r="B1602" s="303">
        <v>288.75850000000003</v>
      </c>
      <c r="C1602" s="308">
        <v>4.9944240966291096</v>
      </c>
    </row>
    <row r="1603" spans="1:3" x14ac:dyDescent="0.35">
      <c r="A1603" s="305">
        <v>44563</v>
      </c>
      <c r="B1603" s="306">
        <v>288.71199999999999</v>
      </c>
      <c r="C1603" s="309">
        <v>4.9724399714946399</v>
      </c>
    </row>
    <row r="1604" spans="1:3" x14ac:dyDescent="0.35">
      <c r="A1604" s="302">
        <v>44562</v>
      </c>
      <c r="B1604" s="303">
        <v>288.66559999999998</v>
      </c>
      <c r="C1604" s="308">
        <v>4.9504943295620096</v>
      </c>
    </row>
    <row r="1605" spans="1:3" x14ac:dyDescent="0.35">
      <c r="A1605" s="305">
        <v>44561</v>
      </c>
      <c r="B1605" s="306">
        <v>288.6191</v>
      </c>
      <c r="C1605" s="309">
        <v>4.9285144545278099</v>
      </c>
    </row>
    <row r="1606" spans="1:3" x14ac:dyDescent="0.35">
      <c r="A1606" s="302">
        <v>44560</v>
      </c>
      <c r="B1606" s="303">
        <v>288.5727</v>
      </c>
      <c r="C1606" s="308">
        <v>4.9065730585631098</v>
      </c>
    </row>
    <row r="1607" spans="1:3" x14ac:dyDescent="0.35">
      <c r="A1607" s="305">
        <v>44559</v>
      </c>
      <c r="B1607" s="306">
        <v>288.52629999999999</v>
      </c>
      <c r="C1607" s="309">
        <v>4.8846337842416201</v>
      </c>
    </row>
    <row r="1608" spans="1:3" x14ac:dyDescent="0.35">
      <c r="A1608" s="302">
        <v>44558</v>
      </c>
      <c r="B1608" s="303">
        <v>288.47980000000001</v>
      </c>
      <c r="C1608" s="308">
        <v>4.8626221635128104</v>
      </c>
    </row>
    <row r="1609" spans="1:3" x14ac:dyDescent="0.35">
      <c r="A1609" s="305">
        <v>44557</v>
      </c>
      <c r="B1609" s="306">
        <v>288.43340000000001</v>
      </c>
      <c r="C1609" s="309">
        <v>4.8406871431276803</v>
      </c>
    </row>
    <row r="1610" spans="1:3" x14ac:dyDescent="0.35">
      <c r="A1610" s="302">
        <v>44556</v>
      </c>
      <c r="B1610" s="303">
        <v>288.387</v>
      </c>
      <c r="C1610" s="308">
        <v>4.8187542434608899</v>
      </c>
    </row>
    <row r="1611" spans="1:3" x14ac:dyDescent="0.35">
      <c r="A1611" s="305">
        <v>44555</v>
      </c>
      <c r="B1611" s="306">
        <v>288.34059999999999</v>
      </c>
      <c r="C1611" s="309">
        <v>4.7968234642049099</v>
      </c>
    </row>
    <row r="1612" spans="1:3" x14ac:dyDescent="0.35">
      <c r="A1612" s="302">
        <v>44554</v>
      </c>
      <c r="B1612" s="303">
        <v>288.29419999999999</v>
      </c>
      <c r="C1612" s="308">
        <v>4.7748567266774904</v>
      </c>
    </row>
    <row r="1613" spans="1:3" x14ac:dyDescent="0.35">
      <c r="A1613" s="305">
        <v>44553</v>
      </c>
      <c r="B1613" s="306">
        <v>288.24790000000002</v>
      </c>
      <c r="C1613" s="309">
        <v>4.7529665384061897</v>
      </c>
    </row>
    <row r="1614" spans="1:3" x14ac:dyDescent="0.35">
      <c r="A1614" s="302">
        <v>44552</v>
      </c>
      <c r="B1614" s="303">
        <v>288.20150000000001</v>
      </c>
      <c r="C1614" s="308">
        <v>4.7310421265887204</v>
      </c>
    </row>
    <row r="1615" spans="1:3" x14ac:dyDescent="0.35">
      <c r="A1615" s="305">
        <v>44551</v>
      </c>
      <c r="B1615" s="306">
        <v>288.1551</v>
      </c>
      <c r="C1615" s="309">
        <v>4.7091198339509504</v>
      </c>
    </row>
    <row r="1616" spans="1:3" x14ac:dyDescent="0.35">
      <c r="A1616" s="302">
        <v>44550</v>
      </c>
      <c r="B1616" s="303">
        <v>288.10879999999997</v>
      </c>
      <c r="C1616" s="308">
        <v>4.6871979570450399</v>
      </c>
    </row>
    <row r="1617" spans="1:3" x14ac:dyDescent="0.35">
      <c r="A1617" s="305">
        <v>44549</v>
      </c>
      <c r="B1617" s="306">
        <v>288.06240000000003</v>
      </c>
      <c r="C1617" s="309">
        <v>4.6652799098910904</v>
      </c>
    </row>
    <row r="1618" spans="1:3" x14ac:dyDescent="0.35">
      <c r="A1618" s="302">
        <v>44548</v>
      </c>
      <c r="B1618" s="303">
        <v>288.01609999999999</v>
      </c>
      <c r="C1618" s="308">
        <v>4.6434003134766604</v>
      </c>
    </row>
    <row r="1619" spans="1:3" x14ac:dyDescent="0.35">
      <c r="A1619" s="305">
        <v>44547</v>
      </c>
      <c r="B1619" s="306">
        <v>287.96969999999999</v>
      </c>
      <c r="C1619" s="309">
        <v>4.6214865007733001</v>
      </c>
    </row>
    <row r="1620" spans="1:3" x14ac:dyDescent="0.35">
      <c r="A1620" s="302">
        <v>44546</v>
      </c>
      <c r="B1620" s="303">
        <v>287.92340000000002</v>
      </c>
      <c r="C1620" s="308">
        <v>4.5995731347350297</v>
      </c>
    </row>
    <row r="1621" spans="1:3" x14ac:dyDescent="0.35">
      <c r="A1621" s="305">
        <v>44545</v>
      </c>
      <c r="B1621" s="306">
        <v>287.87709999999998</v>
      </c>
      <c r="C1621" s="309">
        <v>4.5776998922535101</v>
      </c>
    </row>
    <row r="1622" spans="1:3" x14ac:dyDescent="0.35">
      <c r="A1622" s="302">
        <v>44544</v>
      </c>
      <c r="B1622" s="303">
        <v>287.87610000000001</v>
      </c>
      <c r="C1622" s="308">
        <v>4.57524721076223</v>
      </c>
    </row>
    <row r="1623" spans="1:3" x14ac:dyDescent="0.35">
      <c r="A1623" s="305">
        <v>44543</v>
      </c>
      <c r="B1623" s="306">
        <v>287.87520000000001</v>
      </c>
      <c r="C1623" s="309">
        <v>4.5728309530278999</v>
      </c>
    </row>
    <row r="1624" spans="1:3" x14ac:dyDescent="0.35">
      <c r="A1624" s="302">
        <v>44542</v>
      </c>
      <c r="B1624" s="303">
        <v>287.87419999999997</v>
      </c>
      <c r="C1624" s="308">
        <v>4.5703404816115496</v>
      </c>
    </row>
    <row r="1625" spans="1:3" x14ac:dyDescent="0.35">
      <c r="A1625" s="305">
        <v>44541</v>
      </c>
      <c r="B1625" s="306">
        <v>287.8732</v>
      </c>
      <c r="C1625" s="309">
        <v>4.56788809504177</v>
      </c>
    </row>
    <row r="1626" spans="1:3" x14ac:dyDescent="0.35">
      <c r="A1626" s="302">
        <v>44540</v>
      </c>
      <c r="B1626" s="303">
        <v>287.8723</v>
      </c>
      <c r="C1626" s="308">
        <v>4.56547213002092</v>
      </c>
    </row>
    <row r="1627" spans="1:3" x14ac:dyDescent="0.35">
      <c r="A1627" s="305">
        <v>44539</v>
      </c>
      <c r="B1627" s="306">
        <v>287.87130000000002</v>
      </c>
      <c r="C1627" s="309">
        <v>4.5630199386943202</v>
      </c>
    </row>
    <row r="1628" spans="1:3" x14ac:dyDescent="0.35">
      <c r="A1628" s="302">
        <v>44538</v>
      </c>
      <c r="B1628" s="303">
        <v>287.87040000000002</v>
      </c>
      <c r="C1628" s="308">
        <v>4.5606041674536497</v>
      </c>
    </row>
    <row r="1629" spans="1:3" x14ac:dyDescent="0.35">
      <c r="A1629" s="305">
        <v>44537</v>
      </c>
      <c r="B1629" s="306">
        <v>287.86939999999998</v>
      </c>
      <c r="C1629" s="309">
        <v>4.55815217134686</v>
      </c>
    </row>
    <row r="1630" spans="1:3" x14ac:dyDescent="0.35">
      <c r="A1630" s="302">
        <v>44536</v>
      </c>
      <c r="B1630" s="303">
        <v>287.86840000000001</v>
      </c>
      <c r="C1630" s="308">
        <v>4.5557002732039997</v>
      </c>
    </row>
    <row r="1631" spans="1:3" x14ac:dyDescent="0.35">
      <c r="A1631" s="305">
        <v>44535</v>
      </c>
      <c r="B1631" s="306">
        <v>287.86750000000001</v>
      </c>
      <c r="C1631" s="309">
        <v>4.5532847929527698</v>
      </c>
    </row>
    <row r="1632" spans="1:3" x14ac:dyDescent="0.35">
      <c r="A1632" s="302">
        <v>44534</v>
      </c>
      <c r="B1632" s="303">
        <v>287.86649999999997</v>
      </c>
      <c r="C1632" s="308">
        <v>4.5508330899946401</v>
      </c>
    </row>
    <row r="1633" spans="1:3" x14ac:dyDescent="0.35">
      <c r="A1633" s="305">
        <v>44533</v>
      </c>
      <c r="B1633" s="306">
        <v>287.86559999999997</v>
      </c>
      <c r="C1633" s="309">
        <v>4.5484178034654397</v>
      </c>
    </row>
    <row r="1634" spans="1:3" x14ac:dyDescent="0.35">
      <c r="A1634" s="302">
        <v>44532</v>
      </c>
      <c r="B1634" s="303">
        <v>287.8646</v>
      </c>
      <c r="C1634" s="308">
        <v>4.5459662956686699</v>
      </c>
    </row>
    <row r="1635" spans="1:3" x14ac:dyDescent="0.35">
      <c r="A1635" s="305">
        <v>44531</v>
      </c>
      <c r="B1635" s="306">
        <v>287.86369999999999</v>
      </c>
      <c r="C1635" s="309">
        <v>4.5435512028382501</v>
      </c>
    </row>
    <row r="1636" spans="1:3" x14ac:dyDescent="0.35">
      <c r="A1636" s="302">
        <v>44530</v>
      </c>
      <c r="B1636" s="303">
        <v>287.86270000000002</v>
      </c>
      <c r="C1636" s="308">
        <v>4.5410619247272201</v>
      </c>
    </row>
    <row r="1637" spans="1:3" x14ac:dyDescent="0.35">
      <c r="A1637" s="305">
        <v>44529</v>
      </c>
      <c r="B1637" s="306">
        <v>287.86169999999998</v>
      </c>
      <c r="C1637" s="309">
        <v>4.53861071163987</v>
      </c>
    </row>
    <row r="1638" spans="1:3" x14ac:dyDescent="0.35">
      <c r="A1638" s="302">
        <v>44528</v>
      </c>
      <c r="B1638" s="303">
        <v>287.86079999999998</v>
      </c>
      <c r="C1638" s="308">
        <v>4.5361959113118901</v>
      </c>
    </row>
    <row r="1639" spans="1:3" x14ac:dyDescent="0.35">
      <c r="A1639" s="305">
        <v>44527</v>
      </c>
      <c r="B1639" s="306">
        <v>287.85980000000001</v>
      </c>
      <c r="C1639" s="309">
        <v>4.5337448933272801</v>
      </c>
    </row>
    <row r="1640" spans="1:3" x14ac:dyDescent="0.35">
      <c r="A1640" s="302">
        <v>44526</v>
      </c>
      <c r="B1640" s="303">
        <v>287.85890000000001</v>
      </c>
      <c r="C1640" s="308">
        <v>4.5313302866397596</v>
      </c>
    </row>
    <row r="1641" spans="1:3" x14ac:dyDescent="0.35">
      <c r="A1641" s="305">
        <v>44525</v>
      </c>
      <c r="B1641" s="306">
        <v>287.85789999999997</v>
      </c>
      <c r="C1641" s="309">
        <v>4.5288794637345404</v>
      </c>
    </row>
    <row r="1642" spans="1:3" x14ac:dyDescent="0.35">
      <c r="A1642" s="302">
        <v>44524</v>
      </c>
      <c r="B1642" s="303">
        <v>287.8569</v>
      </c>
      <c r="C1642" s="308">
        <v>4.5264287387228697</v>
      </c>
    </row>
    <row r="1643" spans="1:3" x14ac:dyDescent="0.35">
      <c r="A1643" s="305">
        <v>44523</v>
      </c>
      <c r="B1643" s="306">
        <v>287.85599999999999</v>
      </c>
      <c r="C1643" s="309">
        <v>4.5240144228150596</v>
      </c>
    </row>
    <row r="1644" spans="1:3" x14ac:dyDescent="0.35">
      <c r="A1644" s="302">
        <v>44522</v>
      </c>
      <c r="B1644" s="303">
        <v>287.85500000000002</v>
      </c>
      <c r="C1644" s="308">
        <v>4.5215638928477402</v>
      </c>
    </row>
    <row r="1645" spans="1:3" x14ac:dyDescent="0.35">
      <c r="A1645" s="305">
        <v>44521</v>
      </c>
      <c r="B1645" s="306">
        <v>287.85410000000002</v>
      </c>
      <c r="C1645" s="309">
        <v>4.5191497705222803</v>
      </c>
    </row>
    <row r="1646" spans="1:3" x14ac:dyDescent="0.35">
      <c r="A1646" s="302">
        <v>44520</v>
      </c>
      <c r="B1646" s="303">
        <v>287.85309999999998</v>
      </c>
      <c r="C1646" s="308">
        <v>4.5166994355759602</v>
      </c>
    </row>
    <row r="1647" spans="1:3" x14ac:dyDescent="0.35">
      <c r="A1647" s="305">
        <v>44519</v>
      </c>
      <c r="B1647" s="306">
        <v>287.85210000000001</v>
      </c>
      <c r="C1647" s="309">
        <v>4.5142112511441699</v>
      </c>
    </row>
    <row r="1648" spans="1:3" x14ac:dyDescent="0.35">
      <c r="A1648" s="302">
        <v>44518</v>
      </c>
      <c r="B1648" s="303">
        <v>287.85120000000001</v>
      </c>
      <c r="C1648" s="308">
        <v>4.5117974211453902</v>
      </c>
    </row>
    <row r="1649" spans="1:3" x14ac:dyDescent="0.35">
      <c r="A1649" s="305">
        <v>44517</v>
      </c>
      <c r="B1649" s="306">
        <v>287.85019999999997</v>
      </c>
      <c r="C1649" s="309">
        <v>4.5093473806965898</v>
      </c>
    </row>
    <row r="1650" spans="1:3" x14ac:dyDescent="0.35">
      <c r="A1650" s="302">
        <v>44516</v>
      </c>
      <c r="B1650" s="303">
        <v>287.84930000000003</v>
      </c>
      <c r="C1650" s="308">
        <v>4.5069337442218798</v>
      </c>
    </row>
    <row r="1651" spans="1:3" x14ac:dyDescent="0.35">
      <c r="A1651" s="305">
        <v>44515</v>
      </c>
      <c r="B1651" s="306">
        <v>287.84829999999999</v>
      </c>
      <c r="C1651" s="309">
        <v>4.5044838987355202</v>
      </c>
    </row>
    <row r="1652" spans="1:3" x14ac:dyDescent="0.35">
      <c r="A1652" s="302">
        <v>44514</v>
      </c>
      <c r="B1652" s="303">
        <v>287.81310000000002</v>
      </c>
      <c r="C1652" s="308">
        <v>4.5024793700508399</v>
      </c>
    </row>
    <row r="1653" spans="1:3" x14ac:dyDescent="0.35">
      <c r="A1653" s="305">
        <v>44513</v>
      </c>
      <c r="B1653" s="306">
        <v>287.77789999999999</v>
      </c>
      <c r="C1653" s="309">
        <v>4.5004744279176396</v>
      </c>
    </row>
    <row r="1654" spans="1:3" x14ac:dyDescent="0.35">
      <c r="A1654" s="302">
        <v>44512</v>
      </c>
      <c r="B1654" s="303">
        <v>287.74259999999998</v>
      </c>
      <c r="C1654" s="308">
        <v>4.4983948052702702</v>
      </c>
    </row>
    <row r="1655" spans="1:3" x14ac:dyDescent="0.35">
      <c r="A1655" s="305">
        <v>44511</v>
      </c>
      <c r="B1655" s="306">
        <v>287.70740000000001</v>
      </c>
      <c r="C1655" s="309">
        <v>4.4963890289240904</v>
      </c>
    </row>
    <row r="1656" spans="1:3" x14ac:dyDescent="0.35">
      <c r="A1656" s="302">
        <v>44510</v>
      </c>
      <c r="B1656" s="303">
        <v>287.67219999999998</v>
      </c>
      <c r="C1656" s="308">
        <v>4.49438283874417</v>
      </c>
    </row>
    <row r="1657" spans="1:3" x14ac:dyDescent="0.35">
      <c r="A1657" s="305">
        <v>44509</v>
      </c>
      <c r="B1657" s="306">
        <v>287.63709999999998</v>
      </c>
      <c r="C1657" s="309">
        <v>4.49241256246576</v>
      </c>
    </row>
    <row r="1658" spans="1:3" x14ac:dyDescent="0.35">
      <c r="A1658" s="302">
        <v>44508</v>
      </c>
      <c r="B1658" s="303">
        <v>287.6019</v>
      </c>
      <c r="C1658" s="308">
        <v>4.49036758494782</v>
      </c>
    </row>
    <row r="1659" spans="1:3" x14ac:dyDescent="0.35">
      <c r="A1659" s="305">
        <v>44507</v>
      </c>
      <c r="B1659" s="306">
        <v>287.56670000000003</v>
      </c>
      <c r="C1659" s="309">
        <v>4.4883601530590198</v>
      </c>
    </row>
    <row r="1660" spans="1:3" x14ac:dyDescent="0.35">
      <c r="A1660" s="302">
        <v>44506</v>
      </c>
      <c r="B1660" s="303">
        <v>287.53149999999999</v>
      </c>
      <c r="C1660" s="308">
        <v>4.48635230682408</v>
      </c>
    </row>
    <row r="1661" spans="1:3" x14ac:dyDescent="0.35">
      <c r="A1661" s="305">
        <v>44505</v>
      </c>
      <c r="B1661" s="306">
        <v>287.49630000000002</v>
      </c>
      <c r="C1661" s="309">
        <v>4.4843060735419096</v>
      </c>
    </row>
    <row r="1662" spans="1:3" x14ac:dyDescent="0.35">
      <c r="A1662" s="302">
        <v>44504</v>
      </c>
      <c r="B1662" s="303">
        <v>287.46109999999999</v>
      </c>
      <c r="C1662" s="308">
        <v>4.4822973950401401</v>
      </c>
    </row>
    <row r="1663" spans="1:3" x14ac:dyDescent="0.35">
      <c r="A1663" s="305">
        <v>44503</v>
      </c>
      <c r="B1663" s="306">
        <v>287.42599999999999</v>
      </c>
      <c r="C1663" s="309">
        <v>4.4802866732073001</v>
      </c>
    </row>
    <row r="1664" spans="1:3" x14ac:dyDescent="0.35">
      <c r="A1664" s="302">
        <v>44502</v>
      </c>
      <c r="B1664" s="303">
        <v>287.39080000000001</v>
      </c>
      <c r="C1664" s="308">
        <v>4.4782771656760803</v>
      </c>
    </row>
    <row r="1665" spans="1:3" x14ac:dyDescent="0.35">
      <c r="A1665" s="305">
        <v>44501</v>
      </c>
      <c r="B1665" s="306">
        <v>287.35570000000001</v>
      </c>
      <c r="C1665" s="309">
        <v>4.4762656156833103</v>
      </c>
    </row>
    <row r="1666" spans="1:3" x14ac:dyDescent="0.35">
      <c r="A1666" s="302">
        <v>44500</v>
      </c>
      <c r="B1666" s="303">
        <v>287.32049999999998</v>
      </c>
      <c r="C1666" s="308">
        <v>4.4742552786096503</v>
      </c>
    </row>
    <row r="1667" spans="1:3" x14ac:dyDescent="0.35">
      <c r="A1667" s="305">
        <v>44499</v>
      </c>
      <c r="B1667" s="306">
        <v>287.28530000000001</v>
      </c>
      <c r="C1667" s="309">
        <v>4.4722065346290503</v>
      </c>
    </row>
    <row r="1668" spans="1:3" x14ac:dyDescent="0.35">
      <c r="A1668" s="302">
        <v>44498</v>
      </c>
      <c r="B1668" s="303">
        <v>287.25020000000001</v>
      </c>
      <c r="C1668" s="308">
        <v>4.47023173281534</v>
      </c>
    </row>
    <row r="1669" spans="1:3" x14ac:dyDescent="0.35">
      <c r="A1669" s="305">
        <v>44497</v>
      </c>
      <c r="B1669" s="306">
        <v>287.21510000000001</v>
      </c>
      <c r="C1669" s="309">
        <v>4.4682185249659403</v>
      </c>
    </row>
    <row r="1670" spans="1:3" x14ac:dyDescent="0.35">
      <c r="A1670" s="302">
        <v>44496</v>
      </c>
      <c r="B1670" s="303">
        <v>287.17989999999998</v>
      </c>
      <c r="C1670" s="308">
        <v>4.4661685260545303</v>
      </c>
    </row>
    <row r="1671" spans="1:3" x14ac:dyDescent="0.35">
      <c r="A1671" s="305">
        <v>44495</v>
      </c>
      <c r="B1671" s="306">
        <v>287.14479999999998</v>
      </c>
      <c r="C1671" s="309">
        <v>4.4641924897198297</v>
      </c>
    </row>
    <row r="1672" spans="1:3" x14ac:dyDescent="0.35">
      <c r="A1672" s="302">
        <v>44494</v>
      </c>
      <c r="B1672" s="303">
        <v>287.10969999999998</v>
      </c>
      <c r="C1672" s="308">
        <v>4.4621780374144597</v>
      </c>
    </row>
    <row r="1673" spans="1:3" x14ac:dyDescent="0.35">
      <c r="A1673" s="305">
        <v>44493</v>
      </c>
      <c r="B1673" s="306">
        <v>287.0745</v>
      </c>
      <c r="C1673" s="309">
        <v>4.4601267824114403</v>
      </c>
    </row>
    <row r="1674" spans="1:3" x14ac:dyDescent="0.35">
      <c r="A1674" s="302">
        <v>44492</v>
      </c>
      <c r="B1674" s="303">
        <v>287.0394</v>
      </c>
      <c r="C1674" s="308">
        <v>4.4581114964572803</v>
      </c>
    </row>
    <row r="1675" spans="1:3" x14ac:dyDescent="0.35">
      <c r="A1675" s="305">
        <v>44491</v>
      </c>
      <c r="B1675" s="306">
        <v>287.0043</v>
      </c>
      <c r="C1675" s="309">
        <v>4.45613381248985</v>
      </c>
    </row>
    <row r="1676" spans="1:3" x14ac:dyDescent="0.35">
      <c r="A1676" s="302">
        <v>44490</v>
      </c>
      <c r="B1676" s="303">
        <v>286.9692</v>
      </c>
      <c r="C1676" s="308">
        <v>4.4541176993021896</v>
      </c>
    </row>
    <row r="1677" spans="1:3" x14ac:dyDescent="0.35">
      <c r="A1677" s="305">
        <v>44489</v>
      </c>
      <c r="B1677" s="306">
        <v>286.9341</v>
      </c>
      <c r="C1677" s="309">
        <v>4.4521011707146601</v>
      </c>
    </row>
    <row r="1678" spans="1:3" x14ac:dyDescent="0.35">
      <c r="A1678" s="302">
        <v>44488</v>
      </c>
      <c r="B1678" s="303">
        <v>286.899</v>
      </c>
      <c r="C1678" s="308">
        <v>4.45008422659886</v>
      </c>
    </row>
    <row r="1679" spans="1:3" x14ac:dyDescent="0.35">
      <c r="A1679" s="305">
        <v>44487</v>
      </c>
      <c r="B1679" s="306">
        <v>286.8639</v>
      </c>
      <c r="C1679" s="309">
        <v>4.4480668668263403</v>
      </c>
    </row>
    <row r="1680" spans="1:3" x14ac:dyDescent="0.35">
      <c r="A1680" s="302">
        <v>44486</v>
      </c>
      <c r="B1680" s="303">
        <v>286.8288</v>
      </c>
      <c r="C1680" s="308">
        <v>4.4460490912686002</v>
      </c>
    </row>
    <row r="1681" spans="1:3" x14ac:dyDescent="0.35">
      <c r="A1681" s="305">
        <v>44485</v>
      </c>
      <c r="B1681" s="306">
        <v>286.7937</v>
      </c>
      <c r="C1681" s="309">
        <v>4.4440308997970801</v>
      </c>
    </row>
    <row r="1682" spans="1:3" x14ac:dyDescent="0.35">
      <c r="A1682" s="302">
        <v>44484</v>
      </c>
      <c r="B1682" s="303">
        <v>286.7586</v>
      </c>
      <c r="C1682" s="308">
        <v>4.44201229228318</v>
      </c>
    </row>
    <row r="1683" spans="1:3" x14ac:dyDescent="0.35">
      <c r="A1683" s="305">
        <v>44483</v>
      </c>
      <c r="B1683" s="306">
        <v>286.71570000000003</v>
      </c>
      <c r="C1683" s="309">
        <v>4.4260070985400501</v>
      </c>
    </row>
    <row r="1684" spans="1:3" x14ac:dyDescent="0.35">
      <c r="A1684" s="302">
        <v>44482</v>
      </c>
      <c r="B1684" s="303">
        <v>286.6728</v>
      </c>
      <c r="C1684" s="308">
        <v>4.4100400488919904</v>
      </c>
    </row>
    <row r="1685" spans="1:3" x14ac:dyDescent="0.35">
      <c r="A1685" s="305">
        <v>44481</v>
      </c>
      <c r="B1685" s="306">
        <v>286.62990000000002</v>
      </c>
      <c r="C1685" s="309">
        <v>4.3940731039210004</v>
      </c>
    </row>
    <row r="1686" spans="1:3" x14ac:dyDescent="0.35">
      <c r="A1686" s="302">
        <v>44480</v>
      </c>
      <c r="B1686" s="303">
        <v>286.58699999999999</v>
      </c>
      <c r="C1686" s="308">
        <v>4.3781062636260399</v>
      </c>
    </row>
    <row r="1687" spans="1:3" x14ac:dyDescent="0.35">
      <c r="A1687" s="305">
        <v>44479</v>
      </c>
      <c r="B1687" s="306">
        <v>286.54410000000001</v>
      </c>
      <c r="C1687" s="309">
        <v>4.3621395280060904</v>
      </c>
    </row>
    <row r="1688" spans="1:3" x14ac:dyDescent="0.35">
      <c r="A1688" s="302">
        <v>44478</v>
      </c>
      <c r="B1688" s="303">
        <v>286.50119999999998</v>
      </c>
      <c r="C1688" s="308">
        <v>4.3461728970601099</v>
      </c>
    </row>
    <row r="1689" spans="1:3" x14ac:dyDescent="0.35">
      <c r="A1689" s="305">
        <v>44477</v>
      </c>
      <c r="B1689" s="306">
        <v>286.45839999999998</v>
      </c>
      <c r="C1689" s="309">
        <v>4.3302427915179003</v>
      </c>
    </row>
    <row r="1690" spans="1:3" x14ac:dyDescent="0.35">
      <c r="A1690" s="302">
        <v>44476</v>
      </c>
      <c r="B1690" s="303">
        <v>286.41550000000001</v>
      </c>
      <c r="C1690" s="308">
        <v>4.3142383779139699</v>
      </c>
    </row>
    <row r="1691" spans="1:3" x14ac:dyDescent="0.35">
      <c r="A1691" s="305">
        <v>44475</v>
      </c>
      <c r="B1691" s="306">
        <v>286.37259999999998</v>
      </c>
      <c r="C1691" s="309">
        <v>4.2982720668039001</v>
      </c>
    </row>
    <row r="1692" spans="1:3" x14ac:dyDescent="0.35">
      <c r="A1692" s="302">
        <v>44474</v>
      </c>
      <c r="B1692" s="303">
        <v>286.32979999999998</v>
      </c>
      <c r="C1692" s="308">
        <v>4.2823422807230296</v>
      </c>
    </row>
    <row r="1693" spans="1:3" x14ac:dyDescent="0.35">
      <c r="A1693" s="305">
        <v>44473</v>
      </c>
      <c r="B1693" s="306">
        <v>286.2869</v>
      </c>
      <c r="C1693" s="309">
        <v>4.2663761788321199</v>
      </c>
    </row>
    <row r="1694" spans="1:3" x14ac:dyDescent="0.35">
      <c r="A1694" s="302">
        <v>44472</v>
      </c>
      <c r="B1694" s="303">
        <v>286.2441</v>
      </c>
      <c r="C1694" s="308">
        <v>4.2504466017295899</v>
      </c>
    </row>
    <row r="1695" spans="1:3" x14ac:dyDescent="0.35">
      <c r="A1695" s="305">
        <v>44471</v>
      </c>
      <c r="B1695" s="306">
        <v>286.2013</v>
      </c>
      <c r="C1695" s="309">
        <v>4.2345171290549999</v>
      </c>
    </row>
    <row r="1696" spans="1:3" x14ac:dyDescent="0.35">
      <c r="A1696" s="302">
        <v>44470</v>
      </c>
      <c r="B1696" s="303">
        <v>286.15839999999997</v>
      </c>
      <c r="C1696" s="308">
        <v>4.2185133846659202</v>
      </c>
    </row>
    <row r="1697" spans="1:3" x14ac:dyDescent="0.35">
      <c r="A1697" s="305">
        <v>44469</v>
      </c>
      <c r="B1697" s="306">
        <v>286.11559999999997</v>
      </c>
      <c r="C1697" s="309">
        <v>4.2025841268893203</v>
      </c>
    </row>
    <row r="1698" spans="1:3" x14ac:dyDescent="0.35">
      <c r="A1698" s="302">
        <v>44468</v>
      </c>
      <c r="B1698" s="303">
        <v>286.07279999999997</v>
      </c>
      <c r="C1698" s="308">
        <v>4.1866549735375003</v>
      </c>
    </row>
    <row r="1699" spans="1:3" x14ac:dyDescent="0.35">
      <c r="A1699" s="305">
        <v>44467</v>
      </c>
      <c r="B1699" s="306">
        <v>286.02999999999997</v>
      </c>
      <c r="C1699" s="309">
        <v>4.1707259246094299</v>
      </c>
    </row>
    <row r="1700" spans="1:3" x14ac:dyDescent="0.35">
      <c r="A1700" s="302">
        <v>44466</v>
      </c>
      <c r="B1700" s="303">
        <v>285.98719999999997</v>
      </c>
      <c r="C1700" s="308">
        <v>4.1547969801040896</v>
      </c>
    </row>
    <row r="1701" spans="1:3" x14ac:dyDescent="0.35">
      <c r="A1701" s="305">
        <v>44465</v>
      </c>
      <c r="B1701" s="306">
        <v>285.94439999999997</v>
      </c>
      <c r="C1701" s="309">
        <v>4.1388681400204499</v>
      </c>
    </row>
    <row r="1702" spans="1:3" x14ac:dyDescent="0.35">
      <c r="A1702" s="302">
        <v>44464</v>
      </c>
      <c r="B1702" s="303">
        <v>285.90159999999997</v>
      </c>
      <c r="C1702" s="308">
        <v>4.1229394043574796</v>
      </c>
    </row>
    <row r="1703" spans="1:3" x14ac:dyDescent="0.35">
      <c r="A1703" s="305">
        <v>44463</v>
      </c>
      <c r="B1703" s="306">
        <v>285.85879999999997</v>
      </c>
      <c r="C1703" s="309">
        <v>4.1069728583613303</v>
      </c>
    </row>
    <row r="1704" spans="1:3" x14ac:dyDescent="0.35">
      <c r="A1704" s="302">
        <v>44462</v>
      </c>
      <c r="B1704" s="303">
        <v>285.81599999999997</v>
      </c>
      <c r="C1704" s="308">
        <v>4.0910443374619003</v>
      </c>
    </row>
    <row r="1705" spans="1:3" x14ac:dyDescent="0.35">
      <c r="A1705" s="305">
        <v>44461</v>
      </c>
      <c r="B1705" s="306">
        <v>285.77319999999997</v>
      </c>
      <c r="C1705" s="309">
        <v>4.0751159209799903</v>
      </c>
    </row>
    <row r="1706" spans="1:3" x14ac:dyDescent="0.35">
      <c r="A1706" s="302">
        <v>44460</v>
      </c>
      <c r="B1706" s="303">
        <v>285.73050000000001</v>
      </c>
      <c r="C1706" s="308">
        <v>4.0592240275762101</v>
      </c>
    </row>
    <row r="1707" spans="1:3" x14ac:dyDescent="0.35">
      <c r="A1707" s="305">
        <v>44459</v>
      </c>
      <c r="B1707" s="306">
        <v>285.68770000000001</v>
      </c>
      <c r="C1707" s="309">
        <v>4.0432958198068798</v>
      </c>
    </row>
    <row r="1708" spans="1:3" x14ac:dyDescent="0.35">
      <c r="A1708" s="302">
        <v>44458</v>
      </c>
      <c r="B1708" s="303">
        <v>285.64499999999998</v>
      </c>
      <c r="C1708" s="308">
        <v>4.0274041348749003</v>
      </c>
    </row>
    <row r="1709" spans="1:3" x14ac:dyDescent="0.35">
      <c r="A1709" s="305">
        <v>44457</v>
      </c>
      <c r="B1709" s="306">
        <v>285.60219999999998</v>
      </c>
      <c r="C1709" s="309">
        <v>4.01143825661274</v>
      </c>
    </row>
    <row r="1710" spans="1:3" x14ac:dyDescent="0.35">
      <c r="A1710" s="302">
        <v>44456</v>
      </c>
      <c r="B1710" s="303">
        <v>285.55950000000001</v>
      </c>
      <c r="C1710" s="308">
        <v>3.9955467860599998</v>
      </c>
    </row>
    <row r="1711" spans="1:3" x14ac:dyDescent="0.35">
      <c r="A1711" s="305">
        <v>44455</v>
      </c>
      <c r="B1711" s="306">
        <v>285.51670000000001</v>
      </c>
      <c r="C1711" s="309">
        <v>3.97961900162825</v>
      </c>
    </row>
    <row r="1712" spans="1:3" x14ac:dyDescent="0.35">
      <c r="A1712" s="302">
        <v>44454</v>
      </c>
      <c r="B1712" s="303">
        <v>285.47399999999999</v>
      </c>
      <c r="C1712" s="308">
        <v>3.9637277395389501</v>
      </c>
    </row>
    <row r="1713" spans="1:3" x14ac:dyDescent="0.35">
      <c r="A1713" s="305">
        <v>44453</v>
      </c>
      <c r="B1713" s="306">
        <v>285.44459999999998</v>
      </c>
      <c r="C1713" s="309">
        <v>3.9530208674751401</v>
      </c>
    </row>
    <row r="1714" spans="1:3" x14ac:dyDescent="0.35">
      <c r="A1714" s="302">
        <v>44452</v>
      </c>
      <c r="B1714" s="303">
        <v>285.41520000000003</v>
      </c>
      <c r="C1714" s="308">
        <v>3.94231399541134</v>
      </c>
    </row>
    <row r="1715" spans="1:3" x14ac:dyDescent="0.35">
      <c r="A1715" s="305">
        <v>44451</v>
      </c>
      <c r="B1715" s="306">
        <v>285.38580000000002</v>
      </c>
      <c r="C1715" s="309">
        <v>3.9316071233475398</v>
      </c>
    </row>
    <row r="1716" spans="1:3" x14ac:dyDescent="0.35">
      <c r="A1716" s="302">
        <v>44450</v>
      </c>
      <c r="B1716" s="303">
        <v>285.35629999999998</v>
      </c>
      <c r="C1716" s="308">
        <v>3.92086383335154</v>
      </c>
    </row>
    <row r="1717" spans="1:3" x14ac:dyDescent="0.35">
      <c r="A1717" s="305">
        <v>44449</v>
      </c>
      <c r="B1717" s="306">
        <v>285.32690000000002</v>
      </c>
      <c r="C1717" s="309">
        <v>3.9101569612877398</v>
      </c>
    </row>
    <row r="1718" spans="1:3" x14ac:dyDescent="0.35">
      <c r="A1718" s="302">
        <v>44448</v>
      </c>
      <c r="B1718" s="303">
        <v>285.29750000000001</v>
      </c>
      <c r="C1718" s="308">
        <v>3.8994500892239299</v>
      </c>
    </row>
    <row r="1719" spans="1:3" x14ac:dyDescent="0.35">
      <c r="A1719" s="305">
        <v>44447</v>
      </c>
      <c r="B1719" s="306">
        <v>285.2681</v>
      </c>
      <c r="C1719" s="309">
        <v>3.8887432171601302</v>
      </c>
    </row>
    <row r="1720" spans="1:3" x14ac:dyDescent="0.35">
      <c r="A1720" s="302">
        <v>44446</v>
      </c>
      <c r="B1720" s="303">
        <v>285.23869999999999</v>
      </c>
      <c r="C1720" s="308">
        <v>3.87803634509633</v>
      </c>
    </row>
    <row r="1721" spans="1:3" x14ac:dyDescent="0.35">
      <c r="A1721" s="305">
        <v>44445</v>
      </c>
      <c r="B1721" s="306">
        <v>285.20929999999998</v>
      </c>
      <c r="C1721" s="309">
        <v>3.8673294730325201</v>
      </c>
    </row>
    <row r="1722" spans="1:3" x14ac:dyDescent="0.35">
      <c r="A1722" s="302">
        <v>44444</v>
      </c>
      <c r="B1722" s="303">
        <v>285.17989999999998</v>
      </c>
      <c r="C1722" s="308">
        <v>3.8566226009687199</v>
      </c>
    </row>
    <row r="1723" spans="1:3" x14ac:dyDescent="0.35">
      <c r="A1723" s="305">
        <v>44443</v>
      </c>
      <c r="B1723" s="306">
        <v>285.1506</v>
      </c>
      <c r="C1723" s="309">
        <v>3.8459521468370998</v>
      </c>
    </row>
    <row r="1724" spans="1:3" x14ac:dyDescent="0.35">
      <c r="A1724" s="302">
        <v>44442</v>
      </c>
      <c r="B1724" s="303">
        <v>285.12119999999999</v>
      </c>
      <c r="C1724" s="308">
        <v>3.8352452747733001</v>
      </c>
    </row>
    <row r="1725" spans="1:3" x14ac:dyDescent="0.35">
      <c r="A1725" s="305">
        <v>44441</v>
      </c>
      <c r="B1725" s="306">
        <v>285.09179999999998</v>
      </c>
      <c r="C1725" s="309">
        <v>3.8245384027094902</v>
      </c>
    </row>
    <row r="1726" spans="1:3" x14ac:dyDescent="0.35">
      <c r="A1726" s="302">
        <v>44440</v>
      </c>
      <c r="B1726" s="303">
        <v>285.06240000000003</v>
      </c>
      <c r="C1726" s="308">
        <v>3.81383153064569</v>
      </c>
    </row>
    <row r="1727" spans="1:3" x14ac:dyDescent="0.35">
      <c r="A1727" s="305">
        <v>44439</v>
      </c>
      <c r="B1727" s="306">
        <v>285.03300000000002</v>
      </c>
      <c r="C1727" s="309">
        <v>3.8031246585818899</v>
      </c>
    </row>
    <row r="1728" spans="1:3" x14ac:dyDescent="0.35">
      <c r="A1728" s="302">
        <v>44438</v>
      </c>
      <c r="B1728" s="303">
        <v>285.00369999999998</v>
      </c>
      <c r="C1728" s="308">
        <v>3.7924542044502698</v>
      </c>
    </row>
    <row r="1729" spans="1:3" x14ac:dyDescent="0.35">
      <c r="A1729" s="305">
        <v>44437</v>
      </c>
      <c r="B1729" s="306">
        <v>284.97430000000003</v>
      </c>
      <c r="C1729" s="309">
        <v>3.7817473323864701</v>
      </c>
    </row>
    <row r="1730" spans="1:3" x14ac:dyDescent="0.35">
      <c r="A1730" s="302">
        <v>44436</v>
      </c>
      <c r="B1730" s="303">
        <v>284.94490000000002</v>
      </c>
      <c r="C1730" s="308">
        <v>3.7710404603226602</v>
      </c>
    </row>
    <row r="1731" spans="1:3" x14ac:dyDescent="0.35">
      <c r="A1731" s="305">
        <v>44435</v>
      </c>
      <c r="B1731" s="306">
        <v>284.91550000000001</v>
      </c>
      <c r="C1731" s="309">
        <v>3.76033358825886</v>
      </c>
    </row>
    <row r="1732" spans="1:3" x14ac:dyDescent="0.35">
      <c r="A1732" s="302">
        <v>44434</v>
      </c>
      <c r="B1732" s="303">
        <v>284.88619999999997</v>
      </c>
      <c r="C1732" s="308">
        <v>3.7496631341272399</v>
      </c>
    </row>
    <row r="1733" spans="1:3" x14ac:dyDescent="0.35">
      <c r="A1733" s="305">
        <v>44433</v>
      </c>
      <c r="B1733" s="306">
        <v>284.85680000000002</v>
      </c>
      <c r="C1733" s="309">
        <v>3.7389562620634398</v>
      </c>
    </row>
    <row r="1734" spans="1:3" x14ac:dyDescent="0.35">
      <c r="A1734" s="302">
        <v>44432</v>
      </c>
      <c r="B1734" s="303">
        <v>284.82749999999999</v>
      </c>
      <c r="C1734" s="308">
        <v>3.72828580793183</v>
      </c>
    </row>
    <row r="1735" spans="1:3" x14ac:dyDescent="0.35">
      <c r="A1735" s="305">
        <v>44431</v>
      </c>
      <c r="B1735" s="306">
        <v>284.79809999999998</v>
      </c>
      <c r="C1735" s="309">
        <v>3.71757893586802</v>
      </c>
    </row>
    <row r="1736" spans="1:3" x14ac:dyDescent="0.35">
      <c r="A1736" s="302">
        <v>44430</v>
      </c>
      <c r="B1736" s="303">
        <v>284.7688</v>
      </c>
      <c r="C1736" s="308">
        <v>3.7069084817364102</v>
      </c>
    </row>
    <row r="1737" spans="1:3" x14ac:dyDescent="0.35">
      <c r="A1737" s="305">
        <v>44429</v>
      </c>
      <c r="B1737" s="306">
        <v>284.73939999999999</v>
      </c>
      <c r="C1737" s="309">
        <v>3.6962016096725998</v>
      </c>
    </row>
    <row r="1738" spans="1:3" x14ac:dyDescent="0.35">
      <c r="A1738" s="302">
        <v>44428</v>
      </c>
      <c r="B1738" s="303">
        <v>284.71010000000001</v>
      </c>
      <c r="C1738" s="308">
        <v>3.68553115554099</v>
      </c>
    </row>
    <row r="1739" spans="1:3" x14ac:dyDescent="0.35">
      <c r="A1739" s="305">
        <v>44427</v>
      </c>
      <c r="B1739" s="306">
        <v>284.6807</v>
      </c>
      <c r="C1739" s="309">
        <v>3.67482428347718</v>
      </c>
    </row>
    <row r="1740" spans="1:3" x14ac:dyDescent="0.35">
      <c r="A1740" s="302">
        <v>44426</v>
      </c>
      <c r="B1740" s="303">
        <v>284.65140000000002</v>
      </c>
      <c r="C1740" s="308">
        <v>3.6641538293455702</v>
      </c>
    </row>
    <row r="1741" spans="1:3" x14ac:dyDescent="0.35">
      <c r="A1741" s="305">
        <v>44425</v>
      </c>
      <c r="B1741" s="306">
        <v>284.62209999999999</v>
      </c>
      <c r="C1741" s="309">
        <v>3.6534833752139599</v>
      </c>
    </row>
    <row r="1742" spans="1:3" x14ac:dyDescent="0.35">
      <c r="A1742" s="302">
        <v>44424</v>
      </c>
      <c r="B1742" s="303">
        <v>284.59269999999998</v>
      </c>
      <c r="C1742" s="308">
        <v>3.64277650315015</v>
      </c>
    </row>
    <row r="1743" spans="1:3" x14ac:dyDescent="0.35">
      <c r="A1743" s="305">
        <v>44423</v>
      </c>
      <c r="B1743" s="306">
        <v>284.5634</v>
      </c>
      <c r="C1743" s="309">
        <v>3.6321060490185402</v>
      </c>
    </row>
    <row r="1744" spans="1:3" x14ac:dyDescent="0.35">
      <c r="A1744" s="302">
        <v>44422</v>
      </c>
      <c r="B1744" s="303">
        <v>284.56799999999998</v>
      </c>
      <c r="C1744" s="308">
        <v>3.6210640232434401</v>
      </c>
    </row>
    <row r="1745" spans="1:3" x14ac:dyDescent="0.35">
      <c r="A1745" s="305">
        <v>44421</v>
      </c>
      <c r="B1745" s="306">
        <v>284.57260000000002</v>
      </c>
      <c r="C1745" s="309">
        <v>3.6100247071442499</v>
      </c>
    </row>
    <row r="1746" spans="1:3" x14ac:dyDescent="0.35">
      <c r="A1746" s="302">
        <v>44420</v>
      </c>
      <c r="B1746" s="303">
        <v>284.5772</v>
      </c>
      <c r="C1746" s="308">
        <v>3.5989503850141502</v>
      </c>
    </row>
    <row r="1747" spans="1:3" x14ac:dyDescent="0.35">
      <c r="A1747" s="305">
        <v>44419</v>
      </c>
      <c r="B1747" s="306">
        <v>284.58179999999999</v>
      </c>
      <c r="C1747" s="309">
        <v>3.5879164939181001</v>
      </c>
    </row>
    <row r="1748" spans="1:3" x14ac:dyDescent="0.35">
      <c r="A1748" s="302">
        <v>44418</v>
      </c>
      <c r="B1748" s="303">
        <v>284.58640000000003</v>
      </c>
      <c r="C1748" s="308">
        <v>3.5768853095044202</v>
      </c>
    </row>
    <row r="1749" spans="1:3" x14ac:dyDescent="0.35">
      <c r="A1749" s="305">
        <v>44417</v>
      </c>
      <c r="B1749" s="306">
        <v>284.59100000000001</v>
      </c>
      <c r="C1749" s="309">
        <v>3.5658191420141199</v>
      </c>
    </row>
    <row r="1750" spans="1:3" x14ac:dyDescent="0.35">
      <c r="A1750" s="302">
        <v>44416</v>
      </c>
      <c r="B1750" s="303">
        <v>284.59559999999999</v>
      </c>
      <c r="C1750" s="308">
        <v>3.55479337661161</v>
      </c>
    </row>
    <row r="1751" spans="1:3" x14ac:dyDescent="0.35">
      <c r="A1751" s="305">
        <v>44415</v>
      </c>
      <c r="B1751" s="306">
        <v>284.60019999999997</v>
      </c>
      <c r="C1751" s="309">
        <v>3.54373264343034</v>
      </c>
    </row>
    <row r="1752" spans="1:3" x14ac:dyDescent="0.35">
      <c r="A1752" s="302">
        <v>44414</v>
      </c>
      <c r="B1752" s="303">
        <v>284.60480000000001</v>
      </c>
      <c r="C1752" s="308">
        <v>3.5326746302297898</v>
      </c>
    </row>
    <row r="1753" spans="1:3" x14ac:dyDescent="0.35">
      <c r="A1753" s="305">
        <v>44413</v>
      </c>
      <c r="B1753" s="306">
        <v>284.60939999999999</v>
      </c>
      <c r="C1753" s="309">
        <v>3.52165699017268</v>
      </c>
    </row>
    <row r="1754" spans="1:3" x14ac:dyDescent="0.35">
      <c r="A1754" s="302">
        <v>44412</v>
      </c>
      <c r="B1754" s="303">
        <v>284.61399999999998</v>
      </c>
      <c r="C1754" s="308">
        <v>3.5106044052760899</v>
      </c>
    </row>
    <row r="1755" spans="1:3" x14ac:dyDescent="0.35">
      <c r="A1755" s="305">
        <v>44411</v>
      </c>
      <c r="B1755" s="306">
        <v>284.61849999999998</v>
      </c>
      <c r="C1755" s="309">
        <v>3.4995181730576901</v>
      </c>
    </row>
    <row r="1756" spans="1:3" x14ac:dyDescent="0.35">
      <c r="A1756" s="302">
        <v>44410</v>
      </c>
      <c r="B1756" s="303">
        <v>284.62310000000002</v>
      </c>
      <c r="C1756" s="308">
        <v>3.4885086538241299</v>
      </c>
    </row>
    <row r="1757" spans="1:3" x14ac:dyDescent="0.35">
      <c r="A1757" s="305">
        <v>44409</v>
      </c>
      <c r="B1757" s="306">
        <v>284.6277</v>
      </c>
      <c r="C1757" s="309">
        <v>3.4774642126789401</v>
      </c>
    </row>
    <row r="1758" spans="1:3" x14ac:dyDescent="0.35">
      <c r="A1758" s="302">
        <v>44408</v>
      </c>
      <c r="B1758" s="303">
        <v>284.63229999999999</v>
      </c>
      <c r="C1758" s="308">
        <v>3.4664224855077999</v>
      </c>
    </row>
    <row r="1759" spans="1:3" x14ac:dyDescent="0.35">
      <c r="A1759" s="305">
        <v>44407</v>
      </c>
      <c r="B1759" s="306">
        <v>284.63690000000003</v>
      </c>
      <c r="C1759" s="309">
        <v>3.4553834713104798</v>
      </c>
    </row>
    <row r="1760" spans="1:3" x14ac:dyDescent="0.35">
      <c r="A1760" s="302">
        <v>44406</v>
      </c>
      <c r="B1760" s="303">
        <v>284.64150000000001</v>
      </c>
      <c r="C1760" s="308">
        <v>3.4443471690872198</v>
      </c>
    </row>
    <row r="1761" spans="1:3" x14ac:dyDescent="0.35">
      <c r="A1761" s="305">
        <v>44405</v>
      </c>
      <c r="B1761" s="306">
        <v>284.64609999999999</v>
      </c>
      <c r="C1761" s="309">
        <v>3.4333135778387698</v>
      </c>
    </row>
    <row r="1762" spans="1:3" x14ac:dyDescent="0.35">
      <c r="A1762" s="302">
        <v>44404</v>
      </c>
      <c r="B1762" s="303">
        <v>284.65069999999997</v>
      </c>
      <c r="C1762" s="308">
        <v>3.42228269656635</v>
      </c>
    </row>
    <row r="1763" spans="1:3" x14ac:dyDescent="0.35">
      <c r="A1763" s="305">
        <v>44403</v>
      </c>
      <c r="B1763" s="306">
        <v>284.65530000000001</v>
      </c>
      <c r="C1763" s="309">
        <v>3.4112545242716799</v>
      </c>
    </row>
    <row r="1764" spans="1:3" x14ac:dyDescent="0.35">
      <c r="A1764" s="302">
        <v>44402</v>
      </c>
      <c r="B1764" s="303">
        <v>284.65989999999999</v>
      </c>
      <c r="C1764" s="308">
        <v>3.40022905995697</v>
      </c>
    </row>
    <row r="1765" spans="1:3" x14ac:dyDescent="0.35">
      <c r="A1765" s="305">
        <v>44401</v>
      </c>
      <c r="B1765" s="306">
        <v>284.66449999999998</v>
      </c>
      <c r="C1765" s="309">
        <v>3.3892063026249302</v>
      </c>
    </row>
    <row r="1766" spans="1:3" x14ac:dyDescent="0.35">
      <c r="A1766" s="302">
        <v>44400</v>
      </c>
      <c r="B1766" s="303">
        <v>284.66910000000001</v>
      </c>
      <c r="C1766" s="308">
        <v>3.3781862512787502</v>
      </c>
    </row>
    <row r="1767" spans="1:3" x14ac:dyDescent="0.35">
      <c r="A1767" s="305">
        <v>44399</v>
      </c>
      <c r="B1767" s="306">
        <v>284.67360000000002</v>
      </c>
      <c r="C1767" s="309">
        <v>3.3671325941674</v>
      </c>
    </row>
    <row r="1768" spans="1:3" x14ac:dyDescent="0.35">
      <c r="A1768" s="302">
        <v>44398</v>
      </c>
      <c r="B1768" s="303">
        <v>284.6782</v>
      </c>
      <c r="C1768" s="308">
        <v>3.35608043149294</v>
      </c>
    </row>
    <row r="1769" spans="1:3" x14ac:dyDescent="0.35">
      <c r="A1769" s="305">
        <v>44397</v>
      </c>
      <c r="B1769" s="306">
        <v>284.68279999999999</v>
      </c>
      <c r="C1769" s="309">
        <v>3.3450685051849902</v>
      </c>
    </row>
    <row r="1770" spans="1:3" x14ac:dyDescent="0.35">
      <c r="A1770" s="302">
        <v>44396</v>
      </c>
      <c r="B1770" s="303">
        <v>284.68740000000003</v>
      </c>
      <c r="C1770" s="308">
        <v>3.3340592808763598</v>
      </c>
    </row>
    <row r="1771" spans="1:3" x14ac:dyDescent="0.35">
      <c r="A1771" s="305">
        <v>44395</v>
      </c>
      <c r="B1771" s="306">
        <v>284.69200000000001</v>
      </c>
      <c r="C1771" s="309">
        <v>3.3230152586287298</v>
      </c>
    </row>
    <row r="1772" spans="1:3" x14ac:dyDescent="0.35">
      <c r="A1772" s="302">
        <v>44394</v>
      </c>
      <c r="B1772" s="303">
        <v>284.69659999999999</v>
      </c>
      <c r="C1772" s="308">
        <v>3.3120114439287001</v>
      </c>
    </row>
    <row r="1773" spans="1:3" x14ac:dyDescent="0.35">
      <c r="A1773" s="305">
        <v>44393</v>
      </c>
      <c r="B1773" s="306">
        <v>284.70119999999997</v>
      </c>
      <c r="C1773" s="309">
        <v>3.3010103282432901</v>
      </c>
    </row>
    <row r="1774" spans="1:3" x14ac:dyDescent="0.35">
      <c r="A1774" s="302">
        <v>44392</v>
      </c>
      <c r="B1774" s="303">
        <v>284.70580000000001</v>
      </c>
      <c r="C1774" s="308">
        <v>3.2899744374312001</v>
      </c>
    </row>
    <row r="1775" spans="1:3" x14ac:dyDescent="0.35">
      <c r="A1775" s="305">
        <v>44391</v>
      </c>
      <c r="B1775" s="306">
        <v>284.6114</v>
      </c>
      <c r="C1775" s="309">
        <v>3.2446768182904799</v>
      </c>
    </row>
    <row r="1776" spans="1:3" x14ac:dyDescent="0.35">
      <c r="A1776" s="302">
        <v>44390</v>
      </c>
      <c r="B1776" s="303">
        <v>284.517</v>
      </c>
      <c r="C1776" s="308">
        <v>3.1994263252716801</v>
      </c>
    </row>
    <row r="1777" spans="1:3" x14ac:dyDescent="0.35">
      <c r="A1777" s="305">
        <v>44389</v>
      </c>
      <c r="B1777" s="306">
        <v>284.42259999999999</v>
      </c>
      <c r="C1777" s="309">
        <v>3.15414807029302</v>
      </c>
    </row>
    <row r="1778" spans="1:3" x14ac:dyDescent="0.35">
      <c r="A1778" s="302">
        <v>44388</v>
      </c>
      <c r="B1778" s="303">
        <v>284.32830000000001</v>
      </c>
      <c r="C1778" s="308">
        <v>3.1089531584535801</v>
      </c>
    </row>
    <row r="1779" spans="1:3" x14ac:dyDescent="0.35">
      <c r="A1779" s="305">
        <v>44387</v>
      </c>
      <c r="B1779" s="306">
        <v>284.23399999999998</v>
      </c>
      <c r="C1779" s="309">
        <v>3.0637305115185902</v>
      </c>
    </row>
    <row r="1780" spans="1:3" x14ac:dyDescent="0.35">
      <c r="A1780" s="302">
        <v>44386</v>
      </c>
      <c r="B1780" s="303">
        <v>284.1397</v>
      </c>
      <c r="C1780" s="308">
        <v>3.0185175382558298</v>
      </c>
    </row>
    <row r="1781" spans="1:3" x14ac:dyDescent="0.35">
      <c r="A1781" s="305">
        <v>44385</v>
      </c>
      <c r="B1781" s="306">
        <v>284.0455</v>
      </c>
      <c r="C1781" s="309">
        <v>2.97338781831444</v>
      </c>
    </row>
    <row r="1782" spans="1:3" x14ac:dyDescent="0.35">
      <c r="A1782" s="302">
        <v>44384</v>
      </c>
      <c r="B1782" s="303">
        <v>283.9513</v>
      </c>
      <c r="C1782" s="308">
        <v>2.9282304073865801</v>
      </c>
    </row>
    <row r="1783" spans="1:3" x14ac:dyDescent="0.35">
      <c r="A1783" s="305">
        <v>44383</v>
      </c>
      <c r="B1783" s="306">
        <v>283.85719999999998</v>
      </c>
      <c r="C1783" s="309">
        <v>2.8831188977559501</v>
      </c>
    </row>
    <row r="1784" spans="1:3" x14ac:dyDescent="0.35">
      <c r="A1784" s="302">
        <v>44382</v>
      </c>
      <c r="B1784" s="303">
        <v>283.76299999999998</v>
      </c>
      <c r="C1784" s="308">
        <v>2.8379807931009098</v>
      </c>
    </row>
    <row r="1785" spans="1:3" x14ac:dyDescent="0.35">
      <c r="A1785" s="305">
        <v>44381</v>
      </c>
      <c r="B1785" s="306">
        <v>283.66890000000001</v>
      </c>
      <c r="C1785" s="309">
        <v>2.7928885758018498</v>
      </c>
    </row>
    <row r="1786" spans="1:3" x14ac:dyDescent="0.35">
      <c r="A1786" s="302">
        <v>44380</v>
      </c>
      <c r="B1786" s="303">
        <v>283.57490000000001</v>
      </c>
      <c r="C1786" s="308">
        <v>2.7478794598374598</v>
      </c>
    </row>
    <row r="1787" spans="1:3" x14ac:dyDescent="0.35">
      <c r="A1787" s="305">
        <v>44379</v>
      </c>
      <c r="B1787" s="306">
        <v>283.48079999999999</v>
      </c>
      <c r="C1787" s="309">
        <v>2.7028064944451602</v>
      </c>
    </row>
    <row r="1788" spans="1:3" x14ac:dyDescent="0.35">
      <c r="A1788" s="302">
        <v>44378</v>
      </c>
      <c r="B1788" s="303">
        <v>283.38679999999999</v>
      </c>
      <c r="C1788" s="308">
        <v>2.6577793877920701</v>
      </c>
    </row>
    <row r="1789" spans="1:3" x14ac:dyDescent="0.35">
      <c r="A1789" s="305">
        <v>44377</v>
      </c>
      <c r="B1789" s="306">
        <v>283.2928</v>
      </c>
      <c r="C1789" s="309">
        <v>2.61276190372701</v>
      </c>
    </row>
    <row r="1790" spans="1:3" x14ac:dyDescent="0.35">
      <c r="A1790" s="302">
        <v>44376</v>
      </c>
      <c r="B1790" s="303">
        <v>283.19889999999998</v>
      </c>
      <c r="C1790" s="308">
        <v>2.5677902567464299</v>
      </c>
    </row>
    <row r="1791" spans="1:3" x14ac:dyDescent="0.35">
      <c r="A1791" s="305">
        <v>44375</v>
      </c>
      <c r="B1791" s="306">
        <v>283.10500000000002</v>
      </c>
      <c r="C1791" s="309">
        <v>2.5228282184483501</v>
      </c>
    </row>
    <row r="1792" spans="1:3" x14ac:dyDescent="0.35">
      <c r="A1792" s="302">
        <v>44374</v>
      </c>
      <c r="B1792" s="303">
        <v>283.0111</v>
      </c>
      <c r="C1792" s="308">
        <v>2.4778757857536</v>
      </c>
    </row>
    <row r="1793" spans="1:3" x14ac:dyDescent="0.35">
      <c r="A1793" s="305">
        <v>44373</v>
      </c>
      <c r="B1793" s="306">
        <v>282.91719999999998</v>
      </c>
      <c r="C1793" s="309">
        <v>2.4329329555843202</v>
      </c>
    </row>
    <row r="1794" spans="1:3" x14ac:dyDescent="0.35">
      <c r="A1794" s="302">
        <v>44372</v>
      </c>
      <c r="B1794" s="303">
        <v>282.82339999999999</v>
      </c>
      <c r="C1794" s="308">
        <v>2.3880359269731102</v>
      </c>
    </row>
    <row r="1795" spans="1:3" x14ac:dyDescent="0.35">
      <c r="A1795" s="305">
        <v>44371</v>
      </c>
      <c r="B1795" s="306">
        <v>282.7296</v>
      </c>
      <c r="C1795" s="309">
        <v>2.3431484870039299</v>
      </c>
    </row>
    <row r="1796" spans="1:3" x14ac:dyDescent="0.35">
      <c r="A1796" s="302">
        <v>44370</v>
      </c>
      <c r="B1796" s="303">
        <v>282.63589999999999</v>
      </c>
      <c r="C1796" s="308">
        <v>2.2982698007608802</v>
      </c>
    </row>
    <row r="1797" spans="1:3" x14ac:dyDescent="0.35">
      <c r="A1797" s="305">
        <v>44369</v>
      </c>
      <c r="B1797" s="306">
        <v>282.5421</v>
      </c>
      <c r="C1797" s="309">
        <v>2.2534015451896301</v>
      </c>
    </row>
    <row r="1798" spans="1:3" x14ac:dyDescent="0.35">
      <c r="A1798" s="302">
        <v>44368</v>
      </c>
      <c r="B1798" s="303">
        <v>282.44839999999999</v>
      </c>
      <c r="C1798" s="308">
        <v>2.2085790556807399</v>
      </c>
    </row>
    <row r="1799" spans="1:3" x14ac:dyDescent="0.35">
      <c r="A1799" s="305">
        <v>44367</v>
      </c>
      <c r="B1799" s="306">
        <v>282.35480000000001</v>
      </c>
      <c r="C1799" s="309">
        <v>2.1638023175791101</v>
      </c>
    </row>
    <row r="1800" spans="1:3" x14ac:dyDescent="0.35">
      <c r="A1800" s="302">
        <v>44366</v>
      </c>
      <c r="B1800" s="303">
        <v>282.2611</v>
      </c>
      <c r="C1800" s="308">
        <v>2.11896201287824</v>
      </c>
    </row>
    <row r="1801" spans="1:3" x14ac:dyDescent="0.35">
      <c r="A1801" s="305">
        <v>44365</v>
      </c>
      <c r="B1801" s="306">
        <v>282.16750000000002</v>
      </c>
      <c r="C1801" s="309">
        <v>2.07420441140136</v>
      </c>
    </row>
    <row r="1802" spans="1:3" x14ac:dyDescent="0.35">
      <c r="A1802" s="302">
        <v>44364</v>
      </c>
      <c r="B1802" s="303">
        <v>282.07400000000001</v>
      </c>
      <c r="C1802" s="308">
        <v>2.0294925328217301</v>
      </c>
    </row>
    <row r="1803" spans="1:3" x14ac:dyDescent="0.35">
      <c r="A1803" s="305">
        <v>44363</v>
      </c>
      <c r="B1803" s="306">
        <v>281.98039999999997</v>
      </c>
      <c r="C1803" s="309">
        <v>1.98471714272487</v>
      </c>
    </row>
    <row r="1804" spans="1:3" x14ac:dyDescent="0.35">
      <c r="A1804" s="302">
        <v>44362</v>
      </c>
      <c r="B1804" s="303">
        <v>281.88690000000003</v>
      </c>
      <c r="C1804" s="308">
        <v>1.9400243669317101</v>
      </c>
    </row>
    <row r="1805" spans="1:3" x14ac:dyDescent="0.35">
      <c r="A1805" s="305">
        <v>44361</v>
      </c>
      <c r="B1805" s="306">
        <v>281.83339999999998</v>
      </c>
      <c r="C1805" s="309">
        <v>1.9259110311777501</v>
      </c>
    </row>
    <row r="1806" spans="1:3" x14ac:dyDescent="0.35">
      <c r="A1806" s="302">
        <v>44360</v>
      </c>
      <c r="B1806" s="303">
        <v>281.7799</v>
      </c>
      <c r="C1806" s="308">
        <v>1.91183310439511</v>
      </c>
    </row>
    <row r="1807" spans="1:3" x14ac:dyDescent="0.35">
      <c r="A1807" s="305">
        <v>44359</v>
      </c>
      <c r="B1807" s="306">
        <v>281.72640000000001</v>
      </c>
      <c r="C1807" s="309">
        <v>1.89771686590982</v>
      </c>
    </row>
    <row r="1808" spans="1:3" x14ac:dyDescent="0.35">
      <c r="A1808" s="302">
        <v>44358</v>
      </c>
      <c r="B1808" s="303">
        <v>281.673</v>
      </c>
      <c r="C1808" s="308">
        <v>1.8836722004533699</v>
      </c>
    </row>
    <row r="1809" spans="1:3" x14ac:dyDescent="0.35">
      <c r="A1809" s="305">
        <v>44357</v>
      </c>
      <c r="B1809" s="306">
        <v>281.61950000000002</v>
      </c>
      <c r="C1809" s="309">
        <v>1.8695899092425099</v>
      </c>
    </row>
    <row r="1810" spans="1:3" x14ac:dyDescent="0.35">
      <c r="A1810" s="302">
        <v>44356</v>
      </c>
      <c r="B1810" s="303">
        <v>281.56610000000001</v>
      </c>
      <c r="C1810" s="308">
        <v>1.8555054898624199</v>
      </c>
    </row>
    <row r="1811" spans="1:3" x14ac:dyDescent="0.35">
      <c r="A1811" s="305">
        <v>44355</v>
      </c>
      <c r="B1811" s="306">
        <v>281.5127</v>
      </c>
      <c r="C1811" s="309">
        <v>1.8414564660980901</v>
      </c>
    </row>
    <row r="1812" spans="1:3" x14ac:dyDescent="0.35">
      <c r="A1812" s="302">
        <v>44354</v>
      </c>
      <c r="B1812" s="303">
        <v>281.45929999999998</v>
      </c>
      <c r="C1812" s="308">
        <v>1.8273691491898001</v>
      </c>
    </row>
    <row r="1813" spans="1:3" x14ac:dyDescent="0.35">
      <c r="A1813" s="305">
        <v>44353</v>
      </c>
      <c r="B1813" s="306">
        <v>281.40589999999997</v>
      </c>
      <c r="C1813" s="309">
        <v>1.81331722106847</v>
      </c>
    </row>
    <row r="1814" spans="1:3" x14ac:dyDescent="0.35">
      <c r="A1814" s="302">
        <v>44352</v>
      </c>
      <c r="B1814" s="303">
        <v>281.35250000000002</v>
      </c>
      <c r="C1814" s="308">
        <v>1.79922700573631</v>
      </c>
    </row>
    <row r="1815" spans="1:3" x14ac:dyDescent="0.35">
      <c r="A1815" s="305">
        <v>44351</v>
      </c>
      <c r="B1815" s="306">
        <v>281.29910000000001</v>
      </c>
      <c r="C1815" s="309">
        <v>1.78517217235871</v>
      </c>
    </row>
    <row r="1816" spans="1:3" x14ac:dyDescent="0.35">
      <c r="A1816" s="302">
        <v>44350</v>
      </c>
      <c r="B1816" s="303">
        <v>281.2457</v>
      </c>
      <c r="C1816" s="308">
        <v>1.77107905770662</v>
      </c>
    </row>
    <row r="1817" spans="1:3" x14ac:dyDescent="0.35">
      <c r="A1817" s="305">
        <v>44349</v>
      </c>
      <c r="B1817" s="306">
        <v>281.19229999999999</v>
      </c>
      <c r="C1817" s="309">
        <v>1.7570213181731</v>
      </c>
    </row>
    <row r="1818" spans="1:3" x14ac:dyDescent="0.35">
      <c r="A1818" s="302">
        <v>44348</v>
      </c>
      <c r="B1818" s="303">
        <v>281.13900000000001</v>
      </c>
      <c r="C1818" s="308">
        <v>1.7429614928627</v>
      </c>
    </row>
    <row r="1819" spans="1:3" x14ac:dyDescent="0.35">
      <c r="A1819" s="305">
        <v>44347</v>
      </c>
      <c r="B1819" s="306">
        <v>281.0856</v>
      </c>
      <c r="C1819" s="309">
        <v>1.7289008481461801</v>
      </c>
    </row>
    <row r="1820" spans="1:3" x14ac:dyDescent="0.35">
      <c r="A1820" s="302">
        <v>44346</v>
      </c>
      <c r="B1820" s="303">
        <v>281.03230000000002</v>
      </c>
      <c r="C1820" s="308">
        <v>1.7148381273156901</v>
      </c>
    </row>
    <row r="1821" spans="1:3" x14ac:dyDescent="0.35">
      <c r="A1821" s="305">
        <v>44345</v>
      </c>
      <c r="B1821" s="306">
        <v>280.97899999999998</v>
      </c>
      <c r="C1821" s="309">
        <v>1.7008107716809</v>
      </c>
    </row>
    <row r="1822" spans="1:3" x14ac:dyDescent="0.35">
      <c r="A1822" s="302">
        <v>44344</v>
      </c>
      <c r="B1822" s="303">
        <v>280.92570000000001</v>
      </c>
      <c r="C1822" s="308">
        <v>1.6867451562951301</v>
      </c>
    </row>
    <row r="1823" spans="1:3" x14ac:dyDescent="0.35">
      <c r="A1823" s="305">
        <v>44343</v>
      </c>
      <c r="B1823" s="306">
        <v>280.87240000000003</v>
      </c>
      <c r="C1823" s="309">
        <v>1.67271489928561</v>
      </c>
    </row>
    <row r="1824" spans="1:3" x14ac:dyDescent="0.35">
      <c r="A1824" s="302">
        <v>44342</v>
      </c>
      <c r="B1824" s="303">
        <v>280.81909999999999</v>
      </c>
      <c r="C1824" s="308">
        <v>1.6586463884493501</v>
      </c>
    </row>
    <row r="1825" spans="1:3" x14ac:dyDescent="0.35">
      <c r="A1825" s="305">
        <v>44341</v>
      </c>
      <c r="B1825" s="306">
        <v>280.76580000000001</v>
      </c>
      <c r="C1825" s="309">
        <v>1.64461322916629</v>
      </c>
    </row>
    <row r="1826" spans="1:3" x14ac:dyDescent="0.35">
      <c r="A1826" s="302">
        <v>44340</v>
      </c>
      <c r="B1826" s="303">
        <v>280.71249999999998</v>
      </c>
      <c r="C1826" s="308">
        <v>1.63054182198395</v>
      </c>
    </row>
    <row r="1827" spans="1:3" x14ac:dyDescent="0.35">
      <c r="A1827" s="305">
        <v>44339</v>
      </c>
      <c r="B1827" s="306">
        <v>280.6592</v>
      </c>
      <c r="C1827" s="309">
        <v>1.61650575952816</v>
      </c>
    </row>
    <row r="1828" spans="1:3" x14ac:dyDescent="0.35">
      <c r="A1828" s="302">
        <v>44338</v>
      </c>
      <c r="B1828" s="303">
        <v>280.60599999999999</v>
      </c>
      <c r="C1828" s="308">
        <v>1.6024676633344199</v>
      </c>
    </row>
    <row r="1829" spans="1:3" x14ac:dyDescent="0.35">
      <c r="A1829" s="305">
        <v>44337</v>
      </c>
      <c r="B1829" s="306">
        <v>280.55270000000002</v>
      </c>
      <c r="C1829" s="309">
        <v>1.5884286986812299</v>
      </c>
    </row>
    <row r="1830" spans="1:3" x14ac:dyDescent="0.35">
      <c r="A1830" s="302">
        <v>44336</v>
      </c>
      <c r="B1830" s="303">
        <v>280.49950000000001</v>
      </c>
      <c r="C1830" s="308">
        <v>1.57438770994793</v>
      </c>
    </row>
    <row r="1831" spans="1:3" x14ac:dyDescent="0.35">
      <c r="A1831" s="305">
        <v>44335</v>
      </c>
      <c r="B1831" s="306">
        <v>280.44630000000001</v>
      </c>
      <c r="C1831" s="309">
        <v>1.5603452771371999</v>
      </c>
    </row>
    <row r="1832" spans="1:3" x14ac:dyDescent="0.35">
      <c r="A1832" s="302">
        <v>44334</v>
      </c>
      <c r="B1832" s="303">
        <v>280.3931</v>
      </c>
      <c r="C1832" s="308">
        <v>1.5463381757352599</v>
      </c>
    </row>
    <row r="1833" spans="1:3" x14ac:dyDescent="0.35">
      <c r="A1833" s="305">
        <v>44333</v>
      </c>
      <c r="B1833" s="306">
        <v>280.3399</v>
      </c>
      <c r="C1833" s="309">
        <v>1.5322928509056699</v>
      </c>
    </row>
    <row r="1834" spans="1:3" x14ac:dyDescent="0.35">
      <c r="A1834" s="302">
        <v>44332</v>
      </c>
      <c r="B1834" s="303">
        <v>280.2867</v>
      </c>
      <c r="C1834" s="308">
        <v>1.5182828506730299</v>
      </c>
    </row>
    <row r="1835" spans="1:3" x14ac:dyDescent="0.35">
      <c r="A1835" s="305">
        <v>44331</v>
      </c>
      <c r="B1835" s="306">
        <v>280.23349999999999</v>
      </c>
      <c r="C1835" s="309">
        <v>1.5042346329296601</v>
      </c>
    </row>
    <row r="1836" spans="1:3" x14ac:dyDescent="0.35">
      <c r="A1836" s="302">
        <v>44330</v>
      </c>
      <c r="B1836" s="303">
        <v>280.18599999999998</v>
      </c>
      <c r="C1836" s="308">
        <v>1.5062585973974401</v>
      </c>
    </row>
    <row r="1837" spans="1:3" x14ac:dyDescent="0.35">
      <c r="A1837" s="305">
        <v>44329</v>
      </c>
      <c r="B1837" s="306">
        <v>280.13850000000002</v>
      </c>
      <c r="C1837" s="309">
        <v>1.5082833289851301</v>
      </c>
    </row>
    <row r="1838" spans="1:3" x14ac:dyDescent="0.35">
      <c r="A1838" s="302">
        <v>44328</v>
      </c>
      <c r="B1838" s="303">
        <v>280.09100000000001</v>
      </c>
      <c r="C1838" s="308">
        <v>1.5102720388744999</v>
      </c>
    </row>
    <row r="1839" spans="1:3" x14ac:dyDescent="0.35">
      <c r="A1839" s="305">
        <v>44327</v>
      </c>
      <c r="B1839" s="306">
        <v>280.04349999999999</v>
      </c>
      <c r="C1839" s="309">
        <v>1.51229829830193</v>
      </c>
    </row>
    <row r="1840" spans="1:3" x14ac:dyDescent="0.35">
      <c r="A1840" s="302">
        <v>44326</v>
      </c>
      <c r="B1840" s="303">
        <v>279.99599999999998</v>
      </c>
      <c r="C1840" s="308">
        <v>1.5143253261556799</v>
      </c>
    </row>
    <row r="1841" spans="1:3" x14ac:dyDescent="0.35">
      <c r="A1841" s="305">
        <v>44325</v>
      </c>
      <c r="B1841" s="306">
        <v>279.9486</v>
      </c>
      <c r="C1841" s="309">
        <v>1.5163525730054701</v>
      </c>
    </row>
    <row r="1842" spans="1:3" x14ac:dyDescent="0.35">
      <c r="A1842" s="302">
        <v>44324</v>
      </c>
      <c r="B1842" s="303">
        <v>279.90109999999999</v>
      </c>
      <c r="C1842" s="308">
        <v>1.51838113818378</v>
      </c>
    </row>
    <row r="1843" spans="1:3" x14ac:dyDescent="0.35">
      <c r="A1843" s="305">
        <v>44323</v>
      </c>
      <c r="B1843" s="306">
        <v>279.85359999999997</v>
      </c>
      <c r="C1843" s="309">
        <v>1.52037364530903</v>
      </c>
    </row>
    <row r="1844" spans="1:3" x14ac:dyDescent="0.35">
      <c r="A1844" s="302">
        <v>44322</v>
      </c>
      <c r="B1844" s="303">
        <v>279.80619999999999</v>
      </c>
      <c r="C1844" s="308">
        <v>1.5224031903016699</v>
      </c>
    </row>
    <row r="1845" spans="1:3" x14ac:dyDescent="0.35">
      <c r="A1845" s="305">
        <v>44321</v>
      </c>
      <c r="B1845" s="306">
        <v>279.75880000000001</v>
      </c>
      <c r="C1845" s="309">
        <v>1.52443350422288</v>
      </c>
    </row>
    <row r="1846" spans="1:3" x14ac:dyDescent="0.35">
      <c r="A1846" s="302">
        <v>44320</v>
      </c>
      <c r="B1846" s="303">
        <v>279.71129999999999</v>
      </c>
      <c r="C1846" s="308">
        <v>1.5264282906464099</v>
      </c>
    </row>
    <row r="1847" spans="1:3" x14ac:dyDescent="0.35">
      <c r="A1847" s="305">
        <v>44319</v>
      </c>
      <c r="B1847" s="306">
        <v>279.66390000000001</v>
      </c>
      <c r="C1847" s="309">
        <v>1.5284601368578501</v>
      </c>
    </row>
    <row r="1848" spans="1:3" x14ac:dyDescent="0.35">
      <c r="A1848" s="302">
        <v>44318</v>
      </c>
      <c r="B1848" s="303">
        <v>279.61649999999997</v>
      </c>
      <c r="C1848" s="308">
        <v>1.5304927533074399</v>
      </c>
    </row>
    <row r="1849" spans="1:3" x14ac:dyDescent="0.35">
      <c r="A1849" s="305">
        <v>44317</v>
      </c>
      <c r="B1849" s="306">
        <v>279.56909999999999</v>
      </c>
      <c r="C1849" s="309">
        <v>1.53252614043326</v>
      </c>
    </row>
    <row r="1850" spans="1:3" x14ac:dyDescent="0.35">
      <c r="A1850" s="302">
        <v>44316</v>
      </c>
      <c r="B1850" s="303">
        <v>279.52170000000001</v>
      </c>
      <c r="C1850" s="308">
        <v>1.5345234168745601</v>
      </c>
    </row>
    <row r="1851" spans="1:3" x14ac:dyDescent="0.35">
      <c r="A1851" s="305">
        <v>44315</v>
      </c>
      <c r="B1851" s="306">
        <v>279.47430000000003</v>
      </c>
      <c r="C1851" s="309">
        <v>1.5365583389344</v>
      </c>
    </row>
    <row r="1852" spans="1:3" x14ac:dyDescent="0.35">
      <c r="A1852" s="302">
        <v>44314</v>
      </c>
      <c r="B1852" s="303">
        <v>279.42689999999999</v>
      </c>
      <c r="C1852" s="308">
        <v>1.53855713574006</v>
      </c>
    </row>
    <row r="1853" spans="1:3" x14ac:dyDescent="0.35">
      <c r="A1853" s="305">
        <v>44313</v>
      </c>
      <c r="B1853" s="306">
        <v>279.37950000000001</v>
      </c>
      <c r="C1853" s="309">
        <v>1.5405935944772999</v>
      </c>
    </row>
    <row r="1854" spans="1:3" x14ac:dyDescent="0.35">
      <c r="A1854" s="302">
        <v>44312</v>
      </c>
      <c r="B1854" s="303">
        <v>279.33210000000003</v>
      </c>
      <c r="C1854" s="308">
        <v>1.5425939133791799</v>
      </c>
    </row>
    <row r="1855" spans="1:3" x14ac:dyDescent="0.35">
      <c r="A1855" s="305">
        <v>44311</v>
      </c>
      <c r="B1855" s="306">
        <v>279.28480000000002</v>
      </c>
      <c r="C1855" s="309">
        <v>1.5446313489300501</v>
      </c>
    </row>
    <row r="1856" spans="1:3" x14ac:dyDescent="0.35">
      <c r="A1856" s="302">
        <v>44310</v>
      </c>
      <c r="B1856" s="303">
        <v>279.23739999999998</v>
      </c>
      <c r="C1856" s="308">
        <v>1.54663319082828</v>
      </c>
    </row>
    <row r="1857" spans="1:3" x14ac:dyDescent="0.35">
      <c r="A1857" s="305">
        <v>44309</v>
      </c>
      <c r="B1857" s="306">
        <v>279.19009999999997</v>
      </c>
      <c r="C1857" s="309">
        <v>1.5486721640200201</v>
      </c>
    </row>
    <row r="1858" spans="1:3" x14ac:dyDescent="0.35">
      <c r="A1858" s="302">
        <v>44308</v>
      </c>
      <c r="B1858" s="303">
        <v>279.14269999999999</v>
      </c>
      <c r="C1858" s="308">
        <v>1.55067553064935</v>
      </c>
    </row>
    <row r="1859" spans="1:3" x14ac:dyDescent="0.35">
      <c r="A1859" s="305">
        <v>44307</v>
      </c>
      <c r="B1859" s="306">
        <v>279.09539999999998</v>
      </c>
      <c r="C1859" s="309">
        <v>1.5527160432284799</v>
      </c>
    </row>
    <row r="1860" spans="1:3" x14ac:dyDescent="0.35">
      <c r="A1860" s="302">
        <v>44306</v>
      </c>
      <c r="B1860" s="303">
        <v>279.04809999999998</v>
      </c>
      <c r="C1860" s="308">
        <v>1.5547203705125701</v>
      </c>
    </row>
    <row r="1861" spans="1:3" x14ac:dyDescent="0.35">
      <c r="A1861" s="305">
        <v>44305</v>
      </c>
      <c r="B1861" s="306">
        <v>279.00080000000003</v>
      </c>
      <c r="C1861" s="309">
        <v>1.55676242337764</v>
      </c>
    </row>
    <row r="1862" spans="1:3" x14ac:dyDescent="0.35">
      <c r="A1862" s="302">
        <v>44304</v>
      </c>
      <c r="B1862" s="303">
        <v>278.95350000000002</v>
      </c>
      <c r="C1862" s="308">
        <v>1.5587682763441499</v>
      </c>
    </row>
    <row r="1863" spans="1:3" x14ac:dyDescent="0.35">
      <c r="A1863" s="305">
        <v>44303</v>
      </c>
      <c r="B1863" s="306">
        <v>278.90620000000001</v>
      </c>
      <c r="C1863" s="309">
        <v>1.56081187124458</v>
      </c>
    </row>
    <row r="1864" spans="1:3" x14ac:dyDescent="0.35">
      <c r="A1864" s="302">
        <v>44302</v>
      </c>
      <c r="B1864" s="303">
        <v>278.85890000000001</v>
      </c>
      <c r="C1864" s="308">
        <v>1.5628192516313799</v>
      </c>
    </row>
    <row r="1865" spans="1:3" x14ac:dyDescent="0.35">
      <c r="A1865" s="305">
        <v>44301</v>
      </c>
      <c r="B1865" s="306">
        <v>278.8116</v>
      </c>
      <c r="C1865" s="309">
        <v>1.56482739251169</v>
      </c>
    </row>
    <row r="1866" spans="1:3" x14ac:dyDescent="0.35">
      <c r="A1866" s="302">
        <v>44300</v>
      </c>
      <c r="B1866" s="303">
        <v>278.7543</v>
      </c>
      <c r="C1866" s="308">
        <v>1.5658201946535799</v>
      </c>
    </row>
    <row r="1867" spans="1:3" x14ac:dyDescent="0.35">
      <c r="A1867" s="305">
        <v>44299</v>
      </c>
      <c r="B1867" s="306">
        <v>278.69690000000003</v>
      </c>
      <c r="C1867" s="309">
        <v>1.5667769810023899</v>
      </c>
    </row>
    <row r="1868" spans="1:3" x14ac:dyDescent="0.35">
      <c r="A1868" s="302">
        <v>44298</v>
      </c>
      <c r="B1868" s="303">
        <v>278.63959999999997</v>
      </c>
      <c r="C1868" s="308">
        <v>1.5677706308918999</v>
      </c>
    </row>
    <row r="1869" spans="1:3" x14ac:dyDescent="0.35">
      <c r="A1869" s="305">
        <v>44297</v>
      </c>
      <c r="B1869" s="306">
        <v>278.5822</v>
      </c>
      <c r="C1869" s="309">
        <v>1.56872824983274</v>
      </c>
    </row>
    <row r="1870" spans="1:3" x14ac:dyDescent="0.35">
      <c r="A1870" s="302">
        <v>44296</v>
      </c>
      <c r="B1870" s="303">
        <v>278.5249</v>
      </c>
      <c r="C1870" s="308">
        <v>1.56972274856283</v>
      </c>
    </row>
    <row r="1871" spans="1:3" x14ac:dyDescent="0.35">
      <c r="A1871" s="305">
        <v>44295</v>
      </c>
      <c r="B1871" s="306">
        <v>278.4676</v>
      </c>
      <c r="C1871" s="309">
        <v>1.5707176760542101</v>
      </c>
    </row>
    <row r="1872" spans="1:3" x14ac:dyDescent="0.35">
      <c r="A1872" s="302">
        <v>44294</v>
      </c>
      <c r="B1872" s="303">
        <v>278.41030000000001</v>
      </c>
      <c r="C1872" s="308">
        <v>1.5716759764511301</v>
      </c>
    </row>
    <row r="1873" spans="1:3" x14ac:dyDescent="0.35">
      <c r="A1873" s="305">
        <v>44293</v>
      </c>
      <c r="B1873" s="306">
        <v>278.35300000000001</v>
      </c>
      <c r="C1873" s="309">
        <v>1.5726346894815499</v>
      </c>
    </row>
    <row r="1874" spans="1:3" x14ac:dyDescent="0.35">
      <c r="A1874" s="302">
        <v>44292</v>
      </c>
      <c r="B1874" s="303">
        <v>278.29570000000001</v>
      </c>
      <c r="C1874" s="308">
        <v>1.5736308882045</v>
      </c>
    </row>
    <row r="1875" spans="1:3" x14ac:dyDescent="0.35">
      <c r="A1875" s="305">
        <v>44291</v>
      </c>
      <c r="B1875" s="306">
        <v>278.23849999999999</v>
      </c>
      <c r="C1875" s="309">
        <v>1.5746269419534999</v>
      </c>
    </row>
    <row r="1876" spans="1:3" x14ac:dyDescent="0.35">
      <c r="A1876" s="302">
        <v>44290</v>
      </c>
      <c r="B1876" s="303">
        <v>278.18119999999999</v>
      </c>
      <c r="C1876" s="308">
        <v>1.5755869106885001</v>
      </c>
    </row>
    <row r="1877" spans="1:3" x14ac:dyDescent="0.35">
      <c r="A1877" s="305">
        <v>44289</v>
      </c>
      <c r="B1877" s="306">
        <v>278.12400000000002</v>
      </c>
      <c r="C1877" s="309">
        <v>1.5765838151809</v>
      </c>
    </row>
    <row r="1878" spans="1:3" x14ac:dyDescent="0.35">
      <c r="A1878" s="302">
        <v>44288</v>
      </c>
      <c r="B1878" s="303">
        <v>278.06670000000003</v>
      </c>
      <c r="C1878" s="308">
        <v>1.57750751328867</v>
      </c>
    </row>
    <row r="1879" spans="1:3" x14ac:dyDescent="0.35">
      <c r="A1879" s="305">
        <v>44287</v>
      </c>
      <c r="B1879" s="306">
        <v>278.0095</v>
      </c>
      <c r="C1879" s="309">
        <v>1.57850526125793</v>
      </c>
    </row>
    <row r="1880" spans="1:3" x14ac:dyDescent="0.35">
      <c r="A1880" s="302">
        <v>44286</v>
      </c>
      <c r="B1880" s="303">
        <v>277.95229999999998</v>
      </c>
      <c r="C1880" s="308">
        <v>1.5794663166081</v>
      </c>
    </row>
    <row r="1881" spans="1:3" x14ac:dyDescent="0.35">
      <c r="A1881" s="305">
        <v>44285</v>
      </c>
      <c r="B1881" s="306">
        <v>277.89510000000001</v>
      </c>
      <c r="C1881" s="309">
        <v>1.5804649170198299</v>
      </c>
    </row>
    <row r="1882" spans="1:3" x14ac:dyDescent="0.35">
      <c r="A1882" s="302">
        <v>44284</v>
      </c>
      <c r="B1882" s="303">
        <v>277.83789999999999</v>
      </c>
      <c r="C1882" s="308">
        <v>1.58142680864677</v>
      </c>
    </row>
    <row r="1883" spans="1:3" x14ac:dyDescent="0.35">
      <c r="A1883" s="305">
        <v>44283</v>
      </c>
      <c r="B1883" s="306">
        <v>277.7808</v>
      </c>
      <c r="C1883" s="309">
        <v>1.58242568391859</v>
      </c>
    </row>
    <row r="1884" spans="1:3" x14ac:dyDescent="0.35">
      <c r="A1884" s="302">
        <v>44282</v>
      </c>
      <c r="B1884" s="303">
        <v>277.72359999999998</v>
      </c>
      <c r="C1884" s="308">
        <v>1.58338841243082</v>
      </c>
    </row>
    <row r="1885" spans="1:3" x14ac:dyDescent="0.35">
      <c r="A1885" s="305">
        <v>44281</v>
      </c>
      <c r="B1885" s="306">
        <v>277.66649999999998</v>
      </c>
      <c r="C1885" s="309">
        <v>1.58438814088751</v>
      </c>
    </row>
    <row r="1886" spans="1:3" x14ac:dyDescent="0.35">
      <c r="A1886" s="302">
        <v>44280</v>
      </c>
      <c r="B1886" s="303">
        <v>277.60930000000002</v>
      </c>
      <c r="C1886" s="308">
        <v>1.5853517073707999</v>
      </c>
    </row>
    <row r="1887" spans="1:3" x14ac:dyDescent="0.35">
      <c r="A1887" s="305">
        <v>44279</v>
      </c>
      <c r="B1887" s="306">
        <v>277.55220000000003</v>
      </c>
      <c r="C1887" s="309">
        <v>1.58631510869887</v>
      </c>
    </row>
    <row r="1888" spans="1:3" x14ac:dyDescent="0.35">
      <c r="A1888" s="302">
        <v>44278</v>
      </c>
      <c r="B1888" s="303">
        <v>277.49509999999998</v>
      </c>
      <c r="C1888" s="308">
        <v>1.5873161145588399</v>
      </c>
    </row>
    <row r="1889" spans="1:3" x14ac:dyDescent="0.35">
      <c r="A1889" s="305">
        <v>44277</v>
      </c>
      <c r="B1889" s="306">
        <v>277.43799999999999</v>
      </c>
      <c r="C1889" s="309">
        <v>1.5882803540382999</v>
      </c>
    </row>
    <row r="1890" spans="1:3" x14ac:dyDescent="0.35">
      <c r="A1890" s="302">
        <v>44276</v>
      </c>
      <c r="B1890" s="303">
        <v>277.3809</v>
      </c>
      <c r="C1890" s="308">
        <v>1.5892450088191701</v>
      </c>
    </row>
    <row r="1891" spans="1:3" x14ac:dyDescent="0.35">
      <c r="A1891" s="305">
        <v>44275</v>
      </c>
      <c r="B1891" s="306">
        <v>277.32380000000001</v>
      </c>
      <c r="C1891" s="309">
        <v>1.5902100791698199</v>
      </c>
    </row>
    <row r="1892" spans="1:3" x14ac:dyDescent="0.35">
      <c r="A1892" s="302">
        <v>44274</v>
      </c>
      <c r="B1892" s="303">
        <v>277.26670000000001</v>
      </c>
      <c r="C1892" s="308">
        <v>1.59117556535885</v>
      </c>
    </row>
    <row r="1893" spans="1:3" x14ac:dyDescent="0.35">
      <c r="A1893" s="305">
        <v>44273</v>
      </c>
      <c r="B1893" s="306">
        <v>277.2097</v>
      </c>
      <c r="C1893" s="309">
        <v>1.5921781157875801</v>
      </c>
    </row>
    <row r="1894" spans="1:3" x14ac:dyDescent="0.35">
      <c r="A1894" s="302">
        <v>44272</v>
      </c>
      <c r="B1894" s="303">
        <v>277.15260000000001</v>
      </c>
      <c r="C1894" s="308">
        <v>1.5931444423591199</v>
      </c>
    </row>
    <row r="1895" spans="1:3" x14ac:dyDescent="0.35">
      <c r="A1895" s="305">
        <v>44271</v>
      </c>
      <c r="B1895" s="306">
        <v>277.09559999999999</v>
      </c>
      <c r="C1895" s="309">
        <v>1.5941478495136201</v>
      </c>
    </row>
    <row r="1896" spans="1:3" x14ac:dyDescent="0.35">
      <c r="A1896" s="302">
        <v>44270</v>
      </c>
      <c r="B1896" s="303">
        <v>277.03859999999997</v>
      </c>
      <c r="C1896" s="308">
        <v>1.5951144326006701</v>
      </c>
    </row>
    <row r="1897" spans="1:3" x14ac:dyDescent="0.35">
      <c r="A1897" s="305">
        <v>44269</v>
      </c>
      <c r="B1897" s="306">
        <v>276.99810000000002</v>
      </c>
      <c r="C1897" s="309">
        <v>1.59494149081513</v>
      </c>
    </row>
    <row r="1898" spans="1:3" x14ac:dyDescent="0.35">
      <c r="A1898" s="302">
        <v>44268</v>
      </c>
      <c r="B1898" s="303">
        <v>276.95769999999999</v>
      </c>
      <c r="C1898" s="308">
        <v>1.5948051814661299</v>
      </c>
    </row>
    <row r="1899" spans="1:3" x14ac:dyDescent="0.35">
      <c r="A1899" s="305">
        <v>44267</v>
      </c>
      <c r="B1899" s="306">
        <v>276.91719999999998</v>
      </c>
      <c r="C1899" s="309">
        <v>1.5946321449811001</v>
      </c>
    </row>
    <row r="1900" spans="1:3" x14ac:dyDescent="0.35">
      <c r="A1900" s="302">
        <v>44266</v>
      </c>
      <c r="B1900" s="303">
        <v>276.87670000000003</v>
      </c>
      <c r="C1900" s="308">
        <v>1.5944590584641101</v>
      </c>
    </row>
    <row r="1901" spans="1:3" x14ac:dyDescent="0.35">
      <c r="A1901" s="305">
        <v>44265</v>
      </c>
      <c r="B1901" s="306">
        <v>276.83629999999999</v>
      </c>
      <c r="C1901" s="309">
        <v>1.59432262023201</v>
      </c>
    </row>
    <row r="1902" spans="1:3" x14ac:dyDescent="0.35">
      <c r="A1902" s="302">
        <v>44264</v>
      </c>
      <c r="B1902" s="303">
        <v>276.79579999999999</v>
      </c>
      <c r="C1902" s="308">
        <v>1.59414943889302</v>
      </c>
    </row>
    <row r="1903" spans="1:3" x14ac:dyDescent="0.35">
      <c r="A1903" s="305">
        <v>44263</v>
      </c>
      <c r="B1903" s="306">
        <v>276.75540000000001</v>
      </c>
      <c r="C1903" s="309">
        <v>1.5939756223266699</v>
      </c>
    </row>
    <row r="1904" spans="1:3" x14ac:dyDescent="0.35">
      <c r="A1904" s="302">
        <v>44262</v>
      </c>
      <c r="B1904" s="303">
        <v>276.7149</v>
      </c>
      <c r="C1904" s="308">
        <v>1.59380234075377</v>
      </c>
    </row>
    <row r="1905" spans="1:3" x14ac:dyDescent="0.35">
      <c r="A1905" s="305">
        <v>44261</v>
      </c>
      <c r="B1905" s="306">
        <v>276.67450000000002</v>
      </c>
      <c r="C1905" s="309">
        <v>1.5936657286042499</v>
      </c>
    </row>
    <row r="1906" spans="1:3" x14ac:dyDescent="0.35">
      <c r="A1906" s="302">
        <v>44260</v>
      </c>
      <c r="B1906" s="303">
        <v>276.63409999999999</v>
      </c>
      <c r="C1906" s="308">
        <v>1.5934917668367901</v>
      </c>
    </row>
    <row r="1907" spans="1:3" x14ac:dyDescent="0.35">
      <c r="A1907" s="305">
        <v>44259</v>
      </c>
      <c r="B1907" s="306">
        <v>276.59370000000001</v>
      </c>
      <c r="C1907" s="309">
        <v>1.5933550702519701</v>
      </c>
    </row>
    <row r="1908" spans="1:3" x14ac:dyDescent="0.35">
      <c r="A1908" s="302">
        <v>44258</v>
      </c>
      <c r="B1908" s="303">
        <v>276.5532</v>
      </c>
      <c r="C1908" s="308">
        <v>1.5931442778612901</v>
      </c>
    </row>
    <row r="1909" spans="1:3" x14ac:dyDescent="0.35">
      <c r="A1909" s="305">
        <v>44257</v>
      </c>
      <c r="B1909" s="306">
        <v>276.51280000000003</v>
      </c>
      <c r="C1909" s="309">
        <v>1.59297016538129</v>
      </c>
    </row>
    <row r="1910" spans="1:3" x14ac:dyDescent="0.35">
      <c r="A1910" s="302">
        <v>44256</v>
      </c>
      <c r="B1910" s="303">
        <v>276.47239999999999</v>
      </c>
      <c r="C1910" s="308">
        <v>1.59283333400701</v>
      </c>
    </row>
    <row r="1911" spans="1:3" x14ac:dyDescent="0.35">
      <c r="A1911" s="305">
        <v>44255</v>
      </c>
      <c r="B1911" s="306">
        <v>276.43200000000002</v>
      </c>
      <c r="C1911" s="309">
        <v>1.60733458281675</v>
      </c>
    </row>
    <row r="1912" spans="1:3" x14ac:dyDescent="0.35">
      <c r="A1912" s="302">
        <v>44254</v>
      </c>
      <c r="B1912" s="303">
        <v>276.39159999999998</v>
      </c>
      <c r="C1912" s="308">
        <v>1.6071624197944401</v>
      </c>
    </row>
    <row r="1913" spans="1:3" x14ac:dyDescent="0.35">
      <c r="A1913" s="305">
        <v>44253</v>
      </c>
      <c r="B1913" s="306">
        <v>276.35129999999998</v>
      </c>
      <c r="C1913" s="309">
        <v>1.6070643325769101</v>
      </c>
    </row>
    <row r="1914" spans="1:3" x14ac:dyDescent="0.35">
      <c r="A1914" s="302">
        <v>44252</v>
      </c>
      <c r="B1914" s="303">
        <v>276.3109</v>
      </c>
      <c r="C1914" s="308">
        <v>1.6068920806748199</v>
      </c>
    </row>
    <row r="1915" spans="1:3" x14ac:dyDescent="0.35">
      <c r="A1915" s="305">
        <v>44251</v>
      </c>
      <c r="B1915" s="306">
        <v>276.27050000000003</v>
      </c>
      <c r="C1915" s="309">
        <v>1.60671977897903</v>
      </c>
    </row>
    <row r="1916" spans="1:3" x14ac:dyDescent="0.35">
      <c r="A1916" s="302">
        <v>44250</v>
      </c>
      <c r="B1916" s="303">
        <v>276.23009999999999</v>
      </c>
      <c r="C1916" s="308">
        <v>1.6065474274679299</v>
      </c>
    </row>
    <row r="1917" spans="1:3" x14ac:dyDescent="0.35">
      <c r="A1917" s="305">
        <v>44249</v>
      </c>
      <c r="B1917" s="306">
        <v>276.18979999999999</v>
      </c>
      <c r="C1917" s="309">
        <v>1.60637443515696</v>
      </c>
    </row>
    <row r="1918" spans="1:3" x14ac:dyDescent="0.35">
      <c r="A1918" s="302">
        <v>44248</v>
      </c>
      <c r="B1918" s="303">
        <v>276.14940000000001</v>
      </c>
      <c r="C1918" s="308">
        <v>1.6062019839284101</v>
      </c>
    </row>
    <row r="1919" spans="1:3" x14ac:dyDescent="0.35">
      <c r="A1919" s="305">
        <v>44247</v>
      </c>
      <c r="B1919" s="306">
        <v>276.10910000000001</v>
      </c>
      <c r="C1919" s="309">
        <v>1.6060662820654801</v>
      </c>
    </row>
    <row r="1920" spans="1:3" x14ac:dyDescent="0.35">
      <c r="A1920" s="302">
        <v>44246</v>
      </c>
      <c r="B1920" s="303">
        <v>276.06869999999998</v>
      </c>
      <c r="C1920" s="308">
        <v>1.6058937363777099</v>
      </c>
    </row>
    <row r="1921" spans="1:3" x14ac:dyDescent="0.35">
      <c r="A1921" s="305">
        <v>44245</v>
      </c>
      <c r="B1921" s="306">
        <v>276.02839999999998</v>
      </c>
      <c r="C1921" s="309">
        <v>1.6057205497040099</v>
      </c>
    </row>
    <row r="1922" spans="1:3" x14ac:dyDescent="0.35">
      <c r="A1922" s="302">
        <v>44244</v>
      </c>
      <c r="B1922" s="303">
        <v>275.988</v>
      </c>
      <c r="C1922" s="308">
        <v>1.6055479041287899</v>
      </c>
    </row>
    <row r="1923" spans="1:3" x14ac:dyDescent="0.35">
      <c r="A1923" s="305">
        <v>44243</v>
      </c>
      <c r="B1923" s="306">
        <v>275.9477</v>
      </c>
      <c r="C1923" s="309">
        <v>1.60541202912062</v>
      </c>
    </row>
    <row r="1924" spans="1:3" x14ac:dyDescent="0.35">
      <c r="A1924" s="302">
        <v>44242</v>
      </c>
      <c r="B1924" s="303">
        <v>275.9074</v>
      </c>
      <c r="C1924" s="308">
        <v>1.60523869777911</v>
      </c>
    </row>
    <row r="1925" spans="1:3" x14ac:dyDescent="0.35">
      <c r="A1925" s="305">
        <v>44241</v>
      </c>
      <c r="B1925" s="306">
        <v>275.87360000000001</v>
      </c>
      <c r="C1925" s="309">
        <v>1.60128488758154</v>
      </c>
    </row>
    <row r="1926" spans="1:3" x14ac:dyDescent="0.35">
      <c r="A1926" s="302">
        <v>44240</v>
      </c>
      <c r="B1926" s="303">
        <v>275.8399</v>
      </c>
      <c r="C1926" s="308">
        <v>1.5974046686057499</v>
      </c>
    </row>
    <row r="1927" spans="1:3" x14ac:dyDescent="0.35">
      <c r="A1927" s="305">
        <v>44239</v>
      </c>
      <c r="B1927" s="306">
        <v>275.80610000000001</v>
      </c>
      <c r="C1927" s="309">
        <v>1.5934495407031499</v>
      </c>
    </row>
    <row r="1928" spans="1:3" x14ac:dyDescent="0.35">
      <c r="A1928" s="302">
        <v>44238</v>
      </c>
      <c r="B1928" s="303">
        <v>275.7724</v>
      </c>
      <c r="C1928" s="308">
        <v>1.5895680132499601</v>
      </c>
    </row>
    <row r="1929" spans="1:3" x14ac:dyDescent="0.35">
      <c r="A1929" s="305">
        <v>44237</v>
      </c>
      <c r="B1929" s="306">
        <v>275.73860000000002</v>
      </c>
      <c r="C1929" s="309">
        <v>1.5856115669809401</v>
      </c>
    </row>
    <row r="1930" spans="1:3" x14ac:dyDescent="0.35">
      <c r="A1930" s="302">
        <v>44236</v>
      </c>
      <c r="B1930" s="303">
        <v>275.70490000000001</v>
      </c>
      <c r="C1930" s="308">
        <v>1.58169130325851</v>
      </c>
    </row>
    <row r="1931" spans="1:3" x14ac:dyDescent="0.35">
      <c r="A1931" s="305">
        <v>44235</v>
      </c>
      <c r="B1931" s="306">
        <v>275.6712</v>
      </c>
      <c r="C1931" s="309">
        <v>1.57780781254376</v>
      </c>
    </row>
    <row r="1932" spans="1:3" x14ac:dyDescent="0.35">
      <c r="A1932" s="302">
        <v>44234</v>
      </c>
      <c r="B1932" s="303">
        <v>275.63749999999999</v>
      </c>
      <c r="C1932" s="308">
        <v>1.5738862387214301</v>
      </c>
    </row>
    <row r="1933" spans="1:3" x14ac:dyDescent="0.35">
      <c r="A1933" s="305">
        <v>44233</v>
      </c>
      <c r="B1933" s="306">
        <v>275.6037</v>
      </c>
      <c r="C1933" s="309">
        <v>1.5699271551441401</v>
      </c>
    </row>
    <row r="1934" spans="1:3" x14ac:dyDescent="0.35">
      <c r="A1934" s="302">
        <v>44232</v>
      </c>
      <c r="B1934" s="303">
        <v>275.57</v>
      </c>
      <c r="C1934" s="308">
        <v>1.56604169968414</v>
      </c>
    </row>
    <row r="1935" spans="1:3" x14ac:dyDescent="0.35">
      <c r="A1935" s="305">
        <v>44231</v>
      </c>
      <c r="B1935" s="306">
        <v>275.53629999999998</v>
      </c>
      <c r="C1935" s="309">
        <v>1.5621181555505499</v>
      </c>
    </row>
    <row r="1936" spans="1:3" x14ac:dyDescent="0.35">
      <c r="A1936" s="302">
        <v>44230</v>
      </c>
      <c r="B1936" s="303">
        <v>275.50259999999997</v>
      </c>
      <c r="C1936" s="308">
        <v>1.5581939547825201</v>
      </c>
    </row>
    <row r="1937" spans="1:3" x14ac:dyDescent="0.35">
      <c r="A1937" s="305">
        <v>44229</v>
      </c>
      <c r="B1937" s="306">
        <v>275.46890000000002</v>
      </c>
      <c r="C1937" s="309">
        <v>1.55426909721518</v>
      </c>
    </row>
    <row r="1938" spans="1:3" x14ac:dyDescent="0.35">
      <c r="A1938" s="302">
        <v>44228</v>
      </c>
      <c r="B1938" s="303">
        <v>275.43520000000001</v>
      </c>
      <c r="C1938" s="308">
        <v>1.5503810233451201</v>
      </c>
    </row>
    <row r="1939" spans="1:3" x14ac:dyDescent="0.35">
      <c r="A1939" s="305">
        <v>44227</v>
      </c>
      <c r="B1939" s="306">
        <v>275.4015</v>
      </c>
      <c r="C1939" s="309">
        <v>1.54645485337052</v>
      </c>
    </row>
    <row r="1940" spans="1:3" x14ac:dyDescent="0.35">
      <c r="A1940" s="302">
        <v>44226</v>
      </c>
      <c r="B1940" s="303">
        <v>275.36779999999999</v>
      </c>
      <c r="C1940" s="308">
        <v>1.54252802610177</v>
      </c>
    </row>
    <row r="1941" spans="1:3" x14ac:dyDescent="0.35">
      <c r="A1941" s="305">
        <v>44225</v>
      </c>
      <c r="B1941" s="306">
        <v>275.33409999999998</v>
      </c>
      <c r="C1941" s="309">
        <v>1.53860054137379</v>
      </c>
    </row>
    <row r="1942" spans="1:3" x14ac:dyDescent="0.35">
      <c r="A1942" s="302">
        <v>44224</v>
      </c>
      <c r="B1942" s="303">
        <v>275.30040000000002</v>
      </c>
      <c r="C1942" s="308">
        <v>1.5346723990214599</v>
      </c>
    </row>
    <row r="1943" spans="1:3" x14ac:dyDescent="0.35">
      <c r="A1943" s="305">
        <v>44223</v>
      </c>
      <c r="B1943" s="306">
        <v>275.26670000000001</v>
      </c>
      <c r="C1943" s="309">
        <v>1.5307435988796001</v>
      </c>
    </row>
    <row r="1944" spans="1:3" x14ac:dyDescent="0.35">
      <c r="A1944" s="302">
        <v>44222</v>
      </c>
      <c r="B1944" s="303">
        <v>275.23309999999998</v>
      </c>
      <c r="C1944" s="308">
        <v>1.52685102837061</v>
      </c>
    </row>
    <row r="1945" spans="1:3" x14ac:dyDescent="0.35">
      <c r="A1945" s="305">
        <v>44221</v>
      </c>
      <c r="B1945" s="306">
        <v>275.19940000000003</v>
      </c>
      <c r="C1945" s="309">
        <v>1.5229209152429299</v>
      </c>
    </row>
    <row r="1946" spans="1:3" x14ac:dyDescent="0.35">
      <c r="A1946" s="302">
        <v>44220</v>
      </c>
      <c r="B1946" s="303">
        <v>275.16570000000002</v>
      </c>
      <c r="C1946" s="308">
        <v>1.5189901438303499</v>
      </c>
    </row>
    <row r="1947" spans="1:3" x14ac:dyDescent="0.35">
      <c r="A1947" s="305">
        <v>44219</v>
      </c>
      <c r="B1947" s="306">
        <v>275.13209999999998</v>
      </c>
      <c r="C1947" s="309">
        <v>1.5150956108237701</v>
      </c>
    </row>
    <row r="1948" spans="1:3" x14ac:dyDescent="0.35">
      <c r="A1948" s="302">
        <v>44218</v>
      </c>
      <c r="B1948" s="303">
        <v>275.09840000000003</v>
      </c>
      <c r="C1948" s="308">
        <v>1.5111635254356901</v>
      </c>
    </row>
    <row r="1949" spans="1:3" x14ac:dyDescent="0.35">
      <c r="A1949" s="305">
        <v>44217</v>
      </c>
      <c r="B1949" s="306">
        <v>275.06470000000002</v>
      </c>
      <c r="C1949" s="309">
        <v>1.50723078126684</v>
      </c>
    </row>
    <row r="1950" spans="1:3" x14ac:dyDescent="0.35">
      <c r="A1950" s="302">
        <v>44216</v>
      </c>
      <c r="B1950" s="303">
        <v>275.03109999999998</v>
      </c>
      <c r="C1950" s="308">
        <v>1.50333428428127</v>
      </c>
    </row>
    <row r="1951" spans="1:3" x14ac:dyDescent="0.35">
      <c r="A1951" s="305">
        <v>44215</v>
      </c>
      <c r="B1951" s="306">
        <v>274.99740000000003</v>
      </c>
      <c r="C1951" s="309">
        <v>1.4994002251462499</v>
      </c>
    </row>
    <row r="1952" spans="1:3" x14ac:dyDescent="0.35">
      <c r="A1952" s="302">
        <v>44214</v>
      </c>
      <c r="B1952" s="303">
        <v>274.96379999999999</v>
      </c>
      <c r="C1952" s="308">
        <v>1.49550241904853</v>
      </c>
    </row>
    <row r="1953" spans="1:3" x14ac:dyDescent="0.35">
      <c r="A1953" s="305">
        <v>44213</v>
      </c>
      <c r="B1953" s="306">
        <v>274.93020000000001</v>
      </c>
      <c r="C1953" s="309">
        <v>1.4916039596942801</v>
      </c>
    </row>
    <row r="1954" spans="1:3" x14ac:dyDescent="0.35">
      <c r="A1954" s="302">
        <v>44212</v>
      </c>
      <c r="B1954" s="303">
        <v>274.8965</v>
      </c>
      <c r="C1954" s="308">
        <v>1.4876679284179799</v>
      </c>
    </row>
    <row r="1955" spans="1:3" x14ac:dyDescent="0.35">
      <c r="A1955" s="305">
        <v>44211</v>
      </c>
      <c r="B1955" s="306">
        <v>274.86290000000002</v>
      </c>
      <c r="C1955" s="309">
        <v>1.4837681589637099</v>
      </c>
    </row>
    <row r="1956" spans="1:3" x14ac:dyDescent="0.35">
      <c r="A1956" s="302">
        <v>44210</v>
      </c>
      <c r="B1956" s="303">
        <v>274.87619999999998</v>
      </c>
      <c r="C1956" s="308">
        <v>1.4919763073807899</v>
      </c>
    </row>
    <row r="1957" spans="1:3" x14ac:dyDescent="0.35">
      <c r="A1957" s="305">
        <v>44209</v>
      </c>
      <c r="B1957" s="306">
        <v>274.8895</v>
      </c>
      <c r="C1957" s="309">
        <v>1.5001475113052001</v>
      </c>
    </row>
    <row r="1958" spans="1:3" x14ac:dyDescent="0.35">
      <c r="A1958" s="302">
        <v>44208</v>
      </c>
      <c r="B1958" s="303">
        <v>274.90280000000001</v>
      </c>
      <c r="C1958" s="308">
        <v>1.5083192402277501</v>
      </c>
    </row>
    <row r="1959" spans="1:3" x14ac:dyDescent="0.35">
      <c r="A1959" s="305">
        <v>44207</v>
      </c>
      <c r="B1959" s="306">
        <v>274.91609999999997</v>
      </c>
      <c r="C1959" s="309">
        <v>1.51652898055162</v>
      </c>
    </row>
    <row r="1960" spans="1:3" x14ac:dyDescent="0.35">
      <c r="A1960" s="302">
        <v>44206</v>
      </c>
      <c r="B1960" s="303">
        <v>274.92939999999999</v>
      </c>
      <c r="C1960" s="308">
        <v>1.5247017638446001</v>
      </c>
    </row>
    <row r="1961" spans="1:3" x14ac:dyDescent="0.35">
      <c r="A1961" s="305">
        <v>44205</v>
      </c>
      <c r="B1961" s="306">
        <v>274.94279999999998</v>
      </c>
      <c r="C1961" s="309">
        <v>1.5329120010281001</v>
      </c>
    </row>
    <row r="1962" spans="1:3" x14ac:dyDescent="0.35">
      <c r="A1962" s="302">
        <v>44204</v>
      </c>
      <c r="B1962" s="303">
        <v>274.95609999999999</v>
      </c>
      <c r="C1962" s="308">
        <v>1.54108583585903</v>
      </c>
    </row>
    <row r="1963" spans="1:3" x14ac:dyDescent="0.35">
      <c r="A1963" s="305">
        <v>44203</v>
      </c>
      <c r="B1963" s="306">
        <v>274.96940000000001</v>
      </c>
      <c r="C1963" s="309">
        <v>1.5492976992277301</v>
      </c>
    </row>
    <row r="1964" spans="1:3" x14ac:dyDescent="0.35">
      <c r="A1964" s="302">
        <v>44202</v>
      </c>
      <c r="B1964" s="303">
        <v>274.98270000000002</v>
      </c>
      <c r="C1964" s="308">
        <v>1.55747258883699</v>
      </c>
    </row>
    <row r="1965" spans="1:3" x14ac:dyDescent="0.35">
      <c r="A1965" s="305">
        <v>44201</v>
      </c>
      <c r="B1965" s="306">
        <v>274.99599999999998</v>
      </c>
      <c r="C1965" s="309">
        <v>1.56564800379972</v>
      </c>
    </row>
    <row r="1966" spans="1:3" x14ac:dyDescent="0.35">
      <c r="A1966" s="302">
        <v>44200</v>
      </c>
      <c r="B1966" s="303">
        <v>275.0093</v>
      </c>
      <c r="C1966" s="308">
        <v>1.57386146015429</v>
      </c>
    </row>
    <row r="1967" spans="1:3" x14ac:dyDescent="0.35">
      <c r="A1967" s="305">
        <v>44199</v>
      </c>
      <c r="B1967" s="306">
        <v>275.02269999999999</v>
      </c>
      <c r="C1967" s="309">
        <v>1.5820748660889401</v>
      </c>
    </row>
    <row r="1968" spans="1:3" x14ac:dyDescent="0.35">
      <c r="A1968" s="302">
        <v>44198</v>
      </c>
      <c r="B1968" s="303">
        <v>275.036</v>
      </c>
      <c r="C1968" s="308">
        <v>1.5902518628290001</v>
      </c>
    </row>
    <row r="1969" spans="1:3" x14ac:dyDescent="0.35">
      <c r="A1969" s="305">
        <v>44197</v>
      </c>
      <c r="B1969" s="306">
        <v>275.04930000000002</v>
      </c>
      <c r="C1969" s="309">
        <v>1.5984669138329799</v>
      </c>
    </row>
    <row r="1970" spans="1:3" x14ac:dyDescent="0.35">
      <c r="A1970" s="302">
        <v>44196</v>
      </c>
      <c r="B1970" s="303">
        <v>275.06259999999997</v>
      </c>
      <c r="C1970" s="308">
        <v>1.6066449659639801</v>
      </c>
    </row>
    <row r="1971" spans="1:3" x14ac:dyDescent="0.35">
      <c r="A1971" s="305">
        <v>44195</v>
      </c>
      <c r="B1971" s="306">
        <v>275.07589999999999</v>
      </c>
      <c r="C1971" s="309">
        <v>1.61482354375343</v>
      </c>
    </row>
    <row r="1972" spans="1:3" x14ac:dyDescent="0.35">
      <c r="A1972" s="302">
        <v>44194</v>
      </c>
      <c r="B1972" s="303">
        <v>275.08920000000001</v>
      </c>
      <c r="C1972" s="308">
        <v>1.62300264725201</v>
      </c>
    </row>
    <row r="1973" spans="1:3" x14ac:dyDescent="0.35">
      <c r="A1973" s="305">
        <v>44193</v>
      </c>
      <c r="B1973" s="306">
        <v>275.1026</v>
      </c>
      <c r="C1973" s="309">
        <v>1.63125676519375</v>
      </c>
    </row>
    <row r="1974" spans="1:3" x14ac:dyDescent="0.35">
      <c r="A1974" s="302">
        <v>44192</v>
      </c>
      <c r="B1974" s="303">
        <v>275.11590000000001</v>
      </c>
      <c r="C1974" s="308">
        <v>1.6394369256789301</v>
      </c>
    </row>
    <row r="1975" spans="1:3" x14ac:dyDescent="0.35">
      <c r="A1975" s="305">
        <v>44191</v>
      </c>
      <c r="B1975" s="306">
        <v>275.12920000000003</v>
      </c>
      <c r="C1975" s="309">
        <v>1.6476176120258801</v>
      </c>
    </row>
    <row r="1976" spans="1:3" x14ac:dyDescent="0.35">
      <c r="A1976" s="302">
        <v>44190</v>
      </c>
      <c r="B1976" s="303">
        <v>275.14249999999998</v>
      </c>
      <c r="C1976" s="308">
        <v>1.6557988242852999</v>
      </c>
    </row>
    <row r="1977" spans="1:3" x14ac:dyDescent="0.35">
      <c r="A1977" s="305">
        <v>44189</v>
      </c>
      <c r="B1977" s="306">
        <v>275.15589999999997</v>
      </c>
      <c r="C1977" s="309">
        <v>1.6640550729146399</v>
      </c>
    </row>
    <row r="1978" spans="1:3" x14ac:dyDescent="0.35">
      <c r="A1978" s="302">
        <v>44188</v>
      </c>
      <c r="B1978" s="303">
        <v>275.16919999999999</v>
      </c>
      <c r="C1978" s="308">
        <v>1.6722373425696</v>
      </c>
    </row>
    <row r="1979" spans="1:3" x14ac:dyDescent="0.35">
      <c r="A1979" s="305">
        <v>44187</v>
      </c>
      <c r="B1979" s="306">
        <v>275.1825</v>
      </c>
      <c r="C1979" s="309">
        <v>1.6804201382897299</v>
      </c>
    </row>
    <row r="1980" spans="1:3" x14ac:dyDescent="0.35">
      <c r="A1980" s="302">
        <v>44186</v>
      </c>
      <c r="B1980" s="303">
        <v>275.19580000000002</v>
      </c>
      <c r="C1980" s="308">
        <v>1.6886410354663</v>
      </c>
    </row>
    <row r="1981" spans="1:3" x14ac:dyDescent="0.35">
      <c r="A1981" s="305">
        <v>44185</v>
      </c>
      <c r="B1981" s="306">
        <v>275.20920000000001</v>
      </c>
      <c r="C1981" s="309">
        <v>1.6968618402673601</v>
      </c>
    </row>
    <row r="1982" spans="1:3" x14ac:dyDescent="0.35">
      <c r="A1982" s="302">
        <v>44184</v>
      </c>
      <c r="B1982" s="303">
        <v>275.22250000000003</v>
      </c>
      <c r="C1982" s="308">
        <v>1.7050462199081</v>
      </c>
    </row>
    <row r="1983" spans="1:3" x14ac:dyDescent="0.35">
      <c r="A1983" s="305">
        <v>44183</v>
      </c>
      <c r="B1983" s="306">
        <v>275.23579999999998</v>
      </c>
      <c r="C1983" s="309">
        <v>1.7132311258175399</v>
      </c>
    </row>
    <row r="1984" spans="1:3" x14ac:dyDescent="0.35">
      <c r="A1984" s="302">
        <v>44182</v>
      </c>
      <c r="B1984" s="303">
        <v>275.2491</v>
      </c>
      <c r="C1984" s="308">
        <v>1.72145415035977</v>
      </c>
    </row>
    <row r="1985" spans="1:3" x14ac:dyDescent="0.35">
      <c r="A1985" s="305">
        <v>44181</v>
      </c>
      <c r="B1985" s="306">
        <v>275.26249999999999</v>
      </c>
      <c r="C1985" s="309">
        <v>1.7296770705253099</v>
      </c>
    </row>
    <row r="1986" spans="1:3" x14ac:dyDescent="0.35">
      <c r="A1986" s="302">
        <v>44180</v>
      </c>
      <c r="B1986" s="303">
        <v>275.2758</v>
      </c>
      <c r="C1986" s="308">
        <v>1.73786356096825</v>
      </c>
    </row>
    <row r="1987" spans="1:3" x14ac:dyDescent="0.35">
      <c r="A1987" s="305">
        <v>44179</v>
      </c>
      <c r="B1987" s="306">
        <v>275.28129999999999</v>
      </c>
      <c r="C1987" s="309">
        <v>1.74531119252275</v>
      </c>
    </row>
    <row r="1988" spans="1:3" x14ac:dyDescent="0.35">
      <c r="A1988" s="302">
        <v>44178</v>
      </c>
      <c r="B1988" s="303">
        <v>275.28680000000003</v>
      </c>
      <c r="C1988" s="308">
        <v>1.75275961689155</v>
      </c>
    </row>
    <row r="1989" spans="1:3" x14ac:dyDescent="0.35">
      <c r="A1989" s="305">
        <v>44177</v>
      </c>
      <c r="B1989" s="306">
        <v>275.29239999999999</v>
      </c>
      <c r="C1989" s="309">
        <v>1.7602457986237401</v>
      </c>
    </row>
    <row r="1990" spans="1:3" x14ac:dyDescent="0.35">
      <c r="A1990" s="302">
        <v>44176</v>
      </c>
      <c r="B1990" s="303">
        <v>275.29790000000003</v>
      </c>
      <c r="C1990" s="308">
        <v>1.76769581096867</v>
      </c>
    </row>
    <row r="1991" spans="1:3" x14ac:dyDescent="0.35">
      <c r="A1991" s="305">
        <v>44175</v>
      </c>
      <c r="B1991" s="306">
        <v>275.30340000000001</v>
      </c>
      <c r="C1991" s="309">
        <v>1.7751842411225101</v>
      </c>
    </row>
    <row r="1992" spans="1:3" x14ac:dyDescent="0.35">
      <c r="A1992" s="302">
        <v>44174</v>
      </c>
      <c r="B1992" s="303">
        <v>275.30889999999999</v>
      </c>
      <c r="C1992" s="308">
        <v>1.7826358447408399</v>
      </c>
    </row>
    <row r="1993" spans="1:3" x14ac:dyDescent="0.35">
      <c r="A1993" s="305">
        <v>44173</v>
      </c>
      <c r="B1993" s="306">
        <v>275.31439999999998</v>
      </c>
      <c r="C1993" s="309">
        <v>1.7900882418077699</v>
      </c>
    </row>
    <row r="1994" spans="1:3" x14ac:dyDescent="0.35">
      <c r="A1994" s="302">
        <v>44172</v>
      </c>
      <c r="B1994" s="303">
        <v>275.31990000000002</v>
      </c>
      <c r="C1994" s="308">
        <v>1.7975414324500301</v>
      </c>
    </row>
    <row r="1995" spans="1:3" x14ac:dyDescent="0.35">
      <c r="A1995" s="305">
        <v>44171</v>
      </c>
      <c r="B1995" s="306">
        <v>275.3254</v>
      </c>
      <c r="C1995" s="309">
        <v>1.80499541679439</v>
      </c>
    </row>
    <row r="1996" spans="1:3" x14ac:dyDescent="0.35">
      <c r="A1996" s="302">
        <v>44170</v>
      </c>
      <c r="B1996" s="303">
        <v>275.33089999999999</v>
      </c>
      <c r="C1996" s="308">
        <v>1.8124501949676299</v>
      </c>
    </row>
    <row r="1997" spans="1:3" x14ac:dyDescent="0.35">
      <c r="A1997" s="305">
        <v>44169</v>
      </c>
      <c r="B1997" s="306">
        <v>275.33640000000003</v>
      </c>
      <c r="C1997" s="309">
        <v>1.8199057670965899</v>
      </c>
    </row>
    <row r="1998" spans="1:3" x14ac:dyDescent="0.35">
      <c r="A1998" s="302">
        <v>44168</v>
      </c>
      <c r="B1998" s="303">
        <v>275.34190000000001</v>
      </c>
      <c r="C1998" s="308">
        <v>1.8273621333080901</v>
      </c>
    </row>
    <row r="1999" spans="1:3" x14ac:dyDescent="0.35">
      <c r="A1999" s="305">
        <v>44167</v>
      </c>
      <c r="B1999" s="306">
        <v>275.34739999999999</v>
      </c>
      <c r="C1999" s="309">
        <v>1.8348569564571</v>
      </c>
    </row>
    <row r="2000" spans="1:3" x14ac:dyDescent="0.35">
      <c r="A2000" s="302">
        <v>44166</v>
      </c>
      <c r="B2000" s="303">
        <v>275.35289999999998</v>
      </c>
      <c r="C2000" s="308">
        <v>1.84231491597866</v>
      </c>
    </row>
    <row r="2001" spans="1:3" x14ac:dyDescent="0.35">
      <c r="A2001" s="305">
        <v>44165</v>
      </c>
      <c r="B2001" s="306">
        <v>275.35849999999999</v>
      </c>
      <c r="C2001" s="309">
        <v>1.84981065804006</v>
      </c>
    </row>
    <row r="2002" spans="1:3" x14ac:dyDescent="0.35">
      <c r="A2002" s="302">
        <v>44164</v>
      </c>
      <c r="B2002" s="303">
        <v>275.36399999999998</v>
      </c>
      <c r="C2002" s="308">
        <v>1.85727020858687</v>
      </c>
    </row>
    <row r="2003" spans="1:3" x14ac:dyDescent="0.35">
      <c r="A2003" s="305">
        <v>44163</v>
      </c>
      <c r="B2003" s="306">
        <v>275.36950000000002</v>
      </c>
      <c r="C2003" s="309">
        <v>1.8647305538518699</v>
      </c>
    </row>
    <row r="2004" spans="1:3" x14ac:dyDescent="0.35">
      <c r="A2004" s="302">
        <v>44162</v>
      </c>
      <c r="B2004" s="303">
        <v>275.375</v>
      </c>
      <c r="C2004" s="308">
        <v>1.87219169396206</v>
      </c>
    </row>
    <row r="2005" spans="1:3" x14ac:dyDescent="0.35">
      <c r="A2005" s="305">
        <v>44161</v>
      </c>
      <c r="B2005" s="306">
        <v>275.38049999999998</v>
      </c>
      <c r="C2005" s="309">
        <v>1.8796536290444901</v>
      </c>
    </row>
    <row r="2006" spans="1:3" x14ac:dyDescent="0.35">
      <c r="A2006" s="302">
        <v>44160</v>
      </c>
      <c r="B2006" s="303">
        <v>275.38600000000002</v>
      </c>
      <c r="C2006" s="308">
        <v>1.8871163592262099</v>
      </c>
    </row>
    <row r="2007" spans="1:3" x14ac:dyDescent="0.35">
      <c r="A2007" s="305">
        <v>44159</v>
      </c>
      <c r="B2007" s="306">
        <v>275.39150000000001</v>
      </c>
      <c r="C2007" s="309">
        <v>1.89457988463431</v>
      </c>
    </row>
    <row r="2008" spans="1:3" x14ac:dyDescent="0.35">
      <c r="A2008" s="302">
        <v>44158</v>
      </c>
      <c r="B2008" s="303">
        <v>275.39699999999999</v>
      </c>
      <c r="C2008" s="308">
        <v>1.9020442053959099</v>
      </c>
    </row>
    <row r="2009" spans="1:3" x14ac:dyDescent="0.35">
      <c r="A2009" s="305">
        <v>44157</v>
      </c>
      <c r="B2009" s="306">
        <v>275.40249999999997</v>
      </c>
      <c r="C2009" s="309">
        <v>1.90950932163815</v>
      </c>
    </row>
    <row r="2010" spans="1:3" x14ac:dyDescent="0.35">
      <c r="A2010" s="302">
        <v>44156</v>
      </c>
      <c r="B2010" s="303">
        <v>275.40800000000002</v>
      </c>
      <c r="C2010" s="308">
        <v>1.91697523348819</v>
      </c>
    </row>
    <row r="2011" spans="1:3" x14ac:dyDescent="0.35">
      <c r="A2011" s="305">
        <v>44155</v>
      </c>
      <c r="B2011" s="306">
        <v>275.4135</v>
      </c>
      <c r="C2011" s="309">
        <v>1.9244419410732401</v>
      </c>
    </row>
    <row r="2012" spans="1:3" x14ac:dyDescent="0.35">
      <c r="A2012" s="302">
        <v>44154</v>
      </c>
      <c r="B2012" s="303">
        <v>275.41910000000001</v>
      </c>
      <c r="C2012" s="308">
        <v>1.93194645427999</v>
      </c>
    </row>
    <row r="2013" spans="1:3" x14ac:dyDescent="0.35">
      <c r="A2013" s="305">
        <v>44153</v>
      </c>
      <c r="B2013" s="306">
        <v>275.4246</v>
      </c>
      <c r="C2013" s="309">
        <v>1.93941475568926</v>
      </c>
    </row>
    <row r="2014" spans="1:3" x14ac:dyDescent="0.35">
      <c r="A2014" s="302">
        <v>44152</v>
      </c>
      <c r="B2014" s="303">
        <v>275.43009999999998</v>
      </c>
      <c r="C2014" s="308">
        <v>1.94688385321549</v>
      </c>
    </row>
    <row r="2015" spans="1:3" x14ac:dyDescent="0.35">
      <c r="A2015" s="305">
        <v>44151</v>
      </c>
      <c r="B2015" s="306">
        <v>275.43560000000002</v>
      </c>
      <c r="C2015" s="309">
        <v>1.954353746986</v>
      </c>
    </row>
    <row r="2016" spans="1:3" x14ac:dyDescent="0.35">
      <c r="A2016" s="302">
        <v>44150</v>
      </c>
      <c r="B2016" s="303">
        <v>275.44110000000001</v>
      </c>
      <c r="C2016" s="308">
        <v>1.9618244371281099</v>
      </c>
    </row>
    <row r="2017" spans="1:3" x14ac:dyDescent="0.35">
      <c r="A2017" s="305">
        <v>44149</v>
      </c>
      <c r="B2017" s="306">
        <v>275.41269999999997</v>
      </c>
      <c r="C2017" s="309">
        <v>1.95885997925377</v>
      </c>
    </row>
    <row r="2018" spans="1:3" x14ac:dyDescent="0.35">
      <c r="A2018" s="302">
        <v>44148</v>
      </c>
      <c r="B2018" s="303">
        <v>275.3843</v>
      </c>
      <c r="C2018" s="308">
        <v>1.95589508236536</v>
      </c>
    </row>
    <row r="2019" spans="1:3" x14ac:dyDescent="0.35">
      <c r="A2019" s="305">
        <v>44147</v>
      </c>
      <c r="B2019" s="306">
        <v>275.35599999999999</v>
      </c>
      <c r="C2019" s="309">
        <v>1.9530045212311999</v>
      </c>
    </row>
    <row r="2020" spans="1:3" x14ac:dyDescent="0.35">
      <c r="A2020" s="302">
        <v>44146</v>
      </c>
      <c r="B2020" s="303">
        <v>275.32760000000002</v>
      </c>
      <c r="C2020" s="308">
        <v>1.95003875046147</v>
      </c>
    </row>
    <row r="2021" spans="1:3" x14ac:dyDescent="0.35">
      <c r="A2021" s="305">
        <v>44145</v>
      </c>
      <c r="B2021" s="306">
        <v>275.29919999999998</v>
      </c>
      <c r="C2021" s="309">
        <v>1.94707254038549</v>
      </c>
    </row>
    <row r="2022" spans="1:3" x14ac:dyDescent="0.35">
      <c r="A2022" s="302">
        <v>44144</v>
      </c>
      <c r="B2022" s="303">
        <v>275.27080000000001</v>
      </c>
      <c r="C2022" s="308">
        <v>1.9441058909056399</v>
      </c>
    </row>
    <row r="2023" spans="1:3" x14ac:dyDescent="0.35">
      <c r="A2023" s="305">
        <v>44143</v>
      </c>
      <c r="B2023" s="306">
        <v>275.24250000000001</v>
      </c>
      <c r="C2023" s="309">
        <v>1.941175838783</v>
      </c>
    </row>
    <row r="2024" spans="1:3" x14ac:dyDescent="0.35">
      <c r="A2024" s="302">
        <v>44142</v>
      </c>
      <c r="B2024" s="303">
        <v>275.21409999999997</v>
      </c>
      <c r="C2024" s="308">
        <v>1.9382083129461201</v>
      </c>
    </row>
    <row r="2025" spans="1:3" x14ac:dyDescent="0.35">
      <c r="A2025" s="305">
        <v>44141</v>
      </c>
      <c r="B2025" s="306">
        <v>275.1857</v>
      </c>
      <c r="C2025" s="309">
        <v>1.93524034741276</v>
      </c>
    </row>
    <row r="2026" spans="1:3" x14ac:dyDescent="0.35">
      <c r="A2026" s="302">
        <v>44140</v>
      </c>
      <c r="B2026" s="303">
        <v>275.1574</v>
      </c>
      <c r="C2026" s="308">
        <v>1.9323089871760999</v>
      </c>
    </row>
    <row r="2027" spans="1:3" x14ac:dyDescent="0.35">
      <c r="A2027" s="305">
        <v>44139</v>
      </c>
      <c r="B2027" s="306">
        <v>275.12900000000002</v>
      </c>
      <c r="C2027" s="309">
        <v>1.92934014470144</v>
      </c>
    </row>
    <row r="2028" spans="1:3" x14ac:dyDescent="0.35">
      <c r="A2028" s="302">
        <v>44138</v>
      </c>
      <c r="B2028" s="303">
        <v>275.10070000000002</v>
      </c>
      <c r="C2028" s="308">
        <v>1.9264079128185001</v>
      </c>
    </row>
    <row r="2029" spans="1:3" x14ac:dyDescent="0.35">
      <c r="A2029" s="305">
        <v>44137</v>
      </c>
      <c r="B2029" s="306">
        <v>275.07229999999998</v>
      </c>
      <c r="C2029" s="309">
        <v>1.923438193013</v>
      </c>
    </row>
    <row r="2030" spans="1:3" x14ac:dyDescent="0.35">
      <c r="A2030" s="302">
        <v>44136</v>
      </c>
      <c r="B2030" s="303">
        <v>275.04399999999998</v>
      </c>
      <c r="C2030" s="308">
        <v>1.92050508909577</v>
      </c>
    </row>
    <row r="2031" spans="1:3" x14ac:dyDescent="0.35">
      <c r="A2031" s="305">
        <v>44135</v>
      </c>
      <c r="B2031" s="306">
        <v>275.01560000000001</v>
      </c>
      <c r="C2031" s="309">
        <v>1.9175344915696699</v>
      </c>
    </row>
    <row r="2032" spans="1:3" x14ac:dyDescent="0.35">
      <c r="A2032" s="302">
        <v>44134</v>
      </c>
      <c r="B2032" s="303">
        <v>274.9873</v>
      </c>
      <c r="C2032" s="308">
        <v>1.9146005152298899</v>
      </c>
    </row>
    <row r="2033" spans="1:3" x14ac:dyDescent="0.35">
      <c r="A2033" s="305">
        <v>44133</v>
      </c>
      <c r="B2033" s="306">
        <v>274.95890000000003</v>
      </c>
      <c r="C2033" s="309">
        <v>1.9116290395932101</v>
      </c>
    </row>
    <row r="2034" spans="1:3" x14ac:dyDescent="0.35">
      <c r="A2034" s="302">
        <v>44132</v>
      </c>
      <c r="B2034" s="303">
        <v>274.93060000000003</v>
      </c>
      <c r="C2034" s="308">
        <v>1.90869419044241</v>
      </c>
    </row>
    <row r="2035" spans="1:3" x14ac:dyDescent="0.35">
      <c r="A2035" s="305">
        <v>44131</v>
      </c>
      <c r="B2035" s="306">
        <v>274.90230000000003</v>
      </c>
      <c r="C2035" s="309">
        <v>1.90575890611441</v>
      </c>
    </row>
    <row r="2036" spans="1:3" x14ac:dyDescent="0.35">
      <c r="A2036" s="302">
        <v>44130</v>
      </c>
      <c r="B2036" s="303">
        <v>274.87389999999999</v>
      </c>
      <c r="C2036" s="308">
        <v>1.90278611395437</v>
      </c>
    </row>
    <row r="2037" spans="1:3" x14ac:dyDescent="0.35">
      <c r="A2037" s="305">
        <v>44129</v>
      </c>
      <c r="B2037" s="306">
        <v>274.84559999999999</v>
      </c>
      <c r="C2037" s="309">
        <v>1.8998499562325999</v>
      </c>
    </row>
    <row r="2038" spans="1:3" x14ac:dyDescent="0.35">
      <c r="A2038" s="302">
        <v>44128</v>
      </c>
      <c r="B2038" s="303">
        <v>274.81729999999999</v>
      </c>
      <c r="C2038" s="308">
        <v>1.8969133630427399</v>
      </c>
    </row>
    <row r="2039" spans="1:3" x14ac:dyDescent="0.35">
      <c r="A2039" s="305">
        <v>44127</v>
      </c>
      <c r="B2039" s="306">
        <v>274.78899999999999</v>
      </c>
      <c r="C2039" s="309">
        <v>1.8939763342879199</v>
      </c>
    </row>
    <row r="2040" spans="1:3" x14ac:dyDescent="0.35">
      <c r="A2040" s="302">
        <v>44126</v>
      </c>
      <c r="B2040" s="303">
        <v>274.76060000000001</v>
      </c>
      <c r="C2040" s="308">
        <v>1.89096400152191</v>
      </c>
    </row>
    <row r="2041" spans="1:3" x14ac:dyDescent="0.35">
      <c r="A2041" s="305">
        <v>44125</v>
      </c>
      <c r="B2041" s="306">
        <v>274.73230000000001</v>
      </c>
      <c r="C2041" s="309">
        <v>1.88802609688275</v>
      </c>
    </row>
    <row r="2042" spans="1:3" x14ac:dyDescent="0.35">
      <c r="A2042" s="302">
        <v>44124</v>
      </c>
      <c r="B2042" s="303">
        <v>274.70400000000001</v>
      </c>
      <c r="C2042" s="308">
        <v>1.8850877563872901</v>
      </c>
    </row>
    <row r="2043" spans="1:3" x14ac:dyDescent="0.35">
      <c r="A2043" s="305">
        <v>44123</v>
      </c>
      <c r="B2043" s="306">
        <v>274.67570000000001</v>
      </c>
      <c r="C2043" s="309">
        <v>1.88214897993853</v>
      </c>
    </row>
    <row r="2044" spans="1:3" x14ac:dyDescent="0.35">
      <c r="A2044" s="302">
        <v>44122</v>
      </c>
      <c r="B2044" s="303">
        <v>274.6474</v>
      </c>
      <c r="C2044" s="308">
        <v>1.8792097674394499</v>
      </c>
    </row>
    <row r="2045" spans="1:3" x14ac:dyDescent="0.35">
      <c r="A2045" s="305">
        <v>44121</v>
      </c>
      <c r="B2045" s="306">
        <v>274.6191</v>
      </c>
      <c r="C2045" s="309">
        <v>1.87623232546191</v>
      </c>
    </row>
    <row r="2046" spans="1:3" x14ac:dyDescent="0.35">
      <c r="A2046" s="302">
        <v>44120</v>
      </c>
      <c r="B2046" s="303">
        <v>274.5908</v>
      </c>
      <c r="C2046" s="308">
        <v>1.87329223885747</v>
      </c>
    </row>
    <row r="2047" spans="1:3" x14ac:dyDescent="0.35">
      <c r="A2047" s="305">
        <v>44119</v>
      </c>
      <c r="B2047" s="306">
        <v>274.5625</v>
      </c>
      <c r="C2047" s="309">
        <v>1.8703517159113501</v>
      </c>
    </row>
    <row r="2048" spans="1:3" x14ac:dyDescent="0.35">
      <c r="A2048" s="302">
        <v>44118</v>
      </c>
      <c r="B2048" s="303">
        <v>274.56349999999998</v>
      </c>
      <c r="C2048" s="308">
        <v>1.87378438326258</v>
      </c>
    </row>
    <row r="2049" spans="1:3" x14ac:dyDescent="0.35">
      <c r="A2049" s="305">
        <v>44117</v>
      </c>
      <c r="B2049" s="306">
        <v>274.56439999999998</v>
      </c>
      <c r="C2049" s="309">
        <v>1.87718015193022</v>
      </c>
    </row>
    <row r="2050" spans="1:3" x14ac:dyDescent="0.35">
      <c r="A2050" s="302">
        <v>44116</v>
      </c>
      <c r="B2050" s="303">
        <v>274.56529999999998</v>
      </c>
      <c r="C2050" s="308">
        <v>1.8805761247241199</v>
      </c>
    </row>
    <row r="2051" spans="1:3" x14ac:dyDescent="0.35">
      <c r="A2051" s="305">
        <v>44115</v>
      </c>
      <c r="B2051" s="306">
        <v>274.56619999999998</v>
      </c>
      <c r="C2051" s="309">
        <v>1.8839723016626599</v>
      </c>
    </row>
    <row r="2052" spans="1:3" x14ac:dyDescent="0.35">
      <c r="A2052" s="302">
        <v>44114</v>
      </c>
      <c r="B2052" s="303">
        <v>274.56709999999998</v>
      </c>
      <c r="C2052" s="308">
        <v>1.8873686827642799</v>
      </c>
    </row>
    <row r="2053" spans="1:3" x14ac:dyDescent="0.35">
      <c r="A2053" s="305">
        <v>44113</v>
      </c>
      <c r="B2053" s="306">
        <v>274.56799999999998</v>
      </c>
      <c r="C2053" s="309">
        <v>1.89072745692518</v>
      </c>
    </row>
    <row r="2054" spans="1:3" x14ac:dyDescent="0.35">
      <c r="A2054" s="302">
        <v>44112</v>
      </c>
      <c r="B2054" s="303">
        <v>274.56889999999999</v>
      </c>
      <c r="C2054" s="308">
        <v>1.894124244011</v>
      </c>
    </row>
    <row r="2055" spans="1:3" x14ac:dyDescent="0.35">
      <c r="A2055" s="305">
        <v>44111</v>
      </c>
      <c r="B2055" s="306">
        <v>274.56990000000002</v>
      </c>
      <c r="C2055" s="309">
        <v>1.89755834701518</v>
      </c>
    </row>
    <row r="2056" spans="1:3" x14ac:dyDescent="0.35">
      <c r="A2056" s="302">
        <v>44110</v>
      </c>
      <c r="B2056" s="303">
        <v>274.57080000000002</v>
      </c>
      <c r="C2056" s="308">
        <v>1.90095554367121</v>
      </c>
    </row>
    <row r="2057" spans="1:3" x14ac:dyDescent="0.35">
      <c r="A2057" s="305">
        <v>44109</v>
      </c>
      <c r="B2057" s="306">
        <v>274.57170000000002</v>
      </c>
      <c r="C2057" s="309">
        <v>1.90435294458222</v>
      </c>
    </row>
    <row r="2058" spans="1:3" x14ac:dyDescent="0.35">
      <c r="A2058" s="302">
        <v>44108</v>
      </c>
      <c r="B2058" s="303">
        <v>274.57260000000002</v>
      </c>
      <c r="C2058" s="308">
        <v>1.9077127266707901</v>
      </c>
    </row>
    <row r="2059" spans="1:3" x14ac:dyDescent="0.35">
      <c r="A2059" s="305">
        <v>44107</v>
      </c>
      <c r="B2059" s="306">
        <v>274.57350000000002</v>
      </c>
      <c r="C2059" s="309">
        <v>1.9111105337487899</v>
      </c>
    </row>
    <row r="2060" spans="1:3" x14ac:dyDescent="0.35">
      <c r="A2060" s="302">
        <v>44106</v>
      </c>
      <c r="B2060" s="303">
        <v>274.57440000000003</v>
      </c>
      <c r="C2060" s="308">
        <v>1.91450854513682</v>
      </c>
    </row>
    <row r="2061" spans="1:3" x14ac:dyDescent="0.35">
      <c r="A2061" s="305">
        <v>44105</v>
      </c>
      <c r="B2061" s="306">
        <v>274.5754</v>
      </c>
      <c r="C2061" s="309">
        <v>1.9179438792346</v>
      </c>
    </row>
    <row r="2062" spans="1:3" x14ac:dyDescent="0.35">
      <c r="A2062" s="302">
        <v>44104</v>
      </c>
      <c r="B2062" s="303">
        <v>274.5763</v>
      </c>
      <c r="C2062" s="308">
        <v>1.92134230041403</v>
      </c>
    </row>
    <row r="2063" spans="1:3" x14ac:dyDescent="0.35">
      <c r="A2063" s="305">
        <v>44103</v>
      </c>
      <c r="B2063" s="306">
        <v>274.5772</v>
      </c>
      <c r="C2063" s="309">
        <v>1.9247030908838501</v>
      </c>
    </row>
    <row r="2064" spans="1:3" x14ac:dyDescent="0.35">
      <c r="A2064" s="302">
        <v>44102</v>
      </c>
      <c r="B2064" s="303">
        <v>274.57810000000001</v>
      </c>
      <c r="C2064" s="308">
        <v>1.92810191841315</v>
      </c>
    </row>
    <row r="2065" spans="1:3" x14ac:dyDescent="0.35">
      <c r="A2065" s="305">
        <v>44101</v>
      </c>
      <c r="B2065" s="306">
        <v>274.57900000000001</v>
      </c>
      <c r="C2065" s="309">
        <v>1.9315009503445</v>
      </c>
    </row>
    <row r="2066" spans="1:3" x14ac:dyDescent="0.35">
      <c r="A2066" s="302">
        <v>44100</v>
      </c>
      <c r="B2066" s="303">
        <v>274.57990000000001</v>
      </c>
      <c r="C2066" s="308">
        <v>1.93490018669634</v>
      </c>
    </row>
    <row r="2067" spans="1:3" x14ac:dyDescent="0.35">
      <c r="A2067" s="305">
        <v>44099</v>
      </c>
      <c r="B2067" s="306">
        <v>274.58080000000001</v>
      </c>
      <c r="C2067" s="309">
        <v>1.9382617828414701</v>
      </c>
    </row>
    <row r="2068" spans="1:3" x14ac:dyDescent="0.35">
      <c r="A2068" s="302">
        <v>44098</v>
      </c>
      <c r="B2068" s="303">
        <v>274.58179999999999</v>
      </c>
      <c r="C2068" s="308">
        <v>1.94169855185672</v>
      </c>
    </row>
    <row r="2069" spans="1:3" x14ac:dyDescent="0.35">
      <c r="A2069" s="305">
        <v>44097</v>
      </c>
      <c r="B2069" s="306">
        <v>274.58269999999999</v>
      </c>
      <c r="C2069" s="309">
        <v>1.94509840029672</v>
      </c>
    </row>
    <row r="2070" spans="1:3" x14ac:dyDescent="0.35">
      <c r="A2070" s="302">
        <v>44096</v>
      </c>
      <c r="B2070" s="303">
        <v>274.58359999999999</v>
      </c>
      <c r="C2070" s="308">
        <v>1.94849845323084</v>
      </c>
    </row>
    <row r="2071" spans="1:3" x14ac:dyDescent="0.35">
      <c r="A2071" s="305">
        <v>44095</v>
      </c>
      <c r="B2071" s="306">
        <v>274.58449999999999</v>
      </c>
      <c r="C2071" s="309">
        <v>1.9518608564439699</v>
      </c>
    </row>
    <row r="2072" spans="1:3" x14ac:dyDescent="0.35">
      <c r="A2072" s="302">
        <v>44094</v>
      </c>
      <c r="B2072" s="303">
        <v>274.58539999999999</v>
      </c>
      <c r="C2072" s="308">
        <v>1.9552613160205601</v>
      </c>
    </row>
    <row r="2073" spans="1:3" x14ac:dyDescent="0.35">
      <c r="A2073" s="305">
        <v>44093</v>
      </c>
      <c r="B2073" s="306">
        <v>274.58629999999999</v>
      </c>
      <c r="C2073" s="309">
        <v>1.9586619801464</v>
      </c>
    </row>
    <row r="2074" spans="1:3" x14ac:dyDescent="0.35">
      <c r="A2074" s="302">
        <v>44092</v>
      </c>
      <c r="B2074" s="303">
        <v>274.58730000000003</v>
      </c>
      <c r="C2074" s="308">
        <v>1.9620999816935001</v>
      </c>
    </row>
    <row r="2075" spans="1:3" x14ac:dyDescent="0.35">
      <c r="A2075" s="305">
        <v>44091</v>
      </c>
      <c r="B2075" s="306">
        <v>274.58819999999997</v>
      </c>
      <c r="C2075" s="309">
        <v>1.96550105609012</v>
      </c>
    </row>
    <row r="2076" spans="1:3" x14ac:dyDescent="0.35">
      <c r="A2076" s="302">
        <v>44090</v>
      </c>
      <c r="B2076" s="303">
        <v>274.58909999999997</v>
      </c>
      <c r="C2076" s="308">
        <v>1.9688644688644701</v>
      </c>
    </row>
    <row r="2077" spans="1:3" x14ac:dyDescent="0.35">
      <c r="A2077" s="305">
        <v>44089</v>
      </c>
      <c r="B2077" s="306">
        <v>274.58999999999997</v>
      </c>
      <c r="C2077" s="309">
        <v>1.9722659500867299</v>
      </c>
    </row>
    <row r="2078" spans="1:3" x14ac:dyDescent="0.35">
      <c r="A2078" s="302">
        <v>44088</v>
      </c>
      <c r="B2078" s="303">
        <v>274.58999999999997</v>
      </c>
      <c r="C2078" s="308">
        <v>1.97949936863998</v>
      </c>
    </row>
    <row r="2079" spans="1:3" x14ac:dyDescent="0.35">
      <c r="A2079" s="305">
        <v>44087</v>
      </c>
      <c r="B2079" s="306">
        <v>274.58999999999997</v>
      </c>
      <c r="C2079" s="309">
        <v>1.9867338134733601</v>
      </c>
    </row>
    <row r="2080" spans="1:3" x14ac:dyDescent="0.35">
      <c r="A2080" s="302">
        <v>44086</v>
      </c>
      <c r="B2080" s="303">
        <v>274.58999999999997</v>
      </c>
      <c r="C2080" s="308">
        <v>1.99393140008298</v>
      </c>
    </row>
    <row r="2081" spans="1:3" x14ac:dyDescent="0.35">
      <c r="A2081" s="305">
        <v>44085</v>
      </c>
      <c r="B2081" s="306">
        <v>274.58999999999997</v>
      </c>
      <c r="C2081" s="309">
        <v>2.00116789275594</v>
      </c>
    </row>
    <row r="2082" spans="1:3" x14ac:dyDescent="0.35">
      <c r="A2082" s="302">
        <v>44084</v>
      </c>
      <c r="B2082" s="303">
        <v>274.58999999999997</v>
      </c>
      <c r="C2082" s="308">
        <v>2.0084054123633801</v>
      </c>
    </row>
    <row r="2083" spans="1:3" x14ac:dyDescent="0.35">
      <c r="A2083" s="305">
        <v>44083</v>
      </c>
      <c r="B2083" s="306">
        <v>274.58999999999997</v>
      </c>
      <c r="C2083" s="309">
        <v>2.0156439591239002</v>
      </c>
    </row>
    <row r="2084" spans="1:3" x14ac:dyDescent="0.35">
      <c r="A2084" s="302">
        <v>44082</v>
      </c>
      <c r="B2084" s="303">
        <v>274.58999999999997</v>
      </c>
      <c r="C2084" s="308">
        <v>2.0228835332561799</v>
      </c>
    </row>
    <row r="2085" spans="1:3" x14ac:dyDescent="0.35">
      <c r="A2085" s="305">
        <v>44081</v>
      </c>
      <c r="B2085" s="306">
        <v>274.58999999999997</v>
      </c>
      <c r="C2085" s="309">
        <v>2.0301241349789501</v>
      </c>
    </row>
    <row r="2086" spans="1:3" x14ac:dyDescent="0.35">
      <c r="A2086" s="302">
        <v>44080</v>
      </c>
      <c r="B2086" s="303">
        <v>274.58999999999997</v>
      </c>
      <c r="C2086" s="308">
        <v>2.0373278475433998</v>
      </c>
    </row>
    <row r="2087" spans="1:3" x14ac:dyDescent="0.35">
      <c r="A2087" s="305">
        <v>44079</v>
      </c>
      <c r="B2087" s="306">
        <v>274.58999999999997</v>
      </c>
      <c r="C2087" s="309">
        <v>2.0445704997207201</v>
      </c>
    </row>
    <row r="2088" spans="1:3" x14ac:dyDescent="0.35">
      <c r="A2088" s="302">
        <v>44078</v>
      </c>
      <c r="B2088" s="303">
        <v>274.58999999999997</v>
      </c>
      <c r="C2088" s="308">
        <v>2.0518141801439902</v>
      </c>
    </row>
    <row r="2089" spans="1:3" x14ac:dyDescent="0.35">
      <c r="A2089" s="305">
        <v>44077</v>
      </c>
      <c r="B2089" s="306">
        <v>274.58999999999997</v>
      </c>
      <c r="C2089" s="309">
        <v>2.0590588890321899</v>
      </c>
    </row>
    <row r="2090" spans="1:3" x14ac:dyDescent="0.35">
      <c r="A2090" s="302">
        <v>44076</v>
      </c>
      <c r="B2090" s="303">
        <v>274.58999999999997</v>
      </c>
      <c r="C2090" s="308">
        <v>2.0662666881263898</v>
      </c>
    </row>
    <row r="2091" spans="1:3" x14ac:dyDescent="0.35">
      <c r="A2091" s="305">
        <v>44075</v>
      </c>
      <c r="B2091" s="306">
        <v>274.58999999999997</v>
      </c>
      <c r="C2091" s="309">
        <v>2.0735134492141598</v>
      </c>
    </row>
    <row r="2092" spans="1:3" x14ac:dyDescent="0.35">
      <c r="A2092" s="302">
        <v>44074</v>
      </c>
      <c r="B2092" s="303">
        <v>274.58999999999997</v>
      </c>
      <c r="C2092" s="308">
        <v>2.0807612394230501</v>
      </c>
    </row>
    <row r="2093" spans="1:3" x14ac:dyDescent="0.35">
      <c r="A2093" s="305">
        <v>44073</v>
      </c>
      <c r="B2093" s="306">
        <v>274.58999999999997</v>
      </c>
      <c r="C2093" s="309">
        <v>2.0879721043565902</v>
      </c>
    </row>
    <row r="2094" spans="1:3" x14ac:dyDescent="0.35">
      <c r="A2094" s="302">
        <v>44072</v>
      </c>
      <c r="B2094" s="303">
        <v>274.58999999999997</v>
      </c>
      <c r="C2094" s="308">
        <v>2.09522194807455</v>
      </c>
    </row>
    <row r="2095" spans="1:3" x14ac:dyDescent="0.35">
      <c r="A2095" s="305">
        <v>44071</v>
      </c>
      <c r="B2095" s="306">
        <v>274.58999999999997</v>
      </c>
      <c r="C2095" s="309">
        <v>2.1024728215703599</v>
      </c>
    </row>
    <row r="2096" spans="1:3" x14ac:dyDescent="0.35">
      <c r="A2096" s="302">
        <v>44070</v>
      </c>
      <c r="B2096" s="303">
        <v>274.58999999999997</v>
      </c>
      <c r="C2096" s="308">
        <v>2.1096867542997502</v>
      </c>
    </row>
    <row r="2097" spans="1:3" x14ac:dyDescent="0.35">
      <c r="A2097" s="305">
        <v>44069</v>
      </c>
      <c r="B2097" s="306">
        <v>274.58999999999997</v>
      </c>
      <c r="C2097" s="309">
        <v>2.1169396826152398</v>
      </c>
    </row>
    <row r="2098" spans="1:3" x14ac:dyDescent="0.35">
      <c r="A2098" s="302">
        <v>44068</v>
      </c>
      <c r="B2098" s="303">
        <v>274.58999999999997</v>
      </c>
      <c r="C2098" s="308">
        <v>2.1241936413658999</v>
      </c>
    </row>
    <row r="2099" spans="1:3" x14ac:dyDescent="0.35">
      <c r="A2099" s="305">
        <v>44067</v>
      </c>
      <c r="B2099" s="306">
        <v>274.58999999999997</v>
      </c>
      <c r="C2099" s="309">
        <v>2.1314106438492999</v>
      </c>
    </row>
    <row r="2100" spans="1:3" x14ac:dyDescent="0.35">
      <c r="A2100" s="302">
        <v>44066</v>
      </c>
      <c r="B2100" s="303">
        <v>274.58999999999997</v>
      </c>
      <c r="C2100" s="308">
        <v>2.1386666587313501</v>
      </c>
    </row>
    <row r="2101" spans="1:3" x14ac:dyDescent="0.35">
      <c r="A2101" s="305">
        <v>44065</v>
      </c>
      <c r="B2101" s="306">
        <v>274.58999999999997</v>
      </c>
      <c r="C2101" s="309">
        <v>2.1458857070158799</v>
      </c>
    </row>
    <row r="2102" spans="1:3" x14ac:dyDescent="0.35">
      <c r="A2102" s="302">
        <v>44064</v>
      </c>
      <c r="B2102" s="303">
        <v>274.58999999999997</v>
      </c>
      <c r="C2102" s="308">
        <v>2.1531437789036798</v>
      </c>
    </row>
    <row r="2103" spans="1:3" x14ac:dyDescent="0.35">
      <c r="A2103" s="305">
        <v>44063</v>
      </c>
      <c r="B2103" s="306">
        <v>274.58999999999997</v>
      </c>
      <c r="C2103" s="309">
        <v>2.1603648738593502</v>
      </c>
    </row>
    <row r="2104" spans="1:3" x14ac:dyDescent="0.35">
      <c r="A2104" s="302">
        <v>44062</v>
      </c>
      <c r="B2104" s="303">
        <v>274.58999999999997</v>
      </c>
      <c r="C2104" s="308">
        <v>2.16762500362772</v>
      </c>
    </row>
    <row r="2105" spans="1:3" x14ac:dyDescent="0.35">
      <c r="A2105" s="305">
        <v>44061</v>
      </c>
      <c r="B2105" s="306">
        <v>274.58999999999997</v>
      </c>
      <c r="C2105" s="309">
        <v>2.17488616536636</v>
      </c>
    </row>
    <row r="2106" spans="1:3" x14ac:dyDescent="0.35">
      <c r="A2106" s="302">
        <v>44060</v>
      </c>
      <c r="B2106" s="303">
        <v>274.58999999999997</v>
      </c>
      <c r="C2106" s="308">
        <v>2.1821103346493</v>
      </c>
    </row>
    <row r="2107" spans="1:3" x14ac:dyDescent="0.35">
      <c r="A2107" s="305">
        <v>44059</v>
      </c>
      <c r="B2107" s="306">
        <v>274.58999999999997</v>
      </c>
      <c r="C2107" s="309">
        <v>2.1893735555828502</v>
      </c>
    </row>
    <row r="2108" spans="1:3" x14ac:dyDescent="0.35">
      <c r="A2108" s="302">
        <v>44058</v>
      </c>
      <c r="B2108" s="303">
        <v>274.58999999999997</v>
      </c>
      <c r="C2108" s="308">
        <v>2.1965997737152398</v>
      </c>
    </row>
    <row r="2109" spans="1:3" x14ac:dyDescent="0.35">
      <c r="A2109" s="305">
        <v>44057</v>
      </c>
      <c r="B2109" s="306">
        <v>274.62369999999999</v>
      </c>
      <c r="C2109" s="309">
        <v>2.2180443571650299</v>
      </c>
    </row>
    <row r="2110" spans="1:3" x14ac:dyDescent="0.35">
      <c r="A2110" s="302">
        <v>44056</v>
      </c>
      <c r="B2110" s="303">
        <v>274.6574</v>
      </c>
      <c r="C2110" s="308">
        <v>2.2394546184819699</v>
      </c>
    </row>
    <row r="2111" spans="1:3" x14ac:dyDescent="0.35">
      <c r="A2111" s="305">
        <v>44055</v>
      </c>
      <c r="B2111" s="306">
        <v>274.69119999999998</v>
      </c>
      <c r="C2111" s="309">
        <v>2.2609438909320598</v>
      </c>
    </row>
    <row r="2112" spans="1:3" x14ac:dyDescent="0.35">
      <c r="A2112" s="302">
        <v>44054</v>
      </c>
      <c r="B2112" s="303">
        <v>274.72489999999999</v>
      </c>
      <c r="C2112" s="308">
        <v>2.28239967683627</v>
      </c>
    </row>
    <row r="2113" spans="1:3" x14ac:dyDescent="0.35">
      <c r="A2113" s="305">
        <v>44053</v>
      </c>
      <c r="B2113" s="306">
        <v>274.7586</v>
      </c>
      <c r="C2113" s="309">
        <v>2.3038211096349901</v>
      </c>
    </row>
    <row r="2114" spans="1:3" x14ac:dyDescent="0.35">
      <c r="A2114" s="302">
        <v>44052</v>
      </c>
      <c r="B2114" s="303">
        <v>274.79239999999999</v>
      </c>
      <c r="C2114" s="308">
        <v>2.3253216001024799</v>
      </c>
    </row>
    <row r="2115" spans="1:3" x14ac:dyDescent="0.35">
      <c r="A2115" s="305">
        <v>44051</v>
      </c>
      <c r="B2115" s="306">
        <v>274.8261</v>
      </c>
      <c r="C2115" s="309">
        <v>2.3467504827306298</v>
      </c>
    </row>
    <row r="2116" spans="1:3" x14ac:dyDescent="0.35">
      <c r="A2116" s="302">
        <v>44050</v>
      </c>
      <c r="B2116" s="303">
        <v>274.85989999999998</v>
      </c>
      <c r="C2116" s="308">
        <v>2.3682584540621998</v>
      </c>
    </row>
    <row r="2117" spans="1:3" x14ac:dyDescent="0.35">
      <c r="A2117" s="305">
        <v>44049</v>
      </c>
      <c r="B2117" s="306">
        <v>274.89370000000002</v>
      </c>
      <c r="C2117" s="309">
        <v>2.3897320374347499</v>
      </c>
    </row>
    <row r="2118" spans="1:3" x14ac:dyDescent="0.35">
      <c r="A2118" s="302">
        <v>44048</v>
      </c>
      <c r="B2118" s="303">
        <v>274.92739999999998</v>
      </c>
      <c r="C2118" s="308">
        <v>2.4112102465074101</v>
      </c>
    </row>
    <row r="2119" spans="1:3" x14ac:dyDescent="0.35">
      <c r="A2119" s="305">
        <v>44047</v>
      </c>
      <c r="B2119" s="306">
        <v>274.96120000000002</v>
      </c>
      <c r="C2119" s="309">
        <v>2.4326912939670602</v>
      </c>
    </row>
    <row r="2120" spans="1:3" x14ac:dyDescent="0.35">
      <c r="A2120" s="302">
        <v>44046</v>
      </c>
      <c r="B2120" s="303">
        <v>274.995</v>
      </c>
      <c r="C2120" s="308">
        <v>2.4542142419908202</v>
      </c>
    </row>
    <row r="2121" spans="1:3" x14ac:dyDescent="0.35">
      <c r="A2121" s="305">
        <v>44045</v>
      </c>
      <c r="B2121" s="306">
        <v>275.02870000000001</v>
      </c>
      <c r="C2121" s="309">
        <v>2.47566550067739</v>
      </c>
    </row>
    <row r="2122" spans="1:3" x14ac:dyDescent="0.35">
      <c r="A2122" s="302">
        <v>44044</v>
      </c>
      <c r="B2122" s="303">
        <v>275.0625</v>
      </c>
      <c r="C2122" s="308">
        <v>2.49719594128804</v>
      </c>
    </row>
    <row r="2123" spans="1:3" x14ac:dyDescent="0.35">
      <c r="A2123" s="305">
        <v>44043</v>
      </c>
      <c r="B2123" s="306">
        <v>275.09629999999999</v>
      </c>
      <c r="C2123" s="309">
        <v>2.5186919318455798</v>
      </c>
    </row>
    <row r="2124" spans="1:3" x14ac:dyDescent="0.35">
      <c r="A2124" s="302">
        <v>44042</v>
      </c>
      <c r="B2124" s="303">
        <v>275.13010000000003</v>
      </c>
      <c r="C2124" s="308">
        <v>2.5402298722058401</v>
      </c>
    </row>
    <row r="2125" spans="1:3" x14ac:dyDescent="0.35">
      <c r="A2125" s="305">
        <v>44041</v>
      </c>
      <c r="B2125" s="306">
        <v>275.16390000000001</v>
      </c>
      <c r="C2125" s="309">
        <v>2.5617333417818702</v>
      </c>
    </row>
    <row r="2126" spans="1:3" x14ac:dyDescent="0.35">
      <c r="A2126" s="302">
        <v>44040</v>
      </c>
      <c r="B2126" s="303">
        <v>275.1977</v>
      </c>
      <c r="C2126" s="308">
        <v>2.5832405466628998</v>
      </c>
    </row>
    <row r="2127" spans="1:3" x14ac:dyDescent="0.35">
      <c r="A2127" s="305">
        <v>44039</v>
      </c>
      <c r="B2127" s="306">
        <v>275.23149999999998</v>
      </c>
      <c r="C2127" s="309">
        <v>2.6047897383094401</v>
      </c>
    </row>
    <row r="2128" spans="1:3" x14ac:dyDescent="0.35">
      <c r="A2128" s="302">
        <v>44038</v>
      </c>
      <c r="B2128" s="303">
        <v>275.26530000000002</v>
      </c>
      <c r="C2128" s="308">
        <v>2.6263044280649201</v>
      </c>
    </row>
    <row r="2129" spans="1:3" x14ac:dyDescent="0.35">
      <c r="A2129" s="305">
        <v>44037</v>
      </c>
      <c r="B2129" s="306">
        <v>275.29910000000001</v>
      </c>
      <c r="C2129" s="309">
        <v>2.6478228560498498</v>
      </c>
    </row>
    <row r="2130" spans="1:3" x14ac:dyDescent="0.35">
      <c r="A2130" s="302">
        <v>44036</v>
      </c>
      <c r="B2130" s="303">
        <v>275.3329</v>
      </c>
      <c r="C2130" s="308">
        <v>2.6693833077964602</v>
      </c>
    </row>
    <row r="2131" spans="1:3" x14ac:dyDescent="0.35">
      <c r="A2131" s="305">
        <v>44035</v>
      </c>
      <c r="B2131" s="306">
        <v>275.36669999999998</v>
      </c>
      <c r="C2131" s="309">
        <v>2.6909092265178902</v>
      </c>
    </row>
    <row r="2132" spans="1:3" x14ac:dyDescent="0.35">
      <c r="A2132" s="302">
        <v>44034</v>
      </c>
      <c r="B2132" s="303">
        <v>275.40050000000002</v>
      </c>
      <c r="C2132" s="308">
        <v>2.7124388863963</v>
      </c>
    </row>
    <row r="2133" spans="1:3" x14ac:dyDescent="0.35">
      <c r="A2133" s="305">
        <v>44033</v>
      </c>
      <c r="B2133" s="306">
        <v>275.43439999999998</v>
      </c>
      <c r="C2133" s="309">
        <v>2.7340095873100201</v>
      </c>
    </row>
    <row r="2134" spans="1:3" x14ac:dyDescent="0.35">
      <c r="A2134" s="302">
        <v>44032</v>
      </c>
      <c r="B2134" s="303">
        <v>275.46820000000002</v>
      </c>
      <c r="C2134" s="308">
        <v>2.7555467356706602</v>
      </c>
    </row>
    <row r="2135" spans="1:3" x14ac:dyDescent="0.35">
      <c r="A2135" s="305">
        <v>44031</v>
      </c>
      <c r="B2135" s="306">
        <v>275.50200000000001</v>
      </c>
      <c r="C2135" s="309">
        <v>2.77712596952074</v>
      </c>
    </row>
    <row r="2136" spans="1:3" x14ac:dyDescent="0.35">
      <c r="A2136" s="302">
        <v>44030</v>
      </c>
      <c r="B2136" s="303">
        <v>275.53590000000003</v>
      </c>
      <c r="C2136" s="308">
        <v>2.7987079270422002</v>
      </c>
    </row>
    <row r="2137" spans="1:3" x14ac:dyDescent="0.35">
      <c r="A2137" s="305">
        <v>44029</v>
      </c>
      <c r="B2137" s="306">
        <v>275.56970000000001</v>
      </c>
      <c r="C2137" s="309">
        <v>2.8202563252044399</v>
      </c>
    </row>
    <row r="2138" spans="1:3" x14ac:dyDescent="0.35">
      <c r="A2138" s="302">
        <v>44028</v>
      </c>
      <c r="B2138" s="303">
        <v>275.6035</v>
      </c>
      <c r="C2138" s="308">
        <v>2.8418084703855899</v>
      </c>
    </row>
    <row r="2139" spans="1:3" x14ac:dyDescent="0.35">
      <c r="A2139" s="305">
        <v>44027</v>
      </c>
      <c r="B2139" s="306">
        <v>275.63740000000001</v>
      </c>
      <c r="C2139" s="309">
        <v>2.8634016819392101</v>
      </c>
    </row>
    <row r="2140" spans="1:3" x14ac:dyDescent="0.35">
      <c r="A2140" s="302">
        <v>44026</v>
      </c>
      <c r="B2140" s="303">
        <v>275.6669</v>
      </c>
      <c r="C2140" s="308">
        <v>2.8850076267957099</v>
      </c>
    </row>
    <row r="2141" spans="1:3" x14ac:dyDescent="0.35">
      <c r="A2141" s="305">
        <v>44025</v>
      </c>
      <c r="B2141" s="306">
        <v>275.69630000000001</v>
      </c>
      <c r="C2141" s="309">
        <v>2.9066191082650401</v>
      </c>
    </row>
    <row r="2142" spans="1:3" x14ac:dyDescent="0.35">
      <c r="A2142" s="302">
        <v>44024</v>
      </c>
      <c r="B2142" s="303">
        <v>275.72579999999999</v>
      </c>
      <c r="C2142" s="308">
        <v>2.9282339660506702</v>
      </c>
    </row>
    <row r="2143" spans="1:3" x14ac:dyDescent="0.35">
      <c r="A2143" s="305">
        <v>44023</v>
      </c>
      <c r="B2143" s="306">
        <v>275.7552</v>
      </c>
      <c r="C2143" s="309">
        <v>2.9498159445070802</v>
      </c>
    </row>
    <row r="2144" spans="1:3" x14ac:dyDescent="0.35">
      <c r="A2144" s="302">
        <v>44022</v>
      </c>
      <c r="B2144" s="303">
        <v>275.78469999999999</v>
      </c>
      <c r="C2144" s="308">
        <v>2.9714781558047099</v>
      </c>
    </row>
    <row r="2145" spans="1:3" x14ac:dyDescent="0.35">
      <c r="A2145" s="305">
        <v>44021</v>
      </c>
      <c r="B2145" s="306">
        <v>275.81420000000003</v>
      </c>
      <c r="C2145" s="309">
        <v>2.9931063892393799</v>
      </c>
    </row>
    <row r="2146" spans="1:3" x14ac:dyDescent="0.35">
      <c r="A2146" s="302">
        <v>44020</v>
      </c>
      <c r="B2146" s="303">
        <v>275.84359999999998</v>
      </c>
      <c r="C2146" s="308">
        <v>3.01470173592296</v>
      </c>
    </row>
    <row r="2147" spans="1:3" x14ac:dyDescent="0.35">
      <c r="A2147" s="305">
        <v>44019</v>
      </c>
      <c r="B2147" s="306">
        <v>275.87310000000002</v>
      </c>
      <c r="C2147" s="309">
        <v>3.0363773672852399</v>
      </c>
    </row>
    <row r="2148" spans="1:3" x14ac:dyDescent="0.35">
      <c r="A2148" s="302">
        <v>44018</v>
      </c>
      <c r="B2148" s="303">
        <v>275.90260000000001</v>
      </c>
      <c r="C2148" s="308">
        <v>3.0580189887933402</v>
      </c>
    </row>
    <row r="2149" spans="1:3" x14ac:dyDescent="0.35">
      <c r="A2149" s="305">
        <v>44017</v>
      </c>
      <c r="B2149" s="306">
        <v>275.93209999999999</v>
      </c>
      <c r="C2149" s="309">
        <v>3.0796650730215198</v>
      </c>
    </row>
    <row r="2150" spans="1:3" x14ac:dyDescent="0.35">
      <c r="A2150" s="302">
        <v>44016</v>
      </c>
      <c r="B2150" s="303">
        <v>275.96159999999998</v>
      </c>
      <c r="C2150" s="308">
        <v>3.1013156213503201</v>
      </c>
    </row>
    <row r="2151" spans="1:3" x14ac:dyDescent="0.35">
      <c r="A2151" s="305">
        <v>44015</v>
      </c>
      <c r="B2151" s="306">
        <v>275.99099999999999</v>
      </c>
      <c r="C2151" s="309">
        <v>3.1229332705608099</v>
      </c>
    </row>
    <row r="2152" spans="1:3" x14ac:dyDescent="0.35">
      <c r="A2152" s="302">
        <v>44014</v>
      </c>
      <c r="B2152" s="303">
        <v>276.02050000000003</v>
      </c>
      <c r="C2152" s="308">
        <v>3.1445927473810298</v>
      </c>
    </row>
    <row r="2153" spans="1:3" x14ac:dyDescent="0.35">
      <c r="A2153" s="305">
        <v>44013</v>
      </c>
      <c r="B2153" s="306">
        <v>276.05</v>
      </c>
      <c r="C2153" s="309">
        <v>3.16629524807187</v>
      </c>
    </row>
    <row r="2154" spans="1:3" x14ac:dyDescent="0.35">
      <c r="A2154" s="302">
        <v>44012</v>
      </c>
      <c r="B2154" s="303">
        <v>276.0795</v>
      </c>
      <c r="C2154" s="308">
        <v>3.1879636748407099</v>
      </c>
    </row>
    <row r="2155" spans="1:3" x14ac:dyDescent="0.35">
      <c r="A2155" s="305">
        <v>44011</v>
      </c>
      <c r="B2155" s="306">
        <v>276.10899999999998</v>
      </c>
      <c r="C2155" s="309">
        <v>3.20963657262473</v>
      </c>
    </row>
    <row r="2156" spans="1:3" x14ac:dyDescent="0.35">
      <c r="A2156" s="302">
        <v>44010</v>
      </c>
      <c r="B2156" s="303">
        <v>276.13850000000002</v>
      </c>
      <c r="C2156" s="308">
        <v>3.2313139428078799</v>
      </c>
    </row>
    <row r="2157" spans="1:3" x14ac:dyDescent="0.35">
      <c r="A2157" s="305">
        <v>44009</v>
      </c>
      <c r="B2157" s="306">
        <v>276.16800000000001</v>
      </c>
      <c r="C2157" s="309">
        <v>3.2529957867746799</v>
      </c>
    </row>
    <row r="2158" spans="1:3" x14ac:dyDescent="0.35">
      <c r="A2158" s="302">
        <v>44008</v>
      </c>
      <c r="B2158" s="303">
        <v>276.19749999999999</v>
      </c>
      <c r="C2158" s="308">
        <v>3.2746821059102298</v>
      </c>
    </row>
    <row r="2159" spans="1:3" x14ac:dyDescent="0.35">
      <c r="A2159" s="305">
        <v>44007</v>
      </c>
      <c r="B2159" s="306">
        <v>276.22699999999998</v>
      </c>
      <c r="C2159" s="309">
        <v>3.2963342734549901</v>
      </c>
    </row>
    <row r="2160" spans="1:3" x14ac:dyDescent="0.35">
      <c r="A2160" s="302">
        <v>44006</v>
      </c>
      <c r="B2160" s="303">
        <v>276.25650000000002</v>
      </c>
      <c r="C2160" s="308">
        <v>3.31802953498444</v>
      </c>
    </row>
    <row r="2161" spans="1:3" x14ac:dyDescent="0.35">
      <c r="A2161" s="305">
        <v>44005</v>
      </c>
      <c r="B2161" s="306">
        <v>276.28609999999998</v>
      </c>
      <c r="C2161" s="309">
        <v>3.3397666790097098</v>
      </c>
    </row>
    <row r="2162" spans="1:3" x14ac:dyDescent="0.35">
      <c r="A2162" s="302">
        <v>44004</v>
      </c>
      <c r="B2162" s="303">
        <v>276.31560000000002</v>
      </c>
      <c r="C2162" s="308">
        <v>3.3614709044347499</v>
      </c>
    </row>
    <row r="2163" spans="1:3" x14ac:dyDescent="0.35">
      <c r="A2163" s="305">
        <v>44003</v>
      </c>
      <c r="B2163" s="306">
        <v>276.3451</v>
      </c>
      <c r="C2163" s="309">
        <v>3.3831796119592199</v>
      </c>
    </row>
    <row r="2164" spans="1:3" x14ac:dyDescent="0.35">
      <c r="A2164" s="302">
        <v>44002</v>
      </c>
      <c r="B2164" s="303">
        <v>276.37459999999999</v>
      </c>
      <c r="C2164" s="308">
        <v>3.4048928029716299</v>
      </c>
    </row>
    <row r="2165" spans="1:3" x14ac:dyDescent="0.35">
      <c r="A2165" s="305">
        <v>44001</v>
      </c>
      <c r="B2165" s="306">
        <v>276.4042</v>
      </c>
      <c r="C2165" s="309">
        <v>3.4266091966710901</v>
      </c>
    </row>
    <row r="2166" spans="1:3" x14ac:dyDescent="0.35">
      <c r="A2166" s="302">
        <v>44000</v>
      </c>
      <c r="B2166" s="303">
        <v>276.43369999999999</v>
      </c>
      <c r="C2166" s="308">
        <v>3.4483313505658799</v>
      </c>
    </row>
    <row r="2167" spans="1:3" x14ac:dyDescent="0.35">
      <c r="A2167" s="305">
        <v>43999</v>
      </c>
      <c r="B2167" s="306">
        <v>276.46319999999997</v>
      </c>
      <c r="C2167" s="309">
        <v>3.47005799211427</v>
      </c>
    </row>
    <row r="2168" spans="1:3" x14ac:dyDescent="0.35">
      <c r="A2168" s="302">
        <v>43998</v>
      </c>
      <c r="B2168" s="303">
        <v>276.49279999999999</v>
      </c>
      <c r="C2168" s="308">
        <v>3.4917878157236801</v>
      </c>
    </row>
    <row r="2169" spans="1:3" x14ac:dyDescent="0.35">
      <c r="A2169" s="305">
        <v>43997</v>
      </c>
      <c r="B2169" s="306">
        <v>276.52229999999997</v>
      </c>
      <c r="C2169" s="309">
        <v>3.5135234284807302</v>
      </c>
    </row>
    <row r="2170" spans="1:3" x14ac:dyDescent="0.35">
      <c r="A2170" s="302">
        <v>43996</v>
      </c>
      <c r="B2170" s="303">
        <v>276.50810000000001</v>
      </c>
      <c r="C2170" s="308">
        <v>3.5248330640768102</v>
      </c>
    </row>
    <row r="2171" spans="1:3" x14ac:dyDescent="0.35">
      <c r="A2171" s="305">
        <v>43995</v>
      </c>
      <c r="B2171" s="306">
        <v>276.49380000000002</v>
      </c>
      <c r="C2171" s="309">
        <v>3.5361476574655399</v>
      </c>
    </row>
    <row r="2172" spans="1:3" x14ac:dyDescent="0.35">
      <c r="A2172" s="302">
        <v>43994</v>
      </c>
      <c r="B2172" s="303">
        <v>276.4796</v>
      </c>
      <c r="C2172" s="308">
        <v>3.5475033472842501</v>
      </c>
    </row>
    <row r="2173" spans="1:3" x14ac:dyDescent="0.35">
      <c r="A2173" s="305">
        <v>43993</v>
      </c>
      <c r="B2173" s="306">
        <v>276.46530000000001</v>
      </c>
      <c r="C2173" s="309">
        <v>3.55878644584338</v>
      </c>
    </row>
    <row r="2174" spans="1:3" x14ac:dyDescent="0.35">
      <c r="A2174" s="302">
        <v>43992</v>
      </c>
      <c r="B2174" s="303">
        <v>276.45100000000002</v>
      </c>
      <c r="C2174" s="308">
        <v>3.57011197295386</v>
      </c>
    </row>
    <row r="2175" spans="1:3" x14ac:dyDescent="0.35">
      <c r="A2175" s="305">
        <v>43991</v>
      </c>
      <c r="B2175" s="306">
        <v>276.43680000000001</v>
      </c>
      <c r="C2175" s="309">
        <v>3.5814398076729201</v>
      </c>
    </row>
    <row r="2176" spans="1:3" x14ac:dyDescent="0.35">
      <c r="A2176" s="302">
        <v>43990</v>
      </c>
      <c r="B2176" s="303">
        <v>276.42250000000001</v>
      </c>
      <c r="C2176" s="308">
        <v>3.5927338085819098</v>
      </c>
    </row>
    <row r="2177" spans="1:3" x14ac:dyDescent="0.35">
      <c r="A2177" s="305">
        <v>43989</v>
      </c>
      <c r="B2177" s="306">
        <v>276.4083</v>
      </c>
      <c r="C2177" s="309">
        <v>3.6041077570309201</v>
      </c>
    </row>
    <row r="2178" spans="1:3" x14ac:dyDescent="0.35">
      <c r="A2178" s="302">
        <v>43988</v>
      </c>
      <c r="B2178" s="303">
        <v>276.39400000000001</v>
      </c>
      <c r="C2178" s="308">
        <v>3.6154090404532502</v>
      </c>
    </row>
    <row r="2179" spans="1:3" x14ac:dyDescent="0.35">
      <c r="A2179" s="305">
        <v>43987</v>
      </c>
      <c r="B2179" s="306">
        <v>276.37979999999999</v>
      </c>
      <c r="C2179" s="309">
        <v>3.6267514538426102</v>
      </c>
    </row>
    <row r="2180" spans="1:3" x14ac:dyDescent="0.35">
      <c r="A2180" s="302">
        <v>43986</v>
      </c>
      <c r="B2180" s="303">
        <v>276.3655</v>
      </c>
      <c r="C2180" s="308">
        <v>3.63806001632766</v>
      </c>
    </row>
    <row r="2181" spans="1:3" x14ac:dyDescent="0.35">
      <c r="A2181" s="305">
        <v>43985</v>
      </c>
      <c r="B2181" s="306">
        <v>276.35129999999998</v>
      </c>
      <c r="C2181" s="309">
        <v>3.6494097243580002</v>
      </c>
    </row>
    <row r="2182" spans="1:3" x14ac:dyDescent="0.35">
      <c r="A2182" s="302">
        <v>43984</v>
      </c>
      <c r="B2182" s="303">
        <v>276.33699999999999</v>
      </c>
      <c r="C2182" s="308">
        <v>3.6607255729367298</v>
      </c>
    </row>
    <row r="2183" spans="1:3" x14ac:dyDescent="0.35">
      <c r="A2183" s="305">
        <v>43983</v>
      </c>
      <c r="B2183" s="306">
        <v>276.32279999999997</v>
      </c>
      <c r="C2183" s="309">
        <v>3.6720825826513099</v>
      </c>
    </row>
    <row r="2184" spans="1:3" x14ac:dyDescent="0.35">
      <c r="A2184" s="302">
        <v>43982</v>
      </c>
      <c r="B2184" s="303">
        <v>276.30849999999998</v>
      </c>
      <c r="C2184" s="308">
        <v>3.6834057243637299</v>
      </c>
    </row>
    <row r="2185" spans="1:3" x14ac:dyDescent="0.35">
      <c r="A2185" s="305">
        <v>43981</v>
      </c>
      <c r="B2185" s="306">
        <v>276.29430000000002</v>
      </c>
      <c r="C2185" s="309">
        <v>3.6947311256120798</v>
      </c>
    </row>
    <row r="2186" spans="1:3" x14ac:dyDescent="0.35">
      <c r="A2186" s="302">
        <v>43980</v>
      </c>
      <c r="B2186" s="303">
        <v>276.27999999999997</v>
      </c>
      <c r="C2186" s="308">
        <v>3.7060615569872799</v>
      </c>
    </row>
    <row r="2187" spans="1:3" x14ac:dyDescent="0.35">
      <c r="A2187" s="305">
        <v>43979</v>
      </c>
      <c r="B2187" s="306">
        <v>276.26580000000001</v>
      </c>
      <c r="C2187" s="309">
        <v>3.71743318069753</v>
      </c>
    </row>
    <row r="2188" spans="1:3" x14ac:dyDescent="0.35">
      <c r="A2188" s="302">
        <v>43978</v>
      </c>
      <c r="B2188" s="303">
        <v>276.25150000000002</v>
      </c>
      <c r="C2188" s="308">
        <v>3.7287319705423299</v>
      </c>
    </row>
    <row r="2189" spans="1:3" x14ac:dyDescent="0.35">
      <c r="A2189" s="305">
        <v>43977</v>
      </c>
      <c r="B2189" s="306">
        <v>276.2373</v>
      </c>
      <c r="C2189" s="309">
        <v>3.7401109065631402</v>
      </c>
    </row>
    <row r="2190" spans="1:3" x14ac:dyDescent="0.35">
      <c r="A2190" s="302">
        <v>43976</v>
      </c>
      <c r="B2190" s="303">
        <v>276.22300000000001</v>
      </c>
      <c r="C2190" s="308">
        <v>3.75141697910946</v>
      </c>
    </row>
    <row r="2191" spans="1:3" x14ac:dyDescent="0.35">
      <c r="A2191" s="305">
        <v>43975</v>
      </c>
      <c r="B2191" s="306">
        <v>276.2088</v>
      </c>
      <c r="C2191" s="309">
        <v>3.7627642541528199</v>
      </c>
    </row>
    <row r="2192" spans="1:3" x14ac:dyDescent="0.35">
      <c r="A2192" s="302">
        <v>43974</v>
      </c>
      <c r="B2192" s="303">
        <v>276.19450000000001</v>
      </c>
      <c r="C2192" s="308">
        <v>3.7741165967874499</v>
      </c>
    </row>
    <row r="2193" spans="1:3" x14ac:dyDescent="0.35">
      <c r="A2193" s="305">
        <v>43973</v>
      </c>
      <c r="B2193" s="306">
        <v>276.18029999999999</v>
      </c>
      <c r="C2193" s="309">
        <v>3.7854711771848102</v>
      </c>
    </row>
    <row r="2194" spans="1:3" x14ac:dyDescent="0.35">
      <c r="A2194" s="302">
        <v>43972</v>
      </c>
      <c r="B2194" s="303">
        <v>276.166</v>
      </c>
      <c r="C2194" s="308">
        <v>3.7967918257292101</v>
      </c>
    </row>
    <row r="2195" spans="1:3" x14ac:dyDescent="0.35">
      <c r="A2195" s="305">
        <v>43971</v>
      </c>
      <c r="B2195" s="306">
        <v>276.15179999999998</v>
      </c>
      <c r="C2195" s="309">
        <v>3.80815370799256</v>
      </c>
    </row>
    <row r="2196" spans="1:3" x14ac:dyDescent="0.35">
      <c r="A2196" s="302">
        <v>43970</v>
      </c>
      <c r="B2196" s="303">
        <v>276.13760000000002</v>
      </c>
      <c r="C2196" s="308">
        <v>3.8195192468564199</v>
      </c>
    </row>
    <row r="2197" spans="1:3" x14ac:dyDescent="0.35">
      <c r="A2197" s="305">
        <v>43969</v>
      </c>
      <c r="B2197" s="306">
        <v>276.12329999999997</v>
      </c>
      <c r="C2197" s="309">
        <v>3.83085084101157</v>
      </c>
    </row>
    <row r="2198" spans="1:3" x14ac:dyDescent="0.35">
      <c r="A2198" s="302">
        <v>43968</v>
      </c>
      <c r="B2198" s="303">
        <v>276.10910000000001</v>
      </c>
      <c r="C2198" s="308">
        <v>3.8422236923212298</v>
      </c>
    </row>
    <row r="2199" spans="1:3" x14ac:dyDescent="0.35">
      <c r="A2199" s="305">
        <v>43967</v>
      </c>
      <c r="B2199" s="306">
        <v>276.09480000000002</v>
      </c>
      <c r="C2199" s="309">
        <v>3.85352352565467</v>
      </c>
    </row>
    <row r="2200" spans="1:3" x14ac:dyDescent="0.35">
      <c r="A2200" s="302">
        <v>43966</v>
      </c>
      <c r="B2200" s="303">
        <v>276.0806</v>
      </c>
      <c r="C2200" s="308">
        <v>3.8649036859019001</v>
      </c>
    </row>
    <row r="2201" spans="1:3" x14ac:dyDescent="0.35">
      <c r="A2201" s="305">
        <v>43965</v>
      </c>
      <c r="B2201" s="306">
        <v>276.0283</v>
      </c>
      <c r="C2201" s="309">
        <v>3.8600756896768398</v>
      </c>
    </row>
    <row r="2202" spans="1:3" x14ac:dyDescent="0.35">
      <c r="A2202" s="302">
        <v>43964</v>
      </c>
      <c r="B2202" s="303">
        <v>275.976</v>
      </c>
      <c r="C2202" s="308">
        <v>3.8552463126299701</v>
      </c>
    </row>
    <row r="2203" spans="1:3" x14ac:dyDescent="0.35">
      <c r="A2203" s="305">
        <v>43963</v>
      </c>
      <c r="B2203" s="306">
        <v>275.92380000000003</v>
      </c>
      <c r="C2203" s="309">
        <v>3.8504531915358098</v>
      </c>
    </row>
    <row r="2204" spans="1:3" x14ac:dyDescent="0.35">
      <c r="A2204" s="302">
        <v>43962</v>
      </c>
      <c r="B2204" s="303">
        <v>275.87150000000003</v>
      </c>
      <c r="C2204" s="308">
        <v>3.8456210564513298</v>
      </c>
    </row>
    <row r="2205" spans="1:3" x14ac:dyDescent="0.35">
      <c r="A2205" s="305">
        <v>43961</v>
      </c>
      <c r="B2205" s="306">
        <v>275.81920000000002</v>
      </c>
      <c r="C2205" s="309">
        <v>3.8407875387681698</v>
      </c>
    </row>
    <row r="2206" spans="1:3" x14ac:dyDescent="0.35">
      <c r="A2206" s="302">
        <v>43960</v>
      </c>
      <c r="B2206" s="303">
        <v>275.767</v>
      </c>
      <c r="C2206" s="308">
        <v>3.8359902914156701</v>
      </c>
    </row>
    <row r="2207" spans="1:3" x14ac:dyDescent="0.35">
      <c r="A2207" s="305">
        <v>43959</v>
      </c>
      <c r="B2207" s="306">
        <v>275.71469999999999</v>
      </c>
      <c r="C2207" s="309">
        <v>3.8311540121427399</v>
      </c>
    </row>
    <row r="2208" spans="1:3" x14ac:dyDescent="0.35">
      <c r="A2208" s="302">
        <v>43958</v>
      </c>
      <c r="B2208" s="303">
        <v>275.66250000000002</v>
      </c>
      <c r="C2208" s="308">
        <v>3.8263540127922999</v>
      </c>
    </row>
    <row r="2209" spans="1:3" x14ac:dyDescent="0.35">
      <c r="A2209" s="305">
        <v>43957</v>
      </c>
      <c r="B2209" s="306">
        <v>275.6103</v>
      </c>
      <c r="C2209" s="309">
        <v>3.8215526392516699</v>
      </c>
    </row>
    <row r="2210" spans="1:3" x14ac:dyDescent="0.35">
      <c r="A2210" s="302">
        <v>43956</v>
      </c>
      <c r="B2210" s="303">
        <v>275.55810000000002</v>
      </c>
      <c r="C2210" s="308">
        <v>3.8167107778960401</v>
      </c>
    </row>
    <row r="2211" spans="1:3" x14ac:dyDescent="0.35">
      <c r="A2211" s="305">
        <v>43955</v>
      </c>
      <c r="B2211" s="306">
        <v>275.5059</v>
      </c>
      <c r="C2211" s="309">
        <v>3.8119066504138299</v>
      </c>
    </row>
    <row r="2212" spans="1:3" x14ac:dyDescent="0.35">
      <c r="A2212" s="302">
        <v>43954</v>
      </c>
      <c r="B2212" s="303">
        <v>275.45370000000003</v>
      </c>
      <c r="C2212" s="308">
        <v>3.8070620263831101</v>
      </c>
    </row>
    <row r="2213" spans="1:3" x14ac:dyDescent="0.35">
      <c r="A2213" s="305">
        <v>43953</v>
      </c>
      <c r="B2213" s="306">
        <v>275.4015</v>
      </c>
      <c r="C2213" s="309">
        <v>3.8022551425935198</v>
      </c>
    </row>
    <row r="2214" spans="1:3" x14ac:dyDescent="0.35">
      <c r="A2214" s="302">
        <v>43952</v>
      </c>
      <c r="B2214" s="303">
        <v>275.34930000000003</v>
      </c>
      <c r="C2214" s="308">
        <v>3.7974077535183199</v>
      </c>
    </row>
    <row r="2215" spans="1:3" x14ac:dyDescent="0.35">
      <c r="A2215" s="305">
        <v>43951</v>
      </c>
      <c r="B2215" s="306">
        <v>275.29719999999998</v>
      </c>
      <c r="C2215" s="309">
        <v>3.7926358130838902</v>
      </c>
    </row>
    <row r="2216" spans="1:3" x14ac:dyDescent="0.35">
      <c r="A2216" s="302">
        <v>43950</v>
      </c>
      <c r="B2216" s="303">
        <v>275.245</v>
      </c>
      <c r="C2216" s="308">
        <v>3.78778566198014</v>
      </c>
    </row>
    <row r="2217" spans="1:3" x14ac:dyDescent="0.35">
      <c r="A2217" s="305">
        <v>43949</v>
      </c>
      <c r="B2217" s="306">
        <v>275.19290000000001</v>
      </c>
      <c r="C2217" s="309">
        <v>3.7829718372058698</v>
      </c>
    </row>
    <row r="2218" spans="1:3" x14ac:dyDescent="0.35">
      <c r="A2218" s="302">
        <v>43948</v>
      </c>
      <c r="B2218" s="303">
        <v>275.14069999999998</v>
      </c>
      <c r="C2218" s="308">
        <v>3.7781580611932801</v>
      </c>
    </row>
    <row r="2219" spans="1:3" x14ac:dyDescent="0.35">
      <c r="A2219" s="305">
        <v>43947</v>
      </c>
      <c r="B2219" s="306">
        <v>275.08859999999999</v>
      </c>
      <c r="C2219" s="309">
        <v>3.77334148163238</v>
      </c>
    </row>
    <row r="2220" spans="1:3" x14ac:dyDescent="0.35">
      <c r="A2220" s="302">
        <v>43946</v>
      </c>
      <c r="B2220" s="303">
        <v>275.03649999999999</v>
      </c>
      <c r="C2220" s="308">
        <v>3.76852352459799</v>
      </c>
    </row>
    <row r="2221" spans="1:3" x14ac:dyDescent="0.35">
      <c r="A2221" s="305">
        <v>43945</v>
      </c>
      <c r="B2221" s="306">
        <v>274.98439999999999</v>
      </c>
      <c r="C2221" s="309">
        <v>3.7637041894991201</v>
      </c>
    </row>
    <row r="2222" spans="1:3" x14ac:dyDescent="0.35">
      <c r="A2222" s="302">
        <v>43944</v>
      </c>
      <c r="B2222" s="303">
        <v>274.9323</v>
      </c>
      <c r="C2222" s="308">
        <v>3.75888347574445</v>
      </c>
    </row>
    <row r="2223" spans="1:3" x14ac:dyDescent="0.35">
      <c r="A2223" s="305">
        <v>43943</v>
      </c>
      <c r="B2223" s="306">
        <v>274.8802</v>
      </c>
      <c r="C2223" s="309">
        <v>3.75406138274229</v>
      </c>
    </row>
    <row r="2224" spans="1:3" x14ac:dyDescent="0.35">
      <c r="A2224" s="302">
        <v>43942</v>
      </c>
      <c r="B2224" s="303">
        <v>274.82810000000001</v>
      </c>
      <c r="C2224" s="308">
        <v>3.7492379099006601</v>
      </c>
    </row>
    <row r="2225" spans="1:3" x14ac:dyDescent="0.35">
      <c r="A2225" s="305">
        <v>43941</v>
      </c>
      <c r="B2225" s="306">
        <v>274.77609999999999</v>
      </c>
      <c r="C2225" s="309">
        <v>3.7444508126222802</v>
      </c>
    </row>
    <row r="2226" spans="1:3" x14ac:dyDescent="0.35">
      <c r="A2226" s="302">
        <v>43940</v>
      </c>
      <c r="B2226" s="303">
        <v>274.72399999999999</v>
      </c>
      <c r="C2226" s="308">
        <v>3.7395854102094699</v>
      </c>
    </row>
    <row r="2227" spans="1:3" x14ac:dyDescent="0.35">
      <c r="A2227" s="305">
        <v>43939</v>
      </c>
      <c r="B2227" s="306">
        <v>274.67200000000003</v>
      </c>
      <c r="C2227" s="309">
        <v>3.7347955627043898</v>
      </c>
    </row>
    <row r="2228" spans="1:3" x14ac:dyDescent="0.35">
      <c r="A2228" s="302">
        <v>43938</v>
      </c>
      <c r="B2228" s="303">
        <v>274.61989999999997</v>
      </c>
      <c r="C2228" s="308">
        <v>3.7299665716066399</v>
      </c>
    </row>
    <row r="2229" spans="1:3" x14ac:dyDescent="0.35">
      <c r="A2229" s="305">
        <v>43937</v>
      </c>
      <c r="B2229" s="306">
        <v>274.56790000000001</v>
      </c>
      <c r="C2229" s="309">
        <v>3.7251347904401499</v>
      </c>
    </row>
    <row r="2230" spans="1:3" x14ac:dyDescent="0.35">
      <c r="A2230" s="302">
        <v>43936</v>
      </c>
      <c r="B2230" s="303">
        <v>274.51589999999999</v>
      </c>
      <c r="C2230" s="308">
        <v>3.72034081776768</v>
      </c>
    </row>
    <row r="2231" spans="1:3" x14ac:dyDescent="0.35">
      <c r="A2231" s="305">
        <v>43935</v>
      </c>
      <c r="B2231" s="306">
        <v>274.45679999999999</v>
      </c>
      <c r="C2231" s="309">
        <v>3.71705614866864</v>
      </c>
    </row>
    <row r="2232" spans="1:3" x14ac:dyDescent="0.35">
      <c r="A2232" s="302">
        <v>43934</v>
      </c>
      <c r="B2232" s="303">
        <v>274.39769999999999</v>
      </c>
      <c r="C2232" s="308">
        <v>3.7137310722744101</v>
      </c>
    </row>
    <row r="2233" spans="1:3" x14ac:dyDescent="0.35">
      <c r="A2233" s="305">
        <v>43933</v>
      </c>
      <c r="B2233" s="306">
        <v>274.33859999999999</v>
      </c>
      <c r="C2233" s="309">
        <v>3.7104047765852401</v>
      </c>
    </row>
    <row r="2234" spans="1:3" x14ac:dyDescent="0.35">
      <c r="A2234" s="302">
        <v>43932</v>
      </c>
      <c r="B2234" s="303">
        <v>274.27949999999998</v>
      </c>
      <c r="C2234" s="308">
        <v>3.7070772609303302</v>
      </c>
    </row>
    <row r="2235" spans="1:3" x14ac:dyDescent="0.35">
      <c r="A2235" s="305">
        <v>43931</v>
      </c>
      <c r="B2235" s="306">
        <v>274.22039999999998</v>
      </c>
      <c r="C2235" s="309">
        <v>3.7037485246383999</v>
      </c>
    </row>
    <row r="2236" spans="1:3" x14ac:dyDescent="0.35">
      <c r="A2236" s="302">
        <v>43930</v>
      </c>
      <c r="B2236" s="303">
        <v>274.16129999999998</v>
      </c>
      <c r="C2236" s="308">
        <v>3.7003793427826701</v>
      </c>
    </row>
    <row r="2237" spans="1:3" x14ac:dyDescent="0.35">
      <c r="A2237" s="305">
        <v>43929</v>
      </c>
      <c r="B2237" s="306">
        <v>274.10230000000001</v>
      </c>
      <c r="C2237" s="309">
        <v>3.6970859887912799</v>
      </c>
    </row>
    <row r="2238" spans="1:3" x14ac:dyDescent="0.35">
      <c r="A2238" s="302">
        <v>43928</v>
      </c>
      <c r="B2238" s="303">
        <v>274.04329999999999</v>
      </c>
      <c r="C2238" s="308">
        <v>3.69379142602976</v>
      </c>
    </row>
    <row r="2239" spans="1:3" x14ac:dyDescent="0.35">
      <c r="A2239" s="305">
        <v>43927</v>
      </c>
      <c r="B2239" s="306">
        <v>273.98419999999999</v>
      </c>
      <c r="C2239" s="309">
        <v>3.6904185663481002</v>
      </c>
    </row>
    <row r="2240" spans="1:3" x14ac:dyDescent="0.35">
      <c r="A2240" s="302">
        <v>43926</v>
      </c>
      <c r="B2240" s="303">
        <v>273.92520000000002</v>
      </c>
      <c r="C2240" s="308">
        <v>3.6871215711450001</v>
      </c>
    </row>
    <row r="2241" spans="1:3" x14ac:dyDescent="0.35">
      <c r="A2241" s="305">
        <v>43925</v>
      </c>
      <c r="B2241" s="306">
        <v>273.86619999999999</v>
      </c>
      <c r="C2241" s="309">
        <v>3.6837841112154299</v>
      </c>
    </row>
    <row r="2242" spans="1:3" x14ac:dyDescent="0.35">
      <c r="A2242" s="302">
        <v>43924</v>
      </c>
      <c r="B2242" s="303">
        <v>273.80720000000002</v>
      </c>
      <c r="C2242" s="308">
        <v>3.6804454279564802</v>
      </c>
    </row>
    <row r="2243" spans="1:3" x14ac:dyDescent="0.35">
      <c r="A2243" s="305">
        <v>43923</v>
      </c>
      <c r="B2243" s="306">
        <v>273.74829999999997</v>
      </c>
      <c r="C2243" s="309">
        <v>3.6771433938597</v>
      </c>
    </row>
    <row r="2244" spans="1:3" x14ac:dyDescent="0.35">
      <c r="A2244" s="302">
        <v>43922</v>
      </c>
      <c r="B2244" s="303">
        <v>273.6893</v>
      </c>
      <c r="C2244" s="308">
        <v>3.6738022688669498</v>
      </c>
    </row>
    <row r="2245" spans="1:3" x14ac:dyDescent="0.35">
      <c r="A2245" s="305">
        <v>43921</v>
      </c>
      <c r="B2245" s="306">
        <v>273.63040000000001</v>
      </c>
      <c r="C2245" s="309">
        <v>3.67049780558182</v>
      </c>
    </row>
    <row r="2246" spans="1:3" x14ac:dyDescent="0.35">
      <c r="A2246" s="302">
        <v>43920</v>
      </c>
      <c r="B2246" s="303">
        <v>273.57139999999998</v>
      </c>
      <c r="C2246" s="308">
        <v>3.66715423617058</v>
      </c>
    </row>
    <row r="2247" spans="1:3" x14ac:dyDescent="0.35">
      <c r="A2247" s="305">
        <v>43919</v>
      </c>
      <c r="B2247" s="306">
        <v>273.51249999999999</v>
      </c>
      <c r="C2247" s="309">
        <v>3.6638473410206598</v>
      </c>
    </row>
    <row r="2248" spans="1:3" x14ac:dyDescent="0.35">
      <c r="A2248" s="302">
        <v>43918</v>
      </c>
      <c r="B2248" s="303">
        <v>273.45359999999999</v>
      </c>
      <c r="C2248" s="308">
        <v>3.6605392324103501</v>
      </c>
    </row>
    <row r="2249" spans="1:3" x14ac:dyDescent="0.35">
      <c r="A2249" s="305">
        <v>43917</v>
      </c>
      <c r="B2249" s="306">
        <v>273.3947</v>
      </c>
      <c r="C2249" s="309">
        <v>3.6571906081883201</v>
      </c>
    </row>
    <row r="2250" spans="1:3" x14ac:dyDescent="0.35">
      <c r="A2250" s="302">
        <v>43916</v>
      </c>
      <c r="B2250" s="303">
        <v>273.33580000000001</v>
      </c>
      <c r="C2250" s="308">
        <v>3.6538800646946101</v>
      </c>
    </row>
    <row r="2251" spans="1:3" x14ac:dyDescent="0.35">
      <c r="A2251" s="305">
        <v>43915</v>
      </c>
      <c r="B2251" s="306">
        <v>273.27690000000001</v>
      </c>
      <c r="C2251" s="309">
        <v>3.65052899236191</v>
      </c>
    </row>
    <row r="2252" spans="1:3" x14ac:dyDescent="0.35">
      <c r="A2252" s="302">
        <v>43914</v>
      </c>
      <c r="B2252" s="303">
        <v>273.21809999999999</v>
      </c>
      <c r="C2252" s="308">
        <v>3.6472539470220098</v>
      </c>
    </row>
    <row r="2253" spans="1:3" x14ac:dyDescent="0.35">
      <c r="A2253" s="305">
        <v>43913</v>
      </c>
      <c r="B2253" s="306">
        <v>273.1592</v>
      </c>
      <c r="C2253" s="309">
        <v>3.6439004308390501</v>
      </c>
    </row>
    <row r="2254" spans="1:3" x14ac:dyDescent="0.35">
      <c r="A2254" s="302">
        <v>43912</v>
      </c>
      <c r="B2254" s="303">
        <v>273.10039999999998</v>
      </c>
      <c r="C2254" s="308">
        <v>3.64058363490637</v>
      </c>
    </row>
    <row r="2255" spans="1:3" x14ac:dyDescent="0.35">
      <c r="A2255" s="305">
        <v>43911</v>
      </c>
      <c r="B2255" s="306">
        <v>273.04160000000002</v>
      </c>
      <c r="C2255" s="309">
        <v>3.6372656228352902</v>
      </c>
    </row>
    <row r="2256" spans="1:3" x14ac:dyDescent="0.35">
      <c r="A2256" s="302">
        <v>43910</v>
      </c>
      <c r="B2256" s="303">
        <v>272.9828</v>
      </c>
      <c r="C2256" s="308">
        <v>3.6339463939568102</v>
      </c>
    </row>
    <row r="2257" spans="1:3" x14ac:dyDescent="0.35">
      <c r="A2257" s="305">
        <v>43909</v>
      </c>
      <c r="B2257" s="306">
        <v>272.92399999999998</v>
      </c>
      <c r="C2257" s="309">
        <v>3.6306259476014602</v>
      </c>
    </row>
    <row r="2258" spans="1:3" x14ac:dyDescent="0.35">
      <c r="A2258" s="302">
        <v>43908</v>
      </c>
      <c r="B2258" s="303">
        <v>272.86520000000002</v>
      </c>
      <c r="C2258" s="308">
        <v>3.6273042830992699</v>
      </c>
    </row>
    <row r="2259" spans="1:3" x14ac:dyDescent="0.35">
      <c r="A2259" s="305">
        <v>43907</v>
      </c>
      <c r="B2259" s="306">
        <v>272.8064</v>
      </c>
      <c r="C2259" s="309">
        <v>3.6239813997797699</v>
      </c>
    </row>
    <row r="2260" spans="1:3" x14ac:dyDescent="0.35">
      <c r="A2260" s="302">
        <v>43906</v>
      </c>
      <c r="B2260" s="303">
        <v>272.74759999999998</v>
      </c>
      <c r="C2260" s="308">
        <v>3.6206179300388501</v>
      </c>
    </row>
    <row r="2261" spans="1:3" x14ac:dyDescent="0.35">
      <c r="A2261" s="305">
        <v>43905</v>
      </c>
      <c r="B2261" s="306">
        <v>272.68889999999999</v>
      </c>
      <c r="C2261" s="309">
        <v>3.6173305994774498</v>
      </c>
    </row>
    <row r="2262" spans="1:3" x14ac:dyDescent="0.35">
      <c r="A2262" s="302">
        <v>43904</v>
      </c>
      <c r="B2262" s="303">
        <v>272.64949999999999</v>
      </c>
      <c r="C2262" s="308">
        <v>3.6244883377104098</v>
      </c>
    </row>
    <row r="2263" spans="1:3" x14ac:dyDescent="0.35">
      <c r="A2263" s="305">
        <v>43903</v>
      </c>
      <c r="B2263" s="306">
        <v>272.61009999999999</v>
      </c>
      <c r="C2263" s="309">
        <v>3.6316491343314401</v>
      </c>
    </row>
    <row r="2264" spans="1:3" x14ac:dyDescent="0.35">
      <c r="A2264" s="302">
        <v>43902</v>
      </c>
      <c r="B2264" s="303">
        <v>272.57069999999999</v>
      </c>
      <c r="C2264" s="308">
        <v>3.63881299130116</v>
      </c>
    </row>
    <row r="2265" spans="1:3" x14ac:dyDescent="0.35">
      <c r="A2265" s="305">
        <v>43901</v>
      </c>
      <c r="B2265" s="306">
        <v>272.53129999999999</v>
      </c>
      <c r="C2265" s="309">
        <v>3.6459799105818602</v>
      </c>
    </row>
    <row r="2266" spans="1:3" x14ac:dyDescent="0.35">
      <c r="A2266" s="302">
        <v>43900</v>
      </c>
      <c r="B2266" s="303">
        <v>272.49189999999999</v>
      </c>
      <c r="C2266" s="308">
        <v>3.6531498941375098</v>
      </c>
    </row>
    <row r="2267" spans="1:3" x14ac:dyDescent="0.35">
      <c r="A2267" s="305">
        <v>43899</v>
      </c>
      <c r="B2267" s="306">
        <v>272.45249999999999</v>
      </c>
      <c r="C2267" s="309">
        <v>3.66028350418385</v>
      </c>
    </row>
    <row r="2268" spans="1:3" x14ac:dyDescent="0.35">
      <c r="A2268" s="302">
        <v>43898</v>
      </c>
      <c r="B2268" s="303">
        <v>272.41320000000002</v>
      </c>
      <c r="C2268" s="308">
        <v>3.6674976662623902</v>
      </c>
    </row>
    <row r="2269" spans="1:3" x14ac:dyDescent="0.35">
      <c r="A2269" s="305">
        <v>43897</v>
      </c>
      <c r="B2269" s="306">
        <v>272.37380000000002</v>
      </c>
      <c r="C2269" s="309">
        <v>3.6746373893402802</v>
      </c>
    </row>
    <row r="2270" spans="1:3" x14ac:dyDescent="0.35">
      <c r="A2270" s="302">
        <v>43896</v>
      </c>
      <c r="B2270" s="303">
        <v>272.33440000000002</v>
      </c>
      <c r="C2270" s="308">
        <v>3.6817801622378701</v>
      </c>
    </row>
    <row r="2271" spans="1:3" x14ac:dyDescent="0.35">
      <c r="A2271" s="305">
        <v>43895</v>
      </c>
      <c r="B2271" s="306">
        <v>272.29509999999999</v>
      </c>
      <c r="C2271" s="309">
        <v>3.6890035509267598</v>
      </c>
    </row>
    <row r="2272" spans="1:3" x14ac:dyDescent="0.35">
      <c r="A2272" s="302">
        <v>43894</v>
      </c>
      <c r="B2272" s="303">
        <v>272.25569999999999</v>
      </c>
      <c r="C2272" s="308">
        <v>3.6961524486253001</v>
      </c>
    </row>
    <row r="2273" spans="1:3" x14ac:dyDescent="0.35">
      <c r="A2273" s="305">
        <v>43893</v>
      </c>
      <c r="B2273" s="306">
        <v>272.21640000000002</v>
      </c>
      <c r="C2273" s="309">
        <v>3.7033029912143198</v>
      </c>
    </row>
    <row r="2274" spans="1:3" x14ac:dyDescent="0.35">
      <c r="A2274" s="302">
        <v>43892</v>
      </c>
      <c r="B2274" s="303">
        <v>272.1771</v>
      </c>
      <c r="C2274" s="308">
        <v>3.7104961032894099</v>
      </c>
    </row>
    <row r="2275" spans="1:3" x14ac:dyDescent="0.35">
      <c r="A2275" s="305">
        <v>43891</v>
      </c>
      <c r="B2275" s="306">
        <v>272.1377</v>
      </c>
      <c r="C2275" s="309">
        <v>3.71765417907854</v>
      </c>
    </row>
    <row r="2276" spans="1:3" x14ac:dyDescent="0.35">
      <c r="A2276" s="302">
        <v>43890</v>
      </c>
      <c r="B2276" s="303">
        <v>272.09840000000003</v>
      </c>
      <c r="C2276" s="308">
        <v>3.7248138965383699</v>
      </c>
    </row>
    <row r="2277" spans="1:3" x14ac:dyDescent="0.35">
      <c r="A2277" s="305">
        <v>43889</v>
      </c>
      <c r="B2277" s="306">
        <v>272.0591</v>
      </c>
      <c r="C2277" s="309">
        <v>3.7098326059973998</v>
      </c>
    </row>
    <row r="2278" spans="1:3" x14ac:dyDescent="0.35">
      <c r="A2278" s="302">
        <v>43888</v>
      </c>
      <c r="B2278" s="303">
        <v>272.01979999999998</v>
      </c>
      <c r="C2278" s="308">
        <v>3.7170317278571701</v>
      </c>
    </row>
    <row r="2279" spans="1:3" x14ac:dyDescent="0.35">
      <c r="A2279" s="305">
        <v>43887</v>
      </c>
      <c r="B2279" s="306">
        <v>271.98039999999997</v>
      </c>
      <c r="C2279" s="309">
        <v>3.7241562366164298</v>
      </c>
    </row>
    <row r="2280" spans="1:3" x14ac:dyDescent="0.35">
      <c r="A2280" s="302">
        <v>43886</v>
      </c>
      <c r="B2280" s="303">
        <v>271.94110000000001</v>
      </c>
      <c r="C2280" s="308">
        <v>3.73132193389434</v>
      </c>
    </row>
    <row r="2281" spans="1:3" x14ac:dyDescent="0.35">
      <c r="A2281" s="305">
        <v>43885</v>
      </c>
      <c r="B2281" s="306">
        <v>271.90179999999998</v>
      </c>
      <c r="C2281" s="309">
        <v>3.7384906931661601</v>
      </c>
    </row>
    <row r="2282" spans="1:3" x14ac:dyDescent="0.35">
      <c r="A2282" s="302">
        <v>43884</v>
      </c>
      <c r="B2282" s="303">
        <v>271.86250000000001</v>
      </c>
      <c r="C2282" s="308">
        <v>3.7456625163949502</v>
      </c>
    </row>
    <row r="2283" spans="1:3" x14ac:dyDescent="0.35">
      <c r="A2283" s="305">
        <v>43883</v>
      </c>
      <c r="B2283" s="306">
        <v>271.82330000000002</v>
      </c>
      <c r="C2283" s="309">
        <v>3.7528755747809801</v>
      </c>
    </row>
    <row r="2284" spans="1:3" x14ac:dyDescent="0.35">
      <c r="A2284" s="302">
        <v>43882</v>
      </c>
      <c r="B2284" s="303">
        <v>271.78399999999999</v>
      </c>
      <c r="C2284" s="308">
        <v>3.7600139271086901</v>
      </c>
    </row>
    <row r="2285" spans="1:3" x14ac:dyDescent="0.35">
      <c r="A2285" s="305">
        <v>43881</v>
      </c>
      <c r="B2285" s="306">
        <v>271.74470000000002</v>
      </c>
      <c r="C2285" s="309">
        <v>3.7671949509544902</v>
      </c>
    </row>
    <row r="2286" spans="1:3" x14ac:dyDescent="0.35">
      <c r="A2286" s="302">
        <v>43880</v>
      </c>
      <c r="B2286" s="303">
        <v>271.7054</v>
      </c>
      <c r="C2286" s="308">
        <v>3.77433941135109</v>
      </c>
    </row>
    <row r="2287" spans="1:3" x14ac:dyDescent="0.35">
      <c r="A2287" s="305">
        <v>43879</v>
      </c>
      <c r="B2287" s="306">
        <v>271.6662</v>
      </c>
      <c r="C2287" s="309">
        <v>3.7815647714592302</v>
      </c>
    </row>
    <row r="2288" spans="1:3" x14ac:dyDescent="0.35">
      <c r="A2288" s="302">
        <v>43878</v>
      </c>
      <c r="B2288" s="303">
        <v>271.62689999999998</v>
      </c>
      <c r="C2288" s="308">
        <v>3.7887153559225899</v>
      </c>
    </row>
    <row r="2289" spans="1:3" x14ac:dyDescent="0.35">
      <c r="A2289" s="305">
        <v>43877</v>
      </c>
      <c r="B2289" s="306">
        <v>271.58760000000001</v>
      </c>
      <c r="C2289" s="309">
        <v>3.7958689956832599</v>
      </c>
    </row>
    <row r="2290" spans="1:3" x14ac:dyDescent="0.35">
      <c r="A2290" s="302">
        <v>43876</v>
      </c>
      <c r="B2290" s="303">
        <v>271.54840000000002</v>
      </c>
      <c r="C2290" s="308">
        <v>3.8030639190579798</v>
      </c>
    </row>
    <row r="2291" spans="1:3" x14ac:dyDescent="0.35">
      <c r="A2291" s="305">
        <v>43875</v>
      </c>
      <c r="B2291" s="306">
        <v>271.52569999999997</v>
      </c>
      <c r="C2291" s="309">
        <v>3.80442574060219</v>
      </c>
    </row>
    <row r="2292" spans="1:3" x14ac:dyDescent="0.35">
      <c r="A2292" s="302">
        <v>43874</v>
      </c>
      <c r="B2292" s="303">
        <v>271.50290000000001</v>
      </c>
      <c r="C2292" s="308">
        <v>3.80574959185468</v>
      </c>
    </row>
    <row r="2293" spans="1:3" x14ac:dyDescent="0.35">
      <c r="A2293" s="305">
        <v>43873</v>
      </c>
      <c r="B2293" s="306">
        <v>271.48020000000002</v>
      </c>
      <c r="C2293" s="309">
        <v>3.8071119367001902</v>
      </c>
    </row>
    <row r="2294" spans="1:3" x14ac:dyDescent="0.35">
      <c r="A2294" s="302">
        <v>43872</v>
      </c>
      <c r="B2294" s="303">
        <v>271.45740000000001</v>
      </c>
      <c r="C2294" s="308">
        <v>3.80839660648149</v>
      </c>
    </row>
    <row r="2295" spans="1:3" x14ac:dyDescent="0.35">
      <c r="A2295" s="305">
        <v>43871</v>
      </c>
      <c r="B2295" s="306">
        <v>271.43470000000002</v>
      </c>
      <c r="C2295" s="309">
        <v>3.8097594705690701</v>
      </c>
    </row>
    <row r="2296" spans="1:3" x14ac:dyDescent="0.35">
      <c r="A2296" s="302">
        <v>43870</v>
      </c>
      <c r="B2296" s="303">
        <v>271.41199999999998</v>
      </c>
      <c r="C2296" s="308">
        <v>3.8111225984220898</v>
      </c>
    </row>
    <row r="2297" spans="1:3" x14ac:dyDescent="0.35">
      <c r="A2297" s="305">
        <v>43869</v>
      </c>
      <c r="B2297" s="306">
        <v>271.38920000000002</v>
      </c>
      <c r="C2297" s="309">
        <v>3.8124080273059699</v>
      </c>
    </row>
    <row r="2298" spans="1:3" x14ac:dyDescent="0.35">
      <c r="A2298" s="302">
        <v>43868</v>
      </c>
      <c r="B2298" s="303">
        <v>271.36649999999997</v>
      </c>
      <c r="C2298" s="308">
        <v>3.81377167485216</v>
      </c>
    </row>
    <row r="2299" spans="1:3" x14ac:dyDescent="0.35">
      <c r="A2299" s="305">
        <v>43867</v>
      </c>
      <c r="B2299" s="306">
        <v>271.34379999999999</v>
      </c>
      <c r="C2299" s="309">
        <v>3.8151355863919698</v>
      </c>
    </row>
    <row r="2300" spans="1:3" x14ac:dyDescent="0.35">
      <c r="A2300" s="302">
        <v>43866</v>
      </c>
      <c r="B2300" s="303">
        <v>271.32100000000003</v>
      </c>
      <c r="C2300" s="308">
        <v>3.81642177504306</v>
      </c>
    </row>
    <row r="2301" spans="1:3" x14ac:dyDescent="0.35">
      <c r="A2301" s="305">
        <v>43865</v>
      </c>
      <c r="B2301" s="306">
        <v>271.29829999999998</v>
      </c>
      <c r="C2301" s="309">
        <v>3.81778620672765</v>
      </c>
    </row>
    <row r="2302" spans="1:3" x14ac:dyDescent="0.35">
      <c r="A2302" s="302">
        <v>43864</v>
      </c>
      <c r="B2302" s="303">
        <v>271.2756</v>
      </c>
      <c r="C2302" s="308">
        <v>3.8191111703031502</v>
      </c>
    </row>
    <row r="2303" spans="1:3" x14ac:dyDescent="0.35">
      <c r="A2303" s="305">
        <v>43863</v>
      </c>
      <c r="B2303" s="306">
        <v>271.25290000000001</v>
      </c>
      <c r="C2303" s="309">
        <v>3.8204761261387099</v>
      </c>
    </row>
    <row r="2304" spans="1:3" x14ac:dyDescent="0.35">
      <c r="A2304" s="302">
        <v>43862</v>
      </c>
      <c r="B2304" s="303">
        <v>271.23009999999999</v>
      </c>
      <c r="C2304" s="308">
        <v>3.8217633271947999</v>
      </c>
    </row>
    <row r="2305" spans="1:3" x14ac:dyDescent="0.35">
      <c r="A2305" s="305">
        <v>43861</v>
      </c>
      <c r="B2305" s="306">
        <v>271.20740000000001</v>
      </c>
      <c r="C2305" s="309">
        <v>3.8230890584092299</v>
      </c>
    </row>
    <row r="2306" spans="1:3" x14ac:dyDescent="0.35">
      <c r="A2306" s="302">
        <v>43860</v>
      </c>
      <c r="B2306" s="303">
        <v>271.18470000000002</v>
      </c>
      <c r="C2306" s="308">
        <v>3.8244547951457002</v>
      </c>
    </row>
    <row r="2307" spans="1:3" x14ac:dyDescent="0.35">
      <c r="A2307" s="305">
        <v>43859</v>
      </c>
      <c r="B2307" s="306">
        <v>271.16199999999998</v>
      </c>
      <c r="C2307" s="309">
        <v>3.8257810424006999</v>
      </c>
    </row>
    <row r="2308" spans="1:3" x14ac:dyDescent="0.35">
      <c r="A2308" s="302">
        <v>43858</v>
      </c>
      <c r="B2308" s="303">
        <v>271.13929999999999</v>
      </c>
      <c r="C2308" s="308">
        <v>3.82714730404461</v>
      </c>
    </row>
    <row r="2309" spans="1:3" x14ac:dyDescent="0.35">
      <c r="A2309" s="305">
        <v>43857</v>
      </c>
      <c r="B2309" s="306">
        <v>271.11660000000001</v>
      </c>
      <c r="C2309" s="309">
        <v>3.82847406764024</v>
      </c>
    </row>
    <row r="2310" spans="1:3" x14ac:dyDescent="0.35">
      <c r="A2310" s="302">
        <v>43856</v>
      </c>
      <c r="B2310" s="303">
        <v>271.09390000000002</v>
      </c>
      <c r="C2310" s="308">
        <v>3.82980108734577</v>
      </c>
    </row>
    <row r="2311" spans="1:3" x14ac:dyDescent="0.35">
      <c r="A2311" s="305">
        <v>43855</v>
      </c>
      <c r="B2311" s="306">
        <v>271.07119999999998</v>
      </c>
      <c r="C2311" s="309">
        <v>3.8311681347320898</v>
      </c>
    </row>
    <row r="2312" spans="1:3" x14ac:dyDescent="0.35">
      <c r="A2312" s="302">
        <v>43854</v>
      </c>
      <c r="B2312" s="303">
        <v>271.04849999999999</v>
      </c>
      <c r="C2312" s="308">
        <v>3.8324956712278402</v>
      </c>
    </row>
    <row r="2313" spans="1:3" x14ac:dyDescent="0.35">
      <c r="A2313" s="305">
        <v>43853</v>
      </c>
      <c r="B2313" s="306">
        <v>271.0258</v>
      </c>
      <c r="C2313" s="309">
        <v>3.8338234640570001</v>
      </c>
    </row>
    <row r="2314" spans="1:3" x14ac:dyDescent="0.35">
      <c r="A2314" s="302">
        <v>43852</v>
      </c>
      <c r="B2314" s="303">
        <v>271.00310000000002</v>
      </c>
      <c r="C2314" s="308">
        <v>3.8351515132938099</v>
      </c>
    </row>
    <row r="2315" spans="1:3" x14ac:dyDescent="0.35">
      <c r="A2315" s="305">
        <v>43851</v>
      </c>
      <c r="B2315" s="306">
        <v>270.98039999999997</v>
      </c>
      <c r="C2315" s="309">
        <v>3.83647981901257</v>
      </c>
    </row>
    <row r="2316" spans="1:3" x14ac:dyDescent="0.35">
      <c r="A2316" s="302">
        <v>43850</v>
      </c>
      <c r="B2316" s="303">
        <v>270.95769999999999</v>
      </c>
      <c r="C2316" s="308">
        <v>3.8378481745637298</v>
      </c>
    </row>
    <row r="2317" spans="1:3" x14ac:dyDescent="0.35">
      <c r="A2317" s="305">
        <v>43849</v>
      </c>
      <c r="B2317" s="306">
        <v>270.935</v>
      </c>
      <c r="C2317" s="309">
        <v>3.8391769978219199</v>
      </c>
    </row>
    <row r="2318" spans="1:3" x14ac:dyDescent="0.35">
      <c r="A2318" s="302">
        <v>43848</v>
      </c>
      <c r="B2318" s="303">
        <v>270.91230000000002</v>
      </c>
      <c r="C2318" s="308">
        <v>3.8405060777859998</v>
      </c>
    </row>
    <row r="2319" spans="1:3" x14ac:dyDescent="0.35">
      <c r="A2319" s="305">
        <v>43847</v>
      </c>
      <c r="B2319" s="306">
        <v>270.88959999999997</v>
      </c>
      <c r="C2319" s="309">
        <v>3.8418354145303701</v>
      </c>
    </row>
    <row r="2320" spans="1:3" x14ac:dyDescent="0.35">
      <c r="A2320" s="302">
        <v>43846</v>
      </c>
      <c r="B2320" s="303">
        <v>270.86689999999999</v>
      </c>
      <c r="C2320" s="308">
        <v>3.84316500812943</v>
      </c>
    </row>
    <row r="2321" spans="1:3" x14ac:dyDescent="0.35">
      <c r="A2321" s="305">
        <v>43845</v>
      </c>
      <c r="B2321" s="306">
        <v>270.8442</v>
      </c>
      <c r="C2321" s="309">
        <v>3.8444948586576602</v>
      </c>
    </row>
    <row r="2322" spans="1:3" x14ac:dyDescent="0.35">
      <c r="A2322" s="302">
        <v>43844</v>
      </c>
      <c r="B2322" s="303">
        <v>270.83539999999999</v>
      </c>
      <c r="C2322" s="308">
        <v>3.8451421932693499</v>
      </c>
    </row>
    <row r="2323" spans="1:3" x14ac:dyDescent="0.35">
      <c r="A2323" s="305">
        <v>43843</v>
      </c>
      <c r="B2323" s="306">
        <v>270.82670000000002</v>
      </c>
      <c r="C2323" s="309">
        <v>3.8458279220343501</v>
      </c>
    </row>
    <row r="2324" spans="1:3" x14ac:dyDescent="0.35">
      <c r="A2324" s="302">
        <v>43842</v>
      </c>
      <c r="B2324" s="303">
        <v>270.81799999999998</v>
      </c>
      <c r="C2324" s="308">
        <v>3.8465137039144599</v>
      </c>
    </row>
    <row r="2325" spans="1:3" x14ac:dyDescent="0.35">
      <c r="A2325" s="305">
        <v>43841</v>
      </c>
      <c r="B2325" s="306">
        <v>270.80919999999998</v>
      </c>
      <c r="C2325" s="309">
        <v>3.8471611919316402</v>
      </c>
    </row>
    <row r="2326" spans="1:3" x14ac:dyDescent="0.35">
      <c r="A2326" s="302">
        <v>43840</v>
      </c>
      <c r="B2326" s="303">
        <v>270.8005</v>
      </c>
      <c r="C2326" s="308">
        <v>3.8478072545305801</v>
      </c>
    </row>
    <row r="2327" spans="1:3" x14ac:dyDescent="0.35">
      <c r="A2327" s="305">
        <v>43839</v>
      </c>
      <c r="B2327" s="306">
        <v>270.79180000000002</v>
      </c>
      <c r="C2327" s="309">
        <v>3.8484931925021302</v>
      </c>
    </row>
    <row r="2328" spans="1:3" x14ac:dyDescent="0.35">
      <c r="A2328" s="302">
        <v>43838</v>
      </c>
      <c r="B2328" s="303">
        <v>270.78309999999999</v>
      </c>
      <c r="C2328" s="308">
        <v>3.8491791836132001</v>
      </c>
    </row>
    <row r="2329" spans="1:3" x14ac:dyDescent="0.35">
      <c r="A2329" s="305">
        <v>43837</v>
      </c>
      <c r="B2329" s="306">
        <v>270.77429999999998</v>
      </c>
      <c r="C2329" s="309">
        <v>3.8498268749587701</v>
      </c>
    </row>
    <row r="2330" spans="1:3" x14ac:dyDescent="0.35">
      <c r="A2330" s="302">
        <v>43836</v>
      </c>
      <c r="B2330" s="303">
        <v>270.76560000000001</v>
      </c>
      <c r="C2330" s="308">
        <v>3.8505129708817298</v>
      </c>
    </row>
    <row r="2331" spans="1:3" x14ac:dyDescent="0.35">
      <c r="A2331" s="305">
        <v>43835</v>
      </c>
      <c r="B2331" s="306">
        <v>270.75689999999997</v>
      </c>
      <c r="C2331" s="309">
        <v>3.8511991199626299</v>
      </c>
    </row>
    <row r="2332" spans="1:3" x14ac:dyDescent="0.35">
      <c r="A2332" s="302">
        <v>43834</v>
      </c>
      <c r="B2332" s="303">
        <v>270.74810000000002</v>
      </c>
      <c r="C2332" s="308">
        <v>3.8518469648389502</v>
      </c>
    </row>
    <row r="2333" spans="1:3" x14ac:dyDescent="0.35">
      <c r="A2333" s="305">
        <v>43833</v>
      </c>
      <c r="B2333" s="306">
        <v>270.73939999999999</v>
      </c>
      <c r="C2333" s="309">
        <v>3.85249338214112</v>
      </c>
    </row>
    <row r="2334" spans="1:3" x14ac:dyDescent="0.35">
      <c r="A2334" s="302">
        <v>43832</v>
      </c>
      <c r="B2334" s="303">
        <v>270.73070000000001</v>
      </c>
      <c r="C2334" s="308">
        <v>3.8531796874400599</v>
      </c>
    </row>
    <row r="2335" spans="1:3" x14ac:dyDescent="0.35">
      <c r="A2335" s="305">
        <v>43831</v>
      </c>
      <c r="B2335" s="306">
        <v>270.72190000000001</v>
      </c>
      <c r="C2335" s="309">
        <v>3.8538276841088899</v>
      </c>
    </row>
    <row r="2336" spans="1:3" x14ac:dyDescent="0.35">
      <c r="A2336" s="302">
        <v>43830</v>
      </c>
      <c r="B2336" s="303">
        <v>270.71319999999997</v>
      </c>
      <c r="C2336" s="308">
        <v>3.8545140942923899</v>
      </c>
    </row>
    <row r="2337" spans="1:3" x14ac:dyDescent="0.35">
      <c r="A2337" s="305">
        <v>43829</v>
      </c>
      <c r="B2337" s="306">
        <v>270.7045</v>
      </c>
      <c r="C2337" s="309">
        <v>3.8552005576705199</v>
      </c>
    </row>
    <row r="2338" spans="1:3" x14ac:dyDescent="0.35">
      <c r="A2338" s="302">
        <v>43828</v>
      </c>
      <c r="B2338" s="303">
        <v>270.69580000000002</v>
      </c>
      <c r="C2338" s="308">
        <v>3.85588707424948</v>
      </c>
    </row>
    <row r="2339" spans="1:3" x14ac:dyDescent="0.35">
      <c r="A2339" s="305">
        <v>43827</v>
      </c>
      <c r="B2339" s="306">
        <v>270.68700000000001</v>
      </c>
      <c r="C2339" s="309">
        <v>3.8565352762766398</v>
      </c>
    </row>
    <row r="2340" spans="1:3" x14ac:dyDescent="0.35">
      <c r="A2340" s="302">
        <v>43826</v>
      </c>
      <c r="B2340" s="303">
        <v>270.67829999999998</v>
      </c>
      <c r="C2340" s="308">
        <v>3.8571820485716102</v>
      </c>
    </row>
    <row r="2341" spans="1:3" x14ac:dyDescent="0.35">
      <c r="A2341" s="305">
        <v>43825</v>
      </c>
      <c r="B2341" s="306">
        <v>270.6696</v>
      </c>
      <c r="C2341" s="309">
        <v>3.85786872149535</v>
      </c>
    </row>
    <row r="2342" spans="1:3" x14ac:dyDescent="0.35">
      <c r="A2342" s="302">
        <v>43824</v>
      </c>
      <c r="B2342" s="303">
        <v>270.66090000000003</v>
      </c>
      <c r="C2342" s="308">
        <v>3.85855544764439</v>
      </c>
    </row>
    <row r="2343" spans="1:3" x14ac:dyDescent="0.35">
      <c r="A2343" s="305">
        <v>43823</v>
      </c>
      <c r="B2343" s="306">
        <v>270.65210000000002</v>
      </c>
      <c r="C2343" s="309">
        <v>3.85920385333268</v>
      </c>
    </row>
    <row r="2344" spans="1:3" x14ac:dyDescent="0.35">
      <c r="A2344" s="302">
        <v>43822</v>
      </c>
      <c r="B2344" s="303">
        <v>270.64339999999999</v>
      </c>
      <c r="C2344" s="308">
        <v>3.8598906844635401</v>
      </c>
    </row>
    <row r="2345" spans="1:3" x14ac:dyDescent="0.35">
      <c r="A2345" s="305">
        <v>43821</v>
      </c>
      <c r="B2345" s="306">
        <v>270.63470000000001</v>
      </c>
      <c r="C2345" s="309">
        <v>3.8605377106254601</v>
      </c>
    </row>
    <row r="2346" spans="1:3" x14ac:dyDescent="0.35">
      <c r="A2346" s="302">
        <v>43820</v>
      </c>
      <c r="B2346" s="303">
        <v>270.6259</v>
      </c>
      <c r="C2346" s="308">
        <v>3.8611862683015801</v>
      </c>
    </row>
    <row r="2347" spans="1:3" x14ac:dyDescent="0.35">
      <c r="A2347" s="305">
        <v>43819</v>
      </c>
      <c r="B2347" s="306">
        <v>270.61720000000003</v>
      </c>
      <c r="C2347" s="309">
        <v>3.8618732558858002</v>
      </c>
    </row>
    <row r="2348" spans="1:3" x14ac:dyDescent="0.35">
      <c r="A2348" s="302">
        <v>43818</v>
      </c>
      <c r="B2348" s="303">
        <v>270.60849999999999</v>
      </c>
      <c r="C2348" s="308">
        <v>3.86256029673208</v>
      </c>
    </row>
    <row r="2349" spans="1:3" x14ac:dyDescent="0.35">
      <c r="A2349" s="305">
        <v>43817</v>
      </c>
      <c r="B2349" s="306">
        <v>270.59980000000002</v>
      </c>
      <c r="C2349" s="309">
        <v>3.8632473908465901</v>
      </c>
    </row>
    <row r="2350" spans="1:3" x14ac:dyDescent="0.35">
      <c r="A2350" s="302">
        <v>43816</v>
      </c>
      <c r="B2350" s="303">
        <v>270.59100000000001</v>
      </c>
      <c r="C2350" s="308">
        <v>3.8638562869470698</v>
      </c>
    </row>
    <row r="2351" spans="1:3" x14ac:dyDescent="0.35">
      <c r="A2351" s="305">
        <v>43815</v>
      </c>
      <c r="B2351" s="306">
        <v>270.58229999999998</v>
      </c>
      <c r="C2351" s="309">
        <v>3.86454348431911</v>
      </c>
    </row>
    <row r="2352" spans="1:3" x14ac:dyDescent="0.35">
      <c r="A2352" s="302">
        <v>43814</v>
      </c>
      <c r="B2352" s="303">
        <v>270.5736</v>
      </c>
      <c r="C2352" s="308">
        <v>3.8652307349777102</v>
      </c>
    </row>
    <row r="2353" spans="1:3" x14ac:dyDescent="0.35">
      <c r="A2353" s="305">
        <v>43813</v>
      </c>
      <c r="B2353" s="306">
        <v>270.55919999999998</v>
      </c>
      <c r="C2353" s="309">
        <v>3.8638495075320298</v>
      </c>
    </row>
    <row r="2354" spans="1:3" x14ac:dyDescent="0.35">
      <c r="A2354" s="302">
        <v>43812</v>
      </c>
      <c r="B2354" s="303">
        <v>270.54480000000001</v>
      </c>
      <c r="C2354" s="308">
        <v>3.8624681697933498</v>
      </c>
    </row>
    <row r="2355" spans="1:3" x14ac:dyDescent="0.35">
      <c r="A2355" s="305">
        <v>43811</v>
      </c>
      <c r="B2355" s="306">
        <v>270.53039999999999</v>
      </c>
      <c r="C2355" s="309">
        <v>3.8610867217484501</v>
      </c>
    </row>
    <row r="2356" spans="1:3" x14ac:dyDescent="0.35">
      <c r="A2356" s="302">
        <v>43810</v>
      </c>
      <c r="B2356" s="303">
        <v>270.51600000000002</v>
      </c>
      <c r="C2356" s="308">
        <v>3.8597051633841102</v>
      </c>
    </row>
    <row r="2357" spans="1:3" x14ac:dyDescent="0.35">
      <c r="A2357" s="305">
        <v>43809</v>
      </c>
      <c r="B2357" s="306">
        <v>270.50150000000002</v>
      </c>
      <c r="C2357" s="309">
        <v>3.8582850999702401</v>
      </c>
    </row>
    <row r="2358" spans="1:3" x14ac:dyDescent="0.35">
      <c r="A2358" s="302">
        <v>43808</v>
      </c>
      <c r="B2358" s="303">
        <v>270.4871</v>
      </c>
      <c r="C2358" s="308">
        <v>3.8569033193942102</v>
      </c>
    </row>
    <row r="2359" spans="1:3" x14ac:dyDescent="0.35">
      <c r="A2359" s="305">
        <v>43807</v>
      </c>
      <c r="B2359" s="306">
        <v>270.47269999999997</v>
      </c>
      <c r="C2359" s="309">
        <v>3.8555613066924299</v>
      </c>
    </row>
    <row r="2360" spans="1:3" x14ac:dyDescent="0.35">
      <c r="A2360" s="302">
        <v>43806</v>
      </c>
      <c r="B2360" s="303">
        <v>270.45830000000001</v>
      </c>
      <c r="C2360" s="308">
        <v>3.8541793064466301</v>
      </c>
    </row>
    <row r="2361" spans="1:3" x14ac:dyDescent="0.35">
      <c r="A2361" s="305">
        <v>43805</v>
      </c>
      <c r="B2361" s="306">
        <v>270.44389999999999</v>
      </c>
      <c r="C2361" s="309">
        <v>3.8527971958152301</v>
      </c>
    </row>
    <row r="2362" spans="1:3" x14ac:dyDescent="0.35">
      <c r="A2362" s="302">
        <v>43804</v>
      </c>
      <c r="B2362" s="303">
        <v>270.42950000000002</v>
      </c>
      <c r="C2362" s="308">
        <v>3.85141497478498</v>
      </c>
    </row>
    <row r="2363" spans="1:3" x14ac:dyDescent="0.35">
      <c r="A2363" s="305">
        <v>43803</v>
      </c>
      <c r="B2363" s="306">
        <v>270.4151</v>
      </c>
      <c r="C2363" s="309">
        <v>3.8500326433426801</v>
      </c>
    </row>
    <row r="2364" spans="1:3" x14ac:dyDescent="0.35">
      <c r="A2364" s="302">
        <v>43802</v>
      </c>
      <c r="B2364" s="303">
        <v>270.40069999999997</v>
      </c>
      <c r="C2364" s="308">
        <v>3.8486502014750799</v>
      </c>
    </row>
    <row r="2365" spans="1:3" x14ac:dyDescent="0.35">
      <c r="A2365" s="305">
        <v>43801</v>
      </c>
      <c r="B2365" s="306">
        <v>270.38619999999997</v>
      </c>
      <c r="C2365" s="309">
        <v>3.8472292421684302</v>
      </c>
    </row>
    <row r="2366" spans="1:3" x14ac:dyDescent="0.35">
      <c r="A2366" s="302">
        <v>43800</v>
      </c>
      <c r="B2366" s="303">
        <v>270.37180000000001</v>
      </c>
      <c r="C2366" s="308">
        <v>3.84584657787638</v>
      </c>
    </row>
    <row r="2367" spans="1:3" x14ac:dyDescent="0.35">
      <c r="A2367" s="305">
        <v>43799</v>
      </c>
      <c r="B2367" s="306">
        <v>270.35739999999998</v>
      </c>
      <c r="C2367" s="309">
        <v>3.8444638031192002</v>
      </c>
    </row>
    <row r="2368" spans="1:3" x14ac:dyDescent="0.35">
      <c r="A2368" s="302">
        <v>43798</v>
      </c>
      <c r="B2368" s="303">
        <v>270.34300000000002</v>
      </c>
      <c r="C2368" s="308">
        <v>3.84308091788367</v>
      </c>
    </row>
    <row r="2369" spans="1:3" x14ac:dyDescent="0.35">
      <c r="A2369" s="305">
        <v>43797</v>
      </c>
      <c r="B2369" s="306">
        <v>270.32859999999999</v>
      </c>
      <c r="C2369" s="309">
        <v>3.8416979221565399</v>
      </c>
    </row>
    <row r="2370" spans="1:3" x14ac:dyDescent="0.35">
      <c r="A2370" s="302">
        <v>43796</v>
      </c>
      <c r="B2370" s="303">
        <v>270.31420000000003</v>
      </c>
      <c r="C2370" s="308">
        <v>3.8403547058568201</v>
      </c>
    </row>
    <row r="2371" spans="1:3" x14ac:dyDescent="0.35">
      <c r="A2371" s="305">
        <v>43795</v>
      </c>
      <c r="B2371" s="306">
        <v>270.2998</v>
      </c>
      <c r="C2371" s="309">
        <v>3.8389714901690999</v>
      </c>
    </row>
    <row r="2372" spans="1:3" x14ac:dyDescent="0.35">
      <c r="A2372" s="302">
        <v>43794</v>
      </c>
      <c r="B2372" s="303">
        <v>270.28539999999998</v>
      </c>
      <c r="C2372" s="308">
        <v>3.83758816395008</v>
      </c>
    </row>
    <row r="2373" spans="1:3" x14ac:dyDescent="0.35">
      <c r="A2373" s="305">
        <v>43793</v>
      </c>
      <c r="B2373" s="306">
        <v>270.27100000000002</v>
      </c>
      <c r="C2373" s="309">
        <v>3.8362047271865301</v>
      </c>
    </row>
    <row r="2374" spans="1:3" x14ac:dyDescent="0.35">
      <c r="A2374" s="302">
        <v>43792</v>
      </c>
      <c r="B2374" s="303">
        <v>270.25659999999999</v>
      </c>
      <c r="C2374" s="308">
        <v>3.8348211798651799</v>
      </c>
    </row>
    <row r="2375" spans="1:3" x14ac:dyDescent="0.35">
      <c r="A2375" s="305">
        <v>43791</v>
      </c>
      <c r="B2375" s="306">
        <v>270.24220000000003</v>
      </c>
      <c r="C2375" s="309">
        <v>3.8334375219727899</v>
      </c>
    </row>
    <row r="2376" spans="1:3" x14ac:dyDescent="0.35">
      <c r="A2376" s="302">
        <v>43790</v>
      </c>
      <c r="B2376" s="303">
        <v>270.2278</v>
      </c>
      <c r="C2376" s="308">
        <v>3.8320537534960901</v>
      </c>
    </row>
    <row r="2377" spans="1:3" x14ac:dyDescent="0.35">
      <c r="A2377" s="305">
        <v>43789</v>
      </c>
      <c r="B2377" s="306">
        <v>270.21339999999998</v>
      </c>
      <c r="C2377" s="309">
        <v>3.8306698744218401</v>
      </c>
    </row>
    <row r="2378" spans="1:3" x14ac:dyDescent="0.35">
      <c r="A2378" s="302">
        <v>43788</v>
      </c>
      <c r="B2378" s="303">
        <v>270.19900000000001</v>
      </c>
      <c r="C2378" s="308">
        <v>3.8292858847367701</v>
      </c>
    </row>
    <row r="2379" spans="1:3" x14ac:dyDescent="0.35">
      <c r="A2379" s="305">
        <v>43787</v>
      </c>
      <c r="B2379" s="306">
        <v>270.18459999999999</v>
      </c>
      <c r="C2379" s="309">
        <v>3.82790178442762</v>
      </c>
    </row>
    <row r="2380" spans="1:3" x14ac:dyDescent="0.35">
      <c r="A2380" s="302">
        <v>43786</v>
      </c>
      <c r="B2380" s="303">
        <v>270.17020000000002</v>
      </c>
      <c r="C2380" s="308">
        <v>3.8265175734811199</v>
      </c>
    </row>
    <row r="2381" spans="1:3" x14ac:dyDescent="0.35">
      <c r="A2381" s="305">
        <v>43785</v>
      </c>
      <c r="B2381" s="306">
        <v>270.1558</v>
      </c>
      <c r="C2381" s="309">
        <v>3.8251332518840102</v>
      </c>
    </row>
    <row r="2382" spans="1:3" x14ac:dyDescent="0.35">
      <c r="A2382" s="302">
        <v>43784</v>
      </c>
      <c r="B2382" s="303">
        <v>270.14139999999998</v>
      </c>
      <c r="C2382" s="308">
        <v>3.8237488196230198</v>
      </c>
    </row>
    <row r="2383" spans="1:3" x14ac:dyDescent="0.35">
      <c r="A2383" s="305">
        <v>43783</v>
      </c>
      <c r="B2383" s="306">
        <v>270.12139999999999</v>
      </c>
      <c r="C2383" s="309">
        <v>3.82140903816566</v>
      </c>
    </row>
    <row r="2384" spans="1:3" x14ac:dyDescent="0.35">
      <c r="A2384" s="302">
        <v>43782</v>
      </c>
      <c r="B2384" s="303">
        <v>270.10140000000001</v>
      </c>
      <c r="C2384" s="308">
        <v>3.8190690156842502</v>
      </c>
    </row>
    <row r="2385" spans="1:3" x14ac:dyDescent="0.35">
      <c r="A2385" s="305">
        <v>43781</v>
      </c>
      <c r="B2385" s="306">
        <v>270.0813</v>
      </c>
      <c r="C2385" s="309">
        <v>3.8166903130899201</v>
      </c>
    </row>
    <row r="2386" spans="1:3" x14ac:dyDescent="0.35">
      <c r="A2386" s="302">
        <v>43780</v>
      </c>
      <c r="B2386" s="303">
        <v>270.06130000000002</v>
      </c>
      <c r="C2386" s="308">
        <v>3.8143498064686301</v>
      </c>
    </row>
    <row r="2387" spans="1:3" x14ac:dyDescent="0.35">
      <c r="A2387" s="305">
        <v>43779</v>
      </c>
      <c r="B2387" s="306">
        <v>270.04129999999998</v>
      </c>
      <c r="C2387" s="309">
        <v>3.81200905871132</v>
      </c>
    </row>
    <row r="2388" spans="1:3" x14ac:dyDescent="0.35">
      <c r="A2388" s="302">
        <v>43778</v>
      </c>
      <c r="B2388" s="303">
        <v>270.0213</v>
      </c>
      <c r="C2388" s="308">
        <v>3.8097079794150099</v>
      </c>
    </row>
    <row r="2389" spans="1:3" x14ac:dyDescent="0.35">
      <c r="A2389" s="305">
        <v>43777</v>
      </c>
      <c r="B2389" s="306">
        <v>270.00130000000001</v>
      </c>
      <c r="C2389" s="309">
        <v>3.8073667504298401</v>
      </c>
    </row>
    <row r="2390" spans="1:3" x14ac:dyDescent="0.35">
      <c r="A2390" s="302">
        <v>43776</v>
      </c>
      <c r="B2390" s="303">
        <v>269.98129999999998</v>
      </c>
      <c r="C2390" s="308">
        <v>3.80502528019686</v>
      </c>
    </row>
    <row r="2391" spans="1:3" x14ac:dyDescent="0.35">
      <c r="A2391" s="305">
        <v>43775</v>
      </c>
      <c r="B2391" s="306">
        <v>269.96129999999999</v>
      </c>
      <c r="C2391" s="309">
        <v>3.8026835686787801</v>
      </c>
    </row>
    <row r="2392" spans="1:3" x14ac:dyDescent="0.35">
      <c r="A2392" s="302">
        <v>43774</v>
      </c>
      <c r="B2392" s="303">
        <v>269.94130000000001</v>
      </c>
      <c r="C2392" s="308">
        <v>3.8003416158382999</v>
      </c>
    </row>
    <row r="2393" spans="1:3" x14ac:dyDescent="0.35">
      <c r="A2393" s="305">
        <v>43773</v>
      </c>
      <c r="B2393" s="306">
        <v>269.92129999999997</v>
      </c>
      <c r="C2393" s="309">
        <v>3.7979994216381199</v>
      </c>
    </row>
    <row r="2394" spans="1:3" x14ac:dyDescent="0.35">
      <c r="A2394" s="302">
        <v>43772</v>
      </c>
      <c r="B2394" s="303">
        <v>269.90129999999999</v>
      </c>
      <c r="C2394" s="308">
        <v>3.7956569860409202</v>
      </c>
    </row>
    <row r="2395" spans="1:3" x14ac:dyDescent="0.35">
      <c r="A2395" s="305">
        <v>43771</v>
      </c>
      <c r="B2395" s="306">
        <v>269.88130000000001</v>
      </c>
      <c r="C2395" s="309">
        <v>3.7933143090093799</v>
      </c>
    </row>
    <row r="2396" spans="1:3" x14ac:dyDescent="0.35">
      <c r="A2396" s="302">
        <v>43770</v>
      </c>
      <c r="B2396" s="303">
        <v>269.86130000000003</v>
      </c>
      <c r="C2396" s="308">
        <v>3.7909713905061699</v>
      </c>
    </row>
    <row r="2397" spans="1:3" x14ac:dyDescent="0.35">
      <c r="A2397" s="305">
        <v>43769</v>
      </c>
      <c r="B2397" s="306">
        <v>269.84129999999999</v>
      </c>
      <c r="C2397" s="309">
        <v>3.7886681505636202</v>
      </c>
    </row>
    <row r="2398" spans="1:3" x14ac:dyDescent="0.35">
      <c r="A2398" s="302">
        <v>43768</v>
      </c>
      <c r="B2398" s="303">
        <v>269.82130000000001</v>
      </c>
      <c r="C2398" s="308">
        <v>3.7863247501612598</v>
      </c>
    </row>
    <row r="2399" spans="1:3" x14ac:dyDescent="0.35">
      <c r="A2399" s="305">
        <v>43767</v>
      </c>
      <c r="B2399" s="306">
        <v>269.80130000000003</v>
      </c>
      <c r="C2399" s="309">
        <v>3.7839811081752401</v>
      </c>
    </row>
    <row r="2400" spans="1:3" x14ac:dyDescent="0.35">
      <c r="A2400" s="302">
        <v>43766</v>
      </c>
      <c r="B2400" s="303">
        <v>269.78129999999999</v>
      </c>
      <c r="C2400" s="308">
        <v>3.78163722456818</v>
      </c>
    </row>
    <row r="2401" spans="1:3" x14ac:dyDescent="0.35">
      <c r="A2401" s="305">
        <v>43765</v>
      </c>
      <c r="B2401" s="306">
        <v>269.76130000000001</v>
      </c>
      <c r="C2401" s="309">
        <v>3.7792930993027198</v>
      </c>
    </row>
    <row r="2402" spans="1:3" x14ac:dyDescent="0.35">
      <c r="A2402" s="302">
        <v>43764</v>
      </c>
      <c r="B2402" s="303">
        <v>269.74130000000002</v>
      </c>
      <c r="C2402" s="308">
        <v>3.7769487323414799</v>
      </c>
    </row>
    <row r="2403" spans="1:3" x14ac:dyDescent="0.35">
      <c r="A2403" s="305">
        <v>43763</v>
      </c>
      <c r="B2403" s="306">
        <v>269.72129999999999</v>
      </c>
      <c r="C2403" s="309">
        <v>3.7746041236470802</v>
      </c>
    </row>
    <row r="2404" spans="1:3" x14ac:dyDescent="0.35">
      <c r="A2404" s="302">
        <v>43762</v>
      </c>
      <c r="B2404" s="303">
        <v>269.7013</v>
      </c>
      <c r="C2404" s="308">
        <v>3.77225927318214</v>
      </c>
    </row>
    <row r="2405" spans="1:3" x14ac:dyDescent="0.35">
      <c r="A2405" s="305">
        <v>43761</v>
      </c>
      <c r="B2405" s="306">
        <v>269.68130000000002</v>
      </c>
      <c r="C2405" s="309">
        <v>3.76991418090924</v>
      </c>
    </row>
    <row r="2406" spans="1:3" x14ac:dyDescent="0.35">
      <c r="A2406" s="302">
        <v>43760</v>
      </c>
      <c r="B2406" s="303">
        <v>269.66140000000001</v>
      </c>
      <c r="C2406" s="308">
        <v>3.76760732749581</v>
      </c>
    </row>
    <row r="2407" spans="1:3" x14ac:dyDescent="0.35">
      <c r="A2407" s="305">
        <v>43759</v>
      </c>
      <c r="B2407" s="306">
        <v>269.64139999999998</v>
      </c>
      <c r="C2407" s="309">
        <v>3.7652617534791202</v>
      </c>
    </row>
    <row r="2408" spans="1:3" x14ac:dyDescent="0.35">
      <c r="A2408" s="302">
        <v>43758</v>
      </c>
      <c r="B2408" s="303">
        <v>269.62139999999999</v>
      </c>
      <c r="C2408" s="308">
        <v>3.7629159375424499</v>
      </c>
    </row>
    <row r="2409" spans="1:3" x14ac:dyDescent="0.35">
      <c r="A2409" s="305">
        <v>43757</v>
      </c>
      <c r="B2409" s="306">
        <v>269.60140000000001</v>
      </c>
      <c r="C2409" s="309">
        <v>3.76056987964837</v>
      </c>
    </row>
    <row r="2410" spans="1:3" x14ac:dyDescent="0.35">
      <c r="A2410" s="302">
        <v>43756</v>
      </c>
      <c r="B2410" s="303">
        <v>269.58139999999997</v>
      </c>
      <c r="C2410" s="308">
        <v>3.7582235797594401</v>
      </c>
    </row>
    <row r="2411" spans="1:3" x14ac:dyDescent="0.35">
      <c r="A2411" s="305">
        <v>43755</v>
      </c>
      <c r="B2411" s="306">
        <v>269.56150000000002</v>
      </c>
      <c r="C2411" s="309">
        <v>3.7559155284667098</v>
      </c>
    </row>
    <row r="2412" spans="1:3" x14ac:dyDescent="0.35">
      <c r="A2412" s="302">
        <v>43754</v>
      </c>
      <c r="B2412" s="303">
        <v>269.54149999999998</v>
      </c>
      <c r="C2412" s="308">
        <v>3.7535687464610898</v>
      </c>
    </row>
    <row r="2413" spans="1:3" x14ac:dyDescent="0.35">
      <c r="A2413" s="305">
        <v>43753</v>
      </c>
      <c r="B2413" s="306">
        <v>269.5215</v>
      </c>
      <c r="C2413" s="309">
        <v>3.7512217223484599</v>
      </c>
    </row>
    <row r="2414" spans="1:3" x14ac:dyDescent="0.35">
      <c r="A2414" s="302">
        <v>43752</v>
      </c>
      <c r="B2414" s="303">
        <v>269.51339999999999</v>
      </c>
      <c r="C2414" s="308">
        <v>3.7522573174426399</v>
      </c>
    </row>
    <row r="2415" spans="1:3" x14ac:dyDescent="0.35">
      <c r="A2415" s="305">
        <v>43751</v>
      </c>
      <c r="B2415" s="306">
        <v>269.50529999999998</v>
      </c>
      <c r="C2415" s="309">
        <v>3.7532929954622798</v>
      </c>
    </row>
    <row r="2416" spans="1:3" x14ac:dyDescent="0.35">
      <c r="A2416" s="302">
        <v>43750</v>
      </c>
      <c r="B2416" s="303">
        <v>269.49720000000002</v>
      </c>
      <c r="C2416" s="308">
        <v>3.75432875641734</v>
      </c>
    </row>
    <row r="2417" spans="1:3" x14ac:dyDescent="0.35">
      <c r="A2417" s="305">
        <v>43749</v>
      </c>
      <c r="B2417" s="306">
        <v>269.48910000000001</v>
      </c>
      <c r="C2417" s="309">
        <v>3.7553646003177898</v>
      </c>
    </row>
    <row r="2418" spans="1:3" x14ac:dyDescent="0.35">
      <c r="A2418" s="302">
        <v>43748</v>
      </c>
      <c r="B2418" s="303">
        <v>269.48099999999999</v>
      </c>
      <c r="C2418" s="308">
        <v>3.7564005271735801</v>
      </c>
    </row>
    <row r="2419" spans="1:3" x14ac:dyDescent="0.35">
      <c r="A2419" s="305">
        <v>43747</v>
      </c>
      <c r="B2419" s="306">
        <v>269.47300000000001</v>
      </c>
      <c r="C2419" s="309">
        <v>3.7574350902375802</v>
      </c>
    </row>
    <row r="2420" spans="1:3" x14ac:dyDescent="0.35">
      <c r="A2420" s="302">
        <v>43746</v>
      </c>
      <c r="B2420" s="303">
        <v>269.4649</v>
      </c>
      <c r="C2420" s="308">
        <v>3.75847118257709</v>
      </c>
    </row>
    <row r="2421" spans="1:3" x14ac:dyDescent="0.35">
      <c r="A2421" s="305">
        <v>43745</v>
      </c>
      <c r="B2421" s="306">
        <v>269.45679999999999</v>
      </c>
      <c r="C2421" s="309">
        <v>3.7595073579017702</v>
      </c>
    </row>
    <row r="2422" spans="1:3" x14ac:dyDescent="0.35">
      <c r="A2422" s="302">
        <v>43744</v>
      </c>
      <c r="B2422" s="303">
        <v>269.44869999999997</v>
      </c>
      <c r="C2422" s="308">
        <v>3.7605436162216099</v>
      </c>
    </row>
    <row r="2423" spans="1:3" x14ac:dyDescent="0.35">
      <c r="A2423" s="305">
        <v>43743</v>
      </c>
      <c r="B2423" s="306">
        <v>269.44060000000002</v>
      </c>
      <c r="C2423" s="309">
        <v>3.7615799575465698</v>
      </c>
    </row>
    <row r="2424" spans="1:3" x14ac:dyDescent="0.35">
      <c r="A2424" s="302">
        <v>43742</v>
      </c>
      <c r="B2424" s="303">
        <v>269.43259999999998</v>
      </c>
      <c r="C2424" s="308">
        <v>3.7626149328455201</v>
      </c>
    </row>
    <row r="2425" spans="1:3" x14ac:dyDescent="0.35">
      <c r="A2425" s="305">
        <v>43741</v>
      </c>
      <c r="B2425" s="306">
        <v>269.42450000000002</v>
      </c>
      <c r="C2425" s="309">
        <v>3.7636514397534202</v>
      </c>
    </row>
    <row r="2426" spans="1:3" x14ac:dyDescent="0.35">
      <c r="A2426" s="302">
        <v>43740</v>
      </c>
      <c r="B2426" s="303">
        <v>269.41640000000001</v>
      </c>
      <c r="C2426" s="308">
        <v>3.7646880296963099</v>
      </c>
    </row>
    <row r="2427" spans="1:3" x14ac:dyDescent="0.35">
      <c r="A2427" s="305">
        <v>43739</v>
      </c>
      <c r="B2427" s="306">
        <v>269.4083</v>
      </c>
      <c r="C2427" s="309">
        <v>3.76572470268415</v>
      </c>
    </row>
    <row r="2428" spans="1:3" x14ac:dyDescent="0.35">
      <c r="A2428" s="302">
        <v>43738</v>
      </c>
      <c r="B2428" s="303">
        <v>269.40019999999998</v>
      </c>
      <c r="C2428" s="308">
        <v>3.7667614587269398</v>
      </c>
    </row>
    <row r="2429" spans="1:3" x14ac:dyDescent="0.35">
      <c r="A2429" s="305">
        <v>43737</v>
      </c>
      <c r="B2429" s="306">
        <v>269.3922</v>
      </c>
      <c r="C2429" s="309">
        <v>3.7677968465078102</v>
      </c>
    </row>
    <row r="2430" spans="1:3" x14ac:dyDescent="0.35">
      <c r="A2430" s="302">
        <v>43736</v>
      </c>
      <c r="B2430" s="303">
        <v>269.38409999999999</v>
      </c>
      <c r="C2430" s="308">
        <v>3.7688337682328399</v>
      </c>
    </row>
    <row r="2431" spans="1:3" x14ac:dyDescent="0.35">
      <c r="A2431" s="305">
        <v>43735</v>
      </c>
      <c r="B2431" s="306">
        <v>269.37599999999998</v>
      </c>
      <c r="C2431" s="309">
        <v>3.7698707730427001</v>
      </c>
    </row>
    <row r="2432" spans="1:3" x14ac:dyDescent="0.35">
      <c r="A2432" s="302">
        <v>43734</v>
      </c>
      <c r="B2432" s="303">
        <v>269.36790000000002</v>
      </c>
      <c r="C2432" s="308">
        <v>3.7709078609473599</v>
      </c>
    </row>
    <row r="2433" spans="1:3" x14ac:dyDescent="0.35">
      <c r="A2433" s="305">
        <v>43733</v>
      </c>
      <c r="B2433" s="306">
        <v>269.35989999999998</v>
      </c>
      <c r="C2433" s="309">
        <v>3.7719835573585399</v>
      </c>
    </row>
    <row r="2434" spans="1:3" x14ac:dyDescent="0.35">
      <c r="A2434" s="302">
        <v>43732</v>
      </c>
      <c r="B2434" s="303">
        <v>269.35180000000003</v>
      </c>
      <c r="C2434" s="308">
        <v>3.7729808324667999</v>
      </c>
    </row>
    <row r="2435" spans="1:3" x14ac:dyDescent="0.35">
      <c r="A2435" s="305">
        <v>43731</v>
      </c>
      <c r="B2435" s="306">
        <v>269.34370000000001</v>
      </c>
      <c r="C2435" s="309">
        <v>3.7740181692579</v>
      </c>
    </row>
    <row r="2436" spans="1:3" x14ac:dyDescent="0.35">
      <c r="A2436" s="302">
        <v>43730</v>
      </c>
      <c r="B2436" s="303">
        <v>269.3356</v>
      </c>
      <c r="C2436" s="308">
        <v>3.7750555891837001</v>
      </c>
    </row>
    <row r="2437" spans="1:3" x14ac:dyDescent="0.35">
      <c r="A2437" s="305">
        <v>43729</v>
      </c>
      <c r="B2437" s="306">
        <v>269.32760000000002</v>
      </c>
      <c r="C2437" s="309">
        <v>3.7761316238163598</v>
      </c>
    </row>
    <row r="2438" spans="1:3" x14ac:dyDescent="0.35">
      <c r="A2438" s="302">
        <v>43728</v>
      </c>
      <c r="B2438" s="303">
        <v>269.31950000000001</v>
      </c>
      <c r="C2438" s="308">
        <v>3.77712922303416</v>
      </c>
    </row>
    <row r="2439" spans="1:3" x14ac:dyDescent="0.35">
      <c r="A2439" s="305">
        <v>43727</v>
      </c>
      <c r="B2439" s="306">
        <v>269.31139999999999</v>
      </c>
      <c r="C2439" s="309">
        <v>3.77816689196584</v>
      </c>
    </row>
    <row r="2440" spans="1:3" x14ac:dyDescent="0.35">
      <c r="A2440" s="302">
        <v>43726</v>
      </c>
      <c r="B2440" s="303">
        <v>269.30329999999998</v>
      </c>
      <c r="C2440" s="308">
        <v>3.7792046440721299</v>
      </c>
    </row>
    <row r="2441" spans="1:3" x14ac:dyDescent="0.35">
      <c r="A2441" s="305">
        <v>43725</v>
      </c>
      <c r="B2441" s="306">
        <v>269.29520000000002</v>
      </c>
      <c r="C2441" s="309">
        <v>3.78024247936305</v>
      </c>
    </row>
    <row r="2442" spans="1:3" x14ac:dyDescent="0.35">
      <c r="A2442" s="302">
        <v>43724</v>
      </c>
      <c r="B2442" s="303">
        <v>269.28719999999998</v>
      </c>
      <c r="C2442" s="308">
        <v>3.7812789405713101</v>
      </c>
    </row>
    <row r="2443" spans="1:3" x14ac:dyDescent="0.35">
      <c r="A2443" s="305">
        <v>43723</v>
      </c>
      <c r="B2443" s="306">
        <v>269.27910000000003</v>
      </c>
      <c r="C2443" s="309">
        <v>3.78231694180301</v>
      </c>
    </row>
    <row r="2444" spans="1:3" x14ac:dyDescent="0.35">
      <c r="A2444" s="302">
        <v>43722</v>
      </c>
      <c r="B2444" s="303">
        <v>269.26</v>
      </c>
      <c r="C2444" s="308">
        <v>3.77063629367021</v>
      </c>
    </row>
    <row r="2445" spans="1:3" x14ac:dyDescent="0.35">
      <c r="A2445" s="305">
        <v>43721</v>
      </c>
      <c r="B2445" s="306">
        <v>269.24090000000001</v>
      </c>
      <c r="C2445" s="309">
        <v>3.7589166316617</v>
      </c>
    </row>
    <row r="2446" spans="1:3" x14ac:dyDescent="0.35">
      <c r="A2446" s="302">
        <v>43720</v>
      </c>
      <c r="B2446" s="303">
        <v>269.22190000000001</v>
      </c>
      <c r="C2446" s="308">
        <v>3.7472364901604198</v>
      </c>
    </row>
    <row r="2447" spans="1:3" x14ac:dyDescent="0.35">
      <c r="A2447" s="305">
        <v>43719</v>
      </c>
      <c r="B2447" s="306">
        <v>269.20280000000002</v>
      </c>
      <c r="C2447" s="309">
        <v>3.7355187955090501</v>
      </c>
    </row>
    <row r="2448" spans="1:3" x14ac:dyDescent="0.35">
      <c r="A2448" s="302">
        <v>43718</v>
      </c>
      <c r="B2448" s="303">
        <v>269.18369999999999</v>
      </c>
      <c r="C2448" s="308">
        <v>3.7238020851596199</v>
      </c>
    </row>
    <row r="2449" spans="1:3" x14ac:dyDescent="0.35">
      <c r="A2449" s="305">
        <v>43717</v>
      </c>
      <c r="B2449" s="306">
        <v>269.16460000000001</v>
      </c>
      <c r="C2449" s="309">
        <v>3.7120863589881101</v>
      </c>
    </row>
    <row r="2450" spans="1:3" x14ac:dyDescent="0.35">
      <c r="A2450" s="302">
        <v>43716</v>
      </c>
      <c r="B2450" s="303">
        <v>269.14550000000003</v>
      </c>
      <c r="C2450" s="308">
        <v>3.7003716168705201</v>
      </c>
    </row>
    <row r="2451" spans="1:3" x14ac:dyDescent="0.35">
      <c r="A2451" s="305">
        <v>43715</v>
      </c>
      <c r="B2451" s="306">
        <v>269.12639999999999</v>
      </c>
      <c r="C2451" s="309">
        <v>3.6886578586828702</v>
      </c>
    </row>
    <row r="2452" spans="1:3" x14ac:dyDescent="0.35">
      <c r="A2452" s="302">
        <v>43714</v>
      </c>
      <c r="B2452" s="303">
        <v>269.10739999999998</v>
      </c>
      <c r="C2452" s="308">
        <v>3.67698361054895</v>
      </c>
    </row>
    <row r="2453" spans="1:3" x14ac:dyDescent="0.35">
      <c r="A2453" s="305">
        <v>43713</v>
      </c>
      <c r="B2453" s="306">
        <v>269.0883</v>
      </c>
      <c r="C2453" s="309">
        <v>3.6652718182315498</v>
      </c>
    </row>
    <row r="2454" spans="1:3" x14ac:dyDescent="0.35">
      <c r="A2454" s="302">
        <v>43712</v>
      </c>
      <c r="B2454" s="303">
        <v>269.06920000000002</v>
      </c>
      <c r="C2454" s="308">
        <v>3.65356100947242</v>
      </c>
    </row>
    <row r="2455" spans="1:3" x14ac:dyDescent="0.35">
      <c r="A2455" s="305">
        <v>43711</v>
      </c>
      <c r="B2455" s="306">
        <v>269.05009999999999</v>
      </c>
      <c r="C2455" s="309">
        <v>3.6418911084497099</v>
      </c>
    </row>
    <row r="2456" spans="1:3" x14ac:dyDescent="0.35">
      <c r="A2456" s="302">
        <v>43710</v>
      </c>
      <c r="B2456" s="303">
        <v>269.03109999999998</v>
      </c>
      <c r="C2456" s="308">
        <v>3.6302207800412001</v>
      </c>
    </row>
    <row r="2457" spans="1:3" x14ac:dyDescent="0.35">
      <c r="A2457" s="305">
        <v>43709</v>
      </c>
      <c r="B2457" s="306">
        <v>269.012</v>
      </c>
      <c r="C2457" s="309">
        <v>3.6185129134107599</v>
      </c>
    </row>
    <row r="2458" spans="1:3" x14ac:dyDescent="0.35">
      <c r="A2458" s="302">
        <v>43708</v>
      </c>
      <c r="B2458" s="303">
        <v>268.99290000000002</v>
      </c>
      <c r="C2458" s="308">
        <v>3.60680602984417</v>
      </c>
    </row>
    <row r="2459" spans="1:3" x14ac:dyDescent="0.35">
      <c r="A2459" s="305">
        <v>43707</v>
      </c>
      <c r="B2459" s="306">
        <v>268.97390000000001</v>
      </c>
      <c r="C2459" s="309">
        <v>3.5951386441585398</v>
      </c>
    </row>
    <row r="2460" spans="1:3" x14ac:dyDescent="0.35">
      <c r="A2460" s="302">
        <v>43706</v>
      </c>
      <c r="B2460" s="303">
        <v>268.95479999999998</v>
      </c>
      <c r="C2460" s="308">
        <v>3.5834337247314099</v>
      </c>
    </row>
    <row r="2461" spans="1:3" x14ac:dyDescent="0.35">
      <c r="A2461" s="305">
        <v>43705</v>
      </c>
      <c r="B2461" s="306">
        <v>268.9357</v>
      </c>
      <c r="C2461" s="309">
        <v>3.5717297879969001</v>
      </c>
    </row>
    <row r="2462" spans="1:3" x14ac:dyDescent="0.35">
      <c r="A2462" s="302">
        <v>43704</v>
      </c>
      <c r="B2462" s="303">
        <v>268.91669999999999</v>
      </c>
      <c r="C2462" s="308">
        <v>3.5600653439220702</v>
      </c>
    </row>
    <row r="2463" spans="1:3" x14ac:dyDescent="0.35">
      <c r="A2463" s="305">
        <v>43703</v>
      </c>
      <c r="B2463" s="306">
        <v>268.89760000000001</v>
      </c>
      <c r="C2463" s="309">
        <v>3.5483633705851498</v>
      </c>
    </row>
    <row r="2464" spans="1:3" x14ac:dyDescent="0.35">
      <c r="A2464" s="302">
        <v>43702</v>
      </c>
      <c r="B2464" s="303">
        <v>268.87849999999997</v>
      </c>
      <c r="C2464" s="308">
        <v>3.5366623795697998</v>
      </c>
    </row>
    <row r="2465" spans="1:3" x14ac:dyDescent="0.35">
      <c r="A2465" s="305">
        <v>43701</v>
      </c>
      <c r="B2465" s="306">
        <v>268.85950000000003</v>
      </c>
      <c r="C2465" s="309">
        <v>3.5250008759942499</v>
      </c>
    </row>
    <row r="2466" spans="1:3" x14ac:dyDescent="0.35">
      <c r="A2466" s="302">
        <v>43700</v>
      </c>
      <c r="B2466" s="303">
        <v>268.84039999999999</v>
      </c>
      <c r="C2466" s="308">
        <v>3.51330184763499</v>
      </c>
    </row>
    <row r="2467" spans="1:3" x14ac:dyDescent="0.35">
      <c r="A2467" s="305">
        <v>43699</v>
      </c>
      <c r="B2467" s="306">
        <v>268.82139999999998</v>
      </c>
      <c r="C2467" s="309">
        <v>3.5016423032364399</v>
      </c>
    </row>
    <row r="2468" spans="1:3" x14ac:dyDescent="0.35">
      <c r="A2468" s="302">
        <v>43698</v>
      </c>
      <c r="B2468" s="303">
        <v>268.8023</v>
      </c>
      <c r="C2468" s="308">
        <v>3.4899452370392301</v>
      </c>
    </row>
    <row r="2469" spans="1:3" x14ac:dyDescent="0.35">
      <c r="A2469" s="305">
        <v>43697</v>
      </c>
      <c r="B2469" s="306">
        <v>268.7833</v>
      </c>
      <c r="C2469" s="309">
        <v>3.4782876513242602</v>
      </c>
    </row>
    <row r="2470" spans="1:3" x14ac:dyDescent="0.35">
      <c r="A2470" s="302">
        <v>43696</v>
      </c>
      <c r="B2470" s="303">
        <v>268.76420000000002</v>
      </c>
      <c r="C2470" s="308">
        <v>3.4665925467952299</v>
      </c>
    </row>
    <row r="2471" spans="1:3" x14ac:dyDescent="0.35">
      <c r="A2471" s="305">
        <v>43695</v>
      </c>
      <c r="B2471" s="306">
        <v>268.74509999999998</v>
      </c>
      <c r="C2471" s="309">
        <v>3.4548984237228</v>
      </c>
    </row>
    <row r="2472" spans="1:3" x14ac:dyDescent="0.35">
      <c r="A2472" s="302">
        <v>43694</v>
      </c>
      <c r="B2472" s="303">
        <v>268.72609999999997</v>
      </c>
      <c r="C2472" s="308">
        <v>3.4432437759160401</v>
      </c>
    </row>
    <row r="2473" spans="1:3" x14ac:dyDescent="0.35">
      <c r="A2473" s="305">
        <v>43693</v>
      </c>
      <c r="B2473" s="306">
        <v>268.70699999999999</v>
      </c>
      <c r="C2473" s="309">
        <v>3.4315516137711701</v>
      </c>
    </row>
    <row r="2474" spans="1:3" x14ac:dyDescent="0.35">
      <c r="A2474" s="302">
        <v>43692</v>
      </c>
      <c r="B2474" s="303">
        <v>268.68799999999999</v>
      </c>
      <c r="C2474" s="308">
        <v>3.4198989234150501</v>
      </c>
    </row>
    <row r="2475" spans="1:3" x14ac:dyDescent="0.35">
      <c r="A2475" s="305">
        <v>43691</v>
      </c>
      <c r="B2475" s="306">
        <v>268.66460000000001</v>
      </c>
      <c r="C2475" s="309">
        <v>3.41586778577354</v>
      </c>
    </row>
    <row r="2476" spans="1:3" x14ac:dyDescent="0.35">
      <c r="A2476" s="302">
        <v>43690</v>
      </c>
      <c r="B2476" s="303">
        <v>268.6413</v>
      </c>
      <c r="C2476" s="308">
        <v>3.41191456240119</v>
      </c>
    </row>
    <row r="2477" spans="1:3" x14ac:dyDescent="0.35">
      <c r="A2477" s="305">
        <v>43689</v>
      </c>
      <c r="B2477" s="306">
        <v>268.61790000000002</v>
      </c>
      <c r="C2477" s="309">
        <v>3.4079224592353201</v>
      </c>
    </row>
    <row r="2478" spans="1:3" x14ac:dyDescent="0.35">
      <c r="A2478" s="302">
        <v>43688</v>
      </c>
      <c r="B2478" s="303">
        <v>268.59449999999998</v>
      </c>
      <c r="C2478" s="308">
        <v>3.40389016018307</v>
      </c>
    </row>
    <row r="2479" spans="1:3" x14ac:dyDescent="0.35">
      <c r="A2479" s="305">
        <v>43687</v>
      </c>
      <c r="B2479" s="306">
        <v>268.57119999999998</v>
      </c>
      <c r="C2479" s="309">
        <v>3.3999357819852301</v>
      </c>
    </row>
    <row r="2480" spans="1:3" x14ac:dyDescent="0.35">
      <c r="A2480" s="302">
        <v>43686</v>
      </c>
      <c r="B2480" s="303">
        <v>268.5478</v>
      </c>
      <c r="C2480" s="308">
        <v>3.3959027088754898</v>
      </c>
    </row>
    <row r="2481" spans="1:3" x14ac:dyDescent="0.35">
      <c r="A2481" s="305">
        <v>43685</v>
      </c>
      <c r="B2481" s="306">
        <v>268.52449999999999</v>
      </c>
      <c r="C2481" s="309">
        <v>3.3919475610004999</v>
      </c>
    </row>
    <row r="2482" spans="1:3" x14ac:dyDescent="0.35">
      <c r="A2482" s="302">
        <v>43684</v>
      </c>
      <c r="B2482" s="303">
        <v>268.50110000000001</v>
      </c>
      <c r="C2482" s="308">
        <v>3.3879535237435099</v>
      </c>
    </row>
    <row r="2483" spans="1:3" x14ac:dyDescent="0.35">
      <c r="A2483" s="305">
        <v>43683</v>
      </c>
      <c r="B2483" s="306">
        <v>268.4778</v>
      </c>
      <c r="C2483" s="309">
        <v>3.3839577958334899</v>
      </c>
    </row>
    <row r="2484" spans="1:3" x14ac:dyDescent="0.35">
      <c r="A2484" s="302">
        <v>43682</v>
      </c>
      <c r="B2484" s="303">
        <v>268.45440000000002</v>
      </c>
      <c r="C2484" s="308">
        <v>3.3799629848419599</v>
      </c>
    </row>
    <row r="2485" spans="1:3" x14ac:dyDescent="0.35">
      <c r="A2485" s="305">
        <v>43681</v>
      </c>
      <c r="B2485" s="306">
        <v>268.43110000000001</v>
      </c>
      <c r="C2485" s="309">
        <v>3.3759664860364298</v>
      </c>
    </row>
    <row r="2486" spans="1:3" x14ac:dyDescent="0.35">
      <c r="A2486" s="302">
        <v>43680</v>
      </c>
      <c r="B2486" s="303">
        <v>268.40769999999998</v>
      </c>
      <c r="C2486" s="308">
        <v>3.3719709010857999</v>
      </c>
    </row>
    <row r="2487" spans="1:3" x14ac:dyDescent="0.35">
      <c r="A2487" s="305">
        <v>43679</v>
      </c>
      <c r="B2487" s="306">
        <v>268.38440000000003</v>
      </c>
      <c r="C2487" s="309">
        <v>3.3679736311613202</v>
      </c>
    </row>
    <row r="2488" spans="1:3" x14ac:dyDescent="0.35">
      <c r="A2488" s="302">
        <v>43678</v>
      </c>
      <c r="B2488" s="303">
        <v>268.36099999999999</v>
      </c>
      <c r="C2488" s="308">
        <v>3.3639772720269701</v>
      </c>
    </row>
    <row r="2489" spans="1:3" x14ac:dyDescent="0.35">
      <c r="A2489" s="305">
        <v>43677</v>
      </c>
      <c r="B2489" s="306">
        <v>268.33769999999998</v>
      </c>
      <c r="C2489" s="309">
        <v>3.3599792307600498</v>
      </c>
    </row>
    <row r="2490" spans="1:3" x14ac:dyDescent="0.35">
      <c r="A2490" s="302">
        <v>43676</v>
      </c>
      <c r="B2490" s="303">
        <v>268.3143</v>
      </c>
      <c r="C2490" s="308">
        <v>3.3559820972172401</v>
      </c>
    </row>
    <row r="2491" spans="1:3" x14ac:dyDescent="0.35">
      <c r="A2491" s="305">
        <v>43675</v>
      </c>
      <c r="B2491" s="306">
        <v>268.291</v>
      </c>
      <c r="C2491" s="309">
        <v>3.3519832843842701</v>
      </c>
    </row>
    <row r="2492" spans="1:3" x14ac:dyDescent="0.35">
      <c r="A2492" s="302">
        <v>43674</v>
      </c>
      <c r="B2492" s="303">
        <v>268.26769999999999</v>
      </c>
      <c r="C2492" s="308">
        <v>3.3480239004226102</v>
      </c>
    </row>
    <row r="2493" spans="1:3" x14ac:dyDescent="0.35">
      <c r="A2493" s="305">
        <v>43673</v>
      </c>
      <c r="B2493" s="306">
        <v>268.24430000000001</v>
      </c>
      <c r="C2493" s="309">
        <v>3.3439857915855198</v>
      </c>
    </row>
    <row r="2494" spans="1:3" x14ac:dyDescent="0.35">
      <c r="A2494" s="302">
        <v>43672</v>
      </c>
      <c r="B2494" s="303">
        <v>268.221</v>
      </c>
      <c r="C2494" s="308">
        <v>3.3400256364912</v>
      </c>
    </row>
    <row r="2495" spans="1:3" x14ac:dyDescent="0.35">
      <c r="A2495" s="305">
        <v>43671</v>
      </c>
      <c r="B2495" s="306">
        <v>268.1977</v>
      </c>
      <c r="C2495" s="309">
        <v>3.3360252817106</v>
      </c>
    </row>
    <row r="2496" spans="1:3" x14ac:dyDescent="0.35">
      <c r="A2496" s="302">
        <v>43670</v>
      </c>
      <c r="B2496" s="303">
        <v>268.17430000000002</v>
      </c>
      <c r="C2496" s="308">
        <v>3.3320258254638802</v>
      </c>
    </row>
    <row r="2497" spans="1:3" x14ac:dyDescent="0.35">
      <c r="A2497" s="305">
        <v>43669</v>
      </c>
      <c r="B2497" s="306">
        <v>268.15100000000001</v>
      </c>
      <c r="C2497" s="309">
        <v>3.3280246984462898</v>
      </c>
    </row>
    <row r="2498" spans="1:3" x14ac:dyDescent="0.35">
      <c r="A2498" s="302">
        <v>43668</v>
      </c>
      <c r="B2498" s="303">
        <v>268.1277</v>
      </c>
      <c r="C2498" s="308">
        <v>3.3240630022847601</v>
      </c>
    </row>
    <row r="2499" spans="1:3" x14ac:dyDescent="0.35">
      <c r="A2499" s="305">
        <v>43667</v>
      </c>
      <c r="B2499" s="306">
        <v>268.1044</v>
      </c>
      <c r="C2499" s="309">
        <v>3.3200611046625399</v>
      </c>
    </row>
    <row r="2500" spans="1:3" x14ac:dyDescent="0.35">
      <c r="A2500" s="302">
        <v>43666</v>
      </c>
      <c r="B2500" s="303">
        <v>268.08109999999999</v>
      </c>
      <c r="C2500" s="308">
        <v>3.3160986385670199</v>
      </c>
    </row>
    <row r="2501" spans="1:3" x14ac:dyDescent="0.35">
      <c r="A2501" s="305">
        <v>43665</v>
      </c>
      <c r="B2501" s="306">
        <v>268.05770000000001</v>
      </c>
      <c r="C2501" s="309">
        <v>3.3120574291395202</v>
      </c>
    </row>
    <row r="2502" spans="1:3" x14ac:dyDescent="0.35">
      <c r="A2502" s="302">
        <v>43664</v>
      </c>
      <c r="B2502" s="303">
        <v>268.03440000000001</v>
      </c>
      <c r="C2502" s="308">
        <v>3.3080941910145101</v>
      </c>
    </row>
    <row r="2503" spans="1:3" x14ac:dyDescent="0.35">
      <c r="A2503" s="305">
        <v>43663</v>
      </c>
      <c r="B2503" s="306">
        <v>268.0111</v>
      </c>
      <c r="C2503" s="309">
        <v>3.3040907496559901</v>
      </c>
    </row>
    <row r="2504" spans="1:3" x14ac:dyDescent="0.35">
      <c r="A2504" s="302">
        <v>43662</v>
      </c>
      <c r="B2504" s="303">
        <v>267.98779999999999</v>
      </c>
      <c r="C2504" s="308">
        <v>3.3001267411489299</v>
      </c>
    </row>
    <row r="2505" spans="1:3" x14ac:dyDescent="0.35">
      <c r="A2505" s="305">
        <v>43661</v>
      </c>
      <c r="B2505" s="306">
        <v>267.96449999999999</v>
      </c>
      <c r="C2505" s="309">
        <v>3.29612252851524</v>
      </c>
    </row>
    <row r="2506" spans="1:3" x14ac:dyDescent="0.35">
      <c r="A2506" s="302">
        <v>43660</v>
      </c>
      <c r="B2506" s="303">
        <v>267.93689999999998</v>
      </c>
      <c r="C2506" s="308">
        <v>3.2940839030302702</v>
      </c>
    </row>
    <row r="2507" spans="1:3" x14ac:dyDescent="0.35">
      <c r="A2507" s="305">
        <v>43659</v>
      </c>
      <c r="B2507" s="306">
        <v>267.9092</v>
      </c>
      <c r="C2507" s="309">
        <v>3.2920063831419699</v>
      </c>
    </row>
    <row r="2508" spans="1:3" x14ac:dyDescent="0.35">
      <c r="A2508" s="302">
        <v>43658</v>
      </c>
      <c r="B2508" s="303">
        <v>267.88159999999999</v>
      </c>
      <c r="C2508" s="308">
        <v>3.2899272486670501</v>
      </c>
    </row>
    <row r="2509" spans="1:3" x14ac:dyDescent="0.35">
      <c r="A2509" s="305">
        <v>43657</v>
      </c>
      <c r="B2509" s="306">
        <v>267.85399999999998</v>
      </c>
      <c r="C2509" s="309">
        <v>3.28788759854331</v>
      </c>
    </row>
    <row r="2510" spans="1:3" x14ac:dyDescent="0.35">
      <c r="A2510" s="302">
        <v>43656</v>
      </c>
      <c r="B2510" s="303">
        <v>267.8263</v>
      </c>
      <c r="C2510" s="308">
        <v>3.2858090441408998</v>
      </c>
    </row>
    <row r="2511" spans="1:3" x14ac:dyDescent="0.35">
      <c r="A2511" s="305">
        <v>43655</v>
      </c>
      <c r="B2511" s="306">
        <v>267.7987</v>
      </c>
      <c r="C2511" s="309">
        <v>3.28376871111413</v>
      </c>
    </row>
    <row r="2512" spans="1:3" x14ac:dyDescent="0.35">
      <c r="A2512" s="302">
        <v>43654</v>
      </c>
      <c r="B2512" s="303">
        <v>267.77109999999999</v>
      </c>
      <c r="C2512" s="308">
        <v>3.28172803811422</v>
      </c>
    </row>
    <row r="2513" spans="1:3" x14ac:dyDescent="0.35">
      <c r="A2513" s="305">
        <v>43653</v>
      </c>
      <c r="B2513" s="306">
        <v>267.74340000000001</v>
      </c>
      <c r="C2513" s="309">
        <v>3.27964845094067</v>
      </c>
    </row>
    <row r="2514" spans="1:3" x14ac:dyDescent="0.35">
      <c r="A2514" s="302">
        <v>43652</v>
      </c>
      <c r="B2514" s="303">
        <v>267.7158</v>
      </c>
      <c r="C2514" s="308">
        <v>3.2775672527975299</v>
      </c>
    </row>
    <row r="2515" spans="1:3" x14ac:dyDescent="0.35">
      <c r="A2515" s="305">
        <v>43651</v>
      </c>
      <c r="B2515" s="306">
        <v>267.68819999999999</v>
      </c>
      <c r="C2515" s="309">
        <v>3.2755255536209602</v>
      </c>
    </row>
    <row r="2516" spans="1:3" x14ac:dyDescent="0.35">
      <c r="A2516" s="302">
        <v>43650</v>
      </c>
      <c r="B2516" s="303">
        <v>267.66059999999999</v>
      </c>
      <c r="C2516" s="308">
        <v>3.27348351413033</v>
      </c>
    </row>
    <row r="2517" spans="1:3" x14ac:dyDescent="0.35">
      <c r="A2517" s="305">
        <v>43649</v>
      </c>
      <c r="B2517" s="306">
        <v>267.63299999999998</v>
      </c>
      <c r="C2517" s="309">
        <v>3.2714012849452998</v>
      </c>
    </row>
    <row r="2518" spans="1:3" x14ac:dyDescent="0.35">
      <c r="A2518" s="302">
        <v>43648</v>
      </c>
      <c r="B2518" s="303">
        <v>267.60539999999997</v>
      </c>
      <c r="C2518" s="308">
        <v>3.26935856203793</v>
      </c>
    </row>
    <row r="2519" spans="1:3" x14ac:dyDescent="0.35">
      <c r="A2519" s="305">
        <v>43647</v>
      </c>
      <c r="B2519" s="306">
        <v>267.57769999999999</v>
      </c>
      <c r="C2519" s="309">
        <v>3.2672769051814701</v>
      </c>
    </row>
    <row r="2520" spans="1:3" x14ac:dyDescent="0.35">
      <c r="A2520" s="302">
        <v>43646</v>
      </c>
      <c r="B2520" s="303">
        <v>267.55009999999999</v>
      </c>
      <c r="C2520" s="308">
        <v>3.2651936409815399</v>
      </c>
    </row>
    <row r="2521" spans="1:3" x14ac:dyDescent="0.35">
      <c r="A2521" s="305">
        <v>43645</v>
      </c>
      <c r="B2521" s="306">
        <v>267.52249999999998</v>
      </c>
      <c r="C2521" s="309">
        <v>3.26314989035727</v>
      </c>
    </row>
    <row r="2522" spans="1:3" x14ac:dyDescent="0.35">
      <c r="A2522" s="302">
        <v>43644</v>
      </c>
      <c r="B2522" s="303">
        <v>267.49489999999997</v>
      </c>
      <c r="C2522" s="308">
        <v>3.2611057989068399</v>
      </c>
    </row>
    <row r="2523" spans="1:3" x14ac:dyDescent="0.35">
      <c r="A2523" s="305">
        <v>43643</v>
      </c>
      <c r="B2523" s="306">
        <v>267.46730000000002</v>
      </c>
      <c r="C2523" s="309">
        <v>3.2590215021217999</v>
      </c>
    </row>
    <row r="2524" spans="1:3" x14ac:dyDescent="0.35">
      <c r="A2524" s="302">
        <v>43642</v>
      </c>
      <c r="B2524" s="303">
        <v>267.43970000000002</v>
      </c>
      <c r="C2524" s="308">
        <v>3.2569767262281699</v>
      </c>
    </row>
    <row r="2525" spans="1:3" x14ac:dyDescent="0.35">
      <c r="A2525" s="305">
        <v>43641</v>
      </c>
      <c r="B2525" s="306">
        <v>267.41219999999998</v>
      </c>
      <c r="C2525" s="309">
        <v>3.25493035243694</v>
      </c>
    </row>
    <row r="2526" spans="1:3" x14ac:dyDescent="0.35">
      <c r="A2526" s="302">
        <v>43640</v>
      </c>
      <c r="B2526" s="303">
        <v>267.38459999999998</v>
      </c>
      <c r="C2526" s="308">
        <v>3.25288489497835</v>
      </c>
    </row>
    <row r="2527" spans="1:3" x14ac:dyDescent="0.35">
      <c r="A2527" s="305">
        <v>43639</v>
      </c>
      <c r="B2527" s="306">
        <v>267.35700000000003</v>
      </c>
      <c r="C2527" s="309">
        <v>3.2507992217484101</v>
      </c>
    </row>
    <row r="2528" spans="1:3" x14ac:dyDescent="0.35">
      <c r="A2528" s="302">
        <v>43638</v>
      </c>
      <c r="B2528" s="303">
        <v>267.32940000000002</v>
      </c>
      <c r="C2528" s="308">
        <v>3.2487530791625798</v>
      </c>
    </row>
    <row r="2529" spans="1:3" x14ac:dyDescent="0.35">
      <c r="A2529" s="305">
        <v>43637</v>
      </c>
      <c r="B2529" s="306">
        <v>267.30180000000001</v>
      </c>
      <c r="C2529" s="309">
        <v>3.2466667155922999</v>
      </c>
    </row>
    <row r="2530" spans="1:3" x14ac:dyDescent="0.35">
      <c r="A2530" s="302">
        <v>43636</v>
      </c>
      <c r="B2530" s="303">
        <v>267.27420000000001</v>
      </c>
      <c r="C2530" s="308">
        <v>3.2446198875363299</v>
      </c>
    </row>
    <row r="2531" spans="1:3" x14ac:dyDescent="0.35">
      <c r="A2531" s="305">
        <v>43635</v>
      </c>
      <c r="B2531" s="306">
        <v>267.24669999999998</v>
      </c>
      <c r="C2531" s="309">
        <v>3.2425714652165798</v>
      </c>
    </row>
    <row r="2532" spans="1:3" x14ac:dyDescent="0.35">
      <c r="A2532" s="302">
        <v>43634</v>
      </c>
      <c r="B2532" s="303">
        <v>267.21910000000003</v>
      </c>
      <c r="C2532" s="308">
        <v>3.2405239545712301</v>
      </c>
    </row>
    <row r="2533" spans="1:3" x14ac:dyDescent="0.35">
      <c r="A2533" s="305">
        <v>43633</v>
      </c>
      <c r="B2533" s="306">
        <v>267.19150000000002</v>
      </c>
      <c r="C2533" s="309">
        <v>3.23843621249712</v>
      </c>
    </row>
    <row r="2534" spans="1:3" x14ac:dyDescent="0.35">
      <c r="A2534" s="302">
        <v>43632</v>
      </c>
      <c r="B2534" s="303">
        <v>267.16399999999999</v>
      </c>
      <c r="C2534" s="308">
        <v>3.2364266572896399</v>
      </c>
    </row>
    <row r="2535" spans="1:3" x14ac:dyDescent="0.35">
      <c r="A2535" s="305">
        <v>43631</v>
      </c>
      <c r="B2535" s="306">
        <v>267.13639999999998</v>
      </c>
      <c r="C2535" s="309">
        <v>3.23433822705368</v>
      </c>
    </row>
    <row r="2536" spans="1:3" x14ac:dyDescent="0.35">
      <c r="A2536" s="302">
        <v>43630</v>
      </c>
      <c r="B2536" s="303">
        <v>267.09350000000001</v>
      </c>
      <c r="C2536" s="308">
        <v>3.2330390868890801</v>
      </c>
    </row>
    <row r="2537" spans="1:3" x14ac:dyDescent="0.35">
      <c r="A2537" s="305">
        <v>43629</v>
      </c>
      <c r="B2537" s="306">
        <v>267.0505</v>
      </c>
      <c r="C2537" s="309">
        <v>3.23170090579318</v>
      </c>
    </row>
    <row r="2538" spans="1:3" x14ac:dyDescent="0.35">
      <c r="A2538" s="302">
        <v>43628</v>
      </c>
      <c r="B2538" s="303">
        <v>267.00749999999999</v>
      </c>
      <c r="C2538" s="308">
        <v>3.2303623283940102</v>
      </c>
    </row>
    <row r="2539" spans="1:3" x14ac:dyDescent="0.35">
      <c r="A2539" s="305">
        <v>43627</v>
      </c>
      <c r="B2539" s="306">
        <v>266.96460000000002</v>
      </c>
      <c r="C2539" s="309">
        <v>3.2290620222122701</v>
      </c>
    </row>
    <row r="2540" spans="1:3" x14ac:dyDescent="0.35">
      <c r="A2540" s="302">
        <v>43626</v>
      </c>
      <c r="B2540" s="303">
        <v>266.92160000000001</v>
      </c>
      <c r="C2540" s="308">
        <v>3.2277226574056699</v>
      </c>
    </row>
    <row r="2541" spans="1:3" x14ac:dyDescent="0.35">
      <c r="A2541" s="305">
        <v>43625</v>
      </c>
      <c r="B2541" s="306">
        <v>266.87869999999998</v>
      </c>
      <c r="C2541" s="309">
        <v>3.22642157492229</v>
      </c>
    </row>
    <row r="2542" spans="1:3" x14ac:dyDescent="0.35">
      <c r="A2542" s="302">
        <v>43624</v>
      </c>
      <c r="B2542" s="303">
        <v>266.83580000000001</v>
      </c>
      <c r="C2542" s="308">
        <v>3.22512010689407</v>
      </c>
    </row>
    <row r="2543" spans="1:3" x14ac:dyDescent="0.35">
      <c r="A2543" s="305">
        <v>43623</v>
      </c>
      <c r="B2543" s="306">
        <v>266.7928</v>
      </c>
      <c r="C2543" s="309">
        <v>3.22373962463152</v>
      </c>
    </row>
    <row r="2544" spans="1:3" x14ac:dyDescent="0.35">
      <c r="A2544" s="302">
        <v>43622</v>
      </c>
      <c r="B2544" s="303">
        <v>266.74990000000003</v>
      </c>
      <c r="C2544" s="308">
        <v>3.2224373738499401</v>
      </c>
    </row>
    <row r="2545" spans="1:3" x14ac:dyDescent="0.35">
      <c r="A2545" s="305">
        <v>43621</v>
      </c>
      <c r="B2545" s="306">
        <v>266.70699999999999</v>
      </c>
      <c r="C2545" s="309">
        <v>3.2210947883036201</v>
      </c>
    </row>
    <row r="2546" spans="1:3" x14ac:dyDescent="0.35">
      <c r="A2546" s="302">
        <v>43620</v>
      </c>
      <c r="B2546" s="303">
        <v>266.66410000000002</v>
      </c>
      <c r="C2546" s="308">
        <v>3.2197917598073</v>
      </c>
    </row>
    <row r="2547" spans="1:3" x14ac:dyDescent="0.35">
      <c r="A2547" s="305">
        <v>43619</v>
      </c>
      <c r="B2547" s="306">
        <v>266.62119999999999</v>
      </c>
      <c r="C2547" s="309">
        <v>3.21844838539463</v>
      </c>
    </row>
    <row r="2548" spans="1:3" x14ac:dyDescent="0.35">
      <c r="A2548" s="302">
        <v>43618</v>
      </c>
      <c r="B2548" s="303">
        <v>266.57830000000001</v>
      </c>
      <c r="C2548" s="308">
        <v>3.2171445784905202</v>
      </c>
    </row>
    <row r="2549" spans="1:3" x14ac:dyDescent="0.35">
      <c r="A2549" s="305">
        <v>43617</v>
      </c>
      <c r="B2549" s="306">
        <v>266.53539999999998</v>
      </c>
      <c r="C2549" s="309">
        <v>3.2158004145122701</v>
      </c>
    </row>
    <row r="2550" spans="1:3" x14ac:dyDescent="0.35">
      <c r="A2550" s="302">
        <v>43616</v>
      </c>
      <c r="B2550" s="303">
        <v>266.49250000000001</v>
      </c>
      <c r="C2550" s="308">
        <v>3.2144558527922902</v>
      </c>
    </row>
    <row r="2551" spans="1:3" x14ac:dyDescent="0.35">
      <c r="A2551" s="305">
        <v>43615</v>
      </c>
      <c r="B2551" s="306">
        <v>266.44970000000001</v>
      </c>
      <c r="C2551" s="309">
        <v>3.2131896107256601</v>
      </c>
    </row>
    <row r="2552" spans="1:3" x14ac:dyDescent="0.35">
      <c r="A2552" s="302">
        <v>43614</v>
      </c>
      <c r="B2552" s="303">
        <v>266.40679999999998</v>
      </c>
      <c r="C2552" s="308">
        <v>3.2118442641210501</v>
      </c>
    </row>
    <row r="2553" spans="1:3" x14ac:dyDescent="0.35">
      <c r="A2553" s="305">
        <v>43613</v>
      </c>
      <c r="B2553" s="306">
        <v>266.3639</v>
      </c>
      <c r="C2553" s="309">
        <v>3.2104985192478401</v>
      </c>
    </row>
    <row r="2554" spans="1:3" x14ac:dyDescent="0.35">
      <c r="A2554" s="302">
        <v>43612</v>
      </c>
      <c r="B2554" s="303">
        <v>266.3211</v>
      </c>
      <c r="C2554" s="308">
        <v>3.2091911295957498</v>
      </c>
    </row>
    <row r="2555" spans="1:3" x14ac:dyDescent="0.35">
      <c r="A2555" s="305">
        <v>43611</v>
      </c>
      <c r="B2555" s="306">
        <v>266.27820000000003</v>
      </c>
      <c r="C2555" s="309">
        <v>3.2078445933925299</v>
      </c>
    </row>
    <row r="2556" spans="1:3" x14ac:dyDescent="0.35">
      <c r="A2556" s="302">
        <v>43610</v>
      </c>
      <c r="B2556" s="303">
        <v>266.23540000000003</v>
      </c>
      <c r="C2556" s="308">
        <v>3.2065364235355598</v>
      </c>
    </row>
    <row r="2557" spans="1:3" x14ac:dyDescent="0.35">
      <c r="A2557" s="305">
        <v>43609</v>
      </c>
      <c r="B2557" s="306">
        <v>266.19260000000003</v>
      </c>
      <c r="C2557" s="309">
        <v>3.2052278661861702</v>
      </c>
    </row>
    <row r="2558" spans="1:3" x14ac:dyDescent="0.35">
      <c r="A2558" s="302">
        <v>43608</v>
      </c>
      <c r="B2558" s="303">
        <v>266.1497</v>
      </c>
      <c r="C2558" s="308">
        <v>3.20384012557418</v>
      </c>
    </row>
    <row r="2559" spans="1:3" x14ac:dyDescent="0.35">
      <c r="A2559" s="305">
        <v>43607</v>
      </c>
      <c r="B2559" s="306">
        <v>266.1069</v>
      </c>
      <c r="C2559" s="309">
        <v>3.2025307815575901</v>
      </c>
    </row>
    <row r="2560" spans="1:3" x14ac:dyDescent="0.35">
      <c r="A2560" s="302">
        <v>43606</v>
      </c>
      <c r="B2560" s="303">
        <v>266.0641</v>
      </c>
      <c r="C2560" s="308">
        <v>3.20122104952853</v>
      </c>
    </row>
    <row r="2561" spans="1:3" x14ac:dyDescent="0.35">
      <c r="A2561" s="305">
        <v>43605</v>
      </c>
      <c r="B2561" s="306">
        <v>266.0213</v>
      </c>
      <c r="C2561" s="309">
        <v>3.1999109293145001</v>
      </c>
    </row>
    <row r="2562" spans="1:3" x14ac:dyDescent="0.35">
      <c r="A2562" s="302">
        <v>43604</v>
      </c>
      <c r="B2562" s="303">
        <v>265.9785</v>
      </c>
      <c r="C2562" s="308">
        <v>3.1985603801117999</v>
      </c>
    </row>
    <row r="2563" spans="1:3" x14ac:dyDescent="0.35">
      <c r="A2563" s="305">
        <v>43603</v>
      </c>
      <c r="B2563" s="306">
        <v>265.9357</v>
      </c>
      <c r="C2563" s="309">
        <v>3.1972494775831302</v>
      </c>
    </row>
    <row r="2564" spans="1:3" x14ac:dyDescent="0.35">
      <c r="A2564" s="302">
        <v>43602</v>
      </c>
      <c r="B2564" s="303">
        <v>265.8929</v>
      </c>
      <c r="C2564" s="308">
        <v>3.1958981348948798</v>
      </c>
    </row>
    <row r="2565" spans="1:3" x14ac:dyDescent="0.35">
      <c r="A2565" s="305">
        <v>43601</v>
      </c>
      <c r="B2565" s="306">
        <v>265.85019999999997</v>
      </c>
      <c r="C2565" s="309">
        <v>3.1946252661864198</v>
      </c>
    </row>
    <row r="2566" spans="1:3" x14ac:dyDescent="0.35">
      <c r="A2566" s="302">
        <v>43600</v>
      </c>
      <c r="B2566" s="303">
        <v>265.80739999999997</v>
      </c>
      <c r="C2566" s="308">
        <v>3.1932731350509198</v>
      </c>
    </row>
    <row r="2567" spans="1:3" x14ac:dyDescent="0.35">
      <c r="A2567" s="305">
        <v>43599</v>
      </c>
      <c r="B2567" s="306">
        <v>265.76940000000002</v>
      </c>
      <c r="C2567" s="309">
        <v>3.1867728678393301</v>
      </c>
    </row>
    <row r="2568" spans="1:3" x14ac:dyDescent="0.35">
      <c r="A2568" s="302">
        <v>43598</v>
      </c>
      <c r="B2568" s="303">
        <v>265.73140000000001</v>
      </c>
      <c r="C2568" s="308">
        <v>3.1802314971208498</v>
      </c>
    </row>
    <row r="2569" spans="1:3" x14ac:dyDescent="0.35">
      <c r="A2569" s="305">
        <v>43597</v>
      </c>
      <c r="B2569" s="306">
        <v>265.6934</v>
      </c>
      <c r="C2569" s="309">
        <v>3.17372914922468</v>
      </c>
    </row>
    <row r="2570" spans="1:3" x14ac:dyDescent="0.35">
      <c r="A2570" s="302">
        <v>43596</v>
      </c>
      <c r="B2570" s="303">
        <v>265.65539999999999</v>
      </c>
      <c r="C2570" s="308">
        <v>3.16722576095205</v>
      </c>
    </row>
    <row r="2571" spans="1:3" x14ac:dyDescent="0.35">
      <c r="A2571" s="305">
        <v>43595</v>
      </c>
      <c r="B2571" s="306">
        <v>265.61739999999998</v>
      </c>
      <c r="C2571" s="309">
        <v>3.1607213320532299</v>
      </c>
    </row>
    <row r="2572" spans="1:3" x14ac:dyDescent="0.35">
      <c r="A2572" s="302">
        <v>43594</v>
      </c>
      <c r="B2572" s="303">
        <v>265.57940000000002</v>
      </c>
      <c r="C2572" s="308">
        <v>3.15417579596261</v>
      </c>
    </row>
    <row r="2573" spans="1:3" x14ac:dyDescent="0.35">
      <c r="A2573" s="305">
        <v>43593</v>
      </c>
      <c r="B2573" s="306">
        <v>265.54140000000001</v>
      </c>
      <c r="C2573" s="309">
        <v>3.1476692843833098</v>
      </c>
    </row>
    <row r="2574" spans="1:3" x14ac:dyDescent="0.35">
      <c r="A2574" s="302">
        <v>43592</v>
      </c>
      <c r="B2574" s="303">
        <v>265.5034</v>
      </c>
      <c r="C2574" s="308">
        <v>3.1411617314285198</v>
      </c>
    </row>
    <row r="2575" spans="1:3" x14ac:dyDescent="0.35">
      <c r="A2575" s="305">
        <v>43591</v>
      </c>
      <c r="B2575" s="306">
        <v>265.46539999999999</v>
      </c>
      <c r="C2575" s="309">
        <v>3.1346531368481898</v>
      </c>
    </row>
    <row r="2576" spans="1:3" x14ac:dyDescent="0.35">
      <c r="A2576" s="302">
        <v>43590</v>
      </c>
      <c r="B2576" s="303">
        <v>265.42750000000001</v>
      </c>
      <c r="C2576" s="308">
        <v>3.12814228499583</v>
      </c>
    </row>
    <row r="2577" spans="1:3" x14ac:dyDescent="0.35">
      <c r="A2577" s="305">
        <v>43589</v>
      </c>
      <c r="B2577" s="306">
        <v>265.3895</v>
      </c>
      <c r="C2577" s="309">
        <v>3.1216316088465899</v>
      </c>
    </row>
    <row r="2578" spans="1:3" x14ac:dyDescent="0.35">
      <c r="A2578" s="302">
        <v>43588</v>
      </c>
      <c r="B2578" s="303">
        <v>265.35160000000002</v>
      </c>
      <c r="C2578" s="308">
        <v>3.1151186797924701</v>
      </c>
    </row>
    <row r="2579" spans="1:3" x14ac:dyDescent="0.35">
      <c r="A2579" s="305">
        <v>43587</v>
      </c>
      <c r="B2579" s="306">
        <v>265.31360000000001</v>
      </c>
      <c r="C2579" s="309">
        <v>3.1086059210764101</v>
      </c>
    </row>
    <row r="2580" spans="1:3" x14ac:dyDescent="0.35">
      <c r="A2580" s="302">
        <v>43586</v>
      </c>
      <c r="B2580" s="303">
        <v>265.27569999999997</v>
      </c>
      <c r="C2580" s="308">
        <v>3.1021309855142398</v>
      </c>
    </row>
    <row r="2581" spans="1:3" x14ac:dyDescent="0.35">
      <c r="A2581" s="305">
        <v>43585</v>
      </c>
      <c r="B2581" s="306">
        <v>265.23770000000002</v>
      </c>
      <c r="C2581" s="309">
        <v>3.0955760715440701</v>
      </c>
    </row>
    <row r="2582" spans="1:3" x14ac:dyDescent="0.35">
      <c r="A2582" s="302">
        <v>43584</v>
      </c>
      <c r="B2582" s="303">
        <v>265.19979999999998</v>
      </c>
      <c r="C2582" s="308">
        <v>3.0890990581256599</v>
      </c>
    </row>
    <row r="2583" spans="1:3" x14ac:dyDescent="0.35">
      <c r="A2583" s="305">
        <v>43583</v>
      </c>
      <c r="B2583" s="306">
        <v>265.1619</v>
      </c>
      <c r="C2583" s="309">
        <v>3.0825809335912102</v>
      </c>
    </row>
    <row r="2584" spans="1:3" x14ac:dyDescent="0.35">
      <c r="A2584" s="302">
        <v>43582</v>
      </c>
      <c r="B2584" s="303">
        <v>265.12389999999999</v>
      </c>
      <c r="C2584" s="308">
        <v>3.07606296598252</v>
      </c>
    </row>
    <row r="2585" spans="1:3" x14ac:dyDescent="0.35">
      <c r="A2585" s="305">
        <v>43581</v>
      </c>
      <c r="B2585" s="306">
        <v>265.08600000000001</v>
      </c>
      <c r="C2585" s="309">
        <v>3.0695427607610499</v>
      </c>
    </row>
    <row r="2586" spans="1:3" x14ac:dyDescent="0.35">
      <c r="A2586" s="302">
        <v>43580</v>
      </c>
      <c r="B2586" s="303">
        <v>265.04809999999998</v>
      </c>
      <c r="C2586" s="308">
        <v>3.0630615917514699</v>
      </c>
    </row>
    <row r="2587" spans="1:3" x14ac:dyDescent="0.35">
      <c r="A2587" s="305">
        <v>43579</v>
      </c>
      <c r="B2587" s="306">
        <v>265.0102</v>
      </c>
      <c r="C2587" s="309">
        <v>3.0565393079455898</v>
      </c>
    </row>
    <row r="2588" spans="1:3" x14ac:dyDescent="0.35">
      <c r="A2588" s="302">
        <v>43578</v>
      </c>
      <c r="B2588" s="303">
        <v>264.97230000000002</v>
      </c>
      <c r="C2588" s="308">
        <v>3.0500560612018002</v>
      </c>
    </row>
    <row r="2589" spans="1:3" x14ac:dyDescent="0.35">
      <c r="A2589" s="305">
        <v>43577</v>
      </c>
      <c r="B2589" s="306">
        <v>264.93439999999998</v>
      </c>
      <c r="C2589" s="309">
        <v>3.0435316978155602</v>
      </c>
    </row>
    <row r="2590" spans="1:3" x14ac:dyDescent="0.35">
      <c r="A2590" s="302">
        <v>43576</v>
      </c>
      <c r="B2590" s="303">
        <v>264.8965</v>
      </c>
      <c r="C2590" s="308">
        <v>3.0370463723401202</v>
      </c>
    </row>
    <row r="2591" spans="1:3" x14ac:dyDescent="0.35">
      <c r="A2591" s="305">
        <v>43575</v>
      </c>
      <c r="B2591" s="306">
        <v>264.85860000000002</v>
      </c>
      <c r="C2591" s="309">
        <v>3.0305199283769602</v>
      </c>
    </row>
    <row r="2592" spans="1:3" x14ac:dyDescent="0.35">
      <c r="A2592" s="302">
        <v>43574</v>
      </c>
      <c r="B2592" s="303">
        <v>264.82080000000002</v>
      </c>
      <c r="C2592" s="308">
        <v>3.0240714264873199</v>
      </c>
    </row>
    <row r="2593" spans="1:3" x14ac:dyDescent="0.35">
      <c r="A2593" s="305">
        <v>43573</v>
      </c>
      <c r="B2593" s="306">
        <v>264.78289999999998</v>
      </c>
      <c r="C2593" s="309">
        <v>3.0175429040528798</v>
      </c>
    </row>
    <row r="2594" spans="1:3" x14ac:dyDescent="0.35">
      <c r="A2594" s="302">
        <v>43572</v>
      </c>
      <c r="B2594" s="303">
        <v>264.745</v>
      </c>
      <c r="C2594" s="308">
        <v>3.01101334012953</v>
      </c>
    </row>
    <row r="2595" spans="1:3" x14ac:dyDescent="0.35">
      <c r="A2595" s="305">
        <v>43571</v>
      </c>
      <c r="B2595" s="306">
        <v>264.7072</v>
      </c>
      <c r="C2595" s="309">
        <v>3.0045617288730599</v>
      </c>
    </row>
    <row r="2596" spans="1:3" x14ac:dyDescent="0.35">
      <c r="A2596" s="302">
        <v>43570</v>
      </c>
      <c r="B2596" s="303">
        <v>264.66930000000002</v>
      </c>
      <c r="C2596" s="308">
        <v>2.9980300849842001</v>
      </c>
    </row>
    <row r="2597" spans="1:3" x14ac:dyDescent="0.35">
      <c r="A2597" s="305">
        <v>43569</v>
      </c>
      <c r="B2597" s="306">
        <v>264.6207</v>
      </c>
      <c r="C2597" s="309">
        <v>3.0026063926684698</v>
      </c>
    </row>
    <row r="2598" spans="1:3" x14ac:dyDescent="0.35">
      <c r="A2598" s="302">
        <v>43568</v>
      </c>
      <c r="B2598" s="303">
        <v>264.57220000000001</v>
      </c>
      <c r="C2598" s="308">
        <v>3.00726382636274</v>
      </c>
    </row>
    <row r="2599" spans="1:3" x14ac:dyDescent="0.35">
      <c r="A2599" s="305">
        <v>43567</v>
      </c>
      <c r="B2599" s="306">
        <v>264.52370000000002</v>
      </c>
      <c r="C2599" s="309">
        <v>3.0118832740435302</v>
      </c>
    </row>
    <row r="2600" spans="1:3" x14ac:dyDescent="0.35">
      <c r="A2600" s="302">
        <v>43566</v>
      </c>
      <c r="B2600" s="303">
        <v>264.47519999999997</v>
      </c>
      <c r="C2600" s="308">
        <v>3.0165048305443598</v>
      </c>
    </row>
    <row r="2601" spans="1:3" x14ac:dyDescent="0.35">
      <c r="A2601" s="305">
        <v>43565</v>
      </c>
      <c r="B2601" s="306">
        <v>264.42669999999998</v>
      </c>
      <c r="C2601" s="309">
        <v>3.0211284973096002</v>
      </c>
    </row>
    <row r="2602" spans="1:3" x14ac:dyDescent="0.35">
      <c r="A2602" s="302">
        <v>43564</v>
      </c>
      <c r="B2602" s="303">
        <v>264.37830000000002</v>
      </c>
      <c r="C2602" s="308">
        <v>3.0257530966767998</v>
      </c>
    </row>
    <row r="2603" spans="1:3" x14ac:dyDescent="0.35">
      <c r="A2603" s="305">
        <v>43563</v>
      </c>
      <c r="B2603" s="306">
        <v>264.32979999999998</v>
      </c>
      <c r="C2603" s="309">
        <v>3.0303809862361</v>
      </c>
    </row>
    <row r="2604" spans="1:3" x14ac:dyDescent="0.35">
      <c r="A2604" s="302">
        <v>43562</v>
      </c>
      <c r="B2604" s="303">
        <v>264.28129999999999</v>
      </c>
      <c r="C2604" s="308">
        <v>3.0349708202873602</v>
      </c>
    </row>
    <row r="2605" spans="1:3" x14ac:dyDescent="0.35">
      <c r="A2605" s="305">
        <v>43561</v>
      </c>
      <c r="B2605" s="306">
        <v>264.23289999999997</v>
      </c>
      <c r="C2605" s="309">
        <v>3.03964192528333</v>
      </c>
    </row>
    <row r="2606" spans="1:3" x14ac:dyDescent="0.35">
      <c r="A2606" s="302">
        <v>43560</v>
      </c>
      <c r="B2606" s="303">
        <v>264.18439999999998</v>
      </c>
      <c r="C2606" s="308">
        <v>3.0442359688524401</v>
      </c>
    </row>
    <row r="2607" spans="1:3" x14ac:dyDescent="0.35">
      <c r="A2607" s="305">
        <v>43559</v>
      </c>
      <c r="B2607" s="306">
        <v>264.13600000000002</v>
      </c>
      <c r="C2607" s="309">
        <v>3.04887112297817</v>
      </c>
    </row>
    <row r="2608" spans="1:3" x14ac:dyDescent="0.35">
      <c r="A2608" s="302">
        <v>43558</v>
      </c>
      <c r="B2608" s="303">
        <v>264.08760000000001</v>
      </c>
      <c r="C2608" s="308">
        <v>3.0535083933433902</v>
      </c>
    </row>
    <row r="2609" spans="1:3" x14ac:dyDescent="0.35">
      <c r="A2609" s="305">
        <v>43557</v>
      </c>
      <c r="B2609" s="306">
        <v>264.03919999999999</v>
      </c>
      <c r="C2609" s="309">
        <v>3.0581477813977198</v>
      </c>
    </row>
    <row r="2610" spans="1:3" x14ac:dyDescent="0.35">
      <c r="A2610" s="302">
        <v>43556</v>
      </c>
      <c r="B2610" s="303">
        <v>263.99079999999998</v>
      </c>
      <c r="C2610" s="308">
        <v>3.0627490525899899</v>
      </c>
    </row>
    <row r="2611" spans="1:3" x14ac:dyDescent="0.35">
      <c r="A2611" s="305">
        <v>43555</v>
      </c>
      <c r="B2611" s="306">
        <v>263.94240000000002</v>
      </c>
      <c r="C2611" s="309">
        <v>3.0673926693719999</v>
      </c>
    </row>
    <row r="2612" spans="1:3" x14ac:dyDescent="0.35">
      <c r="A2612" s="302">
        <v>43554</v>
      </c>
      <c r="B2612" s="303">
        <v>263.89400000000001</v>
      </c>
      <c r="C2612" s="308">
        <v>3.0719981502081</v>
      </c>
    </row>
    <row r="2613" spans="1:3" x14ac:dyDescent="0.35">
      <c r="A2613" s="305">
        <v>43553</v>
      </c>
      <c r="B2613" s="306">
        <v>263.84559999999999</v>
      </c>
      <c r="C2613" s="309">
        <v>3.07660573253782</v>
      </c>
    </row>
    <row r="2614" spans="1:3" x14ac:dyDescent="0.35">
      <c r="A2614" s="302">
        <v>43552</v>
      </c>
      <c r="B2614" s="303">
        <v>263.79719999999998</v>
      </c>
      <c r="C2614" s="308">
        <v>3.0812556977616099</v>
      </c>
    </row>
    <row r="2615" spans="1:3" x14ac:dyDescent="0.35">
      <c r="A2615" s="305">
        <v>43551</v>
      </c>
      <c r="B2615" s="306">
        <v>263.74889999999999</v>
      </c>
      <c r="C2615" s="309">
        <v>3.0859065832595598</v>
      </c>
    </row>
    <row r="2616" spans="1:3" x14ac:dyDescent="0.35">
      <c r="A2616" s="302">
        <v>43550</v>
      </c>
      <c r="B2616" s="303">
        <v>263.70049999999998</v>
      </c>
      <c r="C2616" s="308">
        <v>3.0904801966573299</v>
      </c>
    </row>
    <row r="2617" spans="1:3" x14ac:dyDescent="0.35">
      <c r="A2617" s="305">
        <v>43549</v>
      </c>
      <c r="B2617" s="306">
        <v>263.65219999999999</v>
      </c>
      <c r="C2617" s="309">
        <v>3.0951353109916102</v>
      </c>
    </row>
    <row r="2618" spans="1:3" x14ac:dyDescent="0.35">
      <c r="A2618" s="302">
        <v>43548</v>
      </c>
      <c r="B2618" s="303">
        <v>263.60379999999998</v>
      </c>
      <c r="C2618" s="308">
        <v>3.0997534402593301</v>
      </c>
    </row>
    <row r="2619" spans="1:3" x14ac:dyDescent="0.35">
      <c r="A2619" s="305">
        <v>43547</v>
      </c>
      <c r="B2619" s="306">
        <v>263.55549999999999</v>
      </c>
      <c r="C2619" s="309">
        <v>3.1043724652325899</v>
      </c>
    </row>
    <row r="2620" spans="1:3" x14ac:dyDescent="0.35">
      <c r="A2620" s="302">
        <v>43546</v>
      </c>
      <c r="B2620" s="303">
        <v>263.50720000000001</v>
      </c>
      <c r="C2620" s="308">
        <v>3.1090339436621401</v>
      </c>
    </row>
    <row r="2621" spans="1:3" x14ac:dyDescent="0.35">
      <c r="A2621" s="305">
        <v>43545</v>
      </c>
      <c r="B2621" s="306">
        <v>263.45890000000003</v>
      </c>
      <c r="C2621" s="309">
        <v>3.1136571959512098</v>
      </c>
    </row>
    <row r="2622" spans="1:3" x14ac:dyDescent="0.35">
      <c r="A2622" s="302">
        <v>43544</v>
      </c>
      <c r="B2622" s="303">
        <v>263.41059999999999</v>
      </c>
      <c r="C2622" s="308">
        <v>3.1182825585615102</v>
      </c>
    </row>
    <row r="2623" spans="1:3" x14ac:dyDescent="0.35">
      <c r="A2623" s="305">
        <v>43543</v>
      </c>
      <c r="B2623" s="306">
        <v>263.3623</v>
      </c>
      <c r="C2623" s="309">
        <v>3.12291003293827</v>
      </c>
    </row>
    <row r="2624" spans="1:3" x14ac:dyDescent="0.35">
      <c r="A2624" s="302">
        <v>43542</v>
      </c>
      <c r="B2624" s="303">
        <v>263.31400000000002</v>
      </c>
      <c r="C2624" s="308">
        <v>3.1274992304034899</v>
      </c>
    </row>
    <row r="2625" spans="1:3" x14ac:dyDescent="0.35">
      <c r="A2625" s="305">
        <v>43541</v>
      </c>
      <c r="B2625" s="306">
        <v>263.26569999999998</v>
      </c>
      <c r="C2625" s="309">
        <v>3.1321309216152402</v>
      </c>
    </row>
    <row r="2626" spans="1:3" x14ac:dyDescent="0.35">
      <c r="A2626" s="302">
        <v>43540</v>
      </c>
      <c r="B2626" s="303">
        <v>263.21749999999997</v>
      </c>
      <c r="C2626" s="308">
        <v>3.1368039120417501</v>
      </c>
    </row>
    <row r="2627" spans="1:3" x14ac:dyDescent="0.35">
      <c r="A2627" s="305">
        <v>43539</v>
      </c>
      <c r="B2627" s="306">
        <v>263.16919999999999</v>
      </c>
      <c r="C2627" s="309">
        <v>3.14139942262275</v>
      </c>
    </row>
    <row r="2628" spans="1:3" x14ac:dyDescent="0.35">
      <c r="A2628" s="302">
        <v>43538</v>
      </c>
      <c r="B2628" s="303">
        <v>263.113</v>
      </c>
      <c r="C2628" s="308">
        <v>3.1424958231509201</v>
      </c>
    </row>
    <row r="2629" spans="1:3" x14ac:dyDescent="0.35">
      <c r="A2629" s="305">
        <v>43537</v>
      </c>
      <c r="B2629" s="306">
        <v>263.05680000000001</v>
      </c>
      <c r="C2629" s="309">
        <v>3.1435927154784702</v>
      </c>
    </row>
    <row r="2630" spans="1:3" x14ac:dyDescent="0.35">
      <c r="A2630" s="302">
        <v>43536</v>
      </c>
      <c r="B2630" s="303">
        <v>263.00060000000002</v>
      </c>
      <c r="C2630" s="308">
        <v>3.14469009993639</v>
      </c>
    </row>
    <row r="2631" spans="1:3" x14ac:dyDescent="0.35">
      <c r="A2631" s="305">
        <v>43535</v>
      </c>
      <c r="B2631" s="306">
        <v>262.94439999999997</v>
      </c>
      <c r="C2631" s="309">
        <v>3.14578797685594</v>
      </c>
    </row>
    <row r="2632" spans="1:3" x14ac:dyDescent="0.35">
      <c r="A2632" s="302">
        <v>43534</v>
      </c>
      <c r="B2632" s="303">
        <v>262.88819999999998</v>
      </c>
      <c r="C2632" s="308">
        <v>3.14688634656869</v>
      </c>
    </row>
    <row r="2633" spans="1:3" x14ac:dyDescent="0.35">
      <c r="A2633" s="305">
        <v>43533</v>
      </c>
      <c r="B2633" s="306">
        <v>262.83210000000003</v>
      </c>
      <c r="C2633" s="309">
        <v>3.1479839739853901</v>
      </c>
    </row>
    <row r="2634" spans="1:3" x14ac:dyDescent="0.35">
      <c r="A2634" s="302">
        <v>43532</v>
      </c>
      <c r="B2634" s="303">
        <v>262.77589999999998</v>
      </c>
      <c r="C2634" s="308">
        <v>3.1490833295715301</v>
      </c>
    </row>
    <row r="2635" spans="1:3" x14ac:dyDescent="0.35">
      <c r="A2635" s="305">
        <v>43531</v>
      </c>
      <c r="B2635" s="306">
        <v>262.71980000000002</v>
      </c>
      <c r="C2635" s="309">
        <v>3.1501819421083299</v>
      </c>
    </row>
    <row r="2636" spans="1:3" x14ac:dyDescent="0.35">
      <c r="A2636" s="302">
        <v>43530</v>
      </c>
      <c r="B2636" s="303">
        <v>262.66370000000001</v>
      </c>
      <c r="C2636" s="308">
        <v>3.1512810473481498</v>
      </c>
    </row>
    <row r="2637" spans="1:3" x14ac:dyDescent="0.35">
      <c r="A2637" s="305">
        <v>43529</v>
      </c>
      <c r="B2637" s="306">
        <v>262.60750000000002</v>
      </c>
      <c r="C2637" s="309">
        <v>3.1523413655785801</v>
      </c>
    </row>
    <row r="2638" spans="1:3" x14ac:dyDescent="0.35">
      <c r="A2638" s="302">
        <v>43528</v>
      </c>
      <c r="B2638" s="303">
        <v>262.5514</v>
      </c>
      <c r="C2638" s="308">
        <v>3.1534414484072499</v>
      </c>
    </row>
    <row r="2639" spans="1:3" x14ac:dyDescent="0.35">
      <c r="A2639" s="305">
        <v>43527</v>
      </c>
      <c r="B2639" s="306">
        <v>262.49540000000002</v>
      </c>
      <c r="C2639" s="309">
        <v>3.1545813226024499</v>
      </c>
    </row>
    <row r="2640" spans="1:3" x14ac:dyDescent="0.35">
      <c r="A2640" s="302">
        <v>43526</v>
      </c>
      <c r="B2640" s="303">
        <v>262.4393</v>
      </c>
      <c r="C2640" s="308">
        <v>3.1556824019725598</v>
      </c>
    </row>
    <row r="2641" spans="1:3" x14ac:dyDescent="0.35">
      <c r="A2641" s="305">
        <v>43525</v>
      </c>
      <c r="B2641" s="306">
        <v>262.38319999999999</v>
      </c>
      <c r="C2641" s="309">
        <v>3.1567839757062801</v>
      </c>
    </row>
    <row r="2642" spans="1:3" x14ac:dyDescent="0.35">
      <c r="A2642" s="302">
        <v>43524</v>
      </c>
      <c r="B2642" s="303">
        <v>262.3272</v>
      </c>
      <c r="C2642" s="308">
        <v>3.1578848023254702</v>
      </c>
    </row>
    <row r="2643" spans="1:3" x14ac:dyDescent="0.35">
      <c r="A2643" s="305">
        <v>43523</v>
      </c>
      <c r="B2643" s="306">
        <v>262.27109999999999</v>
      </c>
      <c r="C2643" s="309">
        <v>3.1589467896057202</v>
      </c>
    </row>
    <row r="2644" spans="1:3" x14ac:dyDescent="0.35">
      <c r="A2644" s="302">
        <v>43522</v>
      </c>
      <c r="B2644" s="303">
        <v>262.21510000000001</v>
      </c>
      <c r="C2644" s="308">
        <v>3.1600485949481998</v>
      </c>
    </row>
    <row r="2645" spans="1:3" x14ac:dyDescent="0.35">
      <c r="A2645" s="305">
        <v>43521</v>
      </c>
      <c r="B2645" s="306">
        <v>262.15910000000002</v>
      </c>
      <c r="C2645" s="309">
        <v>3.16115089455695</v>
      </c>
    </row>
    <row r="2646" spans="1:3" x14ac:dyDescent="0.35">
      <c r="A2646" s="302">
        <v>43520</v>
      </c>
      <c r="B2646" s="303">
        <v>262.10309999999998</v>
      </c>
      <c r="C2646" s="308">
        <v>3.1622536887646202</v>
      </c>
    </row>
    <row r="2647" spans="1:3" x14ac:dyDescent="0.35">
      <c r="A2647" s="305">
        <v>43519</v>
      </c>
      <c r="B2647" s="306">
        <v>262.0471</v>
      </c>
      <c r="C2647" s="309">
        <v>3.1633569779041801</v>
      </c>
    </row>
    <row r="2648" spans="1:3" x14ac:dyDescent="0.35">
      <c r="A2648" s="302">
        <v>43518</v>
      </c>
      <c r="B2648" s="303">
        <v>261.99110000000002</v>
      </c>
      <c r="C2648" s="308">
        <v>3.1644607623088801</v>
      </c>
    </row>
    <row r="2649" spans="1:3" x14ac:dyDescent="0.35">
      <c r="A2649" s="305">
        <v>43517</v>
      </c>
      <c r="B2649" s="306">
        <v>261.93520000000001</v>
      </c>
      <c r="C2649" s="309">
        <v>3.1655637955256801</v>
      </c>
    </row>
    <row r="2650" spans="1:3" x14ac:dyDescent="0.35">
      <c r="A2650" s="302">
        <v>43516</v>
      </c>
      <c r="B2650" s="303">
        <v>261.87920000000003</v>
      </c>
      <c r="C2650" s="308">
        <v>3.1666685707464799</v>
      </c>
    </row>
    <row r="2651" spans="1:3" x14ac:dyDescent="0.35">
      <c r="A2651" s="305">
        <v>43515</v>
      </c>
      <c r="B2651" s="306">
        <v>261.82330000000002</v>
      </c>
      <c r="C2651" s="309">
        <v>3.1677725940169599</v>
      </c>
    </row>
    <row r="2652" spans="1:3" x14ac:dyDescent="0.35">
      <c r="A2652" s="302">
        <v>43514</v>
      </c>
      <c r="B2652" s="303">
        <v>261.76729999999998</v>
      </c>
      <c r="C2652" s="308">
        <v>3.1688377000328298</v>
      </c>
    </row>
    <row r="2653" spans="1:3" x14ac:dyDescent="0.35">
      <c r="A2653" s="305">
        <v>43513</v>
      </c>
      <c r="B2653" s="306">
        <v>261.71140000000003</v>
      </c>
      <c r="C2653" s="309">
        <v>3.16994270513446</v>
      </c>
    </row>
    <row r="2654" spans="1:3" x14ac:dyDescent="0.35">
      <c r="A2654" s="302">
        <v>43512</v>
      </c>
      <c r="B2654" s="303">
        <v>261.65550000000002</v>
      </c>
      <c r="C2654" s="308">
        <v>3.1710482060680598</v>
      </c>
    </row>
    <row r="2655" spans="1:3" x14ac:dyDescent="0.35">
      <c r="A2655" s="305">
        <v>43511</v>
      </c>
      <c r="B2655" s="306">
        <v>261.59960000000001</v>
      </c>
      <c r="C2655" s="309">
        <v>3.1721542031674201</v>
      </c>
    </row>
    <row r="2656" spans="1:3" x14ac:dyDescent="0.35">
      <c r="A2656" s="302">
        <v>43510</v>
      </c>
      <c r="B2656" s="303">
        <v>261.57429999999999</v>
      </c>
      <c r="C2656" s="308">
        <v>3.1748310720863002</v>
      </c>
    </row>
    <row r="2657" spans="1:3" x14ac:dyDescent="0.35">
      <c r="A2657" s="305">
        <v>43509</v>
      </c>
      <c r="B2657" s="306">
        <v>261.54899999999998</v>
      </c>
      <c r="C2657" s="309">
        <v>3.1774678957278302</v>
      </c>
    </row>
    <row r="2658" spans="1:3" x14ac:dyDescent="0.35">
      <c r="A2658" s="302">
        <v>43508</v>
      </c>
      <c r="B2658" s="303">
        <v>261.52370000000002</v>
      </c>
      <c r="C2658" s="308">
        <v>3.1801053643663599</v>
      </c>
    </row>
    <row r="2659" spans="1:3" x14ac:dyDescent="0.35">
      <c r="A2659" s="305">
        <v>43507</v>
      </c>
      <c r="B2659" s="306">
        <v>261.49849999999998</v>
      </c>
      <c r="C2659" s="309">
        <v>3.1827829365080902</v>
      </c>
    </row>
    <row r="2660" spans="1:3" x14ac:dyDescent="0.35">
      <c r="A2660" s="302">
        <v>43506</v>
      </c>
      <c r="B2660" s="303">
        <v>261.47320000000002</v>
      </c>
      <c r="C2660" s="308">
        <v>3.1854217006779399</v>
      </c>
    </row>
    <row r="2661" spans="1:3" x14ac:dyDescent="0.35">
      <c r="A2661" s="305">
        <v>43505</v>
      </c>
      <c r="B2661" s="306">
        <v>261.4479</v>
      </c>
      <c r="C2661" s="309">
        <v>3.1880611105563701</v>
      </c>
    </row>
    <row r="2662" spans="1:3" x14ac:dyDescent="0.35">
      <c r="A2662" s="302">
        <v>43504</v>
      </c>
      <c r="B2662" s="303">
        <v>261.42270000000002</v>
      </c>
      <c r="C2662" s="308">
        <v>3.1907406391349502</v>
      </c>
    </row>
    <row r="2663" spans="1:3" x14ac:dyDescent="0.35">
      <c r="A2663" s="305">
        <v>43503</v>
      </c>
      <c r="B2663" s="306">
        <v>261.3974</v>
      </c>
      <c r="C2663" s="309">
        <v>3.19338134597248</v>
      </c>
    </row>
    <row r="2664" spans="1:3" x14ac:dyDescent="0.35">
      <c r="A2664" s="302">
        <v>43502</v>
      </c>
      <c r="B2664" s="303">
        <v>261.37209999999999</v>
      </c>
      <c r="C2664" s="308">
        <v>3.1960226992312402</v>
      </c>
    </row>
    <row r="2665" spans="1:3" x14ac:dyDescent="0.35">
      <c r="A2665" s="305">
        <v>43501</v>
      </c>
      <c r="B2665" s="306">
        <v>261.34690000000001</v>
      </c>
      <c r="C2665" s="309">
        <v>3.19870418639877</v>
      </c>
    </row>
    <row r="2666" spans="1:3" x14ac:dyDescent="0.35">
      <c r="A2666" s="302">
        <v>43500</v>
      </c>
      <c r="B2666" s="303">
        <v>261.32159999999999</v>
      </c>
      <c r="C2666" s="308">
        <v>3.20130608169961</v>
      </c>
    </row>
    <row r="2667" spans="1:3" x14ac:dyDescent="0.35">
      <c r="A2667" s="305">
        <v>43499</v>
      </c>
      <c r="B2667" s="306">
        <v>261.29640000000001</v>
      </c>
      <c r="C2667" s="309">
        <v>3.20398887135226</v>
      </c>
    </row>
    <row r="2668" spans="1:3" x14ac:dyDescent="0.35">
      <c r="A2668" s="302">
        <v>43498</v>
      </c>
      <c r="B2668" s="303">
        <v>261.27109999999999</v>
      </c>
      <c r="C2668" s="308">
        <v>3.2066328163082098</v>
      </c>
    </row>
    <row r="2669" spans="1:3" x14ac:dyDescent="0.35">
      <c r="A2669" s="305">
        <v>43497</v>
      </c>
      <c r="B2669" s="306">
        <v>261.24590000000001</v>
      </c>
      <c r="C2669" s="309">
        <v>3.2093169154527601</v>
      </c>
    </row>
    <row r="2670" spans="1:3" x14ac:dyDescent="0.35">
      <c r="A2670" s="302">
        <v>43496</v>
      </c>
      <c r="B2670" s="303">
        <v>261.22070000000002</v>
      </c>
      <c r="C2670" s="308">
        <v>3.2119608916143001</v>
      </c>
    </row>
    <row r="2671" spans="1:3" x14ac:dyDescent="0.35">
      <c r="A2671" s="305">
        <v>43495</v>
      </c>
      <c r="B2671" s="306">
        <v>261.19540000000001</v>
      </c>
      <c r="C2671" s="309">
        <v>3.2146067837532901</v>
      </c>
    </row>
    <row r="2672" spans="1:3" x14ac:dyDescent="0.35">
      <c r="A2672" s="302">
        <v>43494</v>
      </c>
      <c r="B2672" s="303">
        <v>261.17020000000002</v>
      </c>
      <c r="C2672" s="308">
        <v>3.21729284530065</v>
      </c>
    </row>
    <row r="2673" spans="1:3" x14ac:dyDescent="0.35">
      <c r="A2673" s="305">
        <v>43493</v>
      </c>
      <c r="B2673" s="306">
        <v>261.14490000000001</v>
      </c>
      <c r="C2673" s="309">
        <v>3.21989924054916</v>
      </c>
    </row>
    <row r="2674" spans="1:3" x14ac:dyDescent="0.35">
      <c r="A2674" s="302">
        <v>43492</v>
      </c>
      <c r="B2674" s="303">
        <v>261.11970000000002</v>
      </c>
      <c r="C2674" s="308">
        <v>3.22258660792924</v>
      </c>
    </row>
    <row r="2675" spans="1:3" x14ac:dyDescent="0.35">
      <c r="A2675" s="305">
        <v>43491</v>
      </c>
      <c r="B2675" s="306">
        <v>261.09449999999998</v>
      </c>
      <c r="C2675" s="309">
        <v>3.2252338233241802</v>
      </c>
    </row>
    <row r="2676" spans="1:3" x14ac:dyDescent="0.35">
      <c r="A2676" s="302">
        <v>43490</v>
      </c>
      <c r="B2676" s="303">
        <v>261.06920000000002</v>
      </c>
      <c r="C2676" s="308">
        <v>3.2278829619103102</v>
      </c>
    </row>
    <row r="2677" spans="1:3" x14ac:dyDescent="0.35">
      <c r="A2677" s="305">
        <v>43489</v>
      </c>
      <c r="B2677" s="306">
        <v>261.04399999999998</v>
      </c>
      <c r="C2677" s="309">
        <v>3.2305314724915299</v>
      </c>
    </row>
    <row r="2678" spans="1:3" x14ac:dyDescent="0.35">
      <c r="A2678" s="302">
        <v>43488</v>
      </c>
      <c r="B2678" s="303">
        <v>261.0188</v>
      </c>
      <c r="C2678" s="308">
        <v>3.2331806304205899</v>
      </c>
    </row>
    <row r="2679" spans="1:3" x14ac:dyDescent="0.35">
      <c r="A2679" s="305">
        <v>43487</v>
      </c>
      <c r="B2679" s="306">
        <v>260.99360000000001</v>
      </c>
      <c r="C2679" s="309">
        <v>3.2358712708093602</v>
      </c>
    </row>
    <row r="2680" spans="1:3" x14ac:dyDescent="0.35">
      <c r="A2680" s="302">
        <v>43486</v>
      </c>
      <c r="B2680" s="303">
        <v>260.96839999999997</v>
      </c>
      <c r="C2680" s="308">
        <v>3.2385217301864802</v>
      </c>
    </row>
    <row r="2681" spans="1:3" x14ac:dyDescent="0.35">
      <c r="A2681" s="305">
        <v>43485</v>
      </c>
      <c r="B2681" s="306">
        <v>260.94310000000002</v>
      </c>
      <c r="C2681" s="309">
        <v>3.24113327301048</v>
      </c>
    </row>
    <row r="2682" spans="1:3" x14ac:dyDescent="0.35">
      <c r="A2682" s="302">
        <v>43484</v>
      </c>
      <c r="B2682" s="303">
        <v>260.91789999999997</v>
      </c>
      <c r="C2682" s="308">
        <v>3.2438258769286699</v>
      </c>
    </row>
    <row r="2683" spans="1:3" x14ac:dyDescent="0.35">
      <c r="A2683" s="305">
        <v>43483</v>
      </c>
      <c r="B2683" s="306">
        <v>260.89269999999999</v>
      </c>
      <c r="C2683" s="309">
        <v>3.2464782824117502</v>
      </c>
    </row>
    <row r="2684" spans="1:3" x14ac:dyDescent="0.35">
      <c r="A2684" s="302">
        <v>43482</v>
      </c>
      <c r="B2684" s="303">
        <v>260.86750000000001</v>
      </c>
      <c r="C2684" s="308">
        <v>3.24913133667091</v>
      </c>
    </row>
    <row r="2685" spans="1:3" x14ac:dyDescent="0.35">
      <c r="A2685" s="305">
        <v>43481</v>
      </c>
      <c r="B2685" s="306">
        <v>260.84230000000002</v>
      </c>
      <c r="C2685" s="309">
        <v>3.2517850399441999</v>
      </c>
    </row>
    <row r="2686" spans="1:3" x14ac:dyDescent="0.35">
      <c r="A2686" s="302">
        <v>43480</v>
      </c>
      <c r="B2686" s="303">
        <v>260.81709999999998</v>
      </c>
      <c r="C2686" s="308">
        <v>3.2544393924698101</v>
      </c>
    </row>
    <row r="2687" spans="1:3" x14ac:dyDescent="0.35">
      <c r="A2687" s="305">
        <v>43479</v>
      </c>
      <c r="B2687" s="306">
        <v>260.80700000000002</v>
      </c>
      <c r="C2687" s="309">
        <v>3.2564499896667098</v>
      </c>
    </row>
    <row r="2688" spans="1:3" x14ac:dyDescent="0.35">
      <c r="A2688" s="302">
        <v>43478</v>
      </c>
      <c r="B2688" s="303">
        <v>260.79689999999999</v>
      </c>
      <c r="C2688" s="308">
        <v>3.2584199373473699</v>
      </c>
    </row>
    <row r="2689" spans="1:3" x14ac:dyDescent="0.35">
      <c r="A2689" s="305">
        <v>43477</v>
      </c>
      <c r="B2689" s="306">
        <v>260.78680000000003</v>
      </c>
      <c r="C2689" s="309">
        <v>3.2604309994951501</v>
      </c>
    </row>
    <row r="2690" spans="1:3" x14ac:dyDescent="0.35">
      <c r="A2690" s="302">
        <v>43476</v>
      </c>
      <c r="B2690" s="303">
        <v>260.77670000000001</v>
      </c>
      <c r="C2690" s="308">
        <v>3.2624422957672099</v>
      </c>
    </row>
    <row r="2691" spans="1:3" x14ac:dyDescent="0.35">
      <c r="A2691" s="305">
        <v>43475</v>
      </c>
      <c r="B2691" s="306">
        <v>260.76670000000001</v>
      </c>
      <c r="C2691" s="309">
        <v>3.2644525334701902</v>
      </c>
    </row>
    <row r="2692" spans="1:3" x14ac:dyDescent="0.35">
      <c r="A2692" s="302">
        <v>43474</v>
      </c>
      <c r="B2692" s="303">
        <v>260.75659999999999</v>
      </c>
      <c r="C2692" s="308">
        <v>3.2664642972414799</v>
      </c>
    </row>
    <row r="2693" spans="1:3" x14ac:dyDescent="0.35">
      <c r="A2693" s="305">
        <v>43473</v>
      </c>
      <c r="B2693" s="306">
        <v>260.74650000000003</v>
      </c>
      <c r="C2693" s="309">
        <v>3.2684353958650099</v>
      </c>
    </row>
    <row r="2694" spans="1:3" x14ac:dyDescent="0.35">
      <c r="A2694" s="302">
        <v>43472</v>
      </c>
      <c r="B2694" s="303">
        <v>260.7364</v>
      </c>
      <c r="C2694" s="308">
        <v>3.2704067224520998</v>
      </c>
    </row>
    <row r="2695" spans="1:3" x14ac:dyDescent="0.35">
      <c r="A2695" s="305">
        <v>43471</v>
      </c>
      <c r="B2695" s="306">
        <v>260.72629999999998</v>
      </c>
      <c r="C2695" s="309">
        <v>3.2724191827289801</v>
      </c>
    </row>
    <row r="2696" spans="1:3" x14ac:dyDescent="0.35">
      <c r="A2696" s="302">
        <v>43470</v>
      </c>
      <c r="B2696" s="303">
        <v>260.71620000000001</v>
      </c>
      <c r="C2696" s="308">
        <v>3.2743909685086199</v>
      </c>
    </row>
    <row r="2697" spans="1:3" x14ac:dyDescent="0.35">
      <c r="A2697" s="305">
        <v>43469</v>
      </c>
      <c r="B2697" s="306">
        <v>260.70609999999999</v>
      </c>
      <c r="C2697" s="309">
        <v>3.2764038943840301</v>
      </c>
    </row>
    <row r="2698" spans="1:3" x14ac:dyDescent="0.35">
      <c r="A2698" s="302">
        <v>43468</v>
      </c>
      <c r="B2698" s="303">
        <v>260.6961</v>
      </c>
      <c r="C2698" s="308">
        <v>3.2784157559185898</v>
      </c>
    </row>
    <row r="2699" spans="1:3" x14ac:dyDescent="0.35">
      <c r="A2699" s="305">
        <v>43467</v>
      </c>
      <c r="B2699" s="306">
        <v>260.68599999999998</v>
      </c>
      <c r="C2699" s="309">
        <v>3.28042914986173</v>
      </c>
    </row>
    <row r="2700" spans="1:3" x14ac:dyDescent="0.35">
      <c r="A2700" s="302">
        <v>43466</v>
      </c>
      <c r="B2700" s="303">
        <v>260.67590000000001</v>
      </c>
      <c r="C2700" s="308">
        <v>3.28240185679861</v>
      </c>
    </row>
    <row r="2701" spans="1:3" x14ac:dyDescent="0.35">
      <c r="A2701" s="305">
        <v>43465</v>
      </c>
      <c r="B2701" s="306">
        <v>260.66579999999999</v>
      </c>
      <c r="C2701" s="309">
        <v>3.2844157166648098</v>
      </c>
    </row>
    <row r="2702" spans="1:3" x14ac:dyDescent="0.35">
      <c r="A2702" s="302">
        <v>43464</v>
      </c>
      <c r="B2702" s="303">
        <v>260.65570000000002</v>
      </c>
      <c r="C2702" s="308">
        <v>3.2863888832752601</v>
      </c>
    </row>
    <row r="2703" spans="1:3" x14ac:dyDescent="0.35">
      <c r="A2703" s="305">
        <v>43463</v>
      </c>
      <c r="B2703" s="306">
        <v>260.6456</v>
      </c>
      <c r="C2703" s="309">
        <v>3.2883622782076301</v>
      </c>
    </row>
    <row r="2704" spans="1:3" x14ac:dyDescent="0.35">
      <c r="A2704" s="302">
        <v>43462</v>
      </c>
      <c r="B2704" s="303">
        <v>260.63549999999998</v>
      </c>
      <c r="C2704" s="308">
        <v>3.2903768356709899</v>
      </c>
    </row>
    <row r="2705" spans="1:3" x14ac:dyDescent="0.35">
      <c r="A2705" s="305">
        <v>43461</v>
      </c>
      <c r="B2705" s="306">
        <v>260.62549999999999</v>
      </c>
      <c r="C2705" s="309">
        <v>3.29239032301277</v>
      </c>
    </row>
    <row r="2706" spans="1:3" x14ac:dyDescent="0.35">
      <c r="A2706" s="302">
        <v>43460</v>
      </c>
      <c r="B2706" s="303">
        <v>260.61540000000002</v>
      </c>
      <c r="C2706" s="308">
        <v>3.2943644085934598</v>
      </c>
    </row>
    <row r="2707" spans="1:3" x14ac:dyDescent="0.35">
      <c r="A2707" s="305">
        <v>43459</v>
      </c>
      <c r="B2707" s="306">
        <v>260.6053</v>
      </c>
      <c r="C2707" s="309">
        <v>3.2963796663269802</v>
      </c>
    </row>
    <row r="2708" spans="1:3" x14ac:dyDescent="0.35">
      <c r="A2708" s="302">
        <v>43458</v>
      </c>
      <c r="B2708" s="303">
        <v>260.59519999999998</v>
      </c>
      <c r="C2708" s="308">
        <v>3.2983542120620299</v>
      </c>
    </row>
    <row r="2709" spans="1:3" x14ac:dyDescent="0.35">
      <c r="A2709" s="305">
        <v>43457</v>
      </c>
      <c r="B2709" s="306">
        <v>260.58510000000001</v>
      </c>
      <c r="C2709" s="309">
        <v>3.3003699363671402</v>
      </c>
    </row>
    <row r="2710" spans="1:3" x14ac:dyDescent="0.35">
      <c r="A2710" s="302">
        <v>43456</v>
      </c>
      <c r="B2710" s="303">
        <v>260.57510000000002</v>
      </c>
      <c r="C2710" s="308">
        <v>3.302384586414</v>
      </c>
    </row>
    <row r="2711" spans="1:3" x14ac:dyDescent="0.35">
      <c r="A2711" s="305">
        <v>43455</v>
      </c>
      <c r="B2711" s="306">
        <v>260.565</v>
      </c>
      <c r="C2711" s="309">
        <v>3.3043598233995599</v>
      </c>
    </row>
    <row r="2712" spans="1:3" x14ac:dyDescent="0.35">
      <c r="A2712" s="302">
        <v>43454</v>
      </c>
      <c r="B2712" s="303">
        <v>260.55489999999998</v>
      </c>
      <c r="C2712" s="308">
        <v>3.30637624858405</v>
      </c>
    </row>
    <row r="2713" spans="1:3" x14ac:dyDescent="0.35">
      <c r="A2713" s="305">
        <v>43453</v>
      </c>
      <c r="B2713" s="306">
        <v>260.54480000000001</v>
      </c>
      <c r="C2713" s="309">
        <v>3.30835194612553</v>
      </c>
    </row>
    <row r="2714" spans="1:3" x14ac:dyDescent="0.35">
      <c r="A2714" s="302">
        <v>43452</v>
      </c>
      <c r="B2714" s="303">
        <v>260.53469999999999</v>
      </c>
      <c r="C2714" s="308">
        <v>3.3103278724277501</v>
      </c>
    </row>
    <row r="2715" spans="1:3" x14ac:dyDescent="0.35">
      <c r="A2715" s="305">
        <v>43451</v>
      </c>
      <c r="B2715" s="306">
        <v>260.5247</v>
      </c>
      <c r="C2715" s="309">
        <v>3.3123436830194</v>
      </c>
    </row>
    <row r="2716" spans="1:3" x14ac:dyDescent="0.35">
      <c r="A2716" s="302">
        <v>43450</v>
      </c>
      <c r="B2716" s="303">
        <v>260.51459999999997</v>
      </c>
      <c r="C2716" s="308">
        <v>3.31436104144557</v>
      </c>
    </row>
    <row r="2717" spans="1:3" x14ac:dyDescent="0.35">
      <c r="A2717" s="305">
        <v>43449</v>
      </c>
      <c r="B2717" s="306">
        <v>260.50450000000001</v>
      </c>
      <c r="C2717" s="309">
        <v>3.31633765972113</v>
      </c>
    </row>
    <row r="2718" spans="1:3" x14ac:dyDescent="0.35">
      <c r="A2718" s="302">
        <v>43448</v>
      </c>
      <c r="B2718" s="303">
        <v>260.4941</v>
      </c>
      <c r="C2718" s="308">
        <v>3.31290956762667</v>
      </c>
    </row>
    <row r="2719" spans="1:3" x14ac:dyDescent="0.35">
      <c r="A2719" s="305">
        <v>43447</v>
      </c>
      <c r="B2719" s="306">
        <v>260.4837</v>
      </c>
      <c r="C2719" s="309">
        <v>3.3094404561288102</v>
      </c>
    </row>
    <row r="2720" spans="1:3" x14ac:dyDescent="0.35">
      <c r="A2720" s="302">
        <v>43446</v>
      </c>
      <c r="B2720" s="303">
        <v>260.47329999999999</v>
      </c>
      <c r="C2720" s="308">
        <v>3.3060122726638199</v>
      </c>
    </row>
    <row r="2721" spans="1:3" x14ac:dyDescent="0.35">
      <c r="A2721" s="305">
        <v>43445</v>
      </c>
      <c r="B2721" s="306">
        <v>260.46289999999999</v>
      </c>
      <c r="C2721" s="309">
        <v>3.30258404297048</v>
      </c>
    </row>
    <row r="2722" spans="1:3" x14ac:dyDescent="0.35">
      <c r="A2722" s="302">
        <v>43444</v>
      </c>
      <c r="B2722" s="303">
        <v>260.45249999999999</v>
      </c>
      <c r="C2722" s="308">
        <v>3.2991557670478699</v>
      </c>
    </row>
    <row r="2723" spans="1:3" x14ac:dyDescent="0.35">
      <c r="A2723" s="305">
        <v>43443</v>
      </c>
      <c r="B2723" s="306">
        <v>260.44209999999998</v>
      </c>
      <c r="C2723" s="309">
        <v>3.29572744489505</v>
      </c>
    </row>
    <row r="2724" spans="1:3" x14ac:dyDescent="0.35">
      <c r="A2724" s="302">
        <v>43442</v>
      </c>
      <c r="B2724" s="303">
        <v>260.4316</v>
      </c>
      <c r="C2724" s="308">
        <v>3.2922184468464599</v>
      </c>
    </row>
    <row r="2725" spans="1:3" x14ac:dyDescent="0.35">
      <c r="A2725" s="305">
        <v>43441</v>
      </c>
      <c r="B2725" s="306">
        <v>260.4212</v>
      </c>
      <c r="C2725" s="309">
        <v>3.28879003304655</v>
      </c>
    </row>
    <row r="2726" spans="1:3" x14ac:dyDescent="0.35">
      <c r="A2726" s="302">
        <v>43440</v>
      </c>
      <c r="B2726" s="303">
        <v>260.41079999999999</v>
      </c>
      <c r="C2726" s="308">
        <v>3.2853615730136498</v>
      </c>
    </row>
    <row r="2727" spans="1:3" x14ac:dyDescent="0.35">
      <c r="A2727" s="305">
        <v>43439</v>
      </c>
      <c r="B2727" s="306">
        <v>260.40039999999999</v>
      </c>
      <c r="C2727" s="309">
        <v>3.28193306674684</v>
      </c>
    </row>
    <row r="2728" spans="1:3" x14ac:dyDescent="0.35">
      <c r="A2728" s="302">
        <v>43438</v>
      </c>
      <c r="B2728" s="303">
        <v>260.39</v>
      </c>
      <c r="C2728" s="308">
        <v>3.2785045142451699</v>
      </c>
    </row>
    <row r="2729" spans="1:3" x14ac:dyDescent="0.35">
      <c r="A2729" s="305">
        <v>43437</v>
      </c>
      <c r="B2729" s="306">
        <v>260.37959999999998</v>
      </c>
      <c r="C2729" s="309">
        <v>3.2750759155077098</v>
      </c>
    </row>
    <row r="2730" spans="1:3" x14ac:dyDescent="0.35">
      <c r="A2730" s="302">
        <v>43436</v>
      </c>
      <c r="B2730" s="303">
        <v>260.36919999999998</v>
      </c>
      <c r="C2730" s="308">
        <v>3.27160630935647</v>
      </c>
    </row>
    <row r="2731" spans="1:3" x14ac:dyDescent="0.35">
      <c r="A2731" s="305">
        <v>43435</v>
      </c>
      <c r="B2731" s="306">
        <v>260.35879999999997</v>
      </c>
      <c r="C2731" s="309">
        <v>3.26817761922837</v>
      </c>
    </row>
    <row r="2732" spans="1:3" x14ac:dyDescent="0.35">
      <c r="A2732" s="302">
        <v>43434</v>
      </c>
      <c r="B2732" s="303">
        <v>260.34840000000003</v>
      </c>
      <c r="C2732" s="308">
        <v>3.2647488828617099</v>
      </c>
    </row>
    <row r="2733" spans="1:3" x14ac:dyDescent="0.35">
      <c r="A2733" s="305">
        <v>43433</v>
      </c>
      <c r="B2733" s="306">
        <v>260.33800000000002</v>
      </c>
      <c r="C2733" s="309">
        <v>3.2613201002555599</v>
      </c>
    </row>
    <row r="2734" spans="1:3" x14ac:dyDescent="0.35">
      <c r="A2734" s="302">
        <v>43432</v>
      </c>
      <c r="B2734" s="303">
        <v>260.32760000000002</v>
      </c>
      <c r="C2734" s="308">
        <v>3.2578912714089698</v>
      </c>
    </row>
    <row r="2735" spans="1:3" x14ac:dyDescent="0.35">
      <c r="A2735" s="305">
        <v>43431</v>
      </c>
      <c r="B2735" s="306">
        <v>260.31709999999998</v>
      </c>
      <c r="C2735" s="309">
        <v>3.2543817757476399</v>
      </c>
    </row>
    <row r="2736" spans="1:3" x14ac:dyDescent="0.35">
      <c r="A2736" s="302">
        <v>43430</v>
      </c>
      <c r="B2736" s="303">
        <v>260.30669999999998</v>
      </c>
      <c r="C2736" s="308">
        <v>3.2509528552338298</v>
      </c>
    </row>
    <row r="2737" spans="1:3" x14ac:dyDescent="0.35">
      <c r="A2737" s="305">
        <v>43429</v>
      </c>
      <c r="B2737" s="306">
        <v>260.29629999999997</v>
      </c>
      <c r="C2737" s="309">
        <v>3.2475238884768101</v>
      </c>
    </row>
    <row r="2738" spans="1:3" x14ac:dyDescent="0.35">
      <c r="A2738" s="302">
        <v>43428</v>
      </c>
      <c r="B2738" s="303">
        <v>260.28590000000003</v>
      </c>
      <c r="C2738" s="308">
        <v>3.24409487547564</v>
      </c>
    </row>
    <row r="2739" spans="1:3" x14ac:dyDescent="0.35">
      <c r="A2739" s="305">
        <v>43427</v>
      </c>
      <c r="B2739" s="306">
        <v>260.27550000000002</v>
      </c>
      <c r="C2739" s="309">
        <v>3.2406658162293902</v>
      </c>
    </row>
    <row r="2740" spans="1:3" x14ac:dyDescent="0.35">
      <c r="A2740" s="302">
        <v>43426</v>
      </c>
      <c r="B2740" s="303">
        <v>260.26510000000002</v>
      </c>
      <c r="C2740" s="308">
        <v>3.2371957604797998</v>
      </c>
    </row>
    <row r="2741" spans="1:3" x14ac:dyDescent="0.35">
      <c r="A2741" s="305">
        <v>43425</v>
      </c>
      <c r="B2741" s="306">
        <v>260.25470000000001</v>
      </c>
      <c r="C2741" s="309">
        <v>3.2337666098246598</v>
      </c>
    </row>
    <row r="2742" spans="1:3" x14ac:dyDescent="0.35">
      <c r="A2742" s="302">
        <v>43424</v>
      </c>
      <c r="B2742" s="303">
        <v>260.24430000000001</v>
      </c>
      <c r="C2742" s="308">
        <v>3.2303374129216702</v>
      </c>
    </row>
    <row r="2743" spans="1:3" x14ac:dyDescent="0.35">
      <c r="A2743" s="305">
        <v>43423</v>
      </c>
      <c r="B2743" s="306">
        <v>260.23390000000001</v>
      </c>
      <c r="C2743" s="309">
        <v>3.2269081697698798</v>
      </c>
    </row>
    <row r="2744" spans="1:3" x14ac:dyDescent="0.35">
      <c r="A2744" s="302">
        <v>43422</v>
      </c>
      <c r="B2744" s="303">
        <v>260.2235</v>
      </c>
      <c r="C2744" s="308">
        <v>3.2234788803683698</v>
      </c>
    </row>
    <row r="2745" spans="1:3" x14ac:dyDescent="0.35">
      <c r="A2745" s="305">
        <v>43421</v>
      </c>
      <c r="B2745" s="306">
        <v>260.2131</v>
      </c>
      <c r="C2745" s="309">
        <v>3.2200085999121</v>
      </c>
    </row>
    <row r="2746" spans="1:3" x14ac:dyDescent="0.35">
      <c r="A2746" s="302">
        <v>43420</v>
      </c>
      <c r="B2746" s="303">
        <v>260.20269999999999</v>
      </c>
      <c r="C2746" s="308">
        <v>3.2165792190925702</v>
      </c>
    </row>
    <row r="2747" spans="1:3" x14ac:dyDescent="0.35">
      <c r="A2747" s="305">
        <v>43419</v>
      </c>
      <c r="B2747" s="306">
        <v>260.19229999999999</v>
      </c>
      <c r="C2747" s="309">
        <v>3.2131497920205399</v>
      </c>
    </row>
    <row r="2748" spans="1:3" x14ac:dyDescent="0.35">
      <c r="A2748" s="302">
        <v>43418</v>
      </c>
      <c r="B2748" s="303">
        <v>260.1789</v>
      </c>
      <c r="C2748" s="308">
        <v>3.2091853310478999</v>
      </c>
    </row>
    <row r="2749" spans="1:3" x14ac:dyDescent="0.35">
      <c r="A2749" s="305">
        <v>43417</v>
      </c>
      <c r="B2749" s="306">
        <v>260.16550000000001</v>
      </c>
      <c r="C2749" s="309">
        <v>3.2051798257497399</v>
      </c>
    </row>
    <row r="2750" spans="1:3" x14ac:dyDescent="0.35">
      <c r="A2750" s="302">
        <v>43416</v>
      </c>
      <c r="B2750" s="303">
        <v>260.15210000000002</v>
      </c>
      <c r="C2750" s="308">
        <v>3.2012151582181101</v>
      </c>
    </row>
    <row r="2751" spans="1:3" x14ac:dyDescent="0.35">
      <c r="A2751" s="305">
        <v>43415</v>
      </c>
      <c r="B2751" s="306">
        <v>260.13869999999997</v>
      </c>
      <c r="C2751" s="309">
        <v>3.1972094484590601</v>
      </c>
    </row>
    <row r="2752" spans="1:3" x14ac:dyDescent="0.35">
      <c r="A2752" s="302">
        <v>43414</v>
      </c>
      <c r="B2752" s="303">
        <v>260.12529999999998</v>
      </c>
      <c r="C2752" s="308">
        <v>3.19324457435241</v>
      </c>
    </row>
    <row r="2753" spans="1:3" x14ac:dyDescent="0.35">
      <c r="A2753" s="305">
        <v>43413</v>
      </c>
      <c r="B2753" s="306">
        <v>260.11180000000002</v>
      </c>
      <c r="C2753" s="309">
        <v>3.1891989890218202</v>
      </c>
    </row>
    <row r="2754" spans="1:3" x14ac:dyDescent="0.35">
      <c r="A2754" s="302">
        <v>43412</v>
      </c>
      <c r="B2754" s="303">
        <v>260.09840000000003</v>
      </c>
      <c r="C2754" s="308">
        <v>3.18523390780476</v>
      </c>
    </row>
    <row r="2755" spans="1:3" x14ac:dyDescent="0.35">
      <c r="A2755" s="305">
        <v>43411</v>
      </c>
      <c r="B2755" s="306">
        <v>260.08499999999998</v>
      </c>
      <c r="C2755" s="309">
        <v>3.181227788573</v>
      </c>
    </row>
    <row r="2756" spans="1:3" x14ac:dyDescent="0.35">
      <c r="A2756" s="302">
        <v>43410</v>
      </c>
      <c r="B2756" s="303">
        <v>260.07159999999999</v>
      </c>
      <c r="C2756" s="308">
        <v>3.17726250074882</v>
      </c>
    </row>
    <row r="2757" spans="1:3" x14ac:dyDescent="0.35">
      <c r="A2757" s="305">
        <v>43409</v>
      </c>
      <c r="B2757" s="306">
        <v>260.0582</v>
      </c>
      <c r="C2757" s="309">
        <v>3.1732561770088599</v>
      </c>
    </row>
    <row r="2758" spans="1:3" x14ac:dyDescent="0.35">
      <c r="A2758" s="302">
        <v>43408</v>
      </c>
      <c r="B2758" s="303">
        <v>260.04480000000001</v>
      </c>
      <c r="C2758" s="308">
        <v>3.1692906825615199</v>
      </c>
    </row>
    <row r="2759" spans="1:3" x14ac:dyDescent="0.35">
      <c r="A2759" s="305">
        <v>43407</v>
      </c>
      <c r="B2759" s="306">
        <v>260.03140000000002</v>
      </c>
      <c r="C2759" s="309">
        <v>3.1652841542975798</v>
      </c>
    </row>
    <row r="2760" spans="1:3" x14ac:dyDescent="0.35">
      <c r="A2760" s="302">
        <v>43406</v>
      </c>
      <c r="B2760" s="303">
        <v>260.01799999999997</v>
      </c>
      <c r="C2760" s="308">
        <v>3.1613184532110501</v>
      </c>
    </row>
    <row r="2761" spans="1:3" x14ac:dyDescent="0.35">
      <c r="A2761" s="305">
        <v>43405</v>
      </c>
      <c r="B2761" s="306">
        <v>260.00459999999998</v>
      </c>
      <c r="C2761" s="309">
        <v>3.1573117204073702</v>
      </c>
    </row>
    <row r="2762" spans="1:3" x14ac:dyDescent="0.35">
      <c r="A2762" s="302">
        <v>43404</v>
      </c>
      <c r="B2762" s="303">
        <v>259.99110000000002</v>
      </c>
      <c r="C2762" s="308">
        <v>3.1533061369589501</v>
      </c>
    </row>
    <row r="2763" spans="1:3" x14ac:dyDescent="0.35">
      <c r="A2763" s="305">
        <v>43403</v>
      </c>
      <c r="B2763" s="306">
        <v>259.97770000000003</v>
      </c>
      <c r="C2763" s="309">
        <v>3.1492991990960202</v>
      </c>
    </row>
    <row r="2764" spans="1:3" x14ac:dyDescent="0.35">
      <c r="A2764" s="302">
        <v>43402</v>
      </c>
      <c r="B2764" s="303">
        <v>259.96429999999998</v>
      </c>
      <c r="C2764" s="308">
        <v>3.1453330841634699</v>
      </c>
    </row>
    <row r="2765" spans="1:3" x14ac:dyDescent="0.35">
      <c r="A2765" s="305">
        <v>43401</v>
      </c>
      <c r="B2765" s="306">
        <v>259.95089999999999</v>
      </c>
      <c r="C2765" s="309">
        <v>3.1413259417292201</v>
      </c>
    </row>
    <row r="2766" spans="1:3" x14ac:dyDescent="0.35">
      <c r="A2766" s="302">
        <v>43400</v>
      </c>
      <c r="B2766" s="303">
        <v>259.9375</v>
      </c>
      <c r="C2766" s="308">
        <v>3.1373596201093199</v>
      </c>
    </row>
    <row r="2767" spans="1:3" x14ac:dyDescent="0.35">
      <c r="A2767" s="305">
        <v>43399</v>
      </c>
      <c r="B2767" s="306">
        <v>259.92410000000001</v>
      </c>
      <c r="C2767" s="309">
        <v>3.1333522730879801</v>
      </c>
    </row>
    <row r="2768" spans="1:3" x14ac:dyDescent="0.35">
      <c r="A2768" s="302">
        <v>43398</v>
      </c>
      <c r="B2768" s="303">
        <v>259.91070000000002</v>
      </c>
      <c r="C2768" s="308">
        <v>3.1293857447646798</v>
      </c>
    </row>
    <row r="2769" spans="1:3" x14ac:dyDescent="0.35">
      <c r="A2769" s="305">
        <v>43397</v>
      </c>
      <c r="B2769" s="306">
        <v>259.89729999999997</v>
      </c>
      <c r="C2769" s="309">
        <v>3.12537819314048</v>
      </c>
    </row>
    <row r="2770" spans="1:3" x14ac:dyDescent="0.35">
      <c r="A2770" s="302">
        <v>43396</v>
      </c>
      <c r="B2770" s="303">
        <v>259.88389999999998</v>
      </c>
      <c r="C2770" s="308">
        <v>3.1214114580977301</v>
      </c>
    </row>
    <row r="2771" spans="1:3" x14ac:dyDescent="0.35">
      <c r="A2771" s="305">
        <v>43395</v>
      </c>
      <c r="B2771" s="306">
        <v>259.87049999999999</v>
      </c>
      <c r="C2771" s="309">
        <v>3.1174037018548999</v>
      </c>
    </row>
    <row r="2772" spans="1:3" x14ac:dyDescent="0.35">
      <c r="A2772" s="302">
        <v>43394</v>
      </c>
      <c r="B2772" s="303">
        <v>259.8571</v>
      </c>
      <c r="C2772" s="308">
        <v>3.1134367600766502</v>
      </c>
    </row>
    <row r="2773" spans="1:3" x14ac:dyDescent="0.35">
      <c r="A2773" s="305">
        <v>43393</v>
      </c>
      <c r="B2773" s="306">
        <v>259.84370000000001</v>
      </c>
      <c r="C2773" s="309">
        <v>3.1094287991993901</v>
      </c>
    </row>
    <row r="2774" spans="1:3" x14ac:dyDescent="0.35">
      <c r="A2774" s="302">
        <v>43392</v>
      </c>
      <c r="B2774" s="303">
        <v>259.83030000000002</v>
      </c>
      <c r="C2774" s="308">
        <v>3.1054616506695898</v>
      </c>
    </row>
    <row r="2775" spans="1:3" x14ac:dyDescent="0.35">
      <c r="A2775" s="305">
        <v>43391</v>
      </c>
      <c r="B2775" s="306">
        <v>259.81689999999998</v>
      </c>
      <c r="C2775" s="309">
        <v>3.1014534851421298</v>
      </c>
    </row>
    <row r="2776" spans="1:3" x14ac:dyDescent="0.35">
      <c r="A2776" s="302">
        <v>43390</v>
      </c>
      <c r="B2776" s="303">
        <v>259.80349999999999</v>
      </c>
      <c r="C2776" s="308">
        <v>3.09748612984473</v>
      </c>
    </row>
    <row r="2777" spans="1:3" x14ac:dyDescent="0.35">
      <c r="A2777" s="305">
        <v>43389</v>
      </c>
      <c r="B2777" s="306">
        <v>259.7901</v>
      </c>
      <c r="C2777" s="309">
        <v>3.0934777596512899</v>
      </c>
    </row>
    <row r="2778" spans="1:3" x14ac:dyDescent="0.35">
      <c r="A2778" s="302">
        <v>43388</v>
      </c>
      <c r="B2778" s="303">
        <v>259.77670000000001</v>
      </c>
      <c r="C2778" s="308">
        <v>3.0895101975702302</v>
      </c>
    </row>
    <row r="2779" spans="1:3" x14ac:dyDescent="0.35">
      <c r="A2779" s="305">
        <v>43387</v>
      </c>
      <c r="B2779" s="306">
        <v>259.7663</v>
      </c>
      <c r="C2779" s="309">
        <v>3.0902104773560999</v>
      </c>
    </row>
    <row r="2780" spans="1:3" x14ac:dyDescent="0.35">
      <c r="A2780" s="302">
        <v>43386</v>
      </c>
      <c r="B2780" s="303">
        <v>259.7559</v>
      </c>
      <c r="C2780" s="308">
        <v>3.09086990842881</v>
      </c>
    </row>
    <row r="2781" spans="1:3" x14ac:dyDescent="0.35">
      <c r="A2781" s="305">
        <v>43385</v>
      </c>
      <c r="B2781" s="306">
        <v>259.74549999999999</v>
      </c>
      <c r="C2781" s="309">
        <v>3.09157031721002</v>
      </c>
    </row>
    <row r="2782" spans="1:3" x14ac:dyDescent="0.35">
      <c r="A2782" s="302">
        <v>43384</v>
      </c>
      <c r="B2782" s="303">
        <v>259.73509999999999</v>
      </c>
      <c r="C2782" s="308">
        <v>3.0922298729402198</v>
      </c>
    </row>
    <row r="2783" spans="1:3" x14ac:dyDescent="0.35">
      <c r="A2783" s="305">
        <v>43383</v>
      </c>
      <c r="B2783" s="306">
        <v>259.72469999999998</v>
      </c>
      <c r="C2783" s="309">
        <v>3.0929304107527198</v>
      </c>
    </row>
    <row r="2784" spans="1:3" x14ac:dyDescent="0.35">
      <c r="A2784" s="302">
        <v>43382</v>
      </c>
      <c r="B2784" s="303">
        <v>259.71440000000001</v>
      </c>
      <c r="C2784" s="308">
        <v>3.09362978617495</v>
      </c>
    </row>
    <row r="2785" spans="1:3" x14ac:dyDescent="0.35">
      <c r="A2785" s="305">
        <v>43381</v>
      </c>
      <c r="B2785" s="306">
        <v>259.70400000000001</v>
      </c>
      <c r="C2785" s="309">
        <v>3.0943304549140902</v>
      </c>
    </row>
    <row r="2786" spans="1:3" x14ac:dyDescent="0.35">
      <c r="A2786" s="302">
        <v>43380</v>
      </c>
      <c r="B2786" s="303">
        <v>259.6936</v>
      </c>
      <c r="C2786" s="308">
        <v>3.0949902619082201</v>
      </c>
    </row>
    <row r="2787" spans="1:3" x14ac:dyDescent="0.35">
      <c r="A2787" s="305">
        <v>43379</v>
      </c>
      <c r="B2787" s="306">
        <v>259.6832</v>
      </c>
      <c r="C2787" s="309">
        <v>3.09565013019794</v>
      </c>
    </row>
    <row r="2788" spans="1:3" x14ac:dyDescent="0.35">
      <c r="A2788" s="302">
        <v>43378</v>
      </c>
      <c r="B2788" s="303">
        <v>259.6728</v>
      </c>
      <c r="C2788" s="308">
        <v>3.09635099150805</v>
      </c>
    </row>
    <row r="2789" spans="1:3" x14ac:dyDescent="0.35">
      <c r="A2789" s="305">
        <v>43377</v>
      </c>
      <c r="B2789" s="306">
        <v>259.66250000000002</v>
      </c>
      <c r="C2789" s="309">
        <v>3.0970506888290501</v>
      </c>
    </row>
    <row r="2790" spans="1:3" x14ac:dyDescent="0.35">
      <c r="A2790" s="302">
        <v>43376</v>
      </c>
      <c r="B2790" s="303">
        <v>259.65210000000002</v>
      </c>
      <c r="C2790" s="308">
        <v>3.0977516811567498</v>
      </c>
    </row>
    <row r="2791" spans="1:3" x14ac:dyDescent="0.35">
      <c r="A2791" s="305">
        <v>43375</v>
      </c>
      <c r="B2791" s="306">
        <v>259.64170000000001</v>
      </c>
      <c r="C2791" s="309">
        <v>3.09841180088684</v>
      </c>
    </row>
    <row r="2792" spans="1:3" x14ac:dyDescent="0.35">
      <c r="A2792" s="302">
        <v>43374</v>
      </c>
      <c r="B2792" s="303">
        <v>259.63130000000001</v>
      </c>
      <c r="C2792" s="308">
        <v>3.0991129224082101</v>
      </c>
    </row>
    <row r="2793" spans="1:3" x14ac:dyDescent="0.35">
      <c r="A2793" s="305">
        <v>43373</v>
      </c>
      <c r="B2793" s="306">
        <v>259.62090000000001</v>
      </c>
      <c r="C2793" s="309">
        <v>3.09977316698913</v>
      </c>
    </row>
    <row r="2794" spans="1:3" x14ac:dyDescent="0.35">
      <c r="A2794" s="302">
        <v>43372</v>
      </c>
      <c r="B2794" s="303">
        <v>259.61059999999998</v>
      </c>
      <c r="C2794" s="308">
        <v>3.1005141312627198</v>
      </c>
    </row>
    <row r="2795" spans="1:3" x14ac:dyDescent="0.35">
      <c r="A2795" s="305">
        <v>43371</v>
      </c>
      <c r="B2795" s="306">
        <v>259.60019999999997</v>
      </c>
      <c r="C2795" s="309">
        <v>3.10117450257495</v>
      </c>
    </row>
    <row r="2796" spans="1:3" x14ac:dyDescent="0.35">
      <c r="A2796" s="302">
        <v>43370</v>
      </c>
      <c r="B2796" s="303">
        <v>259.58980000000003</v>
      </c>
      <c r="C2796" s="308">
        <v>3.10183493526094</v>
      </c>
    </row>
    <row r="2797" spans="1:3" x14ac:dyDescent="0.35">
      <c r="A2797" s="305">
        <v>43369</v>
      </c>
      <c r="B2797" s="306">
        <v>259.57940000000002</v>
      </c>
      <c r="C2797" s="309">
        <v>3.1025363806866801</v>
      </c>
    </row>
    <row r="2798" spans="1:3" x14ac:dyDescent="0.35">
      <c r="A2798" s="302">
        <v>43368</v>
      </c>
      <c r="B2798" s="303">
        <v>259.56900000000002</v>
      </c>
      <c r="C2798" s="308">
        <v>3.1031969383114202</v>
      </c>
    </row>
    <row r="2799" spans="1:3" x14ac:dyDescent="0.35">
      <c r="A2799" s="305">
        <v>43367</v>
      </c>
      <c r="B2799" s="306">
        <v>259.55869999999999</v>
      </c>
      <c r="C2799" s="309">
        <v>3.1039382358397201</v>
      </c>
    </row>
    <row r="2800" spans="1:3" x14ac:dyDescent="0.35">
      <c r="A2800" s="302">
        <v>43366</v>
      </c>
      <c r="B2800" s="303">
        <v>259.54829999999998</v>
      </c>
      <c r="C2800" s="308">
        <v>3.1045989202845901</v>
      </c>
    </row>
    <row r="2801" spans="1:3" x14ac:dyDescent="0.35">
      <c r="A2801" s="305">
        <v>43365</v>
      </c>
      <c r="B2801" s="306">
        <v>259.53789999999998</v>
      </c>
      <c r="C2801" s="309">
        <v>3.1052596661466501</v>
      </c>
    </row>
    <row r="2802" spans="1:3" x14ac:dyDescent="0.35">
      <c r="A2802" s="302">
        <v>43364</v>
      </c>
      <c r="B2802" s="303">
        <v>259.52749999999997</v>
      </c>
      <c r="C2802" s="308">
        <v>3.1059614357026701</v>
      </c>
    </row>
    <row r="2803" spans="1:3" x14ac:dyDescent="0.35">
      <c r="A2803" s="305">
        <v>43363</v>
      </c>
      <c r="B2803" s="306">
        <v>259.5172</v>
      </c>
      <c r="C2803" s="309">
        <v>3.10666203677585</v>
      </c>
    </row>
    <row r="2804" spans="1:3" x14ac:dyDescent="0.35">
      <c r="A2804" s="302">
        <v>43362</v>
      </c>
      <c r="B2804" s="303">
        <v>259.5068</v>
      </c>
      <c r="C2804" s="308">
        <v>3.1073639376047901</v>
      </c>
    </row>
    <row r="2805" spans="1:3" x14ac:dyDescent="0.35">
      <c r="A2805" s="305">
        <v>43361</v>
      </c>
      <c r="B2805" s="306">
        <v>259.49639999999999</v>
      </c>
      <c r="C2805" s="309">
        <v>3.1080249354026201</v>
      </c>
    </row>
    <row r="2806" spans="1:3" x14ac:dyDescent="0.35">
      <c r="A2806" s="302">
        <v>43360</v>
      </c>
      <c r="B2806" s="303">
        <v>259.48599999999999</v>
      </c>
      <c r="C2806" s="308">
        <v>3.1086859946611098</v>
      </c>
    </row>
    <row r="2807" spans="1:3" x14ac:dyDescent="0.35">
      <c r="A2807" s="305">
        <v>43359</v>
      </c>
      <c r="B2807" s="306">
        <v>259.47570000000002</v>
      </c>
      <c r="C2807" s="309">
        <v>3.1094278261781798</v>
      </c>
    </row>
    <row r="2808" spans="1:3" x14ac:dyDescent="0.35">
      <c r="A2808" s="302">
        <v>43358</v>
      </c>
      <c r="B2808" s="303">
        <v>259.46530000000001</v>
      </c>
      <c r="C2808" s="308">
        <v>3.1100890123991101</v>
      </c>
    </row>
    <row r="2809" spans="1:3" x14ac:dyDescent="0.35">
      <c r="A2809" s="305">
        <v>43357</v>
      </c>
      <c r="B2809" s="306">
        <v>259.47609999999997</v>
      </c>
      <c r="C2809" s="309">
        <v>3.1127008399193801</v>
      </c>
    </row>
    <row r="2810" spans="1:3" x14ac:dyDescent="0.35">
      <c r="A2810" s="302">
        <v>43356</v>
      </c>
      <c r="B2810" s="303">
        <v>259.48700000000002</v>
      </c>
      <c r="C2810" s="308">
        <v>3.1153932966470501</v>
      </c>
    </row>
    <row r="2811" spans="1:3" x14ac:dyDescent="0.35">
      <c r="A2811" s="305">
        <v>43355</v>
      </c>
      <c r="B2811" s="306">
        <v>259.49790000000002</v>
      </c>
      <c r="C2811" s="309">
        <v>3.1180446912056499</v>
      </c>
    </row>
    <row r="2812" spans="1:3" x14ac:dyDescent="0.35">
      <c r="A2812" s="302">
        <v>43354</v>
      </c>
      <c r="B2812" s="303">
        <v>259.50880000000001</v>
      </c>
      <c r="C2812" s="308">
        <v>3.1206959993705699</v>
      </c>
    </row>
    <row r="2813" spans="1:3" x14ac:dyDescent="0.35">
      <c r="A2813" s="305">
        <v>43353</v>
      </c>
      <c r="B2813" s="306">
        <v>259.5197</v>
      </c>
      <c r="C2813" s="309">
        <v>3.12338819849368</v>
      </c>
    </row>
    <row r="2814" spans="1:3" x14ac:dyDescent="0.35">
      <c r="A2814" s="302">
        <v>43352</v>
      </c>
      <c r="B2814" s="303">
        <v>259.53059999999999</v>
      </c>
      <c r="C2814" s="308">
        <v>3.1260393342697701</v>
      </c>
    </row>
    <row r="2815" spans="1:3" x14ac:dyDescent="0.35">
      <c r="A2815" s="305">
        <v>43351</v>
      </c>
      <c r="B2815" s="306">
        <v>259.54149999999998</v>
      </c>
      <c r="C2815" s="309">
        <v>3.1287313618166799</v>
      </c>
    </row>
    <row r="2816" spans="1:3" x14ac:dyDescent="0.35">
      <c r="A2816" s="302">
        <v>43350</v>
      </c>
      <c r="B2816" s="303">
        <v>259.55239999999998</v>
      </c>
      <c r="C2816" s="308">
        <v>3.1313823252206401</v>
      </c>
    </row>
    <row r="2817" spans="1:3" x14ac:dyDescent="0.35">
      <c r="A2817" s="305">
        <v>43349</v>
      </c>
      <c r="B2817" s="306">
        <v>259.56330000000003</v>
      </c>
      <c r="C2817" s="309">
        <v>3.1340332022519499</v>
      </c>
    </row>
    <row r="2818" spans="1:3" x14ac:dyDescent="0.35">
      <c r="A2818" s="302">
        <v>43348</v>
      </c>
      <c r="B2818" s="303">
        <v>259.57420000000002</v>
      </c>
      <c r="C2818" s="308">
        <v>3.1367249722563999</v>
      </c>
    </row>
    <row r="2819" spans="1:3" x14ac:dyDescent="0.35">
      <c r="A2819" s="305">
        <v>43347</v>
      </c>
      <c r="B2819" s="306">
        <v>259.58510000000001</v>
      </c>
      <c r="C2819" s="309">
        <v>3.13937567694067</v>
      </c>
    </row>
    <row r="2820" spans="1:3" x14ac:dyDescent="0.35">
      <c r="A2820" s="302">
        <v>43346</v>
      </c>
      <c r="B2820" s="303">
        <v>259.59589999999997</v>
      </c>
      <c r="C2820" s="308">
        <v>3.1420275436473299</v>
      </c>
    </row>
    <row r="2821" spans="1:3" x14ac:dyDescent="0.35">
      <c r="A2821" s="305">
        <v>43345</v>
      </c>
      <c r="B2821" s="306">
        <v>259.60680000000002</v>
      </c>
      <c r="C2821" s="309">
        <v>3.1446780766484701</v>
      </c>
    </row>
    <row r="2822" spans="1:3" x14ac:dyDescent="0.35">
      <c r="A2822" s="302">
        <v>43344</v>
      </c>
      <c r="B2822" s="303">
        <v>259.61770000000001</v>
      </c>
      <c r="C2822" s="308">
        <v>3.1473285232979502</v>
      </c>
    </row>
    <row r="2823" spans="1:3" x14ac:dyDescent="0.35">
      <c r="A2823" s="305">
        <v>43343</v>
      </c>
      <c r="B2823" s="306">
        <v>259.62860000000001</v>
      </c>
      <c r="C2823" s="309">
        <v>3.15001986491855</v>
      </c>
    </row>
    <row r="2824" spans="1:3" x14ac:dyDescent="0.35">
      <c r="A2824" s="302">
        <v>43342</v>
      </c>
      <c r="B2824" s="303">
        <v>259.6395</v>
      </c>
      <c r="C2824" s="308">
        <v>3.1526701392627299</v>
      </c>
    </row>
    <row r="2825" spans="1:3" x14ac:dyDescent="0.35">
      <c r="A2825" s="305">
        <v>43341</v>
      </c>
      <c r="B2825" s="306">
        <v>259.65039999999999</v>
      </c>
      <c r="C2825" s="309">
        <v>3.1553613093897299</v>
      </c>
    </row>
    <row r="2826" spans="1:3" x14ac:dyDescent="0.35">
      <c r="A2826" s="302">
        <v>43340</v>
      </c>
      <c r="B2826" s="303">
        <v>259.66129999999998</v>
      </c>
      <c r="C2826" s="308">
        <v>3.15801141144529</v>
      </c>
    </row>
    <row r="2827" spans="1:3" x14ac:dyDescent="0.35">
      <c r="A2827" s="305">
        <v>43339</v>
      </c>
      <c r="B2827" s="306">
        <v>259.67219999999998</v>
      </c>
      <c r="C2827" s="309">
        <v>3.1606614271701901</v>
      </c>
    </row>
    <row r="2828" spans="1:3" x14ac:dyDescent="0.35">
      <c r="A2828" s="302">
        <v>43338</v>
      </c>
      <c r="B2828" s="303">
        <v>259.68310000000002</v>
      </c>
      <c r="C2828" s="308">
        <v>3.1633523398788301</v>
      </c>
    </row>
    <row r="2829" spans="1:3" x14ac:dyDescent="0.35">
      <c r="A2829" s="305">
        <v>43337</v>
      </c>
      <c r="B2829" s="306">
        <v>259.69400000000002</v>
      </c>
      <c r="C2829" s="309">
        <v>3.1660021833401899</v>
      </c>
    </row>
    <row r="2830" spans="1:3" x14ac:dyDescent="0.35">
      <c r="A2830" s="302">
        <v>43336</v>
      </c>
      <c r="B2830" s="303">
        <v>259.70490000000001</v>
      </c>
      <c r="C2830" s="308">
        <v>3.1686929245965101</v>
      </c>
    </row>
    <row r="2831" spans="1:3" x14ac:dyDescent="0.35">
      <c r="A2831" s="305">
        <v>43335</v>
      </c>
      <c r="B2831" s="306">
        <v>259.7158</v>
      </c>
      <c r="C2831" s="309">
        <v>3.17134259581103</v>
      </c>
    </row>
    <row r="2832" spans="1:3" x14ac:dyDescent="0.35">
      <c r="A2832" s="302">
        <v>43334</v>
      </c>
      <c r="B2832" s="303">
        <v>259.72669999999999</v>
      </c>
      <c r="C2832" s="308">
        <v>3.1739921807158802</v>
      </c>
    </row>
    <row r="2833" spans="1:3" x14ac:dyDescent="0.35">
      <c r="A2833" s="305">
        <v>43333</v>
      </c>
      <c r="B2833" s="306">
        <v>259.73759999999999</v>
      </c>
      <c r="C2833" s="309">
        <v>3.1766826646158801</v>
      </c>
    </row>
    <row r="2834" spans="1:3" x14ac:dyDescent="0.35">
      <c r="A2834" s="302">
        <v>43332</v>
      </c>
      <c r="B2834" s="303">
        <v>259.74849999999998</v>
      </c>
      <c r="C2834" s="308">
        <v>3.17933207729895</v>
      </c>
    </row>
    <row r="2835" spans="1:3" x14ac:dyDescent="0.35">
      <c r="A2835" s="305">
        <v>43331</v>
      </c>
      <c r="B2835" s="306">
        <v>259.75940000000003</v>
      </c>
      <c r="C2835" s="309">
        <v>3.1819814036849401</v>
      </c>
    </row>
    <row r="2836" spans="1:3" x14ac:dyDescent="0.35">
      <c r="A2836" s="302">
        <v>43330</v>
      </c>
      <c r="B2836" s="303">
        <v>259.77030000000002</v>
      </c>
      <c r="C2836" s="308">
        <v>3.1846716302658802</v>
      </c>
    </row>
    <row r="2837" spans="1:3" x14ac:dyDescent="0.35">
      <c r="A2837" s="305">
        <v>43329</v>
      </c>
      <c r="B2837" s="306">
        <v>259.78120000000001</v>
      </c>
      <c r="C2837" s="309">
        <v>3.1873207844551601</v>
      </c>
    </row>
    <row r="2838" spans="1:3" x14ac:dyDescent="0.35">
      <c r="A2838" s="302">
        <v>43328</v>
      </c>
      <c r="B2838" s="303">
        <v>259.7921</v>
      </c>
      <c r="C2838" s="308">
        <v>3.1900108396498399</v>
      </c>
    </row>
    <row r="2839" spans="1:3" x14ac:dyDescent="0.35">
      <c r="A2839" s="305">
        <v>43327</v>
      </c>
      <c r="B2839" s="306">
        <v>259.803</v>
      </c>
      <c r="C2839" s="309">
        <v>3.19265982165909</v>
      </c>
    </row>
    <row r="2840" spans="1:3" x14ac:dyDescent="0.35">
      <c r="A2840" s="302">
        <v>43326</v>
      </c>
      <c r="B2840" s="303">
        <v>259.79050000000001</v>
      </c>
      <c r="C2840" s="308">
        <v>3.1913427321125498</v>
      </c>
    </row>
    <row r="2841" spans="1:3" x14ac:dyDescent="0.35">
      <c r="A2841" s="305">
        <v>43325</v>
      </c>
      <c r="B2841" s="306">
        <v>259.77789999999999</v>
      </c>
      <c r="C2841" s="309">
        <v>3.1899858270518999</v>
      </c>
    </row>
    <row r="2842" spans="1:3" x14ac:dyDescent="0.35">
      <c r="A2842" s="302">
        <v>43324</v>
      </c>
      <c r="B2842" s="303">
        <v>259.76530000000002</v>
      </c>
      <c r="C2842" s="308">
        <v>3.1886288260467301</v>
      </c>
    </row>
    <row r="2843" spans="1:3" x14ac:dyDescent="0.35">
      <c r="A2843" s="305">
        <v>43323</v>
      </c>
      <c r="B2843" s="306">
        <v>259.75279999999998</v>
      </c>
      <c r="C2843" s="309">
        <v>3.1873524456628601</v>
      </c>
    </row>
    <row r="2844" spans="1:3" x14ac:dyDescent="0.35">
      <c r="A2844" s="302">
        <v>43322</v>
      </c>
      <c r="B2844" s="303">
        <v>259.74020000000002</v>
      </c>
      <c r="C2844" s="308">
        <v>3.1859952550528301</v>
      </c>
    </row>
    <row r="2845" spans="1:3" x14ac:dyDescent="0.35">
      <c r="A2845" s="305">
        <v>43321</v>
      </c>
      <c r="B2845" s="306">
        <v>259.72770000000003</v>
      </c>
      <c r="C2845" s="309">
        <v>3.18467769648983</v>
      </c>
    </row>
    <row r="2846" spans="1:3" x14ac:dyDescent="0.35">
      <c r="A2846" s="302">
        <v>43320</v>
      </c>
      <c r="B2846" s="303">
        <v>259.71510000000001</v>
      </c>
      <c r="C2846" s="308">
        <v>3.1833613094824198</v>
      </c>
    </row>
    <row r="2847" spans="1:3" x14ac:dyDescent="0.35">
      <c r="A2847" s="305">
        <v>43319</v>
      </c>
      <c r="B2847" s="306">
        <v>259.70249999999999</v>
      </c>
      <c r="C2847" s="309">
        <v>3.1820038332321499</v>
      </c>
    </row>
    <row r="2848" spans="1:3" x14ac:dyDescent="0.35">
      <c r="A2848" s="302">
        <v>43318</v>
      </c>
      <c r="B2848" s="303">
        <v>259.69</v>
      </c>
      <c r="C2848" s="308">
        <v>3.1806859932288298</v>
      </c>
    </row>
    <row r="2849" spans="1:3" x14ac:dyDescent="0.35">
      <c r="A2849" s="305">
        <v>43317</v>
      </c>
      <c r="B2849" s="306">
        <v>259.67739999999998</v>
      </c>
      <c r="C2849" s="309">
        <v>3.1793283263627301</v>
      </c>
    </row>
    <row r="2850" spans="1:3" x14ac:dyDescent="0.35">
      <c r="A2850" s="302">
        <v>43316</v>
      </c>
      <c r="B2850" s="303">
        <v>259.66489999999999</v>
      </c>
      <c r="C2850" s="308">
        <v>3.1780512963966601</v>
      </c>
    </row>
    <row r="2851" spans="1:3" x14ac:dyDescent="0.35">
      <c r="A2851" s="305">
        <v>43315</v>
      </c>
      <c r="B2851" s="306">
        <v>259.65230000000003</v>
      </c>
      <c r="C2851" s="309">
        <v>3.17669343978472</v>
      </c>
    </row>
    <row r="2852" spans="1:3" x14ac:dyDescent="0.35">
      <c r="A2852" s="302">
        <v>43314</v>
      </c>
      <c r="B2852" s="303">
        <v>259.63979999999998</v>
      </c>
      <c r="C2852" s="308">
        <v>3.1753752250158001</v>
      </c>
    </row>
    <row r="2853" spans="1:3" x14ac:dyDescent="0.35">
      <c r="A2853" s="305">
        <v>43313</v>
      </c>
      <c r="B2853" s="306">
        <v>259.62720000000002</v>
      </c>
      <c r="C2853" s="309">
        <v>3.1740171777073698</v>
      </c>
    </row>
    <row r="2854" spans="1:3" x14ac:dyDescent="0.35">
      <c r="A2854" s="302">
        <v>43312</v>
      </c>
      <c r="B2854" s="303">
        <v>259.61470000000003</v>
      </c>
      <c r="C2854" s="308">
        <v>3.1727397766015399</v>
      </c>
    </row>
    <row r="2855" spans="1:3" x14ac:dyDescent="0.35">
      <c r="A2855" s="305">
        <v>43311</v>
      </c>
      <c r="B2855" s="306">
        <v>259.60210000000001</v>
      </c>
      <c r="C2855" s="309">
        <v>3.1713815394667102</v>
      </c>
    </row>
    <row r="2856" spans="1:3" x14ac:dyDescent="0.35">
      <c r="A2856" s="302">
        <v>43310</v>
      </c>
      <c r="B2856" s="303">
        <v>259.58960000000002</v>
      </c>
      <c r="C2856" s="308">
        <v>3.1700629497725301</v>
      </c>
    </row>
    <row r="2857" spans="1:3" x14ac:dyDescent="0.35">
      <c r="A2857" s="305">
        <v>43309</v>
      </c>
      <c r="B2857" s="306">
        <v>259.577</v>
      </c>
      <c r="C2857" s="309">
        <v>3.1687045218605099</v>
      </c>
    </row>
    <row r="2858" spans="1:3" x14ac:dyDescent="0.35">
      <c r="A2858" s="302">
        <v>43308</v>
      </c>
      <c r="B2858" s="303">
        <v>259.56450000000001</v>
      </c>
      <c r="C2858" s="308">
        <v>3.1674267494556698</v>
      </c>
    </row>
    <row r="2859" spans="1:3" x14ac:dyDescent="0.35">
      <c r="A2859" s="305">
        <v>43307</v>
      </c>
      <c r="B2859" s="306">
        <v>259.55189999999999</v>
      </c>
      <c r="C2859" s="309">
        <v>3.1660681316366301</v>
      </c>
    </row>
    <row r="2860" spans="1:3" x14ac:dyDescent="0.35">
      <c r="A2860" s="302">
        <v>43306</v>
      </c>
      <c r="B2860" s="303">
        <v>259.5394</v>
      </c>
      <c r="C2860" s="308">
        <v>3.1647491668574599</v>
      </c>
    </row>
    <row r="2861" spans="1:3" x14ac:dyDescent="0.35">
      <c r="A2861" s="305">
        <v>43305</v>
      </c>
      <c r="B2861" s="306">
        <v>259.52679999999998</v>
      </c>
      <c r="C2861" s="309">
        <v>3.1633903581804899</v>
      </c>
    </row>
    <row r="2862" spans="1:3" x14ac:dyDescent="0.35">
      <c r="A2862" s="302">
        <v>43304</v>
      </c>
      <c r="B2862" s="303">
        <v>259.51429999999999</v>
      </c>
      <c r="C2862" s="308">
        <v>3.1620712053356699</v>
      </c>
    </row>
    <row r="2863" spans="1:3" x14ac:dyDescent="0.35">
      <c r="A2863" s="305">
        <v>43303</v>
      </c>
      <c r="B2863" s="306">
        <v>259.50170000000003</v>
      </c>
      <c r="C2863" s="309">
        <v>3.1607532156526599</v>
      </c>
    </row>
    <row r="2864" spans="1:3" x14ac:dyDescent="0.35">
      <c r="A2864" s="302">
        <v>43302</v>
      </c>
      <c r="B2864" s="303">
        <v>259.48919999999998</v>
      </c>
      <c r="C2864" s="308">
        <v>3.15943387562867</v>
      </c>
    </row>
    <row r="2865" spans="1:3" x14ac:dyDescent="0.35">
      <c r="A2865" s="305">
        <v>43301</v>
      </c>
      <c r="B2865" s="306">
        <v>259.47660000000002</v>
      </c>
      <c r="C2865" s="309">
        <v>3.15807468602529</v>
      </c>
    </row>
    <row r="2866" spans="1:3" x14ac:dyDescent="0.35">
      <c r="A2866" s="302">
        <v>43300</v>
      </c>
      <c r="B2866" s="303">
        <v>259.46409999999997</v>
      </c>
      <c r="C2866" s="308">
        <v>3.1567551578556499</v>
      </c>
    </row>
    <row r="2867" spans="1:3" x14ac:dyDescent="0.35">
      <c r="A2867" s="305">
        <v>43299</v>
      </c>
      <c r="B2867" s="306">
        <v>259.45150000000001</v>
      </c>
      <c r="C2867" s="309">
        <v>3.1553957772731001</v>
      </c>
    </row>
    <row r="2868" spans="1:3" x14ac:dyDescent="0.35">
      <c r="A2868" s="302">
        <v>43298</v>
      </c>
      <c r="B2868" s="303">
        <v>259.43900000000002</v>
      </c>
      <c r="C2868" s="308">
        <v>3.1541170754438701</v>
      </c>
    </row>
    <row r="2869" spans="1:3" x14ac:dyDescent="0.35">
      <c r="A2869" s="305">
        <v>43297</v>
      </c>
      <c r="B2869" s="306">
        <v>259.4264</v>
      </c>
      <c r="C2869" s="309">
        <v>3.15275750475254</v>
      </c>
    </row>
    <row r="2870" spans="1:3" x14ac:dyDescent="0.35">
      <c r="A2870" s="302">
        <v>43296</v>
      </c>
      <c r="B2870" s="303">
        <v>259.41390000000001</v>
      </c>
      <c r="C2870" s="308">
        <v>3.1514376010980998</v>
      </c>
    </row>
    <row r="2871" spans="1:3" x14ac:dyDescent="0.35">
      <c r="A2871" s="305">
        <v>43295</v>
      </c>
      <c r="B2871" s="306">
        <v>259.39229999999998</v>
      </c>
      <c r="C2871" s="309">
        <v>3.1507648454621302</v>
      </c>
    </row>
    <row r="2872" spans="1:3" x14ac:dyDescent="0.35">
      <c r="A2872" s="302">
        <v>43294</v>
      </c>
      <c r="B2872" s="303">
        <v>259.3707</v>
      </c>
      <c r="C2872" s="308">
        <v>3.1500509644267098</v>
      </c>
    </row>
    <row r="2873" spans="1:3" x14ac:dyDescent="0.35">
      <c r="A2873" s="305">
        <v>43293</v>
      </c>
      <c r="B2873" s="306">
        <v>259.3492</v>
      </c>
      <c r="C2873" s="309">
        <v>3.1494177717429799</v>
      </c>
    </row>
    <row r="2874" spans="1:3" x14ac:dyDescent="0.35">
      <c r="A2874" s="302">
        <v>43292</v>
      </c>
      <c r="B2874" s="303">
        <v>259.32760000000002</v>
      </c>
      <c r="C2874" s="308">
        <v>3.1487036785125899</v>
      </c>
    </row>
    <row r="2875" spans="1:3" x14ac:dyDescent="0.35">
      <c r="A2875" s="305">
        <v>43291</v>
      </c>
      <c r="B2875" s="306">
        <v>259.30599999999998</v>
      </c>
      <c r="C2875" s="309">
        <v>3.1480305069252399</v>
      </c>
    </row>
    <row r="2876" spans="1:3" x14ac:dyDescent="0.35">
      <c r="A2876" s="302">
        <v>43290</v>
      </c>
      <c r="B2876" s="303">
        <v>259.28440000000001</v>
      </c>
      <c r="C2876" s="308">
        <v>3.1473161983650599</v>
      </c>
    </row>
    <row r="2877" spans="1:3" x14ac:dyDescent="0.35">
      <c r="A2877" s="305">
        <v>43289</v>
      </c>
      <c r="B2877" s="306">
        <v>259.26280000000003</v>
      </c>
      <c r="C2877" s="309">
        <v>3.14664281713093</v>
      </c>
    </row>
    <row r="2878" spans="1:3" x14ac:dyDescent="0.35">
      <c r="A2878" s="302">
        <v>43288</v>
      </c>
      <c r="B2878" s="303">
        <v>259.24119999999999</v>
      </c>
      <c r="C2878" s="308">
        <v>3.1459282931425201</v>
      </c>
    </row>
    <row r="2879" spans="1:3" x14ac:dyDescent="0.35">
      <c r="A2879" s="305">
        <v>43287</v>
      </c>
      <c r="B2879" s="306">
        <v>259.21969999999999</v>
      </c>
      <c r="C2879" s="309">
        <v>3.1452944928498101</v>
      </c>
    </row>
    <row r="2880" spans="1:3" x14ac:dyDescent="0.35">
      <c r="A2880" s="302">
        <v>43286</v>
      </c>
      <c r="B2880" s="303">
        <v>259.19810000000001</v>
      </c>
      <c r="C2880" s="308">
        <v>3.1445797563748599</v>
      </c>
    </row>
    <row r="2881" spans="1:3" x14ac:dyDescent="0.35">
      <c r="A2881" s="305">
        <v>43285</v>
      </c>
      <c r="B2881" s="306">
        <v>259.17649999999998</v>
      </c>
      <c r="C2881" s="309">
        <v>3.1439059586129399</v>
      </c>
    </row>
    <row r="2882" spans="1:3" x14ac:dyDescent="0.35">
      <c r="A2882" s="302">
        <v>43284</v>
      </c>
      <c r="B2882" s="303">
        <v>259.15499999999997</v>
      </c>
      <c r="C2882" s="308">
        <v>3.14323080633645</v>
      </c>
    </row>
    <row r="2883" spans="1:3" x14ac:dyDescent="0.35">
      <c r="A2883" s="305">
        <v>43283</v>
      </c>
      <c r="B2883" s="306">
        <v>259.13339999999999</v>
      </c>
      <c r="C2883" s="309">
        <v>3.1425157480032899</v>
      </c>
    </row>
    <row r="2884" spans="1:3" x14ac:dyDescent="0.35">
      <c r="A2884" s="302">
        <v>43282</v>
      </c>
      <c r="B2884" s="303">
        <v>259.11180000000002</v>
      </c>
      <c r="C2884" s="308">
        <v>3.1418416369150601</v>
      </c>
    </row>
    <row r="2885" spans="1:3" x14ac:dyDescent="0.35">
      <c r="A2885" s="305">
        <v>43281</v>
      </c>
      <c r="B2885" s="306">
        <v>259.09030000000001</v>
      </c>
      <c r="C2885" s="309">
        <v>3.14116617177489</v>
      </c>
    </row>
    <row r="2886" spans="1:3" x14ac:dyDescent="0.35">
      <c r="A2886" s="302">
        <v>43280</v>
      </c>
      <c r="B2886" s="303">
        <v>259.06869999999998</v>
      </c>
      <c r="C2886" s="308">
        <v>3.1404918536637401</v>
      </c>
    </row>
    <row r="2887" spans="1:3" x14ac:dyDescent="0.35">
      <c r="A2887" s="305">
        <v>43279</v>
      </c>
      <c r="B2887" s="306">
        <v>259.0471</v>
      </c>
      <c r="C2887" s="309">
        <v>3.1397763667317999</v>
      </c>
    </row>
    <row r="2888" spans="1:3" x14ac:dyDescent="0.35">
      <c r="A2888" s="302">
        <v>43278</v>
      </c>
      <c r="B2888" s="303">
        <v>259.0256</v>
      </c>
      <c r="C2888" s="308">
        <v>3.1391005885116798</v>
      </c>
    </row>
    <row r="2889" spans="1:3" x14ac:dyDescent="0.35">
      <c r="A2889" s="305">
        <v>43277</v>
      </c>
      <c r="B2889" s="306">
        <v>259.00400000000002</v>
      </c>
      <c r="C2889" s="309">
        <v>3.1384259567135899</v>
      </c>
    </row>
    <row r="2890" spans="1:3" x14ac:dyDescent="0.35">
      <c r="A2890" s="302">
        <v>43276</v>
      </c>
      <c r="B2890" s="303">
        <v>258.98250000000002</v>
      </c>
      <c r="C2890" s="308">
        <v>3.1377499716252499</v>
      </c>
    </row>
    <row r="2891" spans="1:3" x14ac:dyDescent="0.35">
      <c r="A2891" s="305">
        <v>43275</v>
      </c>
      <c r="B2891" s="306">
        <v>258.96089999999998</v>
      </c>
      <c r="C2891" s="309">
        <v>3.1370340558927801</v>
      </c>
    </row>
    <row r="2892" spans="1:3" x14ac:dyDescent="0.35">
      <c r="A2892" s="302">
        <v>43274</v>
      </c>
      <c r="B2892" s="303">
        <v>258.93939999999998</v>
      </c>
      <c r="C2892" s="308">
        <v>3.1363578609691301</v>
      </c>
    </row>
    <row r="2893" spans="1:3" x14ac:dyDescent="0.35">
      <c r="A2893" s="305">
        <v>43273</v>
      </c>
      <c r="B2893" s="306">
        <v>258.9178</v>
      </c>
      <c r="C2893" s="309">
        <v>3.1356828116622499</v>
      </c>
    </row>
    <row r="2894" spans="1:3" x14ac:dyDescent="0.35">
      <c r="A2894" s="302">
        <v>43272</v>
      </c>
      <c r="B2894" s="303">
        <v>258.8963</v>
      </c>
      <c r="C2894" s="308">
        <v>3.1350064096792898</v>
      </c>
    </row>
    <row r="2895" spans="1:3" x14ac:dyDescent="0.35">
      <c r="A2895" s="305">
        <v>43271</v>
      </c>
      <c r="B2895" s="306">
        <v>258.87470000000002</v>
      </c>
      <c r="C2895" s="309">
        <v>3.13429006475506</v>
      </c>
    </row>
    <row r="2896" spans="1:3" x14ac:dyDescent="0.35">
      <c r="A2896" s="302">
        <v>43270</v>
      </c>
      <c r="B2896" s="303">
        <v>258.85320000000002</v>
      </c>
      <c r="C2896" s="308">
        <v>3.1336134527439898</v>
      </c>
    </row>
    <row r="2897" spans="1:3" x14ac:dyDescent="0.35">
      <c r="A2897" s="305">
        <v>43269</v>
      </c>
      <c r="B2897" s="306">
        <v>258.83159999999998</v>
      </c>
      <c r="C2897" s="309">
        <v>3.1329379855432302</v>
      </c>
    </row>
    <row r="2898" spans="1:3" x14ac:dyDescent="0.35">
      <c r="A2898" s="302">
        <v>43268</v>
      </c>
      <c r="B2898" s="303">
        <v>258.81009999999998</v>
      </c>
      <c r="C2898" s="308">
        <v>3.1322611662815301</v>
      </c>
    </row>
    <row r="2899" spans="1:3" x14ac:dyDescent="0.35">
      <c r="A2899" s="305">
        <v>43267</v>
      </c>
      <c r="B2899" s="306">
        <v>258.7885</v>
      </c>
      <c r="C2899" s="309">
        <v>3.1315443917738199</v>
      </c>
    </row>
    <row r="2900" spans="1:3" x14ac:dyDescent="0.35">
      <c r="A2900" s="302">
        <v>43266</v>
      </c>
      <c r="B2900" s="303">
        <v>258.767</v>
      </c>
      <c r="C2900" s="308">
        <v>3.1308673622909802</v>
      </c>
    </row>
    <row r="2901" spans="1:3" x14ac:dyDescent="0.35">
      <c r="A2901" s="305">
        <v>43265</v>
      </c>
      <c r="B2901" s="306">
        <v>258.7287</v>
      </c>
      <c r="C2901" s="309">
        <v>3.1312220152563102</v>
      </c>
    </row>
    <row r="2902" spans="1:3" x14ac:dyDescent="0.35">
      <c r="A2902" s="302">
        <v>43264</v>
      </c>
      <c r="B2902" s="303">
        <v>258.69040000000001</v>
      </c>
      <c r="C2902" s="308">
        <v>3.1315356604370801</v>
      </c>
    </row>
    <row r="2903" spans="1:3" x14ac:dyDescent="0.35">
      <c r="A2903" s="305">
        <v>43263</v>
      </c>
      <c r="B2903" s="306">
        <v>258.65210000000002</v>
      </c>
      <c r="C2903" s="309">
        <v>3.13189052199106</v>
      </c>
    </row>
    <row r="2904" spans="1:3" x14ac:dyDescent="0.35">
      <c r="A2904" s="302">
        <v>43262</v>
      </c>
      <c r="B2904" s="303">
        <v>258.61380000000003</v>
      </c>
      <c r="C2904" s="308">
        <v>3.13220436314477</v>
      </c>
    </row>
    <row r="2905" spans="1:3" x14ac:dyDescent="0.35">
      <c r="A2905" s="305">
        <v>43261</v>
      </c>
      <c r="B2905" s="306">
        <v>258.57549999999998</v>
      </c>
      <c r="C2905" s="309">
        <v>3.1325182991812399</v>
      </c>
    </row>
    <row r="2906" spans="1:3" x14ac:dyDescent="0.35">
      <c r="A2906" s="302">
        <v>43260</v>
      </c>
      <c r="B2906" s="303">
        <v>258.53719999999998</v>
      </c>
      <c r="C2906" s="308">
        <v>3.1328323301435201</v>
      </c>
    </row>
    <row r="2907" spans="1:3" x14ac:dyDescent="0.35">
      <c r="A2907" s="305">
        <v>43259</v>
      </c>
      <c r="B2907" s="306">
        <v>258.49889999999999</v>
      </c>
      <c r="C2907" s="309">
        <v>3.1331876030588202</v>
      </c>
    </row>
    <row r="2908" spans="1:3" x14ac:dyDescent="0.35">
      <c r="A2908" s="302">
        <v>43258</v>
      </c>
      <c r="B2908" s="303">
        <v>258.46069999999997</v>
      </c>
      <c r="C2908" s="308">
        <v>3.1335417333379101</v>
      </c>
    </row>
    <row r="2909" spans="1:3" x14ac:dyDescent="0.35">
      <c r="A2909" s="305">
        <v>43257</v>
      </c>
      <c r="B2909" s="306">
        <v>258.42239999999998</v>
      </c>
      <c r="C2909" s="309">
        <v>3.1338560617216999</v>
      </c>
    </row>
    <row r="2910" spans="1:3" x14ac:dyDescent="0.35">
      <c r="A2910" s="302">
        <v>43256</v>
      </c>
      <c r="B2910" s="303">
        <v>258.38420000000002</v>
      </c>
      <c r="C2910" s="308">
        <v>3.1342104002682301</v>
      </c>
    </row>
    <row r="2911" spans="1:3" x14ac:dyDescent="0.35">
      <c r="A2911" s="305">
        <v>43255</v>
      </c>
      <c r="B2911" s="306">
        <v>258.34589999999997</v>
      </c>
      <c r="C2911" s="309">
        <v>3.1345249249383502</v>
      </c>
    </row>
    <row r="2912" spans="1:3" x14ac:dyDescent="0.35">
      <c r="A2912" s="302">
        <v>43254</v>
      </c>
      <c r="B2912" s="303">
        <v>258.30770000000001</v>
      </c>
      <c r="C2912" s="308">
        <v>3.1348382931473502</v>
      </c>
    </row>
    <row r="2913" spans="1:3" x14ac:dyDescent="0.35">
      <c r="A2913" s="305">
        <v>43253</v>
      </c>
      <c r="B2913" s="306">
        <v>258.26940000000002</v>
      </c>
      <c r="C2913" s="309">
        <v>3.1351530079259402</v>
      </c>
    </row>
    <row r="2914" spans="1:3" x14ac:dyDescent="0.35">
      <c r="A2914" s="302">
        <v>43252</v>
      </c>
      <c r="B2914" s="303">
        <v>258.2312</v>
      </c>
      <c r="C2914" s="308">
        <v>3.1355077571935501</v>
      </c>
    </row>
    <row r="2915" spans="1:3" x14ac:dyDescent="0.35">
      <c r="A2915" s="305">
        <v>43251</v>
      </c>
      <c r="B2915" s="306">
        <v>258.19299999999998</v>
      </c>
      <c r="C2915" s="309">
        <v>3.1358626138739498</v>
      </c>
    </row>
    <row r="2916" spans="1:3" x14ac:dyDescent="0.35">
      <c r="A2916" s="302">
        <v>43250</v>
      </c>
      <c r="B2916" s="303">
        <v>258.15469999999999</v>
      </c>
      <c r="C2916" s="308">
        <v>3.13613642247372</v>
      </c>
    </row>
    <row r="2917" spans="1:3" x14ac:dyDescent="0.35">
      <c r="A2917" s="305">
        <v>43249</v>
      </c>
      <c r="B2917" s="306">
        <v>258.11649999999997</v>
      </c>
      <c r="C2917" s="309">
        <v>3.13649148169414</v>
      </c>
    </row>
    <row r="2918" spans="1:3" x14ac:dyDescent="0.35">
      <c r="A2918" s="302">
        <v>43248</v>
      </c>
      <c r="B2918" s="303">
        <v>258.07830000000001</v>
      </c>
      <c r="C2918" s="308">
        <v>3.13680543150257</v>
      </c>
    </row>
    <row r="2919" spans="1:3" x14ac:dyDescent="0.35">
      <c r="A2919" s="305">
        <v>43247</v>
      </c>
      <c r="B2919" s="306">
        <v>258.0401</v>
      </c>
      <c r="C2919" s="309">
        <v>3.13716069949702</v>
      </c>
    </row>
    <row r="2920" spans="1:3" x14ac:dyDescent="0.35">
      <c r="A2920" s="302">
        <v>43246</v>
      </c>
      <c r="B2920" s="303">
        <v>258.00189999999998</v>
      </c>
      <c r="C2920" s="308">
        <v>3.13747484543484</v>
      </c>
    </row>
    <row r="2921" spans="1:3" x14ac:dyDescent="0.35">
      <c r="A2921" s="305">
        <v>43245</v>
      </c>
      <c r="B2921" s="306">
        <v>257.96370000000002</v>
      </c>
      <c r="C2921" s="309">
        <v>3.1378303223910602</v>
      </c>
    </row>
    <row r="2922" spans="1:3" x14ac:dyDescent="0.35">
      <c r="A2922" s="302">
        <v>43244</v>
      </c>
      <c r="B2922" s="303">
        <v>257.9255</v>
      </c>
      <c r="C2922" s="308">
        <v>3.1381446646382298</v>
      </c>
    </row>
    <row r="2923" spans="1:3" x14ac:dyDescent="0.35">
      <c r="A2923" s="305">
        <v>43243</v>
      </c>
      <c r="B2923" s="306">
        <v>257.88740000000001</v>
      </c>
      <c r="C2923" s="309">
        <v>3.1384990955443501</v>
      </c>
    </row>
    <row r="2924" spans="1:3" x14ac:dyDescent="0.35">
      <c r="A2924" s="302">
        <v>43242</v>
      </c>
      <c r="B2924" s="303">
        <v>257.8492</v>
      </c>
      <c r="C2924" s="308">
        <v>3.1388136339654702</v>
      </c>
    </row>
    <row r="2925" spans="1:3" x14ac:dyDescent="0.35">
      <c r="A2925" s="305">
        <v>43241</v>
      </c>
      <c r="B2925" s="306">
        <v>257.81099999999998</v>
      </c>
      <c r="C2925" s="309">
        <v>3.1391282675165999</v>
      </c>
    </row>
    <row r="2926" spans="1:3" x14ac:dyDescent="0.35">
      <c r="A2926" s="302">
        <v>43240</v>
      </c>
      <c r="B2926" s="303">
        <v>257.77280000000002</v>
      </c>
      <c r="C2926" s="308">
        <v>3.1394842641673701</v>
      </c>
    </row>
    <row r="2927" spans="1:3" x14ac:dyDescent="0.35">
      <c r="A2927" s="305">
        <v>43239</v>
      </c>
      <c r="B2927" s="306">
        <v>257.73469999999998</v>
      </c>
      <c r="C2927" s="309">
        <v>3.1398391123084401</v>
      </c>
    </row>
    <row r="2928" spans="1:3" x14ac:dyDescent="0.35">
      <c r="A2928" s="302">
        <v>43238</v>
      </c>
      <c r="B2928" s="303">
        <v>257.69650000000001</v>
      </c>
      <c r="C2928" s="308">
        <v>3.1401540439334199</v>
      </c>
    </row>
    <row r="2929" spans="1:3" x14ac:dyDescent="0.35">
      <c r="A2929" s="305">
        <v>43237</v>
      </c>
      <c r="B2929" s="306">
        <v>257.65839999999997</v>
      </c>
      <c r="C2929" s="309">
        <v>3.1404678137375499</v>
      </c>
    </row>
    <row r="2930" spans="1:3" x14ac:dyDescent="0.35">
      <c r="A2930" s="302">
        <v>43236</v>
      </c>
      <c r="B2930" s="303">
        <v>257.62020000000001</v>
      </c>
      <c r="C2930" s="308">
        <v>3.1407829357026098</v>
      </c>
    </row>
    <row r="2931" spans="1:3" x14ac:dyDescent="0.35">
      <c r="A2931" s="305">
        <v>43235</v>
      </c>
      <c r="B2931" s="306">
        <v>257.58210000000003</v>
      </c>
      <c r="C2931" s="309">
        <v>3.14113819510486</v>
      </c>
    </row>
    <row r="2932" spans="1:3" x14ac:dyDescent="0.35">
      <c r="A2932" s="302">
        <v>43234</v>
      </c>
      <c r="B2932" s="303">
        <v>257.56150000000002</v>
      </c>
      <c r="C2932" s="308">
        <v>3.1490390006503799</v>
      </c>
    </row>
    <row r="2933" spans="1:3" x14ac:dyDescent="0.35">
      <c r="A2933" s="305">
        <v>43233</v>
      </c>
      <c r="B2933" s="306">
        <v>257.541</v>
      </c>
      <c r="C2933" s="309">
        <v>3.1569410164408001</v>
      </c>
    </row>
    <row r="2934" spans="1:3" x14ac:dyDescent="0.35">
      <c r="A2934" s="302">
        <v>43232</v>
      </c>
      <c r="B2934" s="303">
        <v>257.5204</v>
      </c>
      <c r="C2934" s="308">
        <v>3.16480544058098</v>
      </c>
    </row>
    <row r="2935" spans="1:3" x14ac:dyDescent="0.35">
      <c r="A2935" s="305">
        <v>43231</v>
      </c>
      <c r="B2935" s="306">
        <v>257.49979999999999</v>
      </c>
      <c r="C2935" s="309">
        <v>3.1726723225368598</v>
      </c>
    </row>
    <row r="2936" spans="1:3" x14ac:dyDescent="0.35">
      <c r="A2936" s="302">
        <v>43230</v>
      </c>
      <c r="B2936" s="303">
        <v>257.47919999999999</v>
      </c>
      <c r="C2936" s="308">
        <v>3.1805416634607999</v>
      </c>
    </row>
    <row r="2937" spans="1:3" x14ac:dyDescent="0.35">
      <c r="A2937" s="305">
        <v>43229</v>
      </c>
      <c r="B2937" s="306">
        <v>257.45870000000002</v>
      </c>
      <c r="C2937" s="309">
        <v>3.1884535441200401</v>
      </c>
    </row>
    <row r="2938" spans="1:3" x14ac:dyDescent="0.35">
      <c r="A2938" s="302">
        <v>43228</v>
      </c>
      <c r="B2938" s="303">
        <v>257.43810000000002</v>
      </c>
      <c r="C2938" s="308">
        <v>3.19632781270594</v>
      </c>
    </row>
    <row r="2939" spans="1:3" x14ac:dyDescent="0.35">
      <c r="A2939" s="305">
        <v>43227</v>
      </c>
      <c r="B2939" s="306">
        <v>257.41750000000002</v>
      </c>
      <c r="C2939" s="309">
        <v>3.2042045437232902</v>
      </c>
    </row>
    <row r="2940" spans="1:3" x14ac:dyDescent="0.35">
      <c r="A2940" s="302">
        <v>43226</v>
      </c>
      <c r="B2940" s="303">
        <v>257.39690000000002</v>
      </c>
      <c r="C2940" s="308">
        <v>3.2120837383273502</v>
      </c>
    </row>
    <row r="2941" spans="1:3" x14ac:dyDescent="0.35">
      <c r="A2941" s="305">
        <v>43225</v>
      </c>
      <c r="B2941" s="306">
        <v>257.37639999999999</v>
      </c>
      <c r="C2941" s="309">
        <v>3.22000550236337</v>
      </c>
    </row>
    <row r="2942" spans="1:3" x14ac:dyDescent="0.35">
      <c r="A2942" s="302">
        <v>43224</v>
      </c>
      <c r="B2942" s="303">
        <v>257.35579999999999</v>
      </c>
      <c r="C2942" s="308">
        <v>3.2278482281991998</v>
      </c>
    </row>
    <row r="2943" spans="1:3" x14ac:dyDescent="0.35">
      <c r="A2943" s="305">
        <v>43223</v>
      </c>
      <c r="B2943" s="306">
        <v>257.33530000000002</v>
      </c>
      <c r="C2943" s="309">
        <v>3.2357749343581901</v>
      </c>
    </row>
    <row r="2944" spans="1:3" x14ac:dyDescent="0.35">
      <c r="A2944" s="302">
        <v>43222</v>
      </c>
      <c r="B2944" s="303">
        <v>257.31470000000002</v>
      </c>
      <c r="C2944" s="308">
        <v>3.24366399778518</v>
      </c>
    </row>
    <row r="2945" spans="1:3" x14ac:dyDescent="0.35">
      <c r="A2945" s="305">
        <v>43221</v>
      </c>
      <c r="B2945" s="306">
        <v>257.29410000000001</v>
      </c>
      <c r="C2945" s="309">
        <v>3.25151409598076</v>
      </c>
    </row>
    <row r="2946" spans="1:3" x14ac:dyDescent="0.35">
      <c r="A2946" s="302">
        <v>43220</v>
      </c>
      <c r="B2946" s="303">
        <v>257.27359999999999</v>
      </c>
      <c r="C2946" s="308">
        <v>3.2594067814637402</v>
      </c>
    </row>
    <row r="2947" spans="1:3" x14ac:dyDescent="0.35">
      <c r="A2947" s="305">
        <v>43219</v>
      </c>
      <c r="B2947" s="306">
        <v>257.25299999999999</v>
      </c>
      <c r="C2947" s="309">
        <v>3.2673032434587101</v>
      </c>
    </row>
    <row r="2948" spans="1:3" x14ac:dyDescent="0.35">
      <c r="A2948" s="302">
        <v>43218</v>
      </c>
      <c r="B2948" s="303">
        <v>257.23250000000002</v>
      </c>
      <c r="C2948" s="308">
        <v>3.2752008633551002</v>
      </c>
    </row>
    <row r="2949" spans="1:3" x14ac:dyDescent="0.35">
      <c r="A2949" s="305">
        <v>43217</v>
      </c>
      <c r="B2949" s="306">
        <v>257.21190000000001</v>
      </c>
      <c r="C2949" s="309">
        <v>3.2830607956523501</v>
      </c>
    </row>
    <row r="2950" spans="1:3" x14ac:dyDescent="0.35">
      <c r="A2950" s="302">
        <v>43216</v>
      </c>
      <c r="B2950" s="303">
        <v>257.19139999999999</v>
      </c>
      <c r="C2950" s="308">
        <v>3.29100482777095</v>
      </c>
    </row>
    <row r="2951" spans="1:3" x14ac:dyDescent="0.35">
      <c r="A2951" s="305">
        <v>43215</v>
      </c>
      <c r="B2951" s="306">
        <v>257.17079999999999</v>
      </c>
      <c r="C2951" s="309">
        <v>3.2988696888631801</v>
      </c>
    </row>
    <row r="2952" spans="1:3" x14ac:dyDescent="0.35">
      <c r="A2952" s="302">
        <v>43214</v>
      </c>
      <c r="B2952" s="303">
        <v>257.15030000000002</v>
      </c>
      <c r="C2952" s="308">
        <v>3.30677718182333</v>
      </c>
    </row>
    <row r="2953" spans="1:3" x14ac:dyDescent="0.35">
      <c r="A2953" s="305">
        <v>43213</v>
      </c>
      <c r="B2953" s="306">
        <v>257.12970000000001</v>
      </c>
      <c r="C2953" s="309">
        <v>3.3146469666932101</v>
      </c>
    </row>
    <row r="2954" spans="1:3" x14ac:dyDescent="0.35">
      <c r="A2954" s="302">
        <v>43212</v>
      </c>
      <c r="B2954" s="303">
        <v>257.10919999999999</v>
      </c>
      <c r="C2954" s="308">
        <v>3.3225593982992399</v>
      </c>
    </row>
    <row r="2955" spans="1:3" x14ac:dyDescent="0.35">
      <c r="A2955" s="305">
        <v>43211</v>
      </c>
      <c r="B2955" s="306">
        <v>257.08859999999999</v>
      </c>
      <c r="C2955" s="309">
        <v>3.33043411156806</v>
      </c>
    </row>
    <row r="2956" spans="1:3" x14ac:dyDescent="0.35">
      <c r="A2956" s="302">
        <v>43210</v>
      </c>
      <c r="B2956" s="303">
        <v>257.06810000000002</v>
      </c>
      <c r="C2956" s="308">
        <v>3.3383514864519901</v>
      </c>
    </row>
    <row r="2957" spans="1:3" x14ac:dyDescent="0.35">
      <c r="A2957" s="305">
        <v>43209</v>
      </c>
      <c r="B2957" s="306">
        <v>257.04750000000001</v>
      </c>
      <c r="C2957" s="309">
        <v>3.3461895822972099</v>
      </c>
    </row>
    <row r="2958" spans="1:3" x14ac:dyDescent="0.35">
      <c r="A2958" s="302">
        <v>43208</v>
      </c>
      <c r="B2958" s="303">
        <v>257.02699999999999</v>
      </c>
      <c r="C2958" s="308">
        <v>3.3541118954117999</v>
      </c>
    </row>
    <row r="2959" spans="1:3" x14ac:dyDescent="0.35">
      <c r="A2959" s="305">
        <v>43207</v>
      </c>
      <c r="B2959" s="306">
        <v>257.00650000000002</v>
      </c>
      <c r="C2959" s="309">
        <v>3.3620366873666998</v>
      </c>
    </row>
    <row r="2960" spans="1:3" x14ac:dyDescent="0.35">
      <c r="A2960" s="302">
        <v>43206</v>
      </c>
      <c r="B2960" s="303">
        <v>256.98590000000002</v>
      </c>
      <c r="C2960" s="308">
        <v>3.36988215589114</v>
      </c>
    </row>
    <row r="2961" spans="1:3" x14ac:dyDescent="0.35">
      <c r="A2961" s="305">
        <v>43205</v>
      </c>
      <c r="B2961" s="306">
        <v>256.96539999999999</v>
      </c>
      <c r="C2961" s="309">
        <v>3.3778118930261698</v>
      </c>
    </row>
    <row r="2962" spans="1:3" x14ac:dyDescent="0.35">
      <c r="A2962" s="302">
        <v>43204</v>
      </c>
      <c r="B2962" s="303">
        <v>256.90679999999998</v>
      </c>
      <c r="C2962" s="308">
        <v>3.3877194415681702</v>
      </c>
    </row>
    <row r="2963" spans="1:3" x14ac:dyDescent="0.35">
      <c r="A2963" s="305">
        <v>43203</v>
      </c>
      <c r="B2963" s="306">
        <v>256.84809999999999</v>
      </c>
      <c r="C2963" s="309">
        <v>3.39763477922016</v>
      </c>
    </row>
    <row r="2964" spans="1:3" x14ac:dyDescent="0.35">
      <c r="A2964" s="302">
        <v>43202</v>
      </c>
      <c r="B2964" s="303">
        <v>256.78949999999998</v>
      </c>
      <c r="C2964" s="308">
        <v>3.4075551811397502</v>
      </c>
    </row>
    <row r="2965" spans="1:3" x14ac:dyDescent="0.35">
      <c r="A2965" s="305">
        <v>43201</v>
      </c>
      <c r="B2965" s="306">
        <v>256.73090000000002</v>
      </c>
      <c r="C2965" s="309">
        <v>3.4174820169097599</v>
      </c>
    </row>
    <row r="2966" spans="1:3" x14ac:dyDescent="0.35">
      <c r="A2966" s="302">
        <v>43200</v>
      </c>
      <c r="B2966" s="303">
        <v>256.67230000000001</v>
      </c>
      <c r="C2966" s="308">
        <v>3.4273736162023298</v>
      </c>
    </row>
    <row r="2967" spans="1:3" x14ac:dyDescent="0.35">
      <c r="A2967" s="305">
        <v>43199</v>
      </c>
      <c r="B2967" s="306">
        <v>256.61380000000003</v>
      </c>
      <c r="C2967" s="309">
        <v>3.4373536295045799</v>
      </c>
    </row>
    <row r="2968" spans="1:3" x14ac:dyDescent="0.35">
      <c r="A2968" s="302">
        <v>43198</v>
      </c>
      <c r="B2968" s="303">
        <v>256.55520000000001</v>
      </c>
      <c r="C2968" s="308">
        <v>3.4472580883188999</v>
      </c>
    </row>
    <row r="2969" spans="1:3" x14ac:dyDescent="0.35">
      <c r="A2969" s="305">
        <v>43197</v>
      </c>
      <c r="B2969" s="306">
        <v>256.49669999999998</v>
      </c>
      <c r="C2969" s="309">
        <v>3.45720930570244</v>
      </c>
    </row>
    <row r="2970" spans="1:3" x14ac:dyDescent="0.35">
      <c r="A2970" s="302">
        <v>43196</v>
      </c>
      <c r="B2970" s="303">
        <v>256.43810000000002</v>
      </c>
      <c r="C2970" s="308">
        <v>3.46708488487366</v>
      </c>
    </row>
    <row r="2971" spans="1:3" x14ac:dyDescent="0.35">
      <c r="A2971" s="305">
        <v>43195</v>
      </c>
      <c r="B2971" s="306">
        <v>256.37959999999998</v>
      </c>
      <c r="C2971" s="309">
        <v>3.4770072262080798</v>
      </c>
    </row>
    <row r="2972" spans="1:3" x14ac:dyDescent="0.35">
      <c r="A2972" s="302">
        <v>43194</v>
      </c>
      <c r="B2972" s="303">
        <v>256.3211</v>
      </c>
      <c r="C2972" s="308">
        <v>3.48693600124352</v>
      </c>
    </row>
    <row r="2973" spans="1:3" x14ac:dyDescent="0.35">
      <c r="A2973" s="305">
        <v>43193</v>
      </c>
      <c r="B2973" s="306">
        <v>256.26260000000002</v>
      </c>
      <c r="C2973" s="309">
        <v>3.4968712162394699</v>
      </c>
    </row>
    <row r="2974" spans="1:3" x14ac:dyDescent="0.35">
      <c r="A2974" s="302">
        <v>43192</v>
      </c>
      <c r="B2974" s="303">
        <v>256.20409999999998</v>
      </c>
      <c r="C2974" s="308">
        <v>3.5068128774635499</v>
      </c>
    </row>
    <row r="2975" spans="1:3" x14ac:dyDescent="0.35">
      <c r="A2975" s="305">
        <v>43191</v>
      </c>
      <c r="B2975" s="306">
        <v>256.14569999999998</v>
      </c>
      <c r="C2975" s="309">
        <v>3.5167595699546998</v>
      </c>
    </row>
    <row r="2976" spans="1:3" x14ac:dyDescent="0.35">
      <c r="A2976" s="302">
        <v>43190</v>
      </c>
      <c r="B2976" s="303">
        <v>256.0872</v>
      </c>
      <c r="C2976" s="308">
        <v>3.5266722859273898</v>
      </c>
    </row>
    <row r="2977" spans="1:3" x14ac:dyDescent="0.35">
      <c r="A2977" s="305">
        <v>43189</v>
      </c>
      <c r="B2977" s="306">
        <v>256.02879999999999</v>
      </c>
      <c r="C2977" s="309">
        <v>3.5366318712181499</v>
      </c>
    </row>
    <row r="2978" spans="1:3" x14ac:dyDescent="0.35">
      <c r="A2978" s="302">
        <v>43188</v>
      </c>
      <c r="B2978" s="303">
        <v>255.97040000000001</v>
      </c>
      <c r="C2978" s="308">
        <v>3.5465560316371301</v>
      </c>
    </row>
    <row r="2979" spans="1:3" x14ac:dyDescent="0.35">
      <c r="A2979" s="305">
        <v>43187</v>
      </c>
      <c r="B2979" s="306">
        <v>255.9119</v>
      </c>
      <c r="C2979" s="309">
        <v>3.55648806464797</v>
      </c>
    </row>
    <row r="2980" spans="1:3" x14ac:dyDescent="0.35">
      <c r="A2980" s="302">
        <v>43186</v>
      </c>
      <c r="B2980" s="303">
        <v>255.8535</v>
      </c>
      <c r="C2980" s="308">
        <v>3.5664251026845899</v>
      </c>
    </row>
    <row r="2981" spans="1:3" x14ac:dyDescent="0.35">
      <c r="A2981" s="305">
        <v>43185</v>
      </c>
      <c r="B2981" s="306">
        <v>255.79519999999999</v>
      </c>
      <c r="C2981" s="309">
        <v>3.5763671385459102</v>
      </c>
    </row>
    <row r="2982" spans="1:3" x14ac:dyDescent="0.35">
      <c r="A2982" s="302">
        <v>43184</v>
      </c>
      <c r="B2982" s="303">
        <v>255.73679999999999</v>
      </c>
      <c r="C2982" s="308">
        <v>3.5863170702859799</v>
      </c>
    </row>
    <row r="2983" spans="1:3" x14ac:dyDescent="0.35">
      <c r="A2983" s="305">
        <v>43183</v>
      </c>
      <c r="B2983" s="306">
        <v>255.67840000000001</v>
      </c>
      <c r="C2983" s="309">
        <v>3.5962314852181598</v>
      </c>
    </row>
    <row r="2984" spans="1:3" x14ac:dyDescent="0.35">
      <c r="A2984" s="302">
        <v>43182</v>
      </c>
      <c r="B2984" s="303">
        <v>255.62010000000001</v>
      </c>
      <c r="C2984" s="308">
        <v>3.6061928609759599</v>
      </c>
    </row>
    <row r="2985" spans="1:3" x14ac:dyDescent="0.35">
      <c r="A2985" s="305">
        <v>43181</v>
      </c>
      <c r="B2985" s="306">
        <v>255.5617</v>
      </c>
      <c r="C2985" s="309">
        <v>3.61612015432845</v>
      </c>
    </row>
    <row r="2986" spans="1:3" x14ac:dyDescent="0.35">
      <c r="A2986" s="302">
        <v>43180</v>
      </c>
      <c r="B2986" s="303">
        <v>255.5034</v>
      </c>
      <c r="C2986" s="308">
        <v>3.62605241907846</v>
      </c>
    </row>
    <row r="2987" spans="1:3" x14ac:dyDescent="0.35">
      <c r="A2987" s="305">
        <v>43179</v>
      </c>
      <c r="B2987" s="306">
        <v>255.4451</v>
      </c>
      <c r="C2987" s="309">
        <v>3.6359911231200499</v>
      </c>
    </row>
    <row r="2988" spans="1:3" x14ac:dyDescent="0.35">
      <c r="A2988" s="302">
        <v>43178</v>
      </c>
      <c r="B2988" s="303">
        <v>255.38679999999999</v>
      </c>
      <c r="C2988" s="308">
        <v>3.6459362727173499</v>
      </c>
    </row>
    <row r="2989" spans="1:3" x14ac:dyDescent="0.35">
      <c r="A2989" s="305">
        <v>43177</v>
      </c>
      <c r="B2989" s="306">
        <v>255.32859999999999</v>
      </c>
      <c r="C2989" s="309">
        <v>3.6559284712118099</v>
      </c>
    </row>
    <row r="2990" spans="1:3" x14ac:dyDescent="0.35">
      <c r="A2990" s="302">
        <v>43176</v>
      </c>
      <c r="B2990" s="303">
        <v>255.27029999999999</v>
      </c>
      <c r="C2990" s="308">
        <v>3.66584444496787</v>
      </c>
    </row>
    <row r="2991" spans="1:3" x14ac:dyDescent="0.35">
      <c r="A2991" s="305">
        <v>43175</v>
      </c>
      <c r="B2991" s="306">
        <v>255.21199999999999</v>
      </c>
      <c r="C2991" s="309">
        <v>3.67576684773866</v>
      </c>
    </row>
    <row r="2992" spans="1:3" x14ac:dyDescent="0.35">
      <c r="A2992" s="302">
        <v>43174</v>
      </c>
      <c r="B2992" s="303">
        <v>255.15379999999999</v>
      </c>
      <c r="C2992" s="308">
        <v>3.6857363223422301</v>
      </c>
    </row>
    <row r="2993" spans="1:3" x14ac:dyDescent="0.35">
      <c r="A2993" s="305">
        <v>43173</v>
      </c>
      <c r="B2993" s="306">
        <v>255.0966</v>
      </c>
      <c r="C2993" s="309">
        <v>3.7000812212951</v>
      </c>
    </row>
    <row r="2994" spans="1:3" x14ac:dyDescent="0.35">
      <c r="A2994" s="302">
        <v>43172</v>
      </c>
      <c r="B2994" s="303">
        <v>255.0394</v>
      </c>
      <c r="C2994" s="308">
        <v>3.7143943506753598</v>
      </c>
    </row>
    <row r="2995" spans="1:3" x14ac:dyDescent="0.35">
      <c r="A2995" s="305">
        <v>43171</v>
      </c>
      <c r="B2995" s="306">
        <v>254.98220000000001</v>
      </c>
      <c r="C2995" s="309">
        <v>3.7287178560909702</v>
      </c>
    </row>
    <row r="2996" spans="1:3" x14ac:dyDescent="0.35">
      <c r="A2996" s="302">
        <v>43170</v>
      </c>
      <c r="B2996" s="303">
        <v>254.92500000000001</v>
      </c>
      <c r="C2996" s="308">
        <v>3.7430517488288801</v>
      </c>
    </row>
    <row r="2997" spans="1:3" x14ac:dyDescent="0.35">
      <c r="A2997" s="305">
        <v>43169</v>
      </c>
      <c r="B2997" s="306">
        <v>254.86779999999999</v>
      </c>
      <c r="C2997" s="309">
        <v>3.75735380028277</v>
      </c>
    </row>
    <row r="2998" spans="1:3" x14ac:dyDescent="0.35">
      <c r="A2998" s="302">
        <v>43168</v>
      </c>
      <c r="B2998" s="303">
        <v>254.8107</v>
      </c>
      <c r="C2998" s="308">
        <v>3.7717492054545501</v>
      </c>
    </row>
    <row r="2999" spans="1:3" x14ac:dyDescent="0.35">
      <c r="A2999" s="305">
        <v>43167</v>
      </c>
      <c r="B2999" s="306">
        <v>254.7535</v>
      </c>
      <c r="C2999" s="309">
        <v>3.7860297571542101</v>
      </c>
    </row>
    <row r="3000" spans="1:3" x14ac:dyDescent="0.35">
      <c r="A3000" s="302">
        <v>43166</v>
      </c>
      <c r="B3000" s="303">
        <v>254.69640000000001</v>
      </c>
      <c r="C3000" s="308">
        <v>3.8004037146968699</v>
      </c>
    </row>
    <row r="3001" spans="1:3" x14ac:dyDescent="0.35">
      <c r="A3001" s="305">
        <v>43165</v>
      </c>
      <c r="B3001" s="306">
        <v>254.63929999999999</v>
      </c>
      <c r="C3001" s="309">
        <v>3.8147457787432</v>
      </c>
    </row>
    <row r="3002" spans="1:3" x14ac:dyDescent="0.35">
      <c r="A3002" s="302">
        <v>43164</v>
      </c>
      <c r="B3002" s="303">
        <v>254.5822</v>
      </c>
      <c r="C3002" s="308">
        <v>3.8290982428163902</v>
      </c>
    </row>
    <row r="3003" spans="1:3" x14ac:dyDescent="0.35">
      <c r="A3003" s="305">
        <v>43163</v>
      </c>
      <c r="B3003" s="306">
        <v>254.52510000000001</v>
      </c>
      <c r="C3003" s="309">
        <v>3.8434187512520199</v>
      </c>
    </row>
    <row r="3004" spans="1:3" x14ac:dyDescent="0.35">
      <c r="A3004" s="302">
        <v>43162</v>
      </c>
      <c r="B3004" s="303">
        <v>254.46799999999999</v>
      </c>
      <c r="C3004" s="308">
        <v>3.8577920281059401</v>
      </c>
    </row>
    <row r="3005" spans="1:3" x14ac:dyDescent="0.35">
      <c r="A3005" s="305">
        <v>43161</v>
      </c>
      <c r="B3005" s="306">
        <v>254.4109</v>
      </c>
      <c r="C3005" s="309">
        <v>3.8720909201146001</v>
      </c>
    </row>
    <row r="3006" spans="1:3" x14ac:dyDescent="0.35">
      <c r="A3006" s="302">
        <v>43160</v>
      </c>
      <c r="B3006" s="303">
        <v>254.35380000000001</v>
      </c>
      <c r="C3006" s="308">
        <v>3.8864426031384798</v>
      </c>
    </row>
    <row r="3007" spans="1:3" x14ac:dyDescent="0.35">
      <c r="A3007" s="305">
        <v>43159</v>
      </c>
      <c r="B3007" s="306">
        <v>254.29679999999999</v>
      </c>
      <c r="C3007" s="309">
        <v>3.9008031065219302</v>
      </c>
    </row>
    <row r="3008" spans="1:3" x14ac:dyDescent="0.35">
      <c r="A3008" s="302">
        <v>43158</v>
      </c>
      <c r="B3008" s="303">
        <v>254.2398</v>
      </c>
      <c r="C3008" s="308">
        <v>3.9151740224939902</v>
      </c>
    </row>
    <row r="3009" spans="1:3" x14ac:dyDescent="0.35">
      <c r="A3009" s="305">
        <v>43157</v>
      </c>
      <c r="B3009" s="306">
        <v>254.18279999999999</v>
      </c>
      <c r="C3009" s="309">
        <v>3.9295553623837902</v>
      </c>
    </row>
    <row r="3010" spans="1:3" x14ac:dyDescent="0.35">
      <c r="A3010" s="302">
        <v>43156</v>
      </c>
      <c r="B3010" s="303">
        <v>254.1258</v>
      </c>
      <c r="C3010" s="308">
        <v>3.9439046218232998</v>
      </c>
    </row>
    <row r="3011" spans="1:3" x14ac:dyDescent="0.35">
      <c r="A3011" s="305">
        <v>43155</v>
      </c>
      <c r="B3011" s="306">
        <v>254.06880000000001</v>
      </c>
      <c r="C3011" s="309">
        <v>3.9582642852758898</v>
      </c>
    </row>
    <row r="3012" spans="1:3" x14ac:dyDescent="0.35">
      <c r="A3012" s="302">
        <v>43154</v>
      </c>
      <c r="B3012" s="303">
        <v>254.01179999999999</v>
      </c>
      <c r="C3012" s="308">
        <v>3.9726343640608701</v>
      </c>
    </row>
    <row r="3013" spans="1:3" x14ac:dyDescent="0.35">
      <c r="A3013" s="305">
        <v>43153</v>
      </c>
      <c r="B3013" s="306">
        <v>253.95480000000001</v>
      </c>
      <c r="C3013" s="309">
        <v>3.98697228990995</v>
      </c>
    </row>
    <row r="3014" spans="1:3" x14ac:dyDescent="0.35">
      <c r="A3014" s="302">
        <v>43152</v>
      </c>
      <c r="B3014" s="303">
        <v>253.89789999999999</v>
      </c>
      <c r="C3014" s="308">
        <v>4.0013615730018604</v>
      </c>
    </row>
    <row r="3015" spans="1:3" x14ac:dyDescent="0.35">
      <c r="A3015" s="305">
        <v>43151</v>
      </c>
      <c r="B3015" s="306">
        <v>253.8409</v>
      </c>
      <c r="C3015" s="309">
        <v>4.0156776935023197</v>
      </c>
    </row>
    <row r="3016" spans="1:3" x14ac:dyDescent="0.35">
      <c r="A3016" s="302">
        <v>43150</v>
      </c>
      <c r="B3016" s="303">
        <v>253.78399999999999</v>
      </c>
      <c r="C3016" s="308">
        <v>4.0300878244740304</v>
      </c>
    </row>
    <row r="3017" spans="1:3" x14ac:dyDescent="0.35">
      <c r="A3017" s="305">
        <v>43149</v>
      </c>
      <c r="B3017" s="306">
        <v>253.72710000000001</v>
      </c>
      <c r="C3017" s="309">
        <v>4.04446574957118</v>
      </c>
    </row>
    <row r="3018" spans="1:3" x14ac:dyDescent="0.35">
      <c r="A3018" s="302">
        <v>43148</v>
      </c>
      <c r="B3018" s="303">
        <v>253.67019999999999</v>
      </c>
      <c r="C3018" s="308">
        <v>4.05885410235721</v>
      </c>
    </row>
    <row r="3019" spans="1:3" x14ac:dyDescent="0.35">
      <c r="A3019" s="305">
        <v>43147</v>
      </c>
      <c r="B3019" s="306">
        <v>253.61330000000001</v>
      </c>
      <c r="C3019" s="309">
        <v>4.0732101864930197</v>
      </c>
    </row>
    <row r="3020" spans="1:3" x14ac:dyDescent="0.35">
      <c r="A3020" s="302">
        <v>43146</v>
      </c>
      <c r="B3020" s="303">
        <v>253.5564</v>
      </c>
      <c r="C3020" s="308">
        <v>4.0875766782389604</v>
      </c>
    </row>
    <row r="3021" spans="1:3" x14ac:dyDescent="0.35">
      <c r="A3021" s="305">
        <v>43145</v>
      </c>
      <c r="B3021" s="306">
        <v>253.52529999999999</v>
      </c>
      <c r="C3021" s="309">
        <v>4.0888678314150297</v>
      </c>
    </row>
    <row r="3022" spans="1:3" x14ac:dyDescent="0.35">
      <c r="A3022" s="302">
        <v>43144</v>
      </c>
      <c r="B3022" s="303">
        <v>253.49430000000001</v>
      </c>
      <c r="C3022" s="308">
        <v>4.0902003955927198</v>
      </c>
    </row>
    <row r="3023" spans="1:3" x14ac:dyDescent="0.35">
      <c r="A3023" s="305">
        <v>43143</v>
      </c>
      <c r="B3023" s="306">
        <v>253.4633</v>
      </c>
      <c r="C3023" s="309">
        <v>4.0915333198631298</v>
      </c>
    </row>
    <row r="3024" spans="1:3" x14ac:dyDescent="0.35">
      <c r="A3024" s="302">
        <v>43142</v>
      </c>
      <c r="B3024" s="303">
        <v>253.4323</v>
      </c>
      <c r="C3024" s="308">
        <v>4.0929093587067502</v>
      </c>
    </row>
    <row r="3025" spans="1:3" x14ac:dyDescent="0.35">
      <c r="A3025" s="305">
        <v>43141</v>
      </c>
      <c r="B3025" s="306">
        <v>253.40129999999999</v>
      </c>
      <c r="C3025" s="309">
        <v>4.0942430099266902</v>
      </c>
    </row>
    <row r="3026" spans="1:3" x14ac:dyDescent="0.35">
      <c r="A3026" s="302">
        <v>43140</v>
      </c>
      <c r="B3026" s="303">
        <v>253.37029999999999</v>
      </c>
      <c r="C3026" s="308">
        <v>4.0955770216794001</v>
      </c>
    </row>
    <row r="3027" spans="1:3" x14ac:dyDescent="0.35">
      <c r="A3027" s="305">
        <v>43139</v>
      </c>
      <c r="B3027" s="306">
        <v>253.33930000000001</v>
      </c>
      <c r="C3027" s="309">
        <v>4.0969113941110802</v>
      </c>
    </row>
    <row r="3028" spans="1:3" x14ac:dyDescent="0.35">
      <c r="A3028" s="302">
        <v>43138</v>
      </c>
      <c r="B3028" s="303">
        <v>253.3083</v>
      </c>
      <c r="C3028" s="308">
        <v>4.0982461273680197</v>
      </c>
    </row>
    <row r="3029" spans="1:3" x14ac:dyDescent="0.35">
      <c r="A3029" s="305">
        <v>43137</v>
      </c>
      <c r="B3029" s="306">
        <v>253.2773</v>
      </c>
      <c r="C3029" s="309">
        <v>4.0995812215966199</v>
      </c>
    </row>
    <row r="3030" spans="1:3" x14ac:dyDescent="0.35">
      <c r="A3030" s="302">
        <v>43136</v>
      </c>
      <c r="B3030" s="303">
        <v>253.24629999999999</v>
      </c>
      <c r="C3030" s="308">
        <v>4.1009166769433101</v>
      </c>
    </row>
    <row r="3031" spans="1:3" x14ac:dyDescent="0.35">
      <c r="A3031" s="305">
        <v>43135</v>
      </c>
      <c r="B3031" s="306">
        <v>253.21539999999999</v>
      </c>
      <c r="C3031" s="309">
        <v>4.1022936057040598</v>
      </c>
    </row>
    <row r="3032" spans="1:3" x14ac:dyDescent="0.35">
      <c r="A3032" s="302">
        <v>43134</v>
      </c>
      <c r="B3032" s="303">
        <v>253.18440000000001</v>
      </c>
      <c r="C3032" s="308">
        <v>4.1036297892881803</v>
      </c>
    </row>
    <row r="3033" spans="1:3" x14ac:dyDescent="0.35">
      <c r="A3033" s="305">
        <v>43133</v>
      </c>
      <c r="B3033" s="306">
        <v>253.1534</v>
      </c>
      <c r="C3033" s="309">
        <v>4.1049235230787797</v>
      </c>
    </row>
    <row r="3034" spans="1:3" x14ac:dyDescent="0.35">
      <c r="A3034" s="302">
        <v>43132</v>
      </c>
      <c r="B3034" s="303">
        <v>253.1224</v>
      </c>
      <c r="C3034" s="308">
        <v>4.1062604235857298</v>
      </c>
    </row>
    <row r="3035" spans="1:3" x14ac:dyDescent="0.35">
      <c r="A3035" s="305">
        <v>43131</v>
      </c>
      <c r="B3035" s="306">
        <v>253.0915</v>
      </c>
      <c r="C3035" s="309">
        <v>4.1076388203315801</v>
      </c>
    </row>
    <row r="3036" spans="1:3" x14ac:dyDescent="0.35">
      <c r="A3036" s="302">
        <v>43130</v>
      </c>
      <c r="B3036" s="303">
        <v>253.06049999999999</v>
      </c>
      <c r="C3036" s="308">
        <v>4.1089336198867201</v>
      </c>
    </row>
    <row r="3037" spans="1:3" x14ac:dyDescent="0.35">
      <c r="A3037" s="305">
        <v>43129</v>
      </c>
      <c r="B3037" s="306">
        <v>253.02950000000001</v>
      </c>
      <c r="C3037" s="309">
        <v>4.1102716056087898</v>
      </c>
    </row>
    <row r="3038" spans="1:3" x14ac:dyDescent="0.35">
      <c r="A3038" s="302">
        <v>43128</v>
      </c>
      <c r="B3038" s="303">
        <v>252.99860000000001</v>
      </c>
      <c r="C3038" s="308">
        <v>4.1116511047006901</v>
      </c>
    </row>
    <row r="3039" spans="1:3" x14ac:dyDescent="0.35">
      <c r="A3039" s="305">
        <v>43127</v>
      </c>
      <c r="B3039" s="306">
        <v>252.9676</v>
      </c>
      <c r="C3039" s="309">
        <v>4.1129469713245301</v>
      </c>
    </row>
    <row r="3040" spans="1:3" x14ac:dyDescent="0.35">
      <c r="A3040" s="302">
        <v>43126</v>
      </c>
      <c r="B3040" s="303">
        <v>252.9367</v>
      </c>
      <c r="C3040" s="308">
        <v>4.1143272057900404</v>
      </c>
    </row>
    <row r="3041" spans="1:3" x14ac:dyDescent="0.35">
      <c r="A3041" s="305">
        <v>43125</v>
      </c>
      <c r="B3041" s="306">
        <v>252.9057</v>
      </c>
      <c r="C3041" s="309">
        <v>4.1156237842644501</v>
      </c>
    </row>
    <row r="3042" spans="1:3" x14ac:dyDescent="0.35">
      <c r="A3042" s="302">
        <v>43124</v>
      </c>
      <c r="B3042" s="303">
        <v>252.87479999999999</v>
      </c>
      <c r="C3042" s="308">
        <v>4.1169618862652797</v>
      </c>
    </row>
    <row r="3043" spans="1:3" x14ac:dyDescent="0.35">
      <c r="A3043" s="305">
        <v>43123</v>
      </c>
      <c r="B3043" s="306">
        <v>252.84389999999999</v>
      </c>
      <c r="C3043" s="309">
        <v>4.1183432245057299</v>
      </c>
    </row>
    <row r="3044" spans="1:3" x14ac:dyDescent="0.35">
      <c r="A3044" s="302">
        <v>43122</v>
      </c>
      <c r="B3044" s="303">
        <v>252.81290000000001</v>
      </c>
      <c r="C3044" s="308">
        <v>4.1196408714632797</v>
      </c>
    </row>
    <row r="3045" spans="1:3" x14ac:dyDescent="0.35">
      <c r="A3045" s="305">
        <v>43121</v>
      </c>
      <c r="B3045" s="306">
        <v>252.78200000000001</v>
      </c>
      <c r="C3045" s="309">
        <v>4.1209800590829797</v>
      </c>
    </row>
    <row r="3046" spans="1:3" x14ac:dyDescent="0.35">
      <c r="A3046" s="302">
        <v>43120</v>
      </c>
      <c r="B3046" s="303">
        <v>252.75110000000001</v>
      </c>
      <c r="C3046" s="308">
        <v>4.1223625024356902</v>
      </c>
    </row>
    <row r="3047" spans="1:3" x14ac:dyDescent="0.35">
      <c r="A3047" s="305">
        <v>43119</v>
      </c>
      <c r="B3047" s="306">
        <v>252.7201</v>
      </c>
      <c r="C3047" s="309">
        <v>4.1236612191840898</v>
      </c>
    </row>
    <row r="3048" spans="1:3" x14ac:dyDescent="0.35">
      <c r="A3048" s="302">
        <v>43118</v>
      </c>
      <c r="B3048" s="303">
        <v>252.6892</v>
      </c>
      <c r="C3048" s="308">
        <v>4.1250014937446098</v>
      </c>
    </row>
    <row r="3049" spans="1:3" x14ac:dyDescent="0.35">
      <c r="A3049" s="305">
        <v>43117</v>
      </c>
      <c r="B3049" s="306">
        <v>252.6583</v>
      </c>
      <c r="C3049" s="309">
        <v>4.1263421306521098</v>
      </c>
    </row>
    <row r="3050" spans="1:3" x14ac:dyDescent="0.35">
      <c r="A3050" s="302">
        <v>43116</v>
      </c>
      <c r="B3050" s="303">
        <v>252.62739999999999</v>
      </c>
      <c r="C3050" s="308">
        <v>4.1276831300535699</v>
      </c>
    </row>
    <row r="3051" spans="1:3" x14ac:dyDescent="0.35">
      <c r="A3051" s="305">
        <v>43115</v>
      </c>
      <c r="B3051" s="306">
        <v>252.59649999999999</v>
      </c>
      <c r="C3051" s="309">
        <v>4.1290244920960202</v>
      </c>
    </row>
    <row r="3052" spans="1:3" x14ac:dyDescent="0.35">
      <c r="A3052" s="302">
        <v>43114</v>
      </c>
      <c r="B3052" s="303">
        <v>252.58179999999999</v>
      </c>
      <c r="C3052" s="308">
        <v>4.1266561598075997</v>
      </c>
    </row>
    <row r="3053" spans="1:3" x14ac:dyDescent="0.35">
      <c r="A3053" s="305">
        <v>43113</v>
      </c>
      <c r="B3053" s="306">
        <v>252.56720000000001</v>
      </c>
      <c r="C3053" s="309">
        <v>4.1243288859682297</v>
      </c>
    </row>
    <row r="3054" spans="1:3" x14ac:dyDescent="0.35">
      <c r="A3054" s="302">
        <v>43112</v>
      </c>
      <c r="B3054" s="303">
        <v>252.55250000000001</v>
      </c>
      <c r="C3054" s="308">
        <v>4.12196021924969</v>
      </c>
    </row>
    <row r="3055" spans="1:3" x14ac:dyDescent="0.35">
      <c r="A3055" s="305">
        <v>43111</v>
      </c>
      <c r="B3055" s="306">
        <v>252.5378</v>
      </c>
      <c r="C3055" s="309">
        <v>4.1195913845585501</v>
      </c>
    </row>
    <row r="3056" spans="1:3" x14ac:dyDescent="0.35">
      <c r="A3056" s="302">
        <v>43110</v>
      </c>
      <c r="B3056" s="303">
        <v>252.5232</v>
      </c>
      <c r="C3056" s="308">
        <v>4.1172636126484496</v>
      </c>
    </row>
    <row r="3057" spans="1:3" x14ac:dyDescent="0.35">
      <c r="A3057" s="305">
        <v>43109</v>
      </c>
      <c r="B3057" s="306">
        <v>252.5085</v>
      </c>
      <c r="C3057" s="309">
        <v>4.1148944434205097</v>
      </c>
    </row>
    <row r="3058" spans="1:3" x14ac:dyDescent="0.35">
      <c r="A3058" s="302">
        <v>43108</v>
      </c>
      <c r="B3058" s="303">
        <v>252.4939</v>
      </c>
      <c r="C3058" s="308">
        <v>4.1125663398621404</v>
      </c>
    </row>
    <row r="3059" spans="1:3" x14ac:dyDescent="0.35">
      <c r="A3059" s="305">
        <v>43107</v>
      </c>
      <c r="B3059" s="306">
        <v>252.47929999999999</v>
      </c>
      <c r="C3059" s="309">
        <v>4.1102380711842503</v>
      </c>
    </row>
    <row r="3060" spans="1:3" x14ac:dyDescent="0.35">
      <c r="A3060" s="302">
        <v>43106</v>
      </c>
      <c r="B3060" s="303">
        <v>252.46459999999999</v>
      </c>
      <c r="C3060" s="308">
        <v>4.1078684007490196</v>
      </c>
    </row>
    <row r="3061" spans="1:3" x14ac:dyDescent="0.35">
      <c r="A3061" s="305">
        <v>43105</v>
      </c>
      <c r="B3061" s="306">
        <v>252.45</v>
      </c>
      <c r="C3061" s="309">
        <v>4.1055398003169596</v>
      </c>
    </row>
    <row r="3062" spans="1:3" x14ac:dyDescent="0.35">
      <c r="A3062" s="302">
        <v>43104</v>
      </c>
      <c r="B3062" s="303">
        <v>252.43530000000001</v>
      </c>
      <c r="C3062" s="308">
        <v>4.1031697951673003</v>
      </c>
    </row>
    <row r="3063" spans="1:3" x14ac:dyDescent="0.35">
      <c r="A3063" s="305">
        <v>43103</v>
      </c>
      <c r="B3063" s="306">
        <v>252.42070000000001</v>
      </c>
      <c r="C3063" s="309">
        <v>4.1008408629103501</v>
      </c>
    </row>
    <row r="3064" spans="1:3" x14ac:dyDescent="0.35">
      <c r="A3064" s="302">
        <v>43102</v>
      </c>
      <c r="B3064" s="303">
        <v>252.40600000000001</v>
      </c>
      <c r="C3064" s="308">
        <v>4.0984705229751501</v>
      </c>
    </row>
    <row r="3065" spans="1:3" x14ac:dyDescent="0.35">
      <c r="A3065" s="305">
        <v>43101</v>
      </c>
      <c r="B3065" s="306">
        <v>252.3914</v>
      </c>
      <c r="C3065" s="309">
        <v>4.0961412588225903</v>
      </c>
    </row>
    <row r="3066" spans="1:3" x14ac:dyDescent="0.35">
      <c r="A3066" s="302">
        <v>43100</v>
      </c>
      <c r="B3066" s="303">
        <v>252.3767</v>
      </c>
      <c r="C3066" s="308">
        <v>4.0937705840306897</v>
      </c>
    </row>
    <row r="3067" spans="1:3" x14ac:dyDescent="0.35">
      <c r="A3067" s="305">
        <v>43099</v>
      </c>
      <c r="B3067" s="306">
        <v>252.3621</v>
      </c>
      <c r="C3067" s="309">
        <v>4.0914409879117803</v>
      </c>
    </row>
    <row r="3068" spans="1:3" x14ac:dyDescent="0.35">
      <c r="A3068" s="302">
        <v>43098</v>
      </c>
      <c r="B3068" s="303">
        <v>252.3475</v>
      </c>
      <c r="C3068" s="308">
        <v>4.08911122651475</v>
      </c>
    </row>
    <row r="3069" spans="1:3" x14ac:dyDescent="0.35">
      <c r="A3069" s="305">
        <v>43097</v>
      </c>
      <c r="B3069" s="306">
        <v>252.33279999999999</v>
      </c>
      <c r="C3069" s="309">
        <v>4.0867400500359903</v>
      </c>
    </row>
    <row r="3070" spans="1:3" x14ac:dyDescent="0.35">
      <c r="A3070" s="302">
        <v>43096</v>
      </c>
      <c r="B3070" s="303">
        <v>252.31819999999999</v>
      </c>
      <c r="C3070" s="308">
        <v>4.0844099565665601</v>
      </c>
    </row>
    <row r="3071" spans="1:3" x14ac:dyDescent="0.35">
      <c r="A3071" s="305">
        <v>43095</v>
      </c>
      <c r="B3071" s="306">
        <v>252.30359999999999</v>
      </c>
      <c r="C3071" s="309">
        <v>4.0820796977661198</v>
      </c>
    </row>
    <row r="3072" spans="1:3" x14ac:dyDescent="0.35">
      <c r="A3072" s="302">
        <v>43094</v>
      </c>
      <c r="B3072" s="303">
        <v>252.28890000000001</v>
      </c>
      <c r="C3072" s="308">
        <v>4.0796650822319203</v>
      </c>
    </row>
    <row r="3073" spans="1:3" x14ac:dyDescent="0.35">
      <c r="A3073" s="305">
        <v>43093</v>
      </c>
      <c r="B3073" s="306">
        <v>252.27430000000001</v>
      </c>
      <c r="C3073" s="309">
        <v>4.0773344906910802</v>
      </c>
    </row>
    <row r="3074" spans="1:3" x14ac:dyDescent="0.35">
      <c r="A3074" s="302">
        <v>43092</v>
      </c>
      <c r="B3074" s="303">
        <v>252.25960000000001</v>
      </c>
      <c r="C3074" s="308">
        <v>4.0749624766794303</v>
      </c>
    </row>
    <row r="3075" spans="1:3" x14ac:dyDescent="0.35">
      <c r="A3075" s="305">
        <v>43091</v>
      </c>
      <c r="B3075" s="306">
        <v>252.245</v>
      </c>
      <c r="C3075" s="309">
        <v>4.07263155288934</v>
      </c>
    </row>
    <row r="3076" spans="1:3" x14ac:dyDescent="0.35">
      <c r="A3076" s="302">
        <v>43090</v>
      </c>
      <c r="B3076" s="303">
        <v>252.2304</v>
      </c>
      <c r="C3076" s="308">
        <v>4.0703004636800504</v>
      </c>
    </row>
    <row r="3077" spans="1:3" x14ac:dyDescent="0.35">
      <c r="A3077" s="305">
        <v>43089</v>
      </c>
      <c r="B3077" s="306">
        <v>252.2157</v>
      </c>
      <c r="C3077" s="309">
        <v>4.0679279475550096</v>
      </c>
    </row>
    <row r="3078" spans="1:3" x14ac:dyDescent="0.35">
      <c r="A3078" s="302">
        <v>43088</v>
      </c>
      <c r="B3078" s="303">
        <v>252.2011</v>
      </c>
      <c r="C3078" s="308">
        <v>4.0655965259902898</v>
      </c>
    </row>
    <row r="3079" spans="1:3" x14ac:dyDescent="0.35">
      <c r="A3079" s="305">
        <v>43087</v>
      </c>
      <c r="B3079" s="306">
        <v>252.1865</v>
      </c>
      <c r="C3079" s="309">
        <v>4.0632649389534397</v>
      </c>
    </row>
    <row r="3080" spans="1:3" x14ac:dyDescent="0.35">
      <c r="A3080" s="302">
        <v>43086</v>
      </c>
      <c r="B3080" s="303">
        <v>252.17189999999999</v>
      </c>
      <c r="C3080" s="308">
        <v>4.0609331864268299</v>
      </c>
    </row>
    <row r="3081" spans="1:3" x14ac:dyDescent="0.35">
      <c r="A3081" s="305">
        <v>43085</v>
      </c>
      <c r="B3081" s="306">
        <v>252.15719999999999</v>
      </c>
      <c r="C3081" s="309">
        <v>4.0585600010564402</v>
      </c>
    </row>
    <row r="3082" spans="1:3" x14ac:dyDescent="0.35">
      <c r="A3082" s="302">
        <v>43084</v>
      </c>
      <c r="B3082" s="303">
        <v>252.14259999999999</v>
      </c>
      <c r="C3082" s="308">
        <v>4.0562279160328503</v>
      </c>
    </row>
    <row r="3083" spans="1:3" x14ac:dyDescent="0.35">
      <c r="A3083" s="305">
        <v>43083</v>
      </c>
      <c r="B3083" s="306">
        <v>252.14089999999999</v>
      </c>
      <c r="C3083" s="309">
        <v>4.0534222080260403</v>
      </c>
    </row>
    <row r="3084" spans="1:3" x14ac:dyDescent="0.35">
      <c r="A3084" s="302">
        <v>43082</v>
      </c>
      <c r="B3084" s="303">
        <v>252.13929999999999</v>
      </c>
      <c r="C3084" s="308">
        <v>4.05070081935924</v>
      </c>
    </row>
    <row r="3085" spans="1:3" x14ac:dyDescent="0.35">
      <c r="A3085" s="305">
        <v>43081</v>
      </c>
      <c r="B3085" s="306">
        <v>252.13759999999999</v>
      </c>
      <c r="C3085" s="309">
        <v>4.0478953354208604</v>
      </c>
    </row>
    <row r="3086" spans="1:3" x14ac:dyDescent="0.35">
      <c r="A3086" s="302">
        <v>43080</v>
      </c>
      <c r="B3086" s="303">
        <v>252.13589999999999</v>
      </c>
      <c r="C3086" s="308">
        <v>4.0451328996604703</v>
      </c>
    </row>
    <row r="3087" spans="1:3" x14ac:dyDescent="0.35">
      <c r="A3087" s="305">
        <v>43079</v>
      </c>
      <c r="B3087" s="306">
        <v>252.13419999999999</v>
      </c>
      <c r="C3087" s="309">
        <v>4.04232764059799</v>
      </c>
    </row>
    <row r="3088" spans="1:3" x14ac:dyDescent="0.35">
      <c r="A3088" s="302">
        <v>43078</v>
      </c>
      <c r="B3088" s="303">
        <v>252.13249999999999</v>
      </c>
      <c r="C3088" s="308">
        <v>4.0395654256840201</v>
      </c>
    </row>
    <row r="3089" spans="1:3" x14ac:dyDescent="0.35">
      <c r="A3089" s="305">
        <v>43077</v>
      </c>
      <c r="B3089" s="306">
        <v>252.1309</v>
      </c>
      <c r="C3089" s="309">
        <v>4.0368016544816996</v>
      </c>
    </row>
    <row r="3090" spans="1:3" x14ac:dyDescent="0.35">
      <c r="A3090" s="302">
        <v>43076</v>
      </c>
      <c r="B3090" s="303">
        <v>252.1292</v>
      </c>
      <c r="C3090" s="308">
        <v>4.0340396595703902</v>
      </c>
    </row>
    <row r="3091" spans="1:3" x14ac:dyDescent="0.35">
      <c r="A3091" s="305">
        <v>43075</v>
      </c>
      <c r="B3091" s="306">
        <v>252.1275</v>
      </c>
      <c r="C3091" s="309">
        <v>4.0312348493444601</v>
      </c>
    </row>
    <row r="3092" spans="1:3" x14ac:dyDescent="0.35">
      <c r="A3092" s="302">
        <v>43074</v>
      </c>
      <c r="B3092" s="303">
        <v>252.1258</v>
      </c>
      <c r="C3092" s="308">
        <v>4.0284730752266302</v>
      </c>
    </row>
    <row r="3093" spans="1:3" x14ac:dyDescent="0.35">
      <c r="A3093" s="305">
        <v>43073</v>
      </c>
      <c r="B3093" s="306">
        <v>252.1241</v>
      </c>
      <c r="C3093" s="309">
        <v>4.0256684897956498</v>
      </c>
    </row>
    <row r="3094" spans="1:3" x14ac:dyDescent="0.35">
      <c r="A3094" s="302">
        <v>43072</v>
      </c>
      <c r="B3094" s="303">
        <v>252.1224</v>
      </c>
      <c r="C3094" s="308">
        <v>4.0229069364447998</v>
      </c>
    </row>
    <row r="3095" spans="1:3" x14ac:dyDescent="0.35">
      <c r="A3095" s="305">
        <v>43071</v>
      </c>
      <c r="B3095" s="306">
        <v>252.1208</v>
      </c>
      <c r="C3095" s="309">
        <v>4.0201438338389499</v>
      </c>
    </row>
    <row r="3096" spans="1:3" x14ac:dyDescent="0.35">
      <c r="A3096" s="302">
        <v>43070</v>
      </c>
      <c r="B3096" s="303">
        <v>252.1191</v>
      </c>
      <c r="C3096" s="308">
        <v>4.0173825004115402</v>
      </c>
    </row>
    <row r="3097" spans="1:3" x14ac:dyDescent="0.35">
      <c r="A3097" s="305">
        <v>43069</v>
      </c>
      <c r="B3097" s="306">
        <v>252.1174</v>
      </c>
      <c r="C3097" s="309">
        <v>4.0145783636554198</v>
      </c>
    </row>
    <row r="3098" spans="1:3" x14ac:dyDescent="0.35">
      <c r="A3098" s="302">
        <v>43068</v>
      </c>
      <c r="B3098" s="303">
        <v>252.1157</v>
      </c>
      <c r="C3098" s="308">
        <v>4.0118172509420704</v>
      </c>
    </row>
    <row r="3099" spans="1:3" x14ac:dyDescent="0.35">
      <c r="A3099" s="305">
        <v>43067</v>
      </c>
      <c r="B3099" s="306">
        <v>252.114</v>
      </c>
      <c r="C3099" s="309">
        <v>4.00905624758144</v>
      </c>
    </row>
    <row r="3100" spans="1:3" x14ac:dyDescent="0.35">
      <c r="A3100" s="302">
        <v>43066</v>
      </c>
      <c r="B3100" s="303">
        <v>252.11240000000001</v>
      </c>
      <c r="C3100" s="308">
        <v>4.0062937008124102</v>
      </c>
    </row>
    <row r="3101" spans="1:3" x14ac:dyDescent="0.35">
      <c r="A3101" s="305">
        <v>43065</v>
      </c>
      <c r="B3101" s="306">
        <v>252.11070000000001</v>
      </c>
      <c r="C3101" s="309">
        <v>4.0035329173093599</v>
      </c>
    </row>
    <row r="3102" spans="1:3" x14ac:dyDescent="0.35">
      <c r="A3102" s="302">
        <v>43064</v>
      </c>
      <c r="B3102" s="303">
        <v>252.10900000000001</v>
      </c>
      <c r="C3102" s="308">
        <v>4.0007293404419304</v>
      </c>
    </row>
    <row r="3103" spans="1:3" x14ac:dyDescent="0.35">
      <c r="A3103" s="305">
        <v>43063</v>
      </c>
      <c r="B3103" s="306">
        <v>252.10730000000001</v>
      </c>
      <c r="C3103" s="309">
        <v>3.9979687775869199</v>
      </c>
    </row>
    <row r="3104" spans="1:3" x14ac:dyDescent="0.35">
      <c r="A3104" s="302">
        <v>43062</v>
      </c>
      <c r="B3104" s="303">
        <v>252.10560000000001</v>
      </c>
      <c r="C3104" s="308">
        <v>3.9951654253662499</v>
      </c>
    </row>
    <row r="3105" spans="1:3" x14ac:dyDescent="0.35">
      <c r="A3105" s="305">
        <v>43061</v>
      </c>
      <c r="B3105" s="306">
        <v>252.10400000000001</v>
      </c>
      <c r="C3105" s="309">
        <v>3.9924463329528699</v>
      </c>
    </row>
    <row r="3106" spans="1:3" x14ac:dyDescent="0.35">
      <c r="A3106" s="302">
        <v>43060</v>
      </c>
      <c r="B3106" s="303">
        <v>252.10230000000001</v>
      </c>
      <c r="C3106" s="308">
        <v>3.9896432045182499</v>
      </c>
    </row>
    <row r="3107" spans="1:3" x14ac:dyDescent="0.35">
      <c r="A3107" s="305">
        <v>43059</v>
      </c>
      <c r="B3107" s="306">
        <v>252.10059999999999</v>
      </c>
      <c r="C3107" s="309">
        <v>3.9868830820632302</v>
      </c>
    </row>
    <row r="3108" spans="1:3" x14ac:dyDescent="0.35">
      <c r="A3108" s="302">
        <v>43058</v>
      </c>
      <c r="B3108" s="303">
        <v>252.09889999999999</v>
      </c>
      <c r="C3108" s="308">
        <v>3.9840801782214901</v>
      </c>
    </row>
    <row r="3109" spans="1:3" x14ac:dyDescent="0.35">
      <c r="A3109" s="305">
        <v>43057</v>
      </c>
      <c r="B3109" s="306">
        <v>252.09719999999999</v>
      </c>
      <c r="C3109" s="309">
        <v>3.9813202763351798</v>
      </c>
    </row>
    <row r="3110" spans="1:3" x14ac:dyDescent="0.35">
      <c r="A3110" s="302">
        <v>43056</v>
      </c>
      <c r="B3110" s="303">
        <v>252.09559999999999</v>
      </c>
      <c r="C3110" s="308">
        <v>3.9785588427450498</v>
      </c>
    </row>
    <row r="3111" spans="1:3" x14ac:dyDescent="0.35">
      <c r="A3111" s="305">
        <v>43055</v>
      </c>
      <c r="B3111" s="306">
        <v>252.09389999999999</v>
      </c>
      <c r="C3111" s="309">
        <v>3.9757991605844198</v>
      </c>
    </row>
    <row r="3112" spans="1:3" x14ac:dyDescent="0.35">
      <c r="A3112" s="302">
        <v>43054</v>
      </c>
      <c r="B3112" s="303">
        <v>252.09219999999999</v>
      </c>
      <c r="C3112" s="308">
        <v>3.9729967050139998</v>
      </c>
    </row>
    <row r="3113" spans="1:3" x14ac:dyDescent="0.35">
      <c r="A3113" s="305">
        <v>43053</v>
      </c>
      <c r="B3113" s="306">
        <v>252.0889</v>
      </c>
      <c r="C3113" s="309">
        <v>3.9699632769013999</v>
      </c>
    </row>
    <row r="3114" spans="1:3" x14ac:dyDescent="0.35">
      <c r="A3114" s="302">
        <v>43052</v>
      </c>
      <c r="B3114" s="303">
        <v>252.0857</v>
      </c>
      <c r="C3114" s="308">
        <v>3.9669711890809101</v>
      </c>
    </row>
    <row r="3115" spans="1:3" x14ac:dyDescent="0.35">
      <c r="A3115" s="305">
        <v>43051</v>
      </c>
      <c r="B3115" s="306">
        <v>252.08240000000001</v>
      </c>
      <c r="C3115" s="309">
        <v>3.9639379554668399</v>
      </c>
    </row>
    <row r="3116" spans="1:3" x14ac:dyDescent="0.35">
      <c r="A3116" s="302">
        <v>43050</v>
      </c>
      <c r="B3116" s="303">
        <v>252.07919999999999</v>
      </c>
      <c r="C3116" s="308">
        <v>3.9609031858954502</v>
      </c>
    </row>
    <row r="3117" spans="1:3" x14ac:dyDescent="0.35">
      <c r="A3117" s="305">
        <v>43049</v>
      </c>
      <c r="B3117" s="306">
        <v>252.07589999999999</v>
      </c>
      <c r="C3117" s="309">
        <v>3.9578701487016001</v>
      </c>
    </row>
    <row r="3118" spans="1:3" x14ac:dyDescent="0.35">
      <c r="A3118" s="302">
        <v>43048</v>
      </c>
      <c r="B3118" s="303">
        <v>252.0727</v>
      </c>
      <c r="C3118" s="308">
        <v>3.9548784491106201</v>
      </c>
    </row>
    <row r="3119" spans="1:3" x14ac:dyDescent="0.35">
      <c r="A3119" s="305">
        <v>43047</v>
      </c>
      <c r="B3119" s="306">
        <v>252.0694</v>
      </c>
      <c r="C3119" s="309">
        <v>3.95184560637759</v>
      </c>
    </row>
    <row r="3120" spans="1:3" x14ac:dyDescent="0.35">
      <c r="A3120" s="302">
        <v>43046</v>
      </c>
      <c r="B3120" s="303">
        <v>252.06620000000001</v>
      </c>
      <c r="C3120" s="308">
        <v>3.9488540999114998</v>
      </c>
    </row>
    <row r="3121" spans="1:3" x14ac:dyDescent="0.35">
      <c r="A3121" s="305">
        <v>43045</v>
      </c>
      <c r="B3121" s="306">
        <v>252.06290000000001</v>
      </c>
      <c r="C3121" s="309">
        <v>3.9458214516205499</v>
      </c>
    </row>
    <row r="3122" spans="1:3" x14ac:dyDescent="0.35">
      <c r="A3122" s="302">
        <v>43044</v>
      </c>
      <c r="B3122" s="303">
        <v>252.05969999999999</v>
      </c>
      <c r="C3122" s="308">
        <v>3.9428301382607098</v>
      </c>
    </row>
    <row r="3123" spans="1:3" x14ac:dyDescent="0.35">
      <c r="A3123" s="305">
        <v>43043</v>
      </c>
      <c r="B3123" s="306">
        <v>252.0564</v>
      </c>
      <c r="C3123" s="309">
        <v>3.9397976843931</v>
      </c>
    </row>
    <row r="3124" spans="1:3" x14ac:dyDescent="0.35">
      <c r="A3124" s="302">
        <v>43042</v>
      </c>
      <c r="B3124" s="303">
        <v>252.0532</v>
      </c>
      <c r="C3124" s="308">
        <v>3.93676370469551</v>
      </c>
    </row>
    <row r="3125" spans="1:3" x14ac:dyDescent="0.35">
      <c r="A3125" s="305">
        <v>43041</v>
      </c>
      <c r="B3125" s="306">
        <v>252.04990000000001</v>
      </c>
      <c r="C3125" s="309">
        <v>3.9337314471721201</v>
      </c>
    </row>
    <row r="3126" spans="1:3" x14ac:dyDescent="0.35">
      <c r="A3126" s="302">
        <v>43040</v>
      </c>
      <c r="B3126" s="303">
        <v>252.04669999999999</v>
      </c>
      <c r="C3126" s="308">
        <v>3.9307405218913001</v>
      </c>
    </row>
    <row r="3127" spans="1:3" x14ac:dyDescent="0.35">
      <c r="A3127" s="305">
        <v>43039</v>
      </c>
      <c r="B3127" s="306">
        <v>252.04339999999999</v>
      </c>
      <c r="C3127" s="309">
        <v>3.92770845875358</v>
      </c>
    </row>
    <row r="3128" spans="1:3" x14ac:dyDescent="0.35">
      <c r="A3128" s="302">
        <v>43038</v>
      </c>
      <c r="B3128" s="303">
        <v>252.0402</v>
      </c>
      <c r="C3128" s="308">
        <v>3.9247177265228399</v>
      </c>
    </row>
    <row r="3129" spans="1:3" x14ac:dyDescent="0.35">
      <c r="A3129" s="305">
        <v>43037</v>
      </c>
      <c r="B3129" s="306">
        <v>252.0369</v>
      </c>
      <c r="C3129" s="309">
        <v>3.9216858577520401</v>
      </c>
    </row>
    <row r="3130" spans="1:3" x14ac:dyDescent="0.35">
      <c r="A3130" s="302">
        <v>43036</v>
      </c>
      <c r="B3130" s="303">
        <v>252.03370000000001</v>
      </c>
      <c r="C3130" s="308">
        <v>3.9186953185527398</v>
      </c>
    </row>
    <row r="3131" spans="1:3" x14ac:dyDescent="0.35">
      <c r="A3131" s="305">
        <v>43035</v>
      </c>
      <c r="B3131" s="306">
        <v>252.03039999999999</v>
      </c>
      <c r="C3131" s="309">
        <v>3.91566364413013</v>
      </c>
    </row>
    <row r="3132" spans="1:3" x14ac:dyDescent="0.35">
      <c r="A3132" s="302">
        <v>43034</v>
      </c>
      <c r="B3132" s="303">
        <v>252.02719999999999</v>
      </c>
      <c r="C3132" s="308">
        <v>3.9126304539997099</v>
      </c>
    </row>
    <row r="3133" spans="1:3" x14ac:dyDescent="0.35">
      <c r="A3133" s="305">
        <v>43033</v>
      </c>
      <c r="B3133" s="306">
        <v>252.0239</v>
      </c>
      <c r="C3133" s="309">
        <v>3.9095989758453702</v>
      </c>
    </row>
    <row r="3134" spans="1:3" x14ac:dyDescent="0.35">
      <c r="A3134" s="302">
        <v>43032</v>
      </c>
      <c r="B3134" s="303">
        <v>252.02070000000001</v>
      </c>
      <c r="C3134" s="308">
        <v>3.9066088245746999</v>
      </c>
    </row>
    <row r="3135" spans="1:3" x14ac:dyDescent="0.35">
      <c r="A3135" s="305">
        <v>43031</v>
      </c>
      <c r="B3135" s="306">
        <v>252.01740000000001</v>
      </c>
      <c r="C3135" s="309">
        <v>3.9035775407308901</v>
      </c>
    </row>
    <row r="3136" spans="1:3" x14ac:dyDescent="0.35">
      <c r="A3136" s="302">
        <v>43030</v>
      </c>
      <c r="B3136" s="303">
        <v>252.01419999999999</v>
      </c>
      <c r="C3136" s="308">
        <v>3.9005875824355201</v>
      </c>
    </row>
    <row r="3137" spans="1:3" x14ac:dyDescent="0.35">
      <c r="A3137" s="305">
        <v>43029</v>
      </c>
      <c r="B3137" s="306">
        <v>252.01089999999999</v>
      </c>
      <c r="C3137" s="309">
        <v>3.8975564928835298</v>
      </c>
    </row>
    <row r="3138" spans="1:3" x14ac:dyDescent="0.35">
      <c r="A3138" s="302">
        <v>43028</v>
      </c>
      <c r="B3138" s="303">
        <v>252.0077</v>
      </c>
      <c r="C3138" s="308">
        <v>3.8945667275448201</v>
      </c>
    </row>
    <row r="3139" spans="1:3" x14ac:dyDescent="0.35">
      <c r="A3139" s="305">
        <v>43027</v>
      </c>
      <c r="B3139" s="306">
        <v>252.0044</v>
      </c>
      <c r="C3139" s="309">
        <v>3.8915358322659199</v>
      </c>
    </row>
    <row r="3140" spans="1:3" x14ac:dyDescent="0.35">
      <c r="A3140" s="302">
        <v>43026</v>
      </c>
      <c r="B3140" s="303">
        <v>252.00120000000001</v>
      </c>
      <c r="C3140" s="308">
        <v>3.8885034313961899</v>
      </c>
    </row>
    <row r="3141" spans="1:3" x14ac:dyDescent="0.35">
      <c r="A3141" s="305">
        <v>43025</v>
      </c>
      <c r="B3141" s="306">
        <v>251.99789999999999</v>
      </c>
      <c r="C3141" s="309">
        <v>3.8854727323096401</v>
      </c>
    </row>
    <row r="3142" spans="1:3" x14ac:dyDescent="0.35">
      <c r="A3142" s="302">
        <v>43024</v>
      </c>
      <c r="B3142" s="303">
        <v>251.99469999999999</v>
      </c>
      <c r="C3142" s="308">
        <v>3.8824833547492399</v>
      </c>
    </row>
    <row r="3143" spans="1:3" x14ac:dyDescent="0.35">
      <c r="A3143" s="305">
        <v>43023</v>
      </c>
      <c r="B3143" s="306">
        <v>251.9914</v>
      </c>
      <c r="C3143" s="309">
        <v>3.87945284989814</v>
      </c>
    </row>
    <row r="3144" spans="1:3" x14ac:dyDescent="0.35">
      <c r="A3144" s="302">
        <v>43022</v>
      </c>
      <c r="B3144" s="303">
        <v>251.9796</v>
      </c>
      <c r="C3144" s="308">
        <v>3.8634563115760199</v>
      </c>
    </row>
    <row r="3145" spans="1:3" x14ac:dyDescent="0.35">
      <c r="A3145" s="305">
        <v>43021</v>
      </c>
      <c r="B3145" s="306">
        <v>251.96789999999999</v>
      </c>
      <c r="C3145" s="309">
        <v>3.8475472164693501</v>
      </c>
    </row>
    <row r="3146" spans="1:3" x14ac:dyDescent="0.35">
      <c r="A3146" s="302">
        <v>43020</v>
      </c>
      <c r="B3146" s="303">
        <v>251.95609999999999</v>
      </c>
      <c r="C3146" s="308">
        <v>3.8316003072632099</v>
      </c>
    </row>
    <row r="3147" spans="1:3" x14ac:dyDescent="0.35">
      <c r="A3147" s="305">
        <v>43019</v>
      </c>
      <c r="B3147" s="306">
        <v>251.9444</v>
      </c>
      <c r="C3147" s="309">
        <v>3.8156980076585101</v>
      </c>
    </row>
    <row r="3148" spans="1:3" x14ac:dyDescent="0.35">
      <c r="A3148" s="302">
        <v>43018</v>
      </c>
      <c r="B3148" s="303">
        <v>251.93260000000001</v>
      </c>
      <c r="C3148" s="308">
        <v>3.7997151336387498</v>
      </c>
    </row>
    <row r="3149" spans="1:3" x14ac:dyDescent="0.35">
      <c r="A3149" s="305">
        <v>43017</v>
      </c>
      <c r="B3149" s="306">
        <v>251.92089999999999</v>
      </c>
      <c r="C3149" s="309">
        <v>3.7838196362965202</v>
      </c>
    </row>
    <row r="3150" spans="1:3" x14ac:dyDescent="0.35">
      <c r="A3150" s="302">
        <v>43016</v>
      </c>
      <c r="B3150" s="303">
        <v>251.9091</v>
      </c>
      <c r="C3150" s="308">
        <v>3.7678863381063201</v>
      </c>
    </row>
    <row r="3151" spans="1:3" x14ac:dyDescent="0.35">
      <c r="A3151" s="305">
        <v>43015</v>
      </c>
      <c r="B3151" s="306">
        <v>251.8974</v>
      </c>
      <c r="C3151" s="309">
        <v>3.7519548940001601</v>
      </c>
    </row>
    <row r="3152" spans="1:3" x14ac:dyDescent="0.35">
      <c r="A3152" s="302">
        <v>43014</v>
      </c>
      <c r="B3152" s="303">
        <v>251.88570000000001</v>
      </c>
      <c r="C3152" s="308">
        <v>3.73606958412612</v>
      </c>
    </row>
    <row r="3153" spans="1:3" x14ac:dyDescent="0.35">
      <c r="A3153" s="305">
        <v>43013</v>
      </c>
      <c r="B3153" s="306">
        <v>251.87389999999999</v>
      </c>
      <c r="C3153" s="309">
        <v>3.7201037720309702</v>
      </c>
    </row>
    <row r="3154" spans="1:3" x14ac:dyDescent="0.35">
      <c r="A3154" s="302">
        <v>43012</v>
      </c>
      <c r="B3154" s="303">
        <v>251.8622</v>
      </c>
      <c r="C3154" s="308">
        <v>3.70422525352468</v>
      </c>
    </row>
    <row r="3155" spans="1:3" x14ac:dyDescent="0.35">
      <c r="A3155" s="305">
        <v>43011</v>
      </c>
      <c r="B3155" s="306">
        <v>251.85040000000001</v>
      </c>
      <c r="C3155" s="309">
        <v>3.6882662616579598</v>
      </c>
    </row>
    <row r="3156" spans="1:3" x14ac:dyDescent="0.35">
      <c r="A3156" s="302">
        <v>43010</v>
      </c>
      <c r="B3156" s="303">
        <v>251.83869999999999</v>
      </c>
      <c r="C3156" s="308">
        <v>3.6723945301661698</v>
      </c>
    </row>
    <row r="3157" spans="1:3" x14ac:dyDescent="0.35">
      <c r="A3157" s="305">
        <v>43009</v>
      </c>
      <c r="B3157" s="306">
        <v>251.82689999999999</v>
      </c>
      <c r="C3157" s="309">
        <v>3.6564423541576301</v>
      </c>
    </row>
    <row r="3158" spans="1:3" x14ac:dyDescent="0.35">
      <c r="A3158" s="302">
        <v>43008</v>
      </c>
      <c r="B3158" s="303">
        <v>251.8152</v>
      </c>
      <c r="C3158" s="308">
        <v>3.6405774053307902</v>
      </c>
    </row>
    <row r="3159" spans="1:3" x14ac:dyDescent="0.35">
      <c r="A3159" s="305">
        <v>43007</v>
      </c>
      <c r="B3159" s="306">
        <v>251.80340000000001</v>
      </c>
      <c r="C3159" s="309">
        <v>3.6246320408138901</v>
      </c>
    </row>
    <row r="3160" spans="1:3" x14ac:dyDescent="0.35">
      <c r="A3160" s="302">
        <v>43006</v>
      </c>
      <c r="B3160" s="303">
        <v>251.79169999999999</v>
      </c>
      <c r="C3160" s="308">
        <v>3.6087738703061798</v>
      </c>
    </row>
    <row r="3161" spans="1:3" x14ac:dyDescent="0.35">
      <c r="A3161" s="305">
        <v>43005</v>
      </c>
      <c r="B3161" s="306">
        <v>251.78</v>
      </c>
      <c r="C3161" s="309">
        <v>3.5928764571219798</v>
      </c>
    </row>
    <row r="3162" spans="1:3" x14ac:dyDescent="0.35">
      <c r="A3162" s="302">
        <v>43004</v>
      </c>
      <c r="B3162" s="303">
        <v>251.76820000000001</v>
      </c>
      <c r="C3162" s="308">
        <v>3.57694130502037</v>
      </c>
    </row>
    <row r="3163" spans="1:3" x14ac:dyDescent="0.35">
      <c r="A3163" s="305">
        <v>43003</v>
      </c>
      <c r="B3163" s="306">
        <v>251.75649999999999</v>
      </c>
      <c r="C3163" s="309">
        <v>3.5610932971890099</v>
      </c>
    </row>
    <row r="3164" spans="1:3" x14ac:dyDescent="0.35">
      <c r="A3164" s="302">
        <v>43002</v>
      </c>
      <c r="B3164" s="303">
        <v>251.74469999999999</v>
      </c>
      <c r="C3164" s="308">
        <v>3.5451649456762002</v>
      </c>
    </row>
    <row r="3165" spans="1:3" x14ac:dyDescent="0.35">
      <c r="A3165" s="305">
        <v>43001</v>
      </c>
      <c r="B3165" s="306">
        <v>251.733</v>
      </c>
      <c r="C3165" s="309">
        <v>3.5292811271984799</v>
      </c>
    </row>
    <row r="3166" spans="1:3" x14ac:dyDescent="0.35">
      <c r="A3166" s="302">
        <v>43000</v>
      </c>
      <c r="B3166" s="303">
        <v>251.72130000000001</v>
      </c>
      <c r="C3166" s="308">
        <v>3.5134007052461702</v>
      </c>
    </row>
    <row r="3167" spans="1:3" x14ac:dyDescent="0.35">
      <c r="A3167" s="305">
        <v>42999</v>
      </c>
      <c r="B3167" s="306">
        <v>251.70949999999999</v>
      </c>
      <c r="C3167" s="309">
        <v>3.4974825609006399</v>
      </c>
    </row>
    <row r="3168" spans="1:3" x14ac:dyDescent="0.35">
      <c r="A3168" s="302">
        <v>42998</v>
      </c>
      <c r="B3168" s="303">
        <v>251.6978</v>
      </c>
      <c r="C3168" s="308">
        <v>3.4816514779874499</v>
      </c>
    </row>
    <row r="3169" spans="1:3" x14ac:dyDescent="0.35">
      <c r="A3169" s="305">
        <v>42997</v>
      </c>
      <c r="B3169" s="306">
        <v>251.68600000000001</v>
      </c>
      <c r="C3169" s="309">
        <v>3.4657401233436098</v>
      </c>
    </row>
    <row r="3170" spans="1:3" x14ac:dyDescent="0.35">
      <c r="A3170" s="302">
        <v>42996</v>
      </c>
      <c r="B3170" s="303">
        <v>251.67429999999999</v>
      </c>
      <c r="C3170" s="308">
        <v>3.4498732743234801</v>
      </c>
    </row>
    <row r="3171" spans="1:3" x14ac:dyDescent="0.35">
      <c r="A3171" s="305">
        <v>42995</v>
      </c>
      <c r="B3171" s="306">
        <v>251.6626</v>
      </c>
      <c r="C3171" s="309">
        <v>3.4340098163886501</v>
      </c>
    </row>
    <row r="3172" spans="1:3" x14ac:dyDescent="0.35">
      <c r="A3172" s="302">
        <v>42994</v>
      </c>
      <c r="B3172" s="303">
        <v>251.6508</v>
      </c>
      <c r="C3172" s="308">
        <v>3.41810865257297</v>
      </c>
    </row>
    <row r="3173" spans="1:3" x14ac:dyDescent="0.35">
      <c r="A3173" s="305">
        <v>42993</v>
      </c>
      <c r="B3173" s="306">
        <v>251.63910000000001</v>
      </c>
      <c r="C3173" s="309">
        <v>3.4022519779387999</v>
      </c>
    </row>
    <row r="3174" spans="1:3" x14ac:dyDescent="0.35">
      <c r="A3174" s="302">
        <v>42992</v>
      </c>
      <c r="B3174" s="303">
        <v>251.64320000000001</v>
      </c>
      <c r="C3174" s="308">
        <v>3.4212331399107399</v>
      </c>
    </row>
    <row r="3175" spans="1:3" x14ac:dyDescent="0.35">
      <c r="A3175" s="305">
        <v>42991</v>
      </c>
      <c r="B3175" s="306">
        <v>251.6472</v>
      </c>
      <c r="C3175" s="309">
        <v>3.4401795476779702</v>
      </c>
    </row>
    <row r="3176" spans="1:3" x14ac:dyDescent="0.35">
      <c r="A3176" s="302">
        <v>42990</v>
      </c>
      <c r="B3176" s="303">
        <v>251.65129999999999</v>
      </c>
      <c r="C3176" s="308">
        <v>3.4591734080258201</v>
      </c>
    </row>
    <row r="3177" spans="1:3" x14ac:dyDescent="0.35">
      <c r="A3177" s="305">
        <v>42989</v>
      </c>
      <c r="B3177" s="306">
        <v>251.65539999999999</v>
      </c>
      <c r="C3177" s="309">
        <v>3.4781736257825999</v>
      </c>
    </row>
    <row r="3178" spans="1:3" x14ac:dyDescent="0.35">
      <c r="A3178" s="302">
        <v>42988</v>
      </c>
      <c r="B3178" s="303">
        <v>251.65940000000001</v>
      </c>
      <c r="C3178" s="308">
        <v>3.4971390782621401</v>
      </c>
    </row>
    <row r="3179" spans="1:3" x14ac:dyDescent="0.35">
      <c r="A3179" s="305">
        <v>42987</v>
      </c>
      <c r="B3179" s="306">
        <v>251.6635</v>
      </c>
      <c r="C3179" s="309">
        <v>3.51610943449466</v>
      </c>
    </row>
    <row r="3180" spans="1:3" x14ac:dyDescent="0.35">
      <c r="A3180" s="302">
        <v>42986</v>
      </c>
      <c r="B3180" s="303">
        <v>251.66749999999999</v>
      </c>
      <c r="C3180" s="308">
        <v>3.5350875821661298</v>
      </c>
    </row>
    <row r="3181" spans="1:3" x14ac:dyDescent="0.35">
      <c r="A3181" s="305">
        <v>42985</v>
      </c>
      <c r="B3181" s="306">
        <v>251.67160000000001</v>
      </c>
      <c r="C3181" s="309">
        <v>3.5541132327630001</v>
      </c>
    </row>
    <row r="3182" spans="1:3" x14ac:dyDescent="0.35">
      <c r="A3182" s="302">
        <v>42984</v>
      </c>
      <c r="B3182" s="303">
        <v>251.67570000000001</v>
      </c>
      <c r="C3182" s="308">
        <v>3.5731026328709499</v>
      </c>
    </row>
    <row r="3183" spans="1:3" x14ac:dyDescent="0.35">
      <c r="A3183" s="305">
        <v>42983</v>
      </c>
      <c r="B3183" s="306">
        <v>251.6797</v>
      </c>
      <c r="C3183" s="309">
        <v>3.5920998581616299</v>
      </c>
    </row>
    <row r="3184" spans="1:3" x14ac:dyDescent="0.35">
      <c r="A3184" s="302">
        <v>42982</v>
      </c>
      <c r="B3184" s="303">
        <v>251.68379999999999</v>
      </c>
      <c r="C3184" s="308">
        <v>3.6111019628507401</v>
      </c>
    </row>
    <row r="3185" spans="1:3" x14ac:dyDescent="0.35">
      <c r="A3185" s="305">
        <v>42981</v>
      </c>
      <c r="B3185" s="306">
        <v>251.68780000000001</v>
      </c>
      <c r="C3185" s="309">
        <v>3.6301119152407102</v>
      </c>
    </row>
    <row r="3186" spans="1:3" x14ac:dyDescent="0.35">
      <c r="A3186" s="302">
        <v>42980</v>
      </c>
      <c r="B3186" s="303">
        <v>251.6919</v>
      </c>
      <c r="C3186" s="308">
        <v>3.64912673727004</v>
      </c>
    </row>
    <row r="3187" spans="1:3" x14ac:dyDescent="0.35">
      <c r="A3187" s="305">
        <v>42979</v>
      </c>
      <c r="B3187" s="306">
        <v>251.696</v>
      </c>
      <c r="C3187" s="309">
        <v>3.6681479187166199</v>
      </c>
    </row>
    <row r="3188" spans="1:3" x14ac:dyDescent="0.35">
      <c r="A3188" s="302">
        <v>42978</v>
      </c>
      <c r="B3188" s="303">
        <v>251.7</v>
      </c>
      <c r="C3188" s="308">
        <v>3.68713426804175</v>
      </c>
    </row>
    <row r="3189" spans="1:3" x14ac:dyDescent="0.35">
      <c r="A3189" s="305">
        <v>42977</v>
      </c>
      <c r="B3189" s="306">
        <v>251.70410000000001</v>
      </c>
      <c r="C3189" s="309">
        <v>3.7062108996459999</v>
      </c>
    </row>
    <row r="3190" spans="1:3" x14ac:dyDescent="0.35">
      <c r="A3190" s="302">
        <v>42976</v>
      </c>
      <c r="B3190" s="303">
        <v>251.7081</v>
      </c>
      <c r="C3190" s="308">
        <v>3.7252099780688201</v>
      </c>
    </row>
    <row r="3191" spans="1:3" x14ac:dyDescent="0.35">
      <c r="A3191" s="305">
        <v>42975</v>
      </c>
      <c r="B3191" s="306">
        <v>251.7122</v>
      </c>
      <c r="C3191" s="309">
        <v>3.7442566303256499</v>
      </c>
    </row>
    <row r="3192" spans="1:3" x14ac:dyDescent="0.35">
      <c r="A3192" s="302">
        <v>42974</v>
      </c>
      <c r="B3192" s="303">
        <v>251.71629999999999</v>
      </c>
      <c r="C3192" s="308">
        <v>3.7632668843479302</v>
      </c>
    </row>
    <row r="3193" spans="1:3" x14ac:dyDescent="0.35">
      <c r="A3193" s="305">
        <v>42973</v>
      </c>
      <c r="B3193" s="306">
        <v>251.72030000000001</v>
      </c>
      <c r="C3193" s="309">
        <v>3.7822850463725501</v>
      </c>
    </row>
    <row r="3194" spans="1:3" x14ac:dyDescent="0.35">
      <c r="A3194" s="302">
        <v>42972</v>
      </c>
      <c r="B3194" s="303">
        <v>251.7244</v>
      </c>
      <c r="C3194" s="308">
        <v>3.8013508124956998</v>
      </c>
    </row>
    <row r="3195" spans="1:3" x14ac:dyDescent="0.35">
      <c r="A3195" s="305">
        <v>42971</v>
      </c>
      <c r="B3195" s="306">
        <v>251.72839999999999</v>
      </c>
      <c r="C3195" s="309">
        <v>3.8203817206008401</v>
      </c>
    </row>
    <row r="3196" spans="1:3" x14ac:dyDescent="0.35">
      <c r="A3196" s="302">
        <v>42970</v>
      </c>
      <c r="B3196" s="303">
        <v>251.73249999999999</v>
      </c>
      <c r="C3196" s="308">
        <v>3.8394174193399402</v>
      </c>
    </row>
    <row r="3197" spans="1:3" x14ac:dyDescent="0.35">
      <c r="A3197" s="305">
        <v>42969</v>
      </c>
      <c r="B3197" s="306">
        <v>251.73660000000001</v>
      </c>
      <c r="C3197" s="309">
        <v>3.8585023281220501</v>
      </c>
    </row>
    <row r="3198" spans="1:3" x14ac:dyDescent="0.35">
      <c r="A3198" s="302">
        <v>42968</v>
      </c>
      <c r="B3198" s="303">
        <v>251.7406</v>
      </c>
      <c r="C3198" s="308">
        <v>3.8775095040638599</v>
      </c>
    </row>
    <row r="3199" spans="1:3" x14ac:dyDescent="0.35">
      <c r="A3199" s="305">
        <v>42967</v>
      </c>
      <c r="B3199" s="306">
        <v>251.74469999999999</v>
      </c>
      <c r="C3199" s="309">
        <v>3.8966071833170899</v>
      </c>
    </row>
    <row r="3200" spans="1:3" x14ac:dyDescent="0.35">
      <c r="A3200" s="302">
        <v>42966</v>
      </c>
      <c r="B3200" s="303">
        <v>251.74879999999999</v>
      </c>
      <c r="C3200" s="308">
        <v>3.9156683697772601</v>
      </c>
    </row>
    <row r="3201" spans="1:3" x14ac:dyDescent="0.35">
      <c r="A3201" s="305">
        <v>42965</v>
      </c>
      <c r="B3201" s="306">
        <v>251.75280000000001</v>
      </c>
      <c r="C3201" s="309">
        <v>3.9347375548050998</v>
      </c>
    </row>
    <row r="3202" spans="1:3" x14ac:dyDescent="0.35">
      <c r="A3202" s="302">
        <v>42964</v>
      </c>
      <c r="B3202" s="303">
        <v>251.7569</v>
      </c>
      <c r="C3202" s="308">
        <v>3.9538115008784702</v>
      </c>
    </row>
    <row r="3203" spans="1:3" x14ac:dyDescent="0.35">
      <c r="A3203" s="305">
        <v>42963</v>
      </c>
      <c r="B3203" s="306">
        <v>251.76089999999999</v>
      </c>
      <c r="C3203" s="309">
        <v>3.9728505292371001</v>
      </c>
    </row>
    <row r="3204" spans="1:3" x14ac:dyDescent="0.35">
      <c r="A3204" s="302">
        <v>42962</v>
      </c>
      <c r="B3204" s="303">
        <v>251.76499999999999</v>
      </c>
      <c r="C3204" s="308">
        <v>3.9919372326781599</v>
      </c>
    </row>
    <row r="3205" spans="1:3" x14ac:dyDescent="0.35">
      <c r="A3205" s="305">
        <v>42961</v>
      </c>
      <c r="B3205" s="306">
        <v>251.7561</v>
      </c>
      <c r="C3205" s="309">
        <v>4.0043277971735503</v>
      </c>
    </row>
    <row r="3206" spans="1:3" x14ac:dyDescent="0.35">
      <c r="A3206" s="302">
        <v>42960</v>
      </c>
      <c r="B3206" s="303">
        <v>251.74719999999999</v>
      </c>
      <c r="C3206" s="308">
        <v>4.0167221910731001</v>
      </c>
    </row>
    <row r="3207" spans="1:3" x14ac:dyDescent="0.35">
      <c r="A3207" s="305">
        <v>42959</v>
      </c>
      <c r="B3207" s="306">
        <v>251.73830000000001</v>
      </c>
      <c r="C3207" s="309">
        <v>4.0290774268518703</v>
      </c>
    </row>
    <row r="3208" spans="1:3" x14ac:dyDescent="0.35">
      <c r="A3208" s="302">
        <v>42958</v>
      </c>
      <c r="B3208" s="303">
        <v>251.72929999999999</v>
      </c>
      <c r="C3208" s="308">
        <v>4.0414381424338002</v>
      </c>
    </row>
    <row r="3209" spans="1:3" x14ac:dyDescent="0.35">
      <c r="A3209" s="305">
        <v>42957</v>
      </c>
      <c r="B3209" s="306">
        <v>251.72040000000001</v>
      </c>
      <c r="C3209" s="309">
        <v>4.0538440170374903</v>
      </c>
    </row>
    <row r="3210" spans="1:3" x14ac:dyDescent="0.35">
      <c r="A3210" s="302">
        <v>42956</v>
      </c>
      <c r="B3210" s="303">
        <v>251.7115</v>
      </c>
      <c r="C3210" s="308">
        <v>4.0662107035703796</v>
      </c>
    </row>
    <row r="3211" spans="1:3" x14ac:dyDescent="0.35">
      <c r="A3211" s="305">
        <v>42955</v>
      </c>
      <c r="B3211" s="306">
        <v>251.70249999999999</v>
      </c>
      <c r="C3211" s="309">
        <v>4.07858289133799</v>
      </c>
    </row>
    <row r="3212" spans="1:3" x14ac:dyDescent="0.35">
      <c r="A3212" s="302">
        <v>42954</v>
      </c>
      <c r="B3212" s="303">
        <v>251.6936</v>
      </c>
      <c r="C3212" s="308">
        <v>4.0910002626121003</v>
      </c>
    </row>
    <row r="3213" spans="1:3" x14ac:dyDescent="0.35">
      <c r="A3213" s="305">
        <v>42953</v>
      </c>
      <c r="B3213" s="306">
        <v>251.68469999999999</v>
      </c>
      <c r="C3213" s="309">
        <v>4.1033784158283204</v>
      </c>
    </row>
    <row r="3214" spans="1:3" x14ac:dyDescent="0.35">
      <c r="A3214" s="302">
        <v>42952</v>
      </c>
      <c r="B3214" s="303">
        <v>251.67580000000001</v>
      </c>
      <c r="C3214" s="308">
        <v>4.1157603891002603</v>
      </c>
    </row>
    <row r="3215" spans="1:3" x14ac:dyDescent="0.35">
      <c r="A3215" s="305">
        <v>42951</v>
      </c>
      <c r="B3215" s="306">
        <v>251.66679999999999</v>
      </c>
      <c r="C3215" s="309">
        <v>4.1281478922336303</v>
      </c>
    </row>
    <row r="3216" spans="1:3" x14ac:dyDescent="0.35">
      <c r="A3216" s="302">
        <v>42950</v>
      </c>
      <c r="B3216" s="303">
        <v>251.65790000000001</v>
      </c>
      <c r="C3216" s="308">
        <v>4.1405375163147697</v>
      </c>
    </row>
    <row r="3217" spans="1:3" x14ac:dyDescent="0.35">
      <c r="A3217" s="305">
        <v>42949</v>
      </c>
      <c r="B3217" s="306">
        <v>251.649</v>
      </c>
      <c r="C3217" s="309">
        <v>4.15293096576411</v>
      </c>
    </row>
    <row r="3218" spans="1:3" x14ac:dyDescent="0.35">
      <c r="A3218" s="302">
        <v>42948</v>
      </c>
      <c r="B3218" s="303">
        <v>251.64009999999999</v>
      </c>
      <c r="C3218" s="308">
        <v>4.1653713611573897</v>
      </c>
    </row>
    <row r="3219" spans="1:3" x14ac:dyDescent="0.35">
      <c r="A3219" s="305">
        <v>42947</v>
      </c>
      <c r="B3219" s="306">
        <v>251.6311</v>
      </c>
      <c r="C3219" s="309">
        <v>4.1777310774769596</v>
      </c>
    </row>
    <row r="3220" spans="1:3" x14ac:dyDescent="0.35">
      <c r="A3220" s="302">
        <v>42946</v>
      </c>
      <c r="B3220" s="303">
        <v>251.62219999999999</v>
      </c>
      <c r="C3220" s="308">
        <v>4.1901360190705796</v>
      </c>
    </row>
    <row r="3221" spans="1:3" x14ac:dyDescent="0.35">
      <c r="A3221" s="305">
        <v>42945</v>
      </c>
      <c r="B3221" s="306">
        <v>251.61330000000001</v>
      </c>
      <c r="C3221" s="309">
        <v>4.2025447931299498</v>
      </c>
    </row>
    <row r="3222" spans="1:3" x14ac:dyDescent="0.35">
      <c r="A3222" s="302">
        <v>42944</v>
      </c>
      <c r="B3222" s="303">
        <v>251.6044</v>
      </c>
      <c r="C3222" s="308">
        <v>4.2149574014314002</v>
      </c>
    </row>
    <row r="3223" spans="1:3" x14ac:dyDescent="0.35">
      <c r="A3223" s="305">
        <v>42943</v>
      </c>
      <c r="B3223" s="306">
        <v>251.59540000000001</v>
      </c>
      <c r="C3223" s="309">
        <v>4.22733241918713</v>
      </c>
    </row>
    <row r="3224" spans="1:3" x14ac:dyDescent="0.35">
      <c r="A3224" s="302">
        <v>42942</v>
      </c>
      <c r="B3224" s="303">
        <v>251.5865</v>
      </c>
      <c r="C3224" s="308">
        <v>4.2397526949037898</v>
      </c>
    </row>
    <row r="3225" spans="1:3" x14ac:dyDescent="0.35">
      <c r="A3225" s="305">
        <v>42941</v>
      </c>
      <c r="B3225" s="306">
        <v>251.57759999999999</v>
      </c>
      <c r="C3225" s="309">
        <v>4.2521336087669104</v>
      </c>
    </row>
    <row r="3226" spans="1:3" x14ac:dyDescent="0.35">
      <c r="A3226" s="302">
        <v>42940</v>
      </c>
      <c r="B3226" s="303">
        <v>251.56870000000001</v>
      </c>
      <c r="C3226" s="308">
        <v>4.2645615535860504</v>
      </c>
    </row>
    <row r="3227" spans="1:3" x14ac:dyDescent="0.35">
      <c r="A3227" s="305">
        <v>42939</v>
      </c>
      <c r="B3227" s="306">
        <v>251.5598</v>
      </c>
      <c r="C3227" s="309">
        <v>4.2769933415381001</v>
      </c>
    </row>
    <row r="3228" spans="1:3" x14ac:dyDescent="0.35">
      <c r="A3228" s="302">
        <v>42938</v>
      </c>
      <c r="B3228" s="303">
        <v>251.55080000000001</v>
      </c>
      <c r="C3228" s="308">
        <v>4.2893442789464702</v>
      </c>
    </row>
    <row r="3229" spans="1:3" x14ac:dyDescent="0.35">
      <c r="A3229" s="305">
        <v>42937</v>
      </c>
      <c r="B3229" s="306">
        <v>251.5419</v>
      </c>
      <c r="C3229" s="309">
        <v>4.30178374025677</v>
      </c>
    </row>
    <row r="3230" spans="1:3" x14ac:dyDescent="0.35">
      <c r="A3230" s="302">
        <v>42936</v>
      </c>
      <c r="B3230" s="303">
        <v>251.53299999999999</v>
      </c>
      <c r="C3230" s="308">
        <v>4.3141837895045896</v>
      </c>
    </row>
    <row r="3231" spans="1:3" x14ac:dyDescent="0.35">
      <c r="A3231" s="305">
        <v>42935</v>
      </c>
      <c r="B3231" s="306">
        <v>251.5241</v>
      </c>
      <c r="C3231" s="309">
        <v>4.3266309377007799</v>
      </c>
    </row>
    <row r="3232" spans="1:3" x14ac:dyDescent="0.35">
      <c r="A3232" s="302">
        <v>42934</v>
      </c>
      <c r="B3232" s="303">
        <v>251.51519999999999</v>
      </c>
      <c r="C3232" s="308">
        <v>4.3390386537219401</v>
      </c>
    </row>
    <row r="3233" spans="1:3" x14ac:dyDescent="0.35">
      <c r="A3233" s="305">
        <v>42933</v>
      </c>
      <c r="B3233" s="306">
        <v>251.50620000000001</v>
      </c>
      <c r="C3233" s="309">
        <v>4.3514520053240702</v>
      </c>
    </row>
    <row r="3234" spans="1:3" x14ac:dyDescent="0.35">
      <c r="A3234" s="302">
        <v>42932</v>
      </c>
      <c r="B3234" s="303">
        <v>251.4973</v>
      </c>
      <c r="C3234" s="308">
        <v>4.3638673888253496</v>
      </c>
    </row>
    <row r="3235" spans="1:3" x14ac:dyDescent="0.35">
      <c r="A3235" s="305">
        <v>42931</v>
      </c>
      <c r="B3235" s="306">
        <v>251.48840000000001</v>
      </c>
      <c r="C3235" s="309">
        <v>4.3762866060163397</v>
      </c>
    </row>
    <row r="3236" spans="1:3" x14ac:dyDescent="0.35">
      <c r="A3236" s="302">
        <v>42930</v>
      </c>
      <c r="B3236" s="303">
        <v>251.4691</v>
      </c>
      <c r="C3236" s="308">
        <v>4.3859958630669302</v>
      </c>
    </row>
    <row r="3237" spans="1:3" x14ac:dyDescent="0.35">
      <c r="A3237" s="305">
        <v>42929</v>
      </c>
      <c r="B3237" s="306">
        <v>251.44990000000001</v>
      </c>
      <c r="C3237" s="309">
        <v>4.3957065925219503</v>
      </c>
    </row>
    <row r="3238" spans="1:3" x14ac:dyDescent="0.35">
      <c r="A3238" s="302">
        <v>42928</v>
      </c>
      <c r="B3238" s="303">
        <v>251.4306</v>
      </c>
      <c r="C3238" s="308">
        <v>4.4054224416933003</v>
      </c>
    </row>
    <row r="3239" spans="1:3" x14ac:dyDescent="0.35">
      <c r="A3239" s="305">
        <v>42927</v>
      </c>
      <c r="B3239" s="306">
        <v>251.41139999999999</v>
      </c>
      <c r="C3239" s="309">
        <v>4.4151397579373102</v>
      </c>
    </row>
    <row r="3240" spans="1:3" x14ac:dyDescent="0.35">
      <c r="A3240" s="302">
        <v>42926</v>
      </c>
      <c r="B3240" s="303">
        <v>251.3921</v>
      </c>
      <c r="C3240" s="308">
        <v>4.4248188292920396</v>
      </c>
    </row>
    <row r="3241" spans="1:3" x14ac:dyDescent="0.35">
      <c r="A3241" s="305">
        <v>42925</v>
      </c>
      <c r="B3241" s="306">
        <v>251.37289999999999</v>
      </c>
      <c r="C3241" s="309">
        <v>4.4345427276390801</v>
      </c>
    </row>
    <row r="3242" spans="1:3" x14ac:dyDescent="0.35">
      <c r="A3242" s="302">
        <v>42924</v>
      </c>
      <c r="B3242" s="303">
        <v>251.3536</v>
      </c>
      <c r="C3242" s="308">
        <v>4.4442283703609498</v>
      </c>
    </row>
    <row r="3243" spans="1:3" x14ac:dyDescent="0.35">
      <c r="A3243" s="305">
        <v>42923</v>
      </c>
      <c r="B3243" s="306">
        <v>251.33439999999999</v>
      </c>
      <c r="C3243" s="309">
        <v>4.4540022683323297</v>
      </c>
    </row>
    <row r="3244" spans="1:3" x14ac:dyDescent="0.35">
      <c r="A3244" s="302">
        <v>42922</v>
      </c>
      <c r="B3244" s="303">
        <v>251.3151</v>
      </c>
      <c r="C3244" s="308">
        <v>4.4636510782844203</v>
      </c>
    </row>
    <row r="3245" spans="1:3" x14ac:dyDescent="0.35">
      <c r="A3245" s="305">
        <v>42921</v>
      </c>
      <c r="B3245" s="306">
        <v>251.29589999999999</v>
      </c>
      <c r="C3245" s="309">
        <v>4.4733881609307202</v>
      </c>
    </row>
    <row r="3246" spans="1:3" x14ac:dyDescent="0.35">
      <c r="A3246" s="302">
        <v>42920</v>
      </c>
      <c r="B3246" s="303">
        <v>251.2766</v>
      </c>
      <c r="C3246" s="308">
        <v>4.4830869664649997</v>
      </c>
    </row>
    <row r="3247" spans="1:3" x14ac:dyDescent="0.35">
      <c r="A3247" s="305">
        <v>42919</v>
      </c>
      <c r="B3247" s="306">
        <v>251.25739999999999</v>
      </c>
      <c r="C3247" s="309">
        <v>4.4928306513256997</v>
      </c>
    </row>
    <row r="3248" spans="1:3" x14ac:dyDescent="0.35">
      <c r="A3248" s="302">
        <v>42918</v>
      </c>
      <c r="B3248" s="303">
        <v>251.23820000000001</v>
      </c>
      <c r="C3248" s="308">
        <v>4.5025776433426801</v>
      </c>
    </row>
    <row r="3249" spans="1:3" x14ac:dyDescent="0.35">
      <c r="A3249" s="305">
        <v>42917</v>
      </c>
      <c r="B3249" s="306">
        <v>251.21889999999999</v>
      </c>
      <c r="C3249" s="309">
        <v>4.5122428628542304</v>
      </c>
    </row>
    <row r="3250" spans="1:3" x14ac:dyDescent="0.35">
      <c r="A3250" s="302">
        <v>42916</v>
      </c>
      <c r="B3250" s="303">
        <v>251.19970000000001</v>
      </c>
      <c r="C3250" s="308">
        <v>4.5219964557347598</v>
      </c>
    </row>
    <row r="3251" spans="1:3" x14ac:dyDescent="0.35">
      <c r="A3251" s="305">
        <v>42915</v>
      </c>
      <c r="B3251" s="306">
        <v>251.18039999999999</v>
      </c>
      <c r="C3251" s="309">
        <v>4.5316682425323904</v>
      </c>
    </row>
    <row r="3252" spans="1:3" x14ac:dyDescent="0.35">
      <c r="A3252" s="302">
        <v>42914</v>
      </c>
      <c r="B3252" s="303">
        <v>251.16120000000001</v>
      </c>
      <c r="C3252" s="308">
        <v>4.5414284429911502</v>
      </c>
    </row>
    <row r="3253" spans="1:3" x14ac:dyDescent="0.35">
      <c r="A3253" s="305">
        <v>42913</v>
      </c>
      <c r="B3253" s="306">
        <v>251.142</v>
      </c>
      <c r="C3253" s="309">
        <v>4.5511484340557402</v>
      </c>
    </row>
    <row r="3254" spans="1:3" x14ac:dyDescent="0.35">
      <c r="A3254" s="302">
        <v>42912</v>
      </c>
      <c r="B3254" s="303">
        <v>251.12270000000001</v>
      </c>
      <c r="C3254" s="308">
        <v>4.5608300821504901</v>
      </c>
    </row>
    <row r="3255" spans="1:3" x14ac:dyDescent="0.35">
      <c r="A3255" s="305">
        <v>42911</v>
      </c>
      <c r="B3255" s="306">
        <v>251.1035</v>
      </c>
      <c r="C3255" s="309">
        <v>4.5706002043908196</v>
      </c>
    </row>
    <row r="3256" spans="1:3" x14ac:dyDescent="0.35">
      <c r="A3256" s="302">
        <v>42910</v>
      </c>
      <c r="B3256" s="303">
        <v>251.08430000000001</v>
      </c>
      <c r="C3256" s="308">
        <v>4.5803300879887496</v>
      </c>
    </row>
    <row r="3257" spans="1:3" x14ac:dyDescent="0.35">
      <c r="A3257" s="305">
        <v>42909</v>
      </c>
      <c r="B3257" s="306">
        <v>251.0651</v>
      </c>
      <c r="C3257" s="309">
        <v>4.5900632709954898</v>
      </c>
    </row>
    <row r="3258" spans="1:3" x14ac:dyDescent="0.35">
      <c r="A3258" s="302">
        <v>42908</v>
      </c>
      <c r="B3258" s="303">
        <v>251.04580000000001</v>
      </c>
      <c r="C3258" s="308">
        <v>4.5997580894818899</v>
      </c>
    </row>
    <row r="3259" spans="1:3" x14ac:dyDescent="0.35">
      <c r="A3259" s="305">
        <v>42907</v>
      </c>
      <c r="B3259" s="306">
        <v>251.0266</v>
      </c>
      <c r="C3259" s="309">
        <v>4.6094978692761499</v>
      </c>
    </row>
    <row r="3260" spans="1:3" x14ac:dyDescent="0.35">
      <c r="A3260" s="302">
        <v>42906</v>
      </c>
      <c r="B3260" s="303">
        <v>251.00739999999999</v>
      </c>
      <c r="C3260" s="308">
        <v>4.6192409535158303</v>
      </c>
    </row>
    <row r="3261" spans="1:3" x14ac:dyDescent="0.35">
      <c r="A3261" s="305">
        <v>42905</v>
      </c>
      <c r="B3261" s="306">
        <v>250.98820000000001</v>
      </c>
      <c r="C3261" s="309">
        <v>4.6289437274083598</v>
      </c>
    </row>
    <row r="3262" spans="1:3" x14ac:dyDescent="0.35">
      <c r="A3262" s="302">
        <v>42904</v>
      </c>
      <c r="B3262" s="303">
        <v>250.96889999999999</v>
      </c>
      <c r="C3262" s="308">
        <v>4.6386517202474602</v>
      </c>
    </row>
    <row r="3263" spans="1:3" x14ac:dyDescent="0.35">
      <c r="A3263" s="305">
        <v>42903</v>
      </c>
      <c r="B3263" s="306">
        <v>250.94970000000001</v>
      </c>
      <c r="C3263" s="309">
        <v>4.6484047093715004</v>
      </c>
    </row>
    <row r="3264" spans="1:3" x14ac:dyDescent="0.35">
      <c r="A3264" s="302">
        <v>42902</v>
      </c>
      <c r="B3264" s="303">
        <v>250.93049999999999</v>
      </c>
      <c r="C3264" s="308">
        <v>4.65811735883194</v>
      </c>
    </row>
    <row r="3265" spans="1:3" x14ac:dyDescent="0.35">
      <c r="A3265" s="305">
        <v>42901</v>
      </c>
      <c r="B3265" s="306">
        <v>250.91130000000001</v>
      </c>
      <c r="C3265" s="309">
        <v>4.6678769605049899</v>
      </c>
    </row>
    <row r="3266" spans="1:3" x14ac:dyDescent="0.35">
      <c r="A3266" s="302">
        <v>42900</v>
      </c>
      <c r="B3266" s="303">
        <v>250.8733</v>
      </c>
      <c r="C3266" s="308">
        <v>4.66883536539319</v>
      </c>
    </row>
    <row r="3267" spans="1:3" x14ac:dyDescent="0.35">
      <c r="A3267" s="305">
        <v>42899</v>
      </c>
      <c r="B3267" s="306">
        <v>250.83539999999999</v>
      </c>
      <c r="C3267" s="309">
        <v>4.6698794838850697</v>
      </c>
    </row>
    <row r="3268" spans="1:3" x14ac:dyDescent="0.35">
      <c r="A3268" s="302">
        <v>42898</v>
      </c>
      <c r="B3268" s="303">
        <v>250.79740000000001</v>
      </c>
      <c r="C3268" s="308">
        <v>4.67083851893402</v>
      </c>
    </row>
    <row r="3269" spans="1:3" x14ac:dyDescent="0.35">
      <c r="A3269" s="305">
        <v>42897</v>
      </c>
      <c r="B3269" s="306">
        <v>250.7595</v>
      </c>
      <c r="C3269" s="309">
        <v>4.6718832962108303</v>
      </c>
    </row>
    <row r="3270" spans="1:3" x14ac:dyDescent="0.35">
      <c r="A3270" s="302">
        <v>42896</v>
      </c>
      <c r="B3270" s="303">
        <v>250.7216</v>
      </c>
      <c r="C3270" s="308">
        <v>4.67288471068394</v>
      </c>
    </row>
    <row r="3271" spans="1:3" x14ac:dyDescent="0.35">
      <c r="A3271" s="305">
        <v>42895</v>
      </c>
      <c r="B3271" s="306">
        <v>250.68369999999999</v>
      </c>
      <c r="C3271" s="309">
        <v>4.6739301541065803</v>
      </c>
    </row>
    <row r="3272" spans="1:3" x14ac:dyDescent="0.35">
      <c r="A3272" s="302">
        <v>42894</v>
      </c>
      <c r="B3272" s="303">
        <v>250.64570000000001</v>
      </c>
      <c r="C3272" s="308">
        <v>4.67489045802993</v>
      </c>
    </row>
    <row r="3273" spans="1:3" x14ac:dyDescent="0.35">
      <c r="A3273" s="305">
        <v>42893</v>
      </c>
      <c r="B3273" s="306">
        <v>250.6078</v>
      </c>
      <c r="C3273" s="309">
        <v>4.6758928396148702</v>
      </c>
    </row>
    <row r="3274" spans="1:3" x14ac:dyDescent="0.35">
      <c r="A3274" s="302">
        <v>42892</v>
      </c>
      <c r="B3274" s="303">
        <v>250.56989999999999</v>
      </c>
      <c r="C3274" s="308">
        <v>4.6768955436374604</v>
      </c>
    </row>
    <row r="3275" spans="1:3" x14ac:dyDescent="0.35">
      <c r="A3275" s="305">
        <v>42891</v>
      </c>
      <c r="B3275" s="306">
        <v>250.53200000000001</v>
      </c>
      <c r="C3275" s="309">
        <v>4.6778985702532996</v>
      </c>
    </row>
    <row r="3276" spans="1:3" x14ac:dyDescent="0.35">
      <c r="A3276" s="302">
        <v>42890</v>
      </c>
      <c r="B3276" s="303">
        <v>250.4941</v>
      </c>
      <c r="C3276" s="308">
        <v>4.6789019196180801</v>
      </c>
    </row>
    <row r="3277" spans="1:3" x14ac:dyDescent="0.35">
      <c r="A3277" s="305">
        <v>42889</v>
      </c>
      <c r="B3277" s="306">
        <v>250.4563</v>
      </c>
      <c r="C3277" s="309">
        <v>4.6799473875810804</v>
      </c>
    </row>
    <row r="3278" spans="1:3" x14ac:dyDescent="0.35">
      <c r="A3278" s="302">
        <v>42888</v>
      </c>
      <c r="B3278" s="303">
        <v>250.41839999999999</v>
      </c>
      <c r="C3278" s="308">
        <v>4.6809513896378503</v>
      </c>
    </row>
    <row r="3279" spans="1:3" x14ac:dyDescent="0.35">
      <c r="A3279" s="305">
        <v>42887</v>
      </c>
      <c r="B3279" s="306">
        <v>250.38050000000001</v>
      </c>
      <c r="C3279" s="309">
        <v>4.6819557149134496</v>
      </c>
    </row>
    <row r="3280" spans="1:3" x14ac:dyDescent="0.35">
      <c r="A3280" s="302">
        <v>42886</v>
      </c>
      <c r="B3280" s="303">
        <v>250.3426</v>
      </c>
      <c r="C3280" s="308">
        <v>4.6829603635639803</v>
      </c>
    </row>
    <row r="3281" spans="1:3" x14ac:dyDescent="0.35">
      <c r="A3281" s="305">
        <v>42885</v>
      </c>
      <c r="B3281" s="306">
        <v>250.3048</v>
      </c>
      <c r="C3281" s="309">
        <v>4.6840071583584004</v>
      </c>
    </row>
    <row r="3282" spans="1:3" x14ac:dyDescent="0.35">
      <c r="A3282" s="302">
        <v>42884</v>
      </c>
      <c r="B3282" s="303">
        <v>250.26689999999999</v>
      </c>
      <c r="C3282" s="308">
        <v>4.68496867192294</v>
      </c>
    </row>
    <row r="3283" spans="1:3" x14ac:dyDescent="0.35">
      <c r="A3283" s="305">
        <v>42883</v>
      </c>
      <c r="B3283" s="306">
        <v>250.22909999999999</v>
      </c>
      <c r="C3283" s="309">
        <v>4.6860161269674503</v>
      </c>
    </row>
    <row r="3284" spans="1:3" x14ac:dyDescent="0.35">
      <c r="A3284" s="302">
        <v>42882</v>
      </c>
      <c r="B3284" s="303">
        <v>250.19120000000001</v>
      </c>
      <c r="C3284" s="308">
        <v>4.6869782727128904</v>
      </c>
    </row>
    <row r="3285" spans="1:3" x14ac:dyDescent="0.35">
      <c r="A3285" s="305">
        <v>42881</v>
      </c>
      <c r="B3285" s="306">
        <v>250.1534</v>
      </c>
      <c r="C3285" s="309">
        <v>4.6880263886406999</v>
      </c>
    </row>
    <row r="3286" spans="1:3" x14ac:dyDescent="0.35">
      <c r="A3286" s="302">
        <v>42880</v>
      </c>
      <c r="B3286" s="303">
        <v>250.1155</v>
      </c>
      <c r="C3286" s="308">
        <v>4.68898916718185</v>
      </c>
    </row>
    <row r="3287" spans="1:3" x14ac:dyDescent="0.35">
      <c r="A3287" s="305">
        <v>42879</v>
      </c>
      <c r="B3287" s="306">
        <v>250.07769999999999</v>
      </c>
      <c r="C3287" s="309">
        <v>4.6900379446269698</v>
      </c>
    </row>
    <row r="3288" spans="1:3" x14ac:dyDescent="0.35">
      <c r="A3288" s="302">
        <v>42878</v>
      </c>
      <c r="B3288" s="303">
        <v>250.03989999999999</v>
      </c>
      <c r="C3288" s="308">
        <v>4.6910432263142896</v>
      </c>
    </row>
    <row r="3289" spans="1:3" x14ac:dyDescent="0.35">
      <c r="A3289" s="305">
        <v>42877</v>
      </c>
      <c r="B3289" s="306">
        <v>250.00210000000001</v>
      </c>
      <c r="C3289" s="309">
        <v>4.6920488313115403</v>
      </c>
    </row>
    <row r="3290" spans="1:3" x14ac:dyDescent="0.35">
      <c r="A3290" s="302">
        <v>42876</v>
      </c>
      <c r="B3290" s="303">
        <v>249.96430000000001</v>
      </c>
      <c r="C3290" s="308">
        <v>4.6930547597747001</v>
      </c>
    </row>
    <row r="3291" spans="1:3" x14ac:dyDescent="0.35">
      <c r="A3291" s="305">
        <v>42875</v>
      </c>
      <c r="B3291" s="306">
        <v>249.9264</v>
      </c>
      <c r="C3291" s="309">
        <v>4.6940191219198297</v>
      </c>
    </row>
    <row r="3292" spans="1:3" x14ac:dyDescent="0.35">
      <c r="A3292" s="302">
        <v>42874</v>
      </c>
      <c r="B3292" s="303">
        <v>249.8886</v>
      </c>
      <c r="C3292" s="308">
        <v>4.6950256910438304</v>
      </c>
    </row>
    <row r="3293" spans="1:3" x14ac:dyDescent="0.35">
      <c r="A3293" s="305">
        <v>42873</v>
      </c>
      <c r="B3293" s="306">
        <v>249.85079999999999</v>
      </c>
      <c r="C3293" s="309">
        <v>4.6960325841001698</v>
      </c>
    </row>
    <row r="3294" spans="1:3" x14ac:dyDescent="0.35">
      <c r="A3294" s="302">
        <v>42872</v>
      </c>
      <c r="B3294" s="303">
        <v>249.81309999999999</v>
      </c>
      <c r="C3294" s="308">
        <v>4.6970817114099601</v>
      </c>
    </row>
    <row r="3295" spans="1:3" x14ac:dyDescent="0.35">
      <c r="A3295" s="305">
        <v>42871</v>
      </c>
      <c r="B3295" s="306">
        <v>249.77529999999999</v>
      </c>
      <c r="C3295" s="309">
        <v>4.6980892595461601</v>
      </c>
    </row>
    <row r="3296" spans="1:3" x14ac:dyDescent="0.35">
      <c r="A3296" s="302">
        <v>42870</v>
      </c>
      <c r="B3296" s="303">
        <v>249.73750000000001</v>
      </c>
      <c r="C3296" s="308">
        <v>4.6990971320863597</v>
      </c>
    </row>
    <row r="3297" spans="1:3" x14ac:dyDescent="0.35">
      <c r="A3297" s="305">
        <v>42869</v>
      </c>
      <c r="B3297" s="306">
        <v>249.69839999999999</v>
      </c>
      <c r="C3297" s="309">
        <v>4.71536696324329</v>
      </c>
    </row>
    <row r="3298" spans="1:3" x14ac:dyDescent="0.35">
      <c r="A3298" s="302">
        <v>42868</v>
      </c>
      <c r="B3298" s="303">
        <v>249.65940000000001</v>
      </c>
      <c r="C3298" s="308">
        <v>4.7316449653305801</v>
      </c>
    </row>
    <row r="3299" spans="1:3" x14ac:dyDescent="0.35">
      <c r="A3299" s="305">
        <v>42867</v>
      </c>
      <c r="B3299" s="306">
        <v>249.62039999999999</v>
      </c>
      <c r="C3299" s="309">
        <v>4.7479770731459601</v>
      </c>
    </row>
    <row r="3300" spans="1:3" x14ac:dyDescent="0.35">
      <c r="A3300" s="302">
        <v>42866</v>
      </c>
      <c r="B3300" s="303">
        <v>249.5814</v>
      </c>
      <c r="C3300" s="308">
        <v>4.76427540618071</v>
      </c>
    </row>
    <row r="3301" spans="1:3" x14ac:dyDescent="0.35">
      <c r="A3301" s="305">
        <v>42865</v>
      </c>
      <c r="B3301" s="306">
        <v>249.54239999999999</v>
      </c>
      <c r="C3301" s="309">
        <v>4.7805839086888398</v>
      </c>
    </row>
    <row r="3302" spans="1:3" x14ac:dyDescent="0.35">
      <c r="A3302" s="302">
        <v>42864</v>
      </c>
      <c r="B3302" s="303">
        <v>249.5034</v>
      </c>
      <c r="C3302" s="308">
        <v>4.7968585732112601</v>
      </c>
    </row>
    <row r="3303" spans="1:3" x14ac:dyDescent="0.35">
      <c r="A3303" s="305">
        <v>42863</v>
      </c>
      <c r="B3303" s="306">
        <v>249.46440000000001</v>
      </c>
      <c r="C3303" s="309">
        <v>4.8131874226393503</v>
      </c>
    </row>
    <row r="3304" spans="1:3" x14ac:dyDescent="0.35">
      <c r="A3304" s="302">
        <v>42862</v>
      </c>
      <c r="B3304" s="303">
        <v>249.4254</v>
      </c>
      <c r="C3304" s="308">
        <v>4.8294824119589297</v>
      </c>
    </row>
    <row r="3305" spans="1:3" x14ac:dyDescent="0.35">
      <c r="A3305" s="305">
        <v>42861</v>
      </c>
      <c r="B3305" s="306">
        <v>249.38640000000001</v>
      </c>
      <c r="C3305" s="309">
        <v>4.8457875676552904</v>
      </c>
    </row>
    <row r="3306" spans="1:3" x14ac:dyDescent="0.35">
      <c r="A3306" s="302">
        <v>42860</v>
      </c>
      <c r="B3306" s="303">
        <v>249.34739999999999</v>
      </c>
      <c r="C3306" s="308">
        <v>4.8621028992455404</v>
      </c>
    </row>
    <row r="3307" spans="1:3" x14ac:dyDescent="0.35">
      <c r="A3307" s="305">
        <v>42859</v>
      </c>
      <c r="B3307" s="306">
        <v>249.30850000000001</v>
      </c>
      <c r="C3307" s="309">
        <v>4.8784263640145902</v>
      </c>
    </row>
    <row r="3308" spans="1:3" x14ac:dyDescent="0.35">
      <c r="A3308" s="302">
        <v>42858</v>
      </c>
      <c r="B3308" s="303">
        <v>249.26949999999999</v>
      </c>
      <c r="C3308" s="308">
        <v>4.8947179278717403</v>
      </c>
    </row>
    <row r="3309" spans="1:3" x14ac:dyDescent="0.35">
      <c r="A3309" s="305">
        <v>42857</v>
      </c>
      <c r="B3309" s="306">
        <v>249.23050000000001</v>
      </c>
      <c r="C3309" s="309">
        <v>4.9110196549388601</v>
      </c>
    </row>
    <row r="3310" spans="1:3" x14ac:dyDescent="0.35">
      <c r="A3310" s="302">
        <v>42856</v>
      </c>
      <c r="B3310" s="303">
        <v>249.19159999999999</v>
      </c>
      <c r="C3310" s="308">
        <v>4.9273736618361399</v>
      </c>
    </row>
    <row r="3311" spans="1:3" x14ac:dyDescent="0.35">
      <c r="A3311" s="305">
        <v>42855</v>
      </c>
      <c r="B3311" s="306">
        <v>249.15270000000001</v>
      </c>
      <c r="C3311" s="309">
        <v>4.9437378772658098</v>
      </c>
    </row>
    <row r="3312" spans="1:3" x14ac:dyDescent="0.35">
      <c r="A3312" s="302">
        <v>42854</v>
      </c>
      <c r="B3312" s="303">
        <v>249.11369999999999</v>
      </c>
      <c r="C3312" s="308">
        <v>4.9600259541630898</v>
      </c>
    </row>
    <row r="3313" spans="1:3" x14ac:dyDescent="0.35">
      <c r="A3313" s="305">
        <v>42853</v>
      </c>
      <c r="B3313" s="306">
        <v>249.07480000000001</v>
      </c>
      <c r="C3313" s="309">
        <v>4.9763663375725704</v>
      </c>
    </row>
    <row r="3314" spans="1:3" x14ac:dyDescent="0.35">
      <c r="A3314" s="302">
        <v>42852</v>
      </c>
      <c r="B3314" s="303">
        <v>249.0359</v>
      </c>
      <c r="C3314" s="308">
        <v>4.99271691677892</v>
      </c>
    </row>
    <row r="3315" spans="1:3" x14ac:dyDescent="0.35">
      <c r="A3315" s="305">
        <v>42851</v>
      </c>
      <c r="B3315" s="306">
        <v>248.99690000000001</v>
      </c>
      <c r="C3315" s="309">
        <v>5.00899124323759</v>
      </c>
    </row>
    <row r="3316" spans="1:3" x14ac:dyDescent="0.35">
      <c r="A3316" s="302">
        <v>42850</v>
      </c>
      <c r="B3316" s="303">
        <v>248.958</v>
      </c>
      <c r="C3316" s="308">
        <v>5.0253622087902103</v>
      </c>
    </row>
    <row r="3317" spans="1:3" x14ac:dyDescent="0.35">
      <c r="A3317" s="305">
        <v>42849</v>
      </c>
      <c r="B3317" s="306">
        <v>248.91909999999999</v>
      </c>
      <c r="C3317" s="309">
        <v>5.0416990720832899</v>
      </c>
    </row>
    <row r="3318" spans="1:3" x14ac:dyDescent="0.35">
      <c r="A3318" s="302">
        <v>42848</v>
      </c>
      <c r="B3318" s="303">
        <v>248.8802</v>
      </c>
      <c r="C3318" s="308">
        <v>5.0580461279083204</v>
      </c>
    </row>
    <row r="3319" spans="1:3" x14ac:dyDescent="0.35">
      <c r="A3319" s="305">
        <v>42847</v>
      </c>
      <c r="B3319" s="306">
        <v>248.84129999999999</v>
      </c>
      <c r="C3319" s="309">
        <v>5.07440338580692</v>
      </c>
    </row>
    <row r="3320" spans="1:3" x14ac:dyDescent="0.35">
      <c r="A3320" s="302">
        <v>42846</v>
      </c>
      <c r="B3320" s="303">
        <v>248.80240000000001</v>
      </c>
      <c r="C3320" s="308">
        <v>5.0907264664302101</v>
      </c>
    </row>
    <row r="3321" spans="1:3" x14ac:dyDescent="0.35">
      <c r="A3321" s="305">
        <v>42845</v>
      </c>
      <c r="B3321" s="306">
        <v>248.76349999999999</v>
      </c>
      <c r="C3321" s="309">
        <v>5.1070597267237998</v>
      </c>
    </row>
    <row r="3322" spans="1:3" x14ac:dyDescent="0.35">
      <c r="A3322" s="302">
        <v>42844</v>
      </c>
      <c r="B3322" s="303">
        <v>248.72470000000001</v>
      </c>
      <c r="C3322" s="308">
        <v>5.1234454411935602</v>
      </c>
    </row>
    <row r="3323" spans="1:3" x14ac:dyDescent="0.35">
      <c r="A3323" s="305">
        <v>42843</v>
      </c>
      <c r="B3323" s="306">
        <v>248.6858</v>
      </c>
      <c r="C3323" s="309">
        <v>5.1397991026036198</v>
      </c>
    </row>
    <row r="3324" spans="1:3" x14ac:dyDescent="0.35">
      <c r="A3324" s="302">
        <v>42842</v>
      </c>
      <c r="B3324" s="303">
        <v>248.64689999999999</v>
      </c>
      <c r="C3324" s="308">
        <v>5.15616297230466</v>
      </c>
    </row>
    <row r="3325" spans="1:3" x14ac:dyDescent="0.35">
      <c r="A3325" s="305">
        <v>42841</v>
      </c>
      <c r="B3325" s="306">
        <v>248.60810000000001</v>
      </c>
      <c r="C3325" s="309">
        <v>5.1725348716395398</v>
      </c>
    </row>
    <row r="3326" spans="1:3" x14ac:dyDescent="0.35">
      <c r="A3326" s="302">
        <v>42840</v>
      </c>
      <c r="B3326" s="303">
        <v>248.5692</v>
      </c>
      <c r="C3326" s="308">
        <v>5.1888746654253497</v>
      </c>
    </row>
    <row r="3327" spans="1:3" x14ac:dyDescent="0.35">
      <c r="A3327" s="305">
        <v>42839</v>
      </c>
      <c r="B3327" s="306">
        <v>248.48869999999999</v>
      </c>
      <c r="C3327" s="309">
        <v>5.1979462394998404</v>
      </c>
    </row>
    <row r="3328" spans="1:3" x14ac:dyDescent="0.35">
      <c r="A3328" s="302">
        <v>42838</v>
      </c>
      <c r="B3328" s="303">
        <v>248.40809999999999</v>
      </c>
      <c r="C3328" s="308">
        <v>5.2069829069638898</v>
      </c>
    </row>
    <row r="3329" spans="1:3" x14ac:dyDescent="0.35">
      <c r="A3329" s="305">
        <v>42837</v>
      </c>
      <c r="B3329" s="306">
        <v>248.32759999999999</v>
      </c>
      <c r="C3329" s="309">
        <v>5.21606936455371</v>
      </c>
    </row>
    <row r="3330" spans="1:3" x14ac:dyDescent="0.35">
      <c r="A3330" s="302">
        <v>42836</v>
      </c>
      <c r="B3330" s="303">
        <v>248.24709999999999</v>
      </c>
      <c r="C3330" s="308">
        <v>5.2251186842997601</v>
      </c>
    </row>
    <row r="3331" spans="1:3" x14ac:dyDescent="0.35">
      <c r="A3331" s="305">
        <v>42835</v>
      </c>
      <c r="B3331" s="306">
        <v>248.16669999999999</v>
      </c>
      <c r="C3331" s="309">
        <v>5.2342178377699904</v>
      </c>
    </row>
    <row r="3332" spans="1:3" x14ac:dyDescent="0.35">
      <c r="A3332" s="302">
        <v>42834</v>
      </c>
      <c r="B3332" s="303">
        <v>248.08619999999999</v>
      </c>
      <c r="C3332" s="308">
        <v>5.2432373958804002</v>
      </c>
    </row>
    <row r="3333" spans="1:3" x14ac:dyDescent="0.35">
      <c r="A3333" s="305">
        <v>42833</v>
      </c>
      <c r="B3333" s="306">
        <v>248.00579999999999</v>
      </c>
      <c r="C3333" s="309">
        <v>5.2523067965087602</v>
      </c>
    </row>
    <row r="3334" spans="1:3" x14ac:dyDescent="0.35">
      <c r="A3334" s="302">
        <v>42832</v>
      </c>
      <c r="B3334" s="303">
        <v>247.9254</v>
      </c>
      <c r="C3334" s="308">
        <v>5.2613389534893598</v>
      </c>
    </row>
    <row r="3335" spans="1:3" x14ac:dyDescent="0.35">
      <c r="A3335" s="305">
        <v>42831</v>
      </c>
      <c r="B3335" s="306">
        <v>247.8451</v>
      </c>
      <c r="C3335" s="309">
        <v>5.2704657094375804</v>
      </c>
    </row>
    <row r="3336" spans="1:3" x14ac:dyDescent="0.35">
      <c r="A3336" s="302">
        <v>42830</v>
      </c>
      <c r="B3336" s="303">
        <v>247.76480000000001</v>
      </c>
      <c r="C3336" s="308">
        <v>5.2795104954533896</v>
      </c>
    </row>
    <row r="3337" spans="1:3" x14ac:dyDescent="0.35">
      <c r="A3337" s="305">
        <v>42829</v>
      </c>
      <c r="B3337" s="306">
        <v>247.68450000000001</v>
      </c>
      <c r="C3337" s="309">
        <v>5.28860745933786</v>
      </c>
    </row>
    <row r="3338" spans="1:3" x14ac:dyDescent="0.35">
      <c r="A3338" s="302">
        <v>42828</v>
      </c>
      <c r="B3338" s="303">
        <v>247.60419999999999</v>
      </c>
      <c r="C3338" s="308">
        <v>5.2976671178739796</v>
      </c>
    </row>
    <row r="3339" spans="1:3" x14ac:dyDescent="0.35">
      <c r="A3339" s="305">
        <v>42827</v>
      </c>
      <c r="B3339" s="306">
        <v>247.5239</v>
      </c>
      <c r="C3339" s="309">
        <v>5.3066894135515597</v>
      </c>
    </row>
    <row r="3340" spans="1:3" x14ac:dyDescent="0.35">
      <c r="A3340" s="302">
        <v>42826</v>
      </c>
      <c r="B3340" s="303">
        <v>247.44370000000001</v>
      </c>
      <c r="C3340" s="308">
        <v>5.3157616743014904</v>
      </c>
    </row>
    <row r="3341" spans="1:3" x14ac:dyDescent="0.35">
      <c r="A3341" s="305">
        <v>42825</v>
      </c>
      <c r="B3341" s="306">
        <v>247.36349999999999</v>
      </c>
      <c r="C3341" s="309">
        <v>5.3248413826755501</v>
      </c>
    </row>
    <row r="3342" spans="1:3" x14ac:dyDescent="0.35">
      <c r="A3342" s="302">
        <v>42824</v>
      </c>
      <c r="B3342" s="303">
        <v>247.2833</v>
      </c>
      <c r="C3342" s="308">
        <v>5.33392854784839</v>
      </c>
    </row>
    <row r="3343" spans="1:3" x14ac:dyDescent="0.35">
      <c r="A3343" s="305">
        <v>42823</v>
      </c>
      <c r="B3343" s="306">
        <v>247.20320000000001</v>
      </c>
      <c r="C3343" s="309">
        <v>5.3430209021370896</v>
      </c>
    </row>
    <row r="3344" spans="1:3" x14ac:dyDescent="0.35">
      <c r="A3344" s="302">
        <v>42822</v>
      </c>
      <c r="B3344" s="303">
        <v>247.12299999999999</v>
      </c>
      <c r="C3344" s="308">
        <v>5.3520331774728804</v>
      </c>
    </row>
    <row r="3345" spans="1:3" x14ac:dyDescent="0.35">
      <c r="A3345" s="305">
        <v>42821</v>
      </c>
      <c r="B3345" s="306">
        <v>247.0429</v>
      </c>
      <c r="C3345" s="309">
        <v>5.3610954968725597</v>
      </c>
    </row>
    <row r="3346" spans="1:3" x14ac:dyDescent="0.35">
      <c r="A3346" s="302">
        <v>42820</v>
      </c>
      <c r="B3346" s="303">
        <v>246.96289999999999</v>
      </c>
      <c r="C3346" s="308">
        <v>5.3702079219580101</v>
      </c>
    </row>
    <row r="3347" spans="1:3" x14ac:dyDescent="0.35">
      <c r="A3347" s="305">
        <v>42819</v>
      </c>
      <c r="B3347" s="306">
        <v>246.8828</v>
      </c>
      <c r="C3347" s="309">
        <v>5.3792851465894298</v>
      </c>
    </row>
    <row r="3348" spans="1:3" x14ac:dyDescent="0.35">
      <c r="A3348" s="302">
        <v>42818</v>
      </c>
      <c r="B3348" s="303">
        <v>246.80279999999999</v>
      </c>
      <c r="C3348" s="308">
        <v>5.3883675279406198</v>
      </c>
    </row>
    <row r="3349" spans="1:3" x14ac:dyDescent="0.35">
      <c r="A3349" s="305">
        <v>42817</v>
      </c>
      <c r="B3349" s="306">
        <v>246.72280000000001</v>
      </c>
      <c r="C3349" s="309">
        <v>5.3974123417636397</v>
      </c>
    </row>
    <row r="3350" spans="1:3" x14ac:dyDescent="0.35">
      <c r="A3350" s="302">
        <v>42816</v>
      </c>
      <c r="B3350" s="303">
        <v>246.64279999999999</v>
      </c>
      <c r="C3350" s="308">
        <v>5.4064645772229101</v>
      </c>
    </row>
    <row r="3351" spans="1:3" x14ac:dyDescent="0.35">
      <c r="A3351" s="305">
        <v>42815</v>
      </c>
      <c r="B3351" s="306">
        <v>246.56290000000001</v>
      </c>
      <c r="C3351" s="309">
        <v>5.4155669974830696</v>
      </c>
    </row>
    <row r="3352" spans="1:3" x14ac:dyDescent="0.35">
      <c r="A3352" s="302">
        <v>42814</v>
      </c>
      <c r="B3352" s="303">
        <v>246.483</v>
      </c>
      <c r="C3352" s="308">
        <v>5.4246768927814797</v>
      </c>
    </row>
    <row r="3353" spans="1:3" x14ac:dyDescent="0.35">
      <c r="A3353" s="305">
        <v>42813</v>
      </c>
      <c r="B3353" s="306">
        <v>246.40309999999999</v>
      </c>
      <c r="C3353" s="309">
        <v>5.4337491581238204</v>
      </c>
    </row>
    <row r="3354" spans="1:3" x14ac:dyDescent="0.35">
      <c r="A3354" s="302">
        <v>42812</v>
      </c>
      <c r="B3354" s="303">
        <v>246.32320000000001</v>
      </c>
      <c r="C3354" s="308">
        <v>5.4427837355163602</v>
      </c>
    </row>
    <row r="3355" spans="1:3" x14ac:dyDescent="0.35">
      <c r="A3355" s="305">
        <v>42811</v>
      </c>
      <c r="B3355" s="306">
        <v>246.24340000000001</v>
      </c>
      <c r="C3355" s="309">
        <v>5.4519137091162104</v>
      </c>
    </row>
    <row r="3356" spans="1:3" x14ac:dyDescent="0.35">
      <c r="A3356" s="302">
        <v>42810</v>
      </c>
      <c r="B3356" s="303">
        <v>246.1636</v>
      </c>
      <c r="C3356" s="308">
        <v>5.4610060034264896</v>
      </c>
    </row>
    <row r="3357" spans="1:3" x14ac:dyDescent="0.35">
      <c r="A3357" s="305">
        <v>42809</v>
      </c>
      <c r="B3357" s="306">
        <v>246.0838</v>
      </c>
      <c r="C3357" s="309">
        <v>5.4700605603439003</v>
      </c>
    </row>
    <row r="3358" spans="1:3" x14ac:dyDescent="0.35">
      <c r="A3358" s="302">
        <v>42808</v>
      </c>
      <c r="B3358" s="303">
        <v>245.99459999999999</v>
      </c>
      <c r="C3358" s="308">
        <v>5.4784388333828602</v>
      </c>
    </row>
    <row r="3359" spans="1:3" x14ac:dyDescent="0.35">
      <c r="A3359" s="305">
        <v>42807</v>
      </c>
      <c r="B3359" s="306">
        <v>245.90549999999999</v>
      </c>
      <c r="C3359" s="309">
        <v>5.48682216366264</v>
      </c>
    </row>
    <row r="3360" spans="1:3" x14ac:dyDescent="0.35">
      <c r="A3360" s="302">
        <v>42806</v>
      </c>
      <c r="B3360" s="303">
        <v>245.81639999999999</v>
      </c>
      <c r="C3360" s="308">
        <v>5.4952581800578297</v>
      </c>
    </row>
    <row r="3361" spans="1:3" x14ac:dyDescent="0.35">
      <c r="A3361" s="305">
        <v>42805</v>
      </c>
      <c r="B3361" s="306">
        <v>245.72730000000001</v>
      </c>
      <c r="C3361" s="309">
        <v>5.5036110685336599</v>
      </c>
    </row>
    <row r="3362" spans="1:3" x14ac:dyDescent="0.35">
      <c r="A3362" s="302">
        <v>42804</v>
      </c>
      <c r="B3362" s="303">
        <v>245.63829999999999</v>
      </c>
      <c r="C3362" s="308">
        <v>5.5120142951642102</v>
      </c>
    </row>
    <row r="3363" spans="1:3" x14ac:dyDescent="0.35">
      <c r="A3363" s="305">
        <v>42803</v>
      </c>
      <c r="B3363" s="306">
        <v>245.54920000000001</v>
      </c>
      <c r="C3363" s="309">
        <v>5.5203819803002201</v>
      </c>
    </row>
    <row r="3364" spans="1:3" x14ac:dyDescent="0.35">
      <c r="A3364" s="302">
        <v>42802</v>
      </c>
      <c r="B3364" s="303">
        <v>245.46029999999999</v>
      </c>
      <c r="C3364" s="308">
        <v>5.5287976842678201</v>
      </c>
    </row>
    <row r="3365" spans="1:3" x14ac:dyDescent="0.35">
      <c r="A3365" s="305">
        <v>42801</v>
      </c>
      <c r="B3365" s="306">
        <v>245.37129999999999</v>
      </c>
      <c r="C3365" s="309">
        <v>5.5371778191163301</v>
      </c>
    </row>
    <row r="3366" spans="1:3" x14ac:dyDescent="0.35">
      <c r="A3366" s="302">
        <v>42800</v>
      </c>
      <c r="B3366" s="303">
        <v>245.2824</v>
      </c>
      <c r="C3366" s="308">
        <v>5.5456083981261202</v>
      </c>
    </row>
    <row r="3367" spans="1:3" x14ac:dyDescent="0.35">
      <c r="A3367" s="305">
        <v>42799</v>
      </c>
      <c r="B3367" s="306">
        <v>245.1935</v>
      </c>
      <c r="C3367" s="309">
        <v>5.5540009987429597</v>
      </c>
    </row>
    <row r="3368" spans="1:3" x14ac:dyDescent="0.35">
      <c r="A3368" s="302">
        <v>42798</v>
      </c>
      <c r="B3368" s="303">
        <v>245.10470000000001</v>
      </c>
      <c r="C3368" s="308">
        <v>5.5623986280166102</v>
      </c>
    </row>
    <row r="3369" spans="1:3" x14ac:dyDescent="0.35">
      <c r="A3369" s="305">
        <v>42797</v>
      </c>
      <c r="B3369" s="306">
        <v>245.01580000000001</v>
      </c>
      <c r="C3369" s="309">
        <v>5.5707605947429997</v>
      </c>
    </row>
    <row r="3370" spans="1:3" x14ac:dyDescent="0.35">
      <c r="A3370" s="302">
        <v>42796</v>
      </c>
      <c r="B3370" s="303">
        <v>244.9271</v>
      </c>
      <c r="C3370" s="308">
        <v>5.5792161707564603</v>
      </c>
    </row>
    <row r="3371" spans="1:3" x14ac:dyDescent="0.35">
      <c r="A3371" s="305">
        <v>42795</v>
      </c>
      <c r="B3371" s="306">
        <v>244.8383</v>
      </c>
      <c r="C3371" s="309">
        <v>5.5875905688116001</v>
      </c>
    </row>
    <row r="3372" spans="1:3" x14ac:dyDescent="0.35">
      <c r="A3372" s="302">
        <v>42794</v>
      </c>
      <c r="B3372" s="303">
        <v>244.74959999999999</v>
      </c>
      <c r="C3372" s="308">
        <v>5.6426884349231301</v>
      </c>
    </row>
    <row r="3373" spans="1:3" x14ac:dyDescent="0.35">
      <c r="A3373" s="305">
        <v>42793</v>
      </c>
      <c r="B3373" s="306">
        <v>244.6609</v>
      </c>
      <c r="C3373" s="309">
        <v>5.6510539804684896</v>
      </c>
    </row>
    <row r="3374" spans="1:3" x14ac:dyDescent="0.35">
      <c r="A3374" s="302">
        <v>42792</v>
      </c>
      <c r="B3374" s="303">
        <v>244.57220000000001</v>
      </c>
      <c r="C3374" s="308">
        <v>5.6594725671042001</v>
      </c>
    </row>
    <row r="3375" spans="1:3" x14ac:dyDescent="0.35">
      <c r="A3375" s="305">
        <v>42791</v>
      </c>
      <c r="B3375" s="306">
        <v>244.4836</v>
      </c>
      <c r="C3375" s="309">
        <v>5.6678504853051299</v>
      </c>
    </row>
    <row r="3376" spans="1:3" x14ac:dyDescent="0.35">
      <c r="A3376" s="302">
        <v>42790</v>
      </c>
      <c r="B3376" s="303">
        <v>244.39500000000001</v>
      </c>
      <c r="C3376" s="308">
        <v>5.6762815024672699</v>
      </c>
    </row>
    <row r="3377" spans="1:3" x14ac:dyDescent="0.35">
      <c r="A3377" s="305">
        <v>42789</v>
      </c>
      <c r="B3377" s="306">
        <v>244.3064</v>
      </c>
      <c r="C3377" s="309">
        <v>5.6846742635359799</v>
      </c>
    </row>
    <row r="3378" spans="1:3" x14ac:dyDescent="0.35">
      <c r="A3378" s="302">
        <v>42788</v>
      </c>
      <c r="B3378" s="303">
        <v>244.21789999999999</v>
      </c>
      <c r="C3378" s="308">
        <v>5.6930719850361404</v>
      </c>
    </row>
    <row r="3379" spans="1:3" x14ac:dyDescent="0.35">
      <c r="A3379" s="305">
        <v>42787</v>
      </c>
      <c r="B3379" s="306">
        <v>244.1294</v>
      </c>
      <c r="C3379" s="309">
        <v>5.7014771312237702</v>
      </c>
    </row>
    <row r="3380" spans="1:3" x14ac:dyDescent="0.35">
      <c r="A3380" s="302">
        <v>42786</v>
      </c>
      <c r="B3380" s="303">
        <v>244.041</v>
      </c>
      <c r="C3380" s="308">
        <v>5.7099330284142997</v>
      </c>
    </row>
    <row r="3381" spans="1:3" x14ac:dyDescent="0.35">
      <c r="A3381" s="305">
        <v>42785</v>
      </c>
      <c r="B3381" s="306">
        <v>243.95249999999999</v>
      </c>
      <c r="C3381" s="309">
        <v>5.7183072590182498</v>
      </c>
    </row>
    <row r="3382" spans="1:3" x14ac:dyDescent="0.35">
      <c r="A3382" s="302">
        <v>42784</v>
      </c>
      <c r="B3382" s="303">
        <v>243.86410000000001</v>
      </c>
      <c r="C3382" s="308">
        <v>5.7267322508802101</v>
      </c>
    </row>
    <row r="3383" spans="1:3" x14ac:dyDescent="0.35">
      <c r="A3383" s="305">
        <v>42783</v>
      </c>
      <c r="B3383" s="306">
        <v>243.7757</v>
      </c>
      <c r="C3383" s="309">
        <v>5.7351188359129299</v>
      </c>
    </row>
    <row r="3384" spans="1:3" x14ac:dyDescent="0.35">
      <c r="A3384" s="302">
        <v>42782</v>
      </c>
      <c r="B3384" s="303">
        <v>243.6874</v>
      </c>
      <c r="C3384" s="308">
        <v>5.7435562307524402</v>
      </c>
    </row>
    <row r="3385" spans="1:3" x14ac:dyDescent="0.35">
      <c r="A3385" s="305">
        <v>42781</v>
      </c>
      <c r="B3385" s="306">
        <v>243.59909999999999</v>
      </c>
      <c r="C3385" s="309">
        <v>5.7519551811486496</v>
      </c>
    </row>
    <row r="3386" spans="1:3" x14ac:dyDescent="0.35">
      <c r="A3386" s="302">
        <v>42780</v>
      </c>
      <c r="B3386" s="303">
        <v>243.56620000000001</v>
      </c>
      <c r="C3386" s="308">
        <v>5.7587922024632698</v>
      </c>
    </row>
    <row r="3387" spans="1:3" x14ac:dyDescent="0.35">
      <c r="A3387" s="305">
        <v>42779</v>
      </c>
      <c r="B3387" s="306">
        <v>243.5333</v>
      </c>
      <c r="C3387" s="309">
        <v>5.7655860219163202</v>
      </c>
    </row>
    <row r="3388" spans="1:3" x14ac:dyDescent="0.35">
      <c r="A3388" s="302">
        <v>42778</v>
      </c>
      <c r="B3388" s="303">
        <v>243.50040000000001</v>
      </c>
      <c r="C3388" s="308">
        <v>5.7723825504959096</v>
      </c>
    </row>
    <row r="3389" spans="1:3" x14ac:dyDescent="0.35">
      <c r="A3389" s="305">
        <v>42777</v>
      </c>
      <c r="B3389" s="306">
        <v>243.4674</v>
      </c>
      <c r="C3389" s="309">
        <v>5.7791383428815202</v>
      </c>
    </row>
    <row r="3390" spans="1:3" x14ac:dyDescent="0.35">
      <c r="A3390" s="302">
        <v>42776</v>
      </c>
      <c r="B3390" s="303">
        <v>243.43450000000001</v>
      </c>
      <c r="C3390" s="308">
        <v>5.7859402859118196</v>
      </c>
    </row>
    <row r="3391" spans="1:3" x14ac:dyDescent="0.35">
      <c r="A3391" s="305">
        <v>42775</v>
      </c>
      <c r="B3391" s="306">
        <v>243.4016</v>
      </c>
      <c r="C3391" s="309">
        <v>5.7926989608999904</v>
      </c>
    </row>
    <row r="3392" spans="1:3" x14ac:dyDescent="0.35">
      <c r="A3392" s="302">
        <v>42774</v>
      </c>
      <c r="B3392" s="303">
        <v>243.36869999999999</v>
      </c>
      <c r="C3392" s="308">
        <v>5.7995063213988498</v>
      </c>
    </row>
    <row r="3393" spans="1:3" x14ac:dyDescent="0.35">
      <c r="A3393" s="305">
        <v>42773</v>
      </c>
      <c r="B3393" s="306">
        <v>243.33580000000001</v>
      </c>
      <c r="C3393" s="309">
        <v>5.8063163991315898</v>
      </c>
    </row>
    <row r="3394" spans="1:3" x14ac:dyDescent="0.35">
      <c r="A3394" s="302">
        <v>42772</v>
      </c>
      <c r="B3394" s="303">
        <v>243.30289999999999</v>
      </c>
      <c r="C3394" s="308">
        <v>5.8130831773120004</v>
      </c>
    </row>
    <row r="3395" spans="1:3" x14ac:dyDescent="0.35">
      <c r="A3395" s="305">
        <v>42771</v>
      </c>
      <c r="B3395" s="306">
        <v>243.27</v>
      </c>
      <c r="C3395" s="309">
        <v>5.8198986822427701</v>
      </c>
    </row>
    <row r="3396" spans="1:3" x14ac:dyDescent="0.35">
      <c r="A3396" s="302">
        <v>42770</v>
      </c>
      <c r="B3396" s="303">
        <v>243.2371</v>
      </c>
      <c r="C3396" s="308">
        <v>5.8266708666021598</v>
      </c>
    </row>
    <row r="3397" spans="1:3" x14ac:dyDescent="0.35">
      <c r="A3397" s="305">
        <v>42769</v>
      </c>
      <c r="B3397" s="306">
        <v>243.20419999999999</v>
      </c>
      <c r="C3397" s="309">
        <v>5.8334457504166704</v>
      </c>
    </row>
    <row r="3398" spans="1:3" x14ac:dyDescent="0.35">
      <c r="A3398" s="302">
        <v>42768</v>
      </c>
      <c r="B3398" s="303">
        <v>243.17140000000001</v>
      </c>
      <c r="C3398" s="308">
        <v>5.84026686026571</v>
      </c>
    </row>
    <row r="3399" spans="1:3" x14ac:dyDescent="0.35">
      <c r="A3399" s="305">
        <v>42767</v>
      </c>
      <c r="B3399" s="306">
        <v>243.13849999999999</v>
      </c>
      <c r="C3399" s="309">
        <v>5.8470471565130202</v>
      </c>
    </row>
    <row r="3400" spans="1:3" x14ac:dyDescent="0.35">
      <c r="A3400" s="302">
        <v>42766</v>
      </c>
      <c r="B3400" s="303">
        <v>243.10560000000001</v>
      </c>
      <c r="C3400" s="308">
        <v>5.85383015706587</v>
      </c>
    </row>
    <row r="3401" spans="1:3" x14ac:dyDescent="0.35">
      <c r="A3401" s="305">
        <v>42765</v>
      </c>
      <c r="B3401" s="306">
        <v>243.0728</v>
      </c>
      <c r="C3401" s="309">
        <v>5.8606594145524804</v>
      </c>
    </row>
    <row r="3402" spans="1:3" x14ac:dyDescent="0.35">
      <c r="A3402" s="302">
        <v>42764</v>
      </c>
      <c r="B3402" s="303">
        <v>243.03989999999999</v>
      </c>
      <c r="C3402" s="308">
        <v>5.8674478372609702</v>
      </c>
    </row>
    <row r="3403" spans="1:3" x14ac:dyDescent="0.35">
      <c r="A3403" s="305">
        <v>42763</v>
      </c>
      <c r="B3403" s="306">
        <v>243.00700000000001</v>
      </c>
      <c r="C3403" s="309">
        <v>5.8741928414551303</v>
      </c>
    </row>
    <row r="3404" spans="1:3" x14ac:dyDescent="0.35">
      <c r="A3404" s="302">
        <v>42762</v>
      </c>
      <c r="B3404" s="303">
        <v>242.9742</v>
      </c>
      <c r="C3404" s="308">
        <v>5.8810302490211503</v>
      </c>
    </row>
    <row r="3405" spans="1:3" x14ac:dyDescent="0.35">
      <c r="A3405" s="305">
        <v>42761</v>
      </c>
      <c r="B3405" s="306">
        <v>242.94130000000001</v>
      </c>
      <c r="C3405" s="309">
        <v>5.8878268006260699</v>
      </c>
    </row>
    <row r="3406" spans="1:3" x14ac:dyDescent="0.35">
      <c r="A3406" s="302">
        <v>42760</v>
      </c>
      <c r="B3406" s="303">
        <v>242.9085</v>
      </c>
      <c r="C3406" s="308">
        <v>5.8946234965364201</v>
      </c>
    </row>
    <row r="3407" spans="1:3" x14ac:dyDescent="0.35">
      <c r="A3407" s="305">
        <v>42759</v>
      </c>
      <c r="B3407" s="306">
        <v>242.87569999999999</v>
      </c>
      <c r="C3407" s="309">
        <v>5.90142290115213</v>
      </c>
    </row>
    <row r="3408" spans="1:3" x14ac:dyDescent="0.35">
      <c r="A3408" s="302">
        <v>42758</v>
      </c>
      <c r="B3408" s="303">
        <v>242.84280000000001</v>
      </c>
      <c r="C3408" s="308">
        <v>5.9082275927787498</v>
      </c>
    </row>
    <row r="3409" spans="1:3" x14ac:dyDescent="0.35">
      <c r="A3409" s="305">
        <v>42757</v>
      </c>
      <c r="B3409" s="306">
        <v>242.81</v>
      </c>
      <c r="C3409" s="309">
        <v>5.9150324231471503</v>
      </c>
    </row>
    <row r="3410" spans="1:3" x14ac:dyDescent="0.35">
      <c r="A3410" s="302">
        <v>42756</v>
      </c>
      <c r="B3410" s="303">
        <v>242.77719999999999</v>
      </c>
      <c r="C3410" s="308">
        <v>5.9218399670861004</v>
      </c>
    </row>
    <row r="3411" spans="1:3" x14ac:dyDescent="0.35">
      <c r="A3411" s="305">
        <v>42755</v>
      </c>
      <c r="B3411" s="306">
        <v>242.74430000000001</v>
      </c>
      <c r="C3411" s="309">
        <v>5.9286065882812897</v>
      </c>
    </row>
    <row r="3412" spans="1:3" x14ac:dyDescent="0.35">
      <c r="A3412" s="302">
        <v>42754</v>
      </c>
      <c r="B3412" s="303">
        <v>242.7115</v>
      </c>
      <c r="C3412" s="308">
        <v>5.9353733182956203</v>
      </c>
    </row>
    <row r="3413" spans="1:3" x14ac:dyDescent="0.35">
      <c r="A3413" s="305">
        <v>42753</v>
      </c>
      <c r="B3413" s="306">
        <v>242.67869999999999</v>
      </c>
      <c r="C3413" s="309">
        <v>5.9421889917844997</v>
      </c>
    </row>
    <row r="3414" spans="1:3" x14ac:dyDescent="0.35">
      <c r="A3414" s="302">
        <v>42752</v>
      </c>
      <c r="B3414" s="303">
        <v>242.64590000000001</v>
      </c>
      <c r="C3414" s="308">
        <v>5.9490073853360403</v>
      </c>
    </row>
    <row r="3415" spans="1:3" x14ac:dyDescent="0.35">
      <c r="A3415" s="305">
        <v>42751</v>
      </c>
      <c r="B3415" s="306">
        <v>242.6131</v>
      </c>
      <c r="C3415" s="309">
        <v>5.95582850057888</v>
      </c>
    </row>
    <row r="3416" spans="1:3" x14ac:dyDescent="0.35">
      <c r="A3416" s="302">
        <v>42750</v>
      </c>
      <c r="B3416" s="303">
        <v>242.58029999999999</v>
      </c>
      <c r="C3416" s="308">
        <v>5.9626060531140297</v>
      </c>
    </row>
    <row r="3417" spans="1:3" x14ac:dyDescent="0.35">
      <c r="A3417" s="305">
        <v>42749</v>
      </c>
      <c r="B3417" s="306">
        <v>242.57169999999999</v>
      </c>
      <c r="C3417" s="309">
        <v>5.9793110890622803</v>
      </c>
    </row>
    <row r="3418" spans="1:3" x14ac:dyDescent="0.35">
      <c r="A3418" s="302">
        <v>42748</v>
      </c>
      <c r="B3418" s="303">
        <v>242.56309999999999</v>
      </c>
      <c r="C3418" s="308">
        <v>5.9959762595819504</v>
      </c>
    </row>
    <row r="3419" spans="1:3" x14ac:dyDescent="0.35">
      <c r="A3419" s="305">
        <v>42747</v>
      </c>
      <c r="B3419" s="306">
        <v>242.55449999999999</v>
      </c>
      <c r="C3419" s="309">
        <v>6.0126941890998902</v>
      </c>
    </row>
    <row r="3420" spans="1:3" x14ac:dyDescent="0.35">
      <c r="A3420" s="302">
        <v>42746</v>
      </c>
      <c r="B3420" s="303">
        <v>242.54589999999999</v>
      </c>
      <c r="C3420" s="308">
        <v>6.0294185791336901</v>
      </c>
    </row>
    <row r="3421" spans="1:3" x14ac:dyDescent="0.35">
      <c r="A3421" s="305">
        <v>42745</v>
      </c>
      <c r="B3421" s="306">
        <v>242.53729999999999</v>
      </c>
      <c r="C3421" s="309">
        <v>6.0461030662067499</v>
      </c>
    </row>
    <row r="3422" spans="1:3" x14ac:dyDescent="0.35">
      <c r="A3422" s="302">
        <v>42744</v>
      </c>
      <c r="B3422" s="303">
        <v>242.52869999999999</v>
      </c>
      <c r="C3422" s="308">
        <v>6.06279398876611</v>
      </c>
    </row>
    <row r="3423" spans="1:3" x14ac:dyDescent="0.35">
      <c r="A3423" s="305">
        <v>42743</v>
      </c>
      <c r="B3423" s="306">
        <v>242.52010000000001</v>
      </c>
      <c r="C3423" s="309">
        <v>6.0794913505358901</v>
      </c>
    </row>
    <row r="3424" spans="1:3" x14ac:dyDescent="0.35">
      <c r="A3424" s="302">
        <v>42742</v>
      </c>
      <c r="B3424" s="303">
        <v>242.51150000000001</v>
      </c>
      <c r="C3424" s="308">
        <v>6.0962415712173899</v>
      </c>
    </row>
    <row r="3425" spans="1:3" x14ac:dyDescent="0.35">
      <c r="A3425" s="305">
        <v>42741</v>
      </c>
      <c r="B3425" s="306">
        <v>242.50290000000001</v>
      </c>
      <c r="C3425" s="309">
        <v>6.11295183886077</v>
      </c>
    </row>
    <row r="3426" spans="1:3" x14ac:dyDescent="0.35">
      <c r="A3426" s="302">
        <v>42740</v>
      </c>
      <c r="B3426" s="303">
        <v>242.49430000000001</v>
      </c>
      <c r="C3426" s="308">
        <v>6.1296685569133196</v>
      </c>
    </row>
    <row r="3427" spans="1:3" x14ac:dyDescent="0.35">
      <c r="A3427" s="305">
        <v>42739</v>
      </c>
      <c r="B3427" s="306">
        <v>242.48570000000001</v>
      </c>
      <c r="C3427" s="309">
        <v>6.1463452643024796</v>
      </c>
    </row>
    <row r="3428" spans="1:3" x14ac:dyDescent="0.35">
      <c r="A3428" s="302">
        <v>42738</v>
      </c>
      <c r="B3428" s="303">
        <v>242.47710000000001</v>
      </c>
      <c r="C3428" s="308">
        <v>6.1630748780870102</v>
      </c>
    </row>
    <row r="3429" spans="1:3" x14ac:dyDescent="0.35">
      <c r="A3429" s="305">
        <v>42737</v>
      </c>
      <c r="B3429" s="306">
        <v>242.46850000000001</v>
      </c>
      <c r="C3429" s="309">
        <v>6.1798109534872001</v>
      </c>
    </row>
    <row r="3430" spans="1:3" x14ac:dyDescent="0.35">
      <c r="A3430" s="302">
        <v>42736</v>
      </c>
      <c r="B3430" s="303">
        <v>242.4599</v>
      </c>
      <c r="C3430" s="308">
        <v>6.1965534942473601</v>
      </c>
    </row>
    <row r="3431" spans="1:3" x14ac:dyDescent="0.35">
      <c r="A3431" s="305">
        <v>42735</v>
      </c>
      <c r="B3431" s="306">
        <v>242.4513</v>
      </c>
      <c r="C3431" s="309">
        <v>6.2132559741076703</v>
      </c>
    </row>
    <row r="3432" spans="1:3" x14ac:dyDescent="0.35">
      <c r="A3432" s="302">
        <v>42734</v>
      </c>
      <c r="B3432" s="303">
        <v>242.4427</v>
      </c>
      <c r="C3432" s="308">
        <v>6.2299648942006201</v>
      </c>
    </row>
    <row r="3433" spans="1:3" x14ac:dyDescent="0.35">
      <c r="A3433" s="305">
        <v>42733</v>
      </c>
      <c r="B3433" s="306">
        <v>242.4341</v>
      </c>
      <c r="C3433" s="309">
        <v>6.2467268208517597</v>
      </c>
    </row>
    <row r="3434" spans="1:3" x14ac:dyDescent="0.35">
      <c r="A3434" s="302">
        <v>42732</v>
      </c>
      <c r="B3434" s="303">
        <v>242.4255</v>
      </c>
      <c r="C3434" s="308">
        <v>6.2634486488998</v>
      </c>
    </row>
    <row r="3435" spans="1:3" x14ac:dyDescent="0.35">
      <c r="A3435" s="305">
        <v>42731</v>
      </c>
      <c r="B3435" s="306">
        <v>242.4169</v>
      </c>
      <c r="C3435" s="309">
        <v>6.2801769283750497</v>
      </c>
    </row>
    <row r="3436" spans="1:3" x14ac:dyDescent="0.35">
      <c r="A3436" s="302">
        <v>42730</v>
      </c>
      <c r="B3436" s="303">
        <v>242.4083</v>
      </c>
      <c r="C3436" s="308">
        <v>6.2969116630117403</v>
      </c>
    </row>
    <row r="3437" spans="1:3" x14ac:dyDescent="0.35">
      <c r="A3437" s="305">
        <v>42729</v>
      </c>
      <c r="B3437" s="306">
        <v>242.3998</v>
      </c>
      <c r="C3437" s="309">
        <v>6.3136967153689598</v>
      </c>
    </row>
    <row r="3438" spans="1:3" x14ac:dyDescent="0.35">
      <c r="A3438" s="302">
        <v>42728</v>
      </c>
      <c r="B3438" s="303">
        <v>242.3912</v>
      </c>
      <c r="C3438" s="308">
        <v>6.3304443800082701</v>
      </c>
    </row>
    <row r="3439" spans="1:3" x14ac:dyDescent="0.35">
      <c r="A3439" s="305">
        <v>42727</v>
      </c>
      <c r="B3439" s="306">
        <v>242.3826</v>
      </c>
      <c r="C3439" s="309">
        <v>6.3471985110323397</v>
      </c>
    </row>
    <row r="3440" spans="1:3" x14ac:dyDescent="0.35">
      <c r="A3440" s="302">
        <v>42726</v>
      </c>
      <c r="B3440" s="303">
        <v>242.374</v>
      </c>
      <c r="C3440" s="308">
        <v>6.3639591121869596</v>
      </c>
    </row>
    <row r="3441" spans="1:3" x14ac:dyDescent="0.35">
      <c r="A3441" s="305">
        <v>42725</v>
      </c>
      <c r="B3441" s="306">
        <v>242.36539999999999</v>
      </c>
      <c r="C3441" s="309">
        <v>6.3807261872208096</v>
      </c>
    </row>
    <row r="3442" spans="1:3" x14ac:dyDescent="0.35">
      <c r="A3442" s="302">
        <v>42724</v>
      </c>
      <c r="B3442" s="303">
        <v>242.35679999999999</v>
      </c>
      <c r="C3442" s="308">
        <v>6.3974530301460497</v>
      </c>
    </row>
    <row r="3443" spans="1:3" x14ac:dyDescent="0.35">
      <c r="A3443" s="305">
        <v>42723</v>
      </c>
      <c r="B3443" s="306">
        <v>242.34819999999999</v>
      </c>
      <c r="C3443" s="309">
        <v>6.4142330478035499</v>
      </c>
    </row>
    <row r="3444" spans="1:3" x14ac:dyDescent="0.35">
      <c r="A3444" s="302">
        <v>42722</v>
      </c>
      <c r="B3444" s="303">
        <v>242.33959999999999</v>
      </c>
      <c r="C3444" s="308">
        <v>6.4309728081020099</v>
      </c>
    </row>
    <row r="3445" spans="1:3" x14ac:dyDescent="0.35">
      <c r="A3445" s="305">
        <v>42721</v>
      </c>
      <c r="B3445" s="306">
        <v>242.33099999999999</v>
      </c>
      <c r="C3445" s="309">
        <v>6.4477657833759796</v>
      </c>
    </row>
    <row r="3446" spans="1:3" x14ac:dyDescent="0.35">
      <c r="A3446" s="302">
        <v>42720</v>
      </c>
      <c r="B3446" s="303">
        <v>242.32239999999999</v>
      </c>
      <c r="C3446" s="308">
        <v>6.4645184760154102</v>
      </c>
    </row>
    <row r="3447" spans="1:3" x14ac:dyDescent="0.35">
      <c r="A3447" s="305">
        <v>42719</v>
      </c>
      <c r="B3447" s="306">
        <v>242.31379999999999</v>
      </c>
      <c r="C3447" s="309">
        <v>6.4812776322514001</v>
      </c>
    </row>
    <row r="3448" spans="1:3" x14ac:dyDescent="0.35">
      <c r="A3448" s="302">
        <v>42718</v>
      </c>
      <c r="B3448" s="303">
        <v>242.31870000000001</v>
      </c>
      <c r="C3448" s="308">
        <v>6.5074876941260102</v>
      </c>
    </row>
    <row r="3449" spans="1:3" x14ac:dyDescent="0.35">
      <c r="A3449" s="305">
        <v>42717</v>
      </c>
      <c r="B3449" s="306">
        <v>242.3235</v>
      </c>
      <c r="C3449" s="309">
        <v>6.5336656380695004</v>
      </c>
    </row>
    <row r="3450" spans="1:3" x14ac:dyDescent="0.35">
      <c r="A3450" s="302">
        <v>42716</v>
      </c>
      <c r="B3450" s="303">
        <v>242.32839999999999</v>
      </c>
      <c r="C3450" s="308">
        <v>6.5598993889903898</v>
      </c>
    </row>
    <row r="3451" spans="1:3" x14ac:dyDescent="0.35">
      <c r="A3451" s="305">
        <v>42715</v>
      </c>
      <c r="B3451" s="306">
        <v>242.33320000000001</v>
      </c>
      <c r="C3451" s="309">
        <v>6.5860541381215301</v>
      </c>
    </row>
    <row r="3452" spans="1:3" x14ac:dyDescent="0.35">
      <c r="A3452" s="302">
        <v>42714</v>
      </c>
      <c r="B3452" s="303">
        <v>242.3381</v>
      </c>
      <c r="C3452" s="308">
        <v>6.6123115880757304</v>
      </c>
    </row>
    <row r="3453" spans="1:3" x14ac:dyDescent="0.35">
      <c r="A3453" s="305">
        <v>42713</v>
      </c>
      <c r="B3453" s="306">
        <v>242.34289999999999</v>
      </c>
      <c r="C3453" s="309">
        <v>6.6384899881851602</v>
      </c>
    </row>
    <row r="3454" spans="1:3" x14ac:dyDescent="0.35">
      <c r="A3454" s="302">
        <v>42712</v>
      </c>
      <c r="B3454" s="303">
        <v>242.34780000000001</v>
      </c>
      <c r="C3454" s="308">
        <v>6.66477116930914</v>
      </c>
    </row>
    <row r="3455" spans="1:3" x14ac:dyDescent="0.35">
      <c r="A3455" s="305">
        <v>42711</v>
      </c>
      <c r="B3455" s="306">
        <v>242.3526</v>
      </c>
      <c r="C3455" s="309">
        <v>6.6909732524835599</v>
      </c>
    </row>
    <row r="3456" spans="1:3" x14ac:dyDescent="0.35">
      <c r="A3456" s="302">
        <v>42710</v>
      </c>
      <c r="B3456" s="303">
        <v>242.35749999999999</v>
      </c>
      <c r="C3456" s="308">
        <v>6.7172312061734196</v>
      </c>
    </row>
    <row r="3457" spans="1:3" x14ac:dyDescent="0.35">
      <c r="A3457" s="305">
        <v>42709</v>
      </c>
      <c r="B3457" s="306">
        <v>242.3623</v>
      </c>
      <c r="C3457" s="309">
        <v>6.7434569823898798</v>
      </c>
    </row>
    <row r="3458" spans="1:3" x14ac:dyDescent="0.35">
      <c r="A3458" s="302">
        <v>42708</v>
      </c>
      <c r="B3458" s="303">
        <v>242.3672</v>
      </c>
      <c r="C3458" s="308">
        <v>6.7697386650831097</v>
      </c>
    </row>
    <row r="3459" spans="1:3" x14ac:dyDescent="0.35">
      <c r="A3459" s="305">
        <v>42707</v>
      </c>
      <c r="B3459" s="306">
        <v>242.37200000000001</v>
      </c>
      <c r="C3459" s="309">
        <v>6.79598816648351</v>
      </c>
    </row>
    <row r="3460" spans="1:3" x14ac:dyDescent="0.35">
      <c r="A3460" s="302">
        <v>42706</v>
      </c>
      <c r="B3460" s="303">
        <v>242.37690000000001</v>
      </c>
      <c r="C3460" s="308">
        <v>6.8222465308108404</v>
      </c>
    </row>
    <row r="3461" spans="1:3" x14ac:dyDescent="0.35">
      <c r="A3461" s="305">
        <v>42705</v>
      </c>
      <c r="B3461" s="306">
        <v>242.3817</v>
      </c>
      <c r="C3461" s="309">
        <v>6.8485197673665104</v>
      </c>
    </row>
    <row r="3462" spans="1:3" x14ac:dyDescent="0.35">
      <c r="A3462" s="302">
        <v>42704</v>
      </c>
      <c r="B3462" s="303">
        <v>242.38659999999999</v>
      </c>
      <c r="C3462" s="308">
        <v>6.8748018584192101</v>
      </c>
    </row>
    <row r="3463" spans="1:3" x14ac:dyDescent="0.35">
      <c r="A3463" s="305">
        <v>42703</v>
      </c>
      <c r="B3463" s="306">
        <v>242.3914</v>
      </c>
      <c r="C3463" s="309">
        <v>6.9010517161006</v>
      </c>
    </row>
    <row r="3464" spans="1:3" x14ac:dyDescent="0.35">
      <c r="A3464" s="302">
        <v>42702</v>
      </c>
      <c r="B3464" s="303">
        <v>242.39619999999999</v>
      </c>
      <c r="C3464" s="308">
        <v>6.9273605996495702</v>
      </c>
    </row>
    <row r="3465" spans="1:3" x14ac:dyDescent="0.35">
      <c r="A3465" s="305">
        <v>42701</v>
      </c>
      <c r="B3465" s="306">
        <v>242.40110000000001</v>
      </c>
      <c r="C3465" s="309">
        <v>6.95367832503534</v>
      </c>
    </row>
    <row r="3466" spans="1:3" x14ac:dyDescent="0.35">
      <c r="A3466" s="302">
        <v>42700</v>
      </c>
      <c r="B3466" s="303">
        <v>242.4059</v>
      </c>
      <c r="C3466" s="308">
        <v>6.9799165982979803</v>
      </c>
    </row>
    <row r="3467" spans="1:3" x14ac:dyDescent="0.35">
      <c r="A3467" s="305">
        <v>42699</v>
      </c>
      <c r="B3467" s="306">
        <v>242.41079999999999</v>
      </c>
      <c r="C3467" s="309">
        <v>7.0062580863595603</v>
      </c>
    </row>
    <row r="3468" spans="1:3" x14ac:dyDescent="0.35">
      <c r="A3468" s="302">
        <v>42698</v>
      </c>
      <c r="B3468" s="303">
        <v>242.41560000000001</v>
      </c>
      <c r="C3468" s="308">
        <v>7.0325673314709798</v>
      </c>
    </row>
    <row r="3469" spans="1:3" x14ac:dyDescent="0.35">
      <c r="A3469" s="305">
        <v>42697</v>
      </c>
      <c r="B3469" s="306">
        <v>242.4205</v>
      </c>
      <c r="C3469" s="309">
        <v>7.0589326367436298</v>
      </c>
    </row>
    <row r="3470" spans="1:3" x14ac:dyDescent="0.35">
      <c r="A3470" s="302">
        <v>42696</v>
      </c>
      <c r="B3470" s="303">
        <v>242.42529999999999</v>
      </c>
      <c r="C3470" s="308">
        <v>7.0852183930589199</v>
      </c>
    </row>
    <row r="3471" spans="1:3" x14ac:dyDescent="0.35">
      <c r="A3471" s="305">
        <v>42695</v>
      </c>
      <c r="B3471" s="306">
        <v>242.43020000000001</v>
      </c>
      <c r="C3471" s="309">
        <v>7.1115602009947203</v>
      </c>
    </row>
    <row r="3472" spans="1:3" x14ac:dyDescent="0.35">
      <c r="A3472" s="302">
        <v>42694</v>
      </c>
      <c r="B3472" s="303">
        <v>242.435</v>
      </c>
      <c r="C3472" s="308">
        <v>7.1379170605317004</v>
      </c>
    </row>
    <row r="3473" spans="1:3" x14ac:dyDescent="0.35">
      <c r="A3473" s="305">
        <v>42693</v>
      </c>
      <c r="B3473" s="306">
        <v>242.43989999999999</v>
      </c>
      <c r="C3473" s="309">
        <v>7.1642826832631998</v>
      </c>
    </row>
    <row r="3474" spans="1:3" x14ac:dyDescent="0.35">
      <c r="A3474" s="302">
        <v>42692</v>
      </c>
      <c r="B3474" s="303">
        <v>242.44470000000001</v>
      </c>
      <c r="C3474" s="308">
        <v>7.1906160069218901</v>
      </c>
    </row>
    <row r="3475" spans="1:3" x14ac:dyDescent="0.35">
      <c r="A3475" s="305">
        <v>42691</v>
      </c>
      <c r="B3475" s="306">
        <v>242.4496</v>
      </c>
      <c r="C3475" s="309">
        <v>7.2170054543894704</v>
      </c>
    </row>
    <row r="3476" spans="1:3" x14ac:dyDescent="0.35">
      <c r="A3476" s="302">
        <v>42690</v>
      </c>
      <c r="B3476" s="303">
        <v>242.45439999999999</v>
      </c>
      <c r="C3476" s="308">
        <v>7.2433151626777903</v>
      </c>
    </row>
    <row r="3477" spans="1:3" x14ac:dyDescent="0.35">
      <c r="A3477" s="305">
        <v>42689</v>
      </c>
      <c r="B3477" s="306">
        <v>242.45930000000001</v>
      </c>
      <c r="C3477" s="309">
        <v>7.26972844478796</v>
      </c>
    </row>
    <row r="3478" spans="1:3" x14ac:dyDescent="0.35">
      <c r="A3478" s="302">
        <v>42688</v>
      </c>
      <c r="B3478" s="303">
        <v>242.4632</v>
      </c>
      <c r="C3478" s="308">
        <v>7.2962809226137004</v>
      </c>
    </row>
    <row r="3479" spans="1:3" x14ac:dyDescent="0.35">
      <c r="A3479" s="305">
        <v>42687</v>
      </c>
      <c r="B3479" s="306">
        <v>242.46709999999999</v>
      </c>
      <c r="C3479" s="309">
        <v>7.3228456939551601</v>
      </c>
    </row>
    <row r="3480" spans="1:3" x14ac:dyDescent="0.35">
      <c r="A3480" s="302">
        <v>42686</v>
      </c>
      <c r="B3480" s="303">
        <v>242.471</v>
      </c>
      <c r="C3480" s="308">
        <v>7.3494227673519603</v>
      </c>
    </row>
    <row r="3481" spans="1:3" x14ac:dyDescent="0.35">
      <c r="A3481" s="305">
        <v>42685</v>
      </c>
      <c r="B3481" s="306">
        <v>242.47499999999999</v>
      </c>
      <c r="C3481" s="309">
        <v>7.3760564347030897</v>
      </c>
    </row>
    <row r="3482" spans="1:3" x14ac:dyDescent="0.35">
      <c r="A3482" s="302">
        <v>42684</v>
      </c>
      <c r="B3482" s="303">
        <v>242.47890000000001</v>
      </c>
      <c r="C3482" s="308">
        <v>7.4026105756262099</v>
      </c>
    </row>
    <row r="3483" spans="1:3" x14ac:dyDescent="0.35">
      <c r="A3483" s="305">
        <v>42683</v>
      </c>
      <c r="B3483" s="306">
        <v>242.4828</v>
      </c>
      <c r="C3483" s="309">
        <v>7.4292245939551798</v>
      </c>
    </row>
    <row r="3484" spans="1:3" x14ac:dyDescent="0.35">
      <c r="A3484" s="302">
        <v>42682</v>
      </c>
      <c r="B3484" s="303">
        <v>242.48670000000001</v>
      </c>
      <c r="C3484" s="308">
        <v>7.4558033304706397</v>
      </c>
    </row>
    <row r="3485" spans="1:3" x14ac:dyDescent="0.35">
      <c r="A3485" s="305">
        <v>42681</v>
      </c>
      <c r="B3485" s="306">
        <v>242.4906</v>
      </c>
      <c r="C3485" s="309">
        <v>7.4823943661971803</v>
      </c>
    </row>
    <row r="3486" spans="1:3" x14ac:dyDescent="0.35">
      <c r="A3486" s="302">
        <v>42680</v>
      </c>
      <c r="B3486" s="303">
        <v>242.49449999999999</v>
      </c>
      <c r="C3486" s="308">
        <v>7.5089977096739</v>
      </c>
    </row>
    <row r="3487" spans="1:3" x14ac:dyDescent="0.35">
      <c r="A3487" s="305">
        <v>42679</v>
      </c>
      <c r="B3487" s="306">
        <v>242.4984</v>
      </c>
      <c r="C3487" s="309">
        <v>7.5356133694478</v>
      </c>
    </row>
    <row r="3488" spans="1:3" x14ac:dyDescent="0.35">
      <c r="A3488" s="302">
        <v>42678</v>
      </c>
      <c r="B3488" s="303">
        <v>242.50229999999999</v>
      </c>
      <c r="C3488" s="308">
        <v>7.5622413540737998</v>
      </c>
    </row>
    <row r="3489" spans="1:3" x14ac:dyDescent="0.35">
      <c r="A3489" s="305">
        <v>42677</v>
      </c>
      <c r="B3489" s="306">
        <v>242.50630000000001</v>
      </c>
      <c r="C3489" s="309">
        <v>7.5889260375295899</v>
      </c>
    </row>
    <row r="3490" spans="1:3" x14ac:dyDescent="0.35">
      <c r="A3490" s="302">
        <v>42676</v>
      </c>
      <c r="B3490" s="303">
        <v>242.5102</v>
      </c>
      <c r="C3490" s="308">
        <v>7.6155309526968598</v>
      </c>
    </row>
    <row r="3491" spans="1:3" x14ac:dyDescent="0.35">
      <c r="A3491" s="305">
        <v>42675</v>
      </c>
      <c r="B3491" s="306">
        <v>242.51410000000001</v>
      </c>
      <c r="C3491" s="309">
        <v>7.6421959506694499</v>
      </c>
    </row>
    <row r="3492" spans="1:3" x14ac:dyDescent="0.35">
      <c r="A3492" s="302">
        <v>42674</v>
      </c>
      <c r="B3492" s="303">
        <v>242.518</v>
      </c>
      <c r="C3492" s="308">
        <v>7.6688255068716504</v>
      </c>
    </row>
    <row r="3493" spans="1:3" x14ac:dyDescent="0.35">
      <c r="A3493" s="305">
        <v>42673</v>
      </c>
      <c r="B3493" s="306">
        <v>242.52189999999999</v>
      </c>
      <c r="C3493" s="309">
        <v>7.6954673849860802</v>
      </c>
    </row>
    <row r="3494" spans="1:3" x14ac:dyDescent="0.35">
      <c r="A3494" s="302">
        <v>42672</v>
      </c>
      <c r="B3494" s="303">
        <v>242.5258</v>
      </c>
      <c r="C3494" s="308">
        <v>7.7221215935670298</v>
      </c>
    </row>
    <row r="3495" spans="1:3" x14ac:dyDescent="0.35">
      <c r="A3495" s="305">
        <v>42671</v>
      </c>
      <c r="B3495" s="306">
        <v>242.52969999999999</v>
      </c>
      <c r="C3495" s="309">
        <v>7.7487881411767203</v>
      </c>
    </row>
    <row r="3496" spans="1:3" x14ac:dyDescent="0.35">
      <c r="A3496" s="302">
        <v>42670</v>
      </c>
      <c r="B3496" s="303">
        <v>242.53360000000001</v>
      </c>
      <c r="C3496" s="308">
        <v>7.7754670363852902</v>
      </c>
    </row>
    <row r="3497" spans="1:3" x14ac:dyDescent="0.35">
      <c r="A3497" s="305">
        <v>42669</v>
      </c>
      <c r="B3497" s="306">
        <v>242.5376</v>
      </c>
      <c r="C3497" s="309">
        <v>7.8022027353957304</v>
      </c>
    </row>
    <row r="3498" spans="1:3" x14ac:dyDescent="0.35">
      <c r="A3498" s="302">
        <v>42668</v>
      </c>
      <c r="B3498" s="303">
        <v>242.54150000000001</v>
      </c>
      <c r="C3498" s="308">
        <v>7.8289063618394596</v>
      </c>
    </row>
    <row r="3499" spans="1:3" x14ac:dyDescent="0.35">
      <c r="A3499" s="305">
        <v>42667</v>
      </c>
      <c r="B3499" s="306">
        <v>242.5454</v>
      </c>
      <c r="C3499" s="309">
        <v>7.8555744001906804</v>
      </c>
    </row>
    <row r="3500" spans="1:3" x14ac:dyDescent="0.35">
      <c r="A3500" s="302">
        <v>42666</v>
      </c>
      <c r="B3500" s="303">
        <v>242.54929999999999</v>
      </c>
      <c r="C3500" s="308">
        <v>7.8822547745430098</v>
      </c>
    </row>
    <row r="3501" spans="1:3" x14ac:dyDescent="0.35">
      <c r="A3501" s="305">
        <v>42665</v>
      </c>
      <c r="B3501" s="306">
        <v>242.5532</v>
      </c>
      <c r="C3501" s="309">
        <v>7.9089955008481798</v>
      </c>
    </row>
    <row r="3502" spans="1:3" x14ac:dyDescent="0.35">
      <c r="A3502" s="302">
        <v>42664</v>
      </c>
      <c r="B3502" s="303">
        <v>242.55709999999999</v>
      </c>
      <c r="C3502" s="308">
        <v>7.9357005958873099</v>
      </c>
    </row>
    <row r="3503" spans="1:3" x14ac:dyDescent="0.35">
      <c r="A3503" s="305">
        <v>42663</v>
      </c>
      <c r="B3503" s="306">
        <v>242.56100000000001</v>
      </c>
      <c r="C3503" s="309">
        <v>7.9624180526519401</v>
      </c>
    </row>
    <row r="3504" spans="1:3" x14ac:dyDescent="0.35">
      <c r="A3504" s="302">
        <v>42662</v>
      </c>
      <c r="B3504" s="303">
        <v>242.56489999999999</v>
      </c>
      <c r="C3504" s="308">
        <v>7.9891478797273798</v>
      </c>
    </row>
    <row r="3505" spans="1:3" x14ac:dyDescent="0.35">
      <c r="A3505" s="305">
        <v>42661</v>
      </c>
      <c r="B3505" s="306">
        <v>242.56890000000001</v>
      </c>
      <c r="C3505" s="309">
        <v>8.0158865162325093</v>
      </c>
    </row>
    <row r="3506" spans="1:3" x14ac:dyDescent="0.35">
      <c r="A3506" s="302">
        <v>42660</v>
      </c>
      <c r="B3506" s="303">
        <v>242.5728</v>
      </c>
      <c r="C3506" s="308">
        <v>8.0426410969740196</v>
      </c>
    </row>
    <row r="3507" spans="1:3" x14ac:dyDescent="0.35">
      <c r="A3507" s="305">
        <v>42659</v>
      </c>
      <c r="B3507" s="306">
        <v>242.57669999999999</v>
      </c>
      <c r="C3507" s="309">
        <v>8.0694080738185807</v>
      </c>
    </row>
    <row r="3508" spans="1:3" x14ac:dyDescent="0.35">
      <c r="A3508" s="302">
        <v>42658</v>
      </c>
      <c r="B3508" s="303">
        <v>242.5806</v>
      </c>
      <c r="C3508" s="308">
        <v>8.0961392867312298</v>
      </c>
    </row>
    <row r="3509" spans="1:3" x14ac:dyDescent="0.35">
      <c r="A3509" s="305">
        <v>42657</v>
      </c>
      <c r="B3509" s="306">
        <v>242.60659999999999</v>
      </c>
      <c r="C3509" s="309">
        <v>8.1249740948345206</v>
      </c>
    </row>
    <row r="3510" spans="1:3" x14ac:dyDescent="0.35">
      <c r="A3510" s="302">
        <v>42656</v>
      </c>
      <c r="B3510" s="303">
        <v>242.63249999999999</v>
      </c>
      <c r="C3510" s="308">
        <v>8.1537735306585599</v>
      </c>
    </row>
    <row r="3511" spans="1:3" x14ac:dyDescent="0.35">
      <c r="A3511" s="305">
        <v>42655</v>
      </c>
      <c r="B3511" s="306">
        <v>242.6584</v>
      </c>
      <c r="C3511" s="309">
        <v>8.1825821595197592</v>
      </c>
    </row>
    <row r="3512" spans="1:3" x14ac:dyDescent="0.35">
      <c r="A3512" s="302">
        <v>42654</v>
      </c>
      <c r="B3512" s="303">
        <v>242.68430000000001</v>
      </c>
      <c r="C3512" s="308">
        <v>8.2113999858205808</v>
      </c>
    </row>
    <row r="3513" spans="1:3" x14ac:dyDescent="0.35">
      <c r="A3513" s="305">
        <v>42653</v>
      </c>
      <c r="B3513" s="306">
        <v>242.71029999999999</v>
      </c>
      <c r="C3513" s="309">
        <v>8.2402716104550198</v>
      </c>
    </row>
    <row r="3514" spans="1:3" x14ac:dyDescent="0.35">
      <c r="A3514" s="302">
        <v>42652</v>
      </c>
      <c r="B3514" s="303">
        <v>242.7362</v>
      </c>
      <c r="C3514" s="308">
        <v>8.2691078519748906</v>
      </c>
    </row>
    <row r="3515" spans="1:3" x14ac:dyDescent="0.35">
      <c r="A3515" s="305">
        <v>42651</v>
      </c>
      <c r="B3515" s="306">
        <v>242.7621</v>
      </c>
      <c r="C3515" s="309">
        <v>8.2979533041608899</v>
      </c>
    </row>
    <row r="3516" spans="1:3" x14ac:dyDescent="0.35">
      <c r="A3516" s="302">
        <v>42650</v>
      </c>
      <c r="B3516" s="303">
        <v>242.78809999999999</v>
      </c>
      <c r="C3516" s="308">
        <v>8.3268042561849196</v>
      </c>
    </row>
    <row r="3517" spans="1:3" x14ac:dyDescent="0.35">
      <c r="A3517" s="305">
        <v>42649</v>
      </c>
      <c r="B3517" s="306">
        <v>242.81399999999999</v>
      </c>
      <c r="C3517" s="309">
        <v>8.3556681294731003</v>
      </c>
    </row>
    <row r="3518" spans="1:3" x14ac:dyDescent="0.35">
      <c r="A3518" s="302">
        <v>42648</v>
      </c>
      <c r="B3518" s="303">
        <v>242.84</v>
      </c>
      <c r="C3518" s="308">
        <v>8.3845858587661901</v>
      </c>
    </row>
    <row r="3519" spans="1:3" x14ac:dyDescent="0.35">
      <c r="A3519" s="305">
        <v>42647</v>
      </c>
      <c r="B3519" s="306">
        <v>242.86590000000001</v>
      </c>
      <c r="C3519" s="309">
        <v>8.4134197965077</v>
      </c>
    </row>
    <row r="3520" spans="1:3" x14ac:dyDescent="0.35">
      <c r="A3520" s="302">
        <v>42646</v>
      </c>
      <c r="B3520" s="303">
        <v>242.89189999999999</v>
      </c>
      <c r="C3520" s="308">
        <v>8.4423559876329595</v>
      </c>
    </row>
    <row r="3521" spans="1:3" x14ac:dyDescent="0.35">
      <c r="A3521" s="305">
        <v>42645</v>
      </c>
      <c r="B3521" s="306">
        <v>242.9178</v>
      </c>
      <c r="C3521" s="309">
        <v>8.4712083405523106</v>
      </c>
    </row>
    <row r="3522" spans="1:3" x14ac:dyDescent="0.35">
      <c r="A3522" s="302">
        <v>42644</v>
      </c>
      <c r="B3522" s="303">
        <v>242.94380000000001</v>
      </c>
      <c r="C3522" s="308">
        <v>8.5001630111964097</v>
      </c>
    </row>
    <row r="3523" spans="1:3" x14ac:dyDescent="0.35">
      <c r="A3523" s="305">
        <v>42643</v>
      </c>
      <c r="B3523" s="306">
        <v>242.96969999999999</v>
      </c>
      <c r="C3523" s="309">
        <v>8.5290337969396397</v>
      </c>
    </row>
    <row r="3524" spans="1:3" x14ac:dyDescent="0.35">
      <c r="A3524" s="302">
        <v>42642</v>
      </c>
      <c r="B3524" s="303">
        <v>242.9957</v>
      </c>
      <c r="C3524" s="308">
        <v>8.55800696481184</v>
      </c>
    </row>
    <row r="3525" spans="1:3" x14ac:dyDescent="0.35">
      <c r="A3525" s="305">
        <v>42641</v>
      </c>
      <c r="B3525" s="306">
        <v>243.02160000000001</v>
      </c>
      <c r="C3525" s="309">
        <v>8.5868962010475194</v>
      </c>
    </row>
    <row r="3526" spans="1:3" x14ac:dyDescent="0.35">
      <c r="A3526" s="302">
        <v>42640</v>
      </c>
      <c r="B3526" s="303">
        <v>243.04759999999999</v>
      </c>
      <c r="C3526" s="308">
        <v>8.6158393443927004</v>
      </c>
    </row>
    <row r="3527" spans="1:3" x14ac:dyDescent="0.35">
      <c r="A3527" s="305">
        <v>42639</v>
      </c>
      <c r="B3527" s="306">
        <v>243.0736</v>
      </c>
      <c r="C3527" s="309">
        <v>8.6447917243993295</v>
      </c>
    </row>
    <row r="3528" spans="1:3" x14ac:dyDescent="0.35">
      <c r="A3528" s="302">
        <v>42638</v>
      </c>
      <c r="B3528" s="303">
        <v>243.09950000000001</v>
      </c>
      <c r="C3528" s="308">
        <v>8.6737086421033496</v>
      </c>
    </row>
    <row r="3529" spans="1:3" x14ac:dyDescent="0.35">
      <c r="A3529" s="305">
        <v>42637</v>
      </c>
      <c r="B3529" s="306">
        <v>243.12549999999999</v>
      </c>
      <c r="C3529" s="309">
        <v>8.7026795015671006</v>
      </c>
    </row>
    <row r="3530" spans="1:3" x14ac:dyDescent="0.35">
      <c r="A3530" s="302">
        <v>42636</v>
      </c>
      <c r="B3530" s="303">
        <v>243.1515</v>
      </c>
      <c r="C3530" s="308">
        <v>8.7316596109653108</v>
      </c>
    </row>
    <row r="3531" spans="1:3" x14ac:dyDescent="0.35">
      <c r="A3531" s="305">
        <v>42635</v>
      </c>
      <c r="B3531" s="306">
        <v>243.17750000000001</v>
      </c>
      <c r="C3531" s="309">
        <v>8.7606489747286993</v>
      </c>
    </row>
    <row r="3532" spans="1:3" x14ac:dyDescent="0.35">
      <c r="A3532" s="302">
        <v>42634</v>
      </c>
      <c r="B3532" s="303">
        <v>243.20349999999999</v>
      </c>
      <c r="C3532" s="308">
        <v>8.7896475972908501</v>
      </c>
    </row>
    <row r="3533" spans="1:3" x14ac:dyDescent="0.35">
      <c r="A3533" s="305">
        <v>42633</v>
      </c>
      <c r="B3533" s="306">
        <v>243.2294</v>
      </c>
      <c r="C3533" s="309">
        <v>8.8186107440020507</v>
      </c>
    </row>
    <row r="3534" spans="1:3" x14ac:dyDescent="0.35">
      <c r="A3534" s="302">
        <v>42632</v>
      </c>
      <c r="B3534" s="303">
        <v>243.25540000000001</v>
      </c>
      <c r="C3534" s="308">
        <v>8.8476278903269794</v>
      </c>
    </row>
    <row r="3535" spans="1:3" x14ac:dyDescent="0.35">
      <c r="A3535" s="305">
        <v>42631</v>
      </c>
      <c r="B3535" s="306">
        <v>243.28139999999999</v>
      </c>
      <c r="C3535" s="309">
        <v>8.87660558280289</v>
      </c>
    </row>
    <row r="3536" spans="1:3" x14ac:dyDescent="0.35">
      <c r="A3536" s="302">
        <v>42630</v>
      </c>
      <c r="B3536" s="303">
        <v>243.3074</v>
      </c>
      <c r="C3536" s="308">
        <v>8.9056412570184502</v>
      </c>
    </row>
    <row r="3537" spans="1:3" x14ac:dyDescent="0.35">
      <c r="A3537" s="305">
        <v>42629</v>
      </c>
      <c r="B3537" s="306">
        <v>243.33340000000001</v>
      </c>
      <c r="C3537" s="309">
        <v>8.9346374447343404</v>
      </c>
    </row>
    <row r="3538" spans="1:3" x14ac:dyDescent="0.35">
      <c r="A3538" s="302">
        <v>42628</v>
      </c>
      <c r="B3538" s="303">
        <v>243.35939999999999</v>
      </c>
      <c r="C3538" s="308">
        <v>8.9636916645883709</v>
      </c>
    </row>
    <row r="3539" spans="1:3" x14ac:dyDescent="0.35">
      <c r="A3539" s="305">
        <v>42627</v>
      </c>
      <c r="B3539" s="306">
        <v>243.31870000000001</v>
      </c>
      <c r="C3539" s="309">
        <v>8.9521028199544794</v>
      </c>
    </row>
    <row r="3540" spans="1:3" x14ac:dyDescent="0.35">
      <c r="A3540" s="302">
        <v>42626</v>
      </c>
      <c r="B3540" s="303">
        <v>243.27799999999999</v>
      </c>
      <c r="C3540" s="308">
        <v>8.9405613476355601</v>
      </c>
    </row>
    <row r="3541" spans="1:3" x14ac:dyDescent="0.35">
      <c r="A3541" s="305">
        <v>42625</v>
      </c>
      <c r="B3541" s="306">
        <v>243.2373</v>
      </c>
      <c r="C3541" s="309">
        <v>8.9290184591146708</v>
      </c>
    </row>
    <row r="3542" spans="1:3" x14ac:dyDescent="0.35">
      <c r="A3542" s="302">
        <v>42624</v>
      </c>
      <c r="B3542" s="303">
        <v>243.19659999999999</v>
      </c>
      <c r="C3542" s="308">
        <v>8.9174741541311295</v>
      </c>
    </row>
    <row r="3543" spans="1:3" x14ac:dyDescent="0.35">
      <c r="A3543" s="305">
        <v>42623</v>
      </c>
      <c r="B3543" s="306">
        <v>243.1559</v>
      </c>
      <c r="C3543" s="309">
        <v>8.9058796550927202</v>
      </c>
    </row>
    <row r="3544" spans="1:3" x14ac:dyDescent="0.35">
      <c r="A3544" s="302">
        <v>42622</v>
      </c>
      <c r="B3544" s="303">
        <v>243.11529999999999</v>
      </c>
      <c r="C3544" s="308">
        <v>8.8943773098286805</v>
      </c>
    </row>
    <row r="3545" spans="1:3" x14ac:dyDescent="0.35">
      <c r="A3545" s="305">
        <v>42621</v>
      </c>
      <c r="B3545" s="306">
        <v>243.0746</v>
      </c>
      <c r="C3545" s="309">
        <v>8.8828287588210593</v>
      </c>
    </row>
    <row r="3546" spans="1:3" x14ac:dyDescent="0.35">
      <c r="A3546" s="302">
        <v>42620</v>
      </c>
      <c r="B3546" s="303">
        <v>243.03389999999999</v>
      </c>
      <c r="C3546" s="308">
        <v>8.8712300195403309</v>
      </c>
    </row>
    <row r="3547" spans="1:3" x14ac:dyDescent="0.35">
      <c r="A3547" s="305">
        <v>42619</v>
      </c>
      <c r="B3547" s="306">
        <v>242.9933</v>
      </c>
      <c r="C3547" s="309">
        <v>8.8597234349191307</v>
      </c>
    </row>
    <row r="3548" spans="1:3" x14ac:dyDescent="0.35">
      <c r="A3548" s="302">
        <v>42618</v>
      </c>
      <c r="B3548" s="303">
        <v>242.95259999999999</v>
      </c>
      <c r="C3548" s="308">
        <v>8.84817063554644</v>
      </c>
    </row>
    <row r="3549" spans="1:3" x14ac:dyDescent="0.35">
      <c r="A3549" s="305">
        <v>42617</v>
      </c>
      <c r="B3549" s="306">
        <v>242.91200000000001</v>
      </c>
      <c r="C3549" s="309">
        <v>8.8366124586450301</v>
      </c>
    </row>
    <row r="3550" spans="1:3" x14ac:dyDescent="0.35">
      <c r="A3550" s="302">
        <v>42616</v>
      </c>
      <c r="B3550" s="303">
        <v>242.87129999999999</v>
      </c>
      <c r="C3550" s="308">
        <v>8.8250568273724905</v>
      </c>
    </row>
    <row r="3551" spans="1:3" x14ac:dyDescent="0.35">
      <c r="A3551" s="305">
        <v>42615</v>
      </c>
      <c r="B3551" s="306">
        <v>242.83070000000001</v>
      </c>
      <c r="C3551" s="309">
        <v>8.8135445877482805</v>
      </c>
    </row>
    <row r="3552" spans="1:3" x14ac:dyDescent="0.35">
      <c r="A3552" s="302">
        <v>42614</v>
      </c>
      <c r="B3552" s="303">
        <v>242.7901</v>
      </c>
      <c r="C3552" s="308">
        <v>8.8019821768991608</v>
      </c>
    </row>
    <row r="3553" spans="1:3" x14ac:dyDescent="0.35">
      <c r="A3553" s="305">
        <v>42613</v>
      </c>
      <c r="B3553" s="306">
        <v>242.74950000000001</v>
      </c>
      <c r="C3553" s="309">
        <v>8.7904671120474696</v>
      </c>
    </row>
    <row r="3554" spans="1:3" x14ac:dyDescent="0.35">
      <c r="A3554" s="302">
        <v>42612</v>
      </c>
      <c r="B3554" s="303">
        <v>242.7088</v>
      </c>
      <c r="C3554" s="308">
        <v>8.7789058144183496</v>
      </c>
    </row>
    <row r="3555" spans="1:3" x14ac:dyDescent="0.35">
      <c r="A3555" s="305">
        <v>42611</v>
      </c>
      <c r="B3555" s="306">
        <v>242.66820000000001</v>
      </c>
      <c r="C3555" s="309">
        <v>8.7673391672896805</v>
      </c>
    </row>
    <row r="3556" spans="1:3" x14ac:dyDescent="0.35">
      <c r="A3556" s="302">
        <v>42610</v>
      </c>
      <c r="B3556" s="303">
        <v>242.6276</v>
      </c>
      <c r="C3556" s="308">
        <v>8.75581985881281</v>
      </c>
    </row>
    <row r="3557" spans="1:3" x14ac:dyDescent="0.35">
      <c r="A3557" s="305">
        <v>42609</v>
      </c>
      <c r="B3557" s="306">
        <v>242.58709999999999</v>
      </c>
      <c r="C3557" s="309">
        <v>8.7442952156689806</v>
      </c>
    </row>
    <row r="3558" spans="1:3" x14ac:dyDescent="0.35">
      <c r="A3558" s="302">
        <v>42608</v>
      </c>
      <c r="B3558" s="303">
        <v>242.54650000000001</v>
      </c>
      <c r="C3558" s="308">
        <v>8.7327730821198699</v>
      </c>
    </row>
    <row r="3559" spans="1:3" x14ac:dyDescent="0.35">
      <c r="A3559" s="305">
        <v>42607</v>
      </c>
      <c r="B3559" s="306">
        <v>242.5059</v>
      </c>
      <c r="C3559" s="309">
        <v>8.7212495331824904</v>
      </c>
    </row>
    <row r="3560" spans="1:3" x14ac:dyDescent="0.35">
      <c r="A3560" s="302">
        <v>42606</v>
      </c>
      <c r="B3560" s="303">
        <v>242.46530000000001</v>
      </c>
      <c r="C3560" s="308">
        <v>8.7096758284302407</v>
      </c>
    </row>
    <row r="3561" spans="1:3" x14ac:dyDescent="0.35">
      <c r="A3561" s="305">
        <v>42605</v>
      </c>
      <c r="B3561" s="306">
        <v>242.4248</v>
      </c>
      <c r="C3561" s="309">
        <v>8.6981942880099901</v>
      </c>
    </row>
    <row r="3562" spans="1:3" x14ac:dyDescent="0.35">
      <c r="A3562" s="302">
        <v>42604</v>
      </c>
      <c r="B3562" s="303">
        <v>242.38419999999999</v>
      </c>
      <c r="C3562" s="308">
        <v>8.68661776047926</v>
      </c>
    </row>
    <row r="3563" spans="1:3" x14ac:dyDescent="0.35">
      <c r="A3563" s="305">
        <v>42603</v>
      </c>
      <c r="B3563" s="306">
        <v>242.34370000000001</v>
      </c>
      <c r="C3563" s="309">
        <v>8.6751333978779197</v>
      </c>
    </row>
    <row r="3564" spans="1:3" x14ac:dyDescent="0.35">
      <c r="A3564" s="302">
        <v>42602</v>
      </c>
      <c r="B3564" s="303">
        <v>242.3031</v>
      </c>
      <c r="C3564" s="308">
        <v>8.6635540465332408</v>
      </c>
    </row>
    <row r="3565" spans="1:3" x14ac:dyDescent="0.35">
      <c r="A3565" s="305">
        <v>42601</v>
      </c>
      <c r="B3565" s="306">
        <v>242.26259999999999</v>
      </c>
      <c r="C3565" s="309">
        <v>8.6520668607128304</v>
      </c>
    </row>
    <row r="3566" spans="1:3" x14ac:dyDescent="0.35">
      <c r="A3566" s="302">
        <v>42600</v>
      </c>
      <c r="B3566" s="303">
        <v>242.22200000000001</v>
      </c>
      <c r="C3566" s="308">
        <v>8.6404846845182099</v>
      </c>
    </row>
    <row r="3567" spans="1:3" x14ac:dyDescent="0.35">
      <c r="A3567" s="305">
        <v>42599</v>
      </c>
      <c r="B3567" s="306">
        <v>242.1815</v>
      </c>
      <c r="C3567" s="309">
        <v>8.6289946744402304</v>
      </c>
    </row>
    <row r="3568" spans="1:3" x14ac:dyDescent="0.35">
      <c r="A3568" s="302">
        <v>42598</v>
      </c>
      <c r="B3568" s="303">
        <v>242.14099999999999</v>
      </c>
      <c r="C3568" s="308">
        <v>8.6174545294691001</v>
      </c>
    </row>
    <row r="3569" spans="1:3" x14ac:dyDescent="0.35">
      <c r="A3569" s="305">
        <v>42597</v>
      </c>
      <c r="B3569" s="306">
        <v>242.10050000000001</v>
      </c>
      <c r="C3569" s="309">
        <v>8.6059616968513808</v>
      </c>
    </row>
    <row r="3570" spans="1:3" x14ac:dyDescent="0.35">
      <c r="A3570" s="302">
        <v>42596</v>
      </c>
      <c r="B3570" s="303">
        <v>242.06309999999999</v>
      </c>
      <c r="C3570" s="308">
        <v>8.5926915533320294</v>
      </c>
    </row>
    <row r="3571" spans="1:3" x14ac:dyDescent="0.35">
      <c r="A3571" s="305">
        <v>42595</v>
      </c>
      <c r="B3571" s="306">
        <v>242.0257</v>
      </c>
      <c r="C3571" s="309">
        <v>8.5794205525298093</v>
      </c>
    </row>
    <row r="3572" spans="1:3" x14ac:dyDescent="0.35">
      <c r="A3572" s="302">
        <v>42594</v>
      </c>
      <c r="B3572" s="303">
        <v>241.98840000000001</v>
      </c>
      <c r="C3572" s="308">
        <v>8.5661935585756197</v>
      </c>
    </row>
    <row r="3573" spans="1:3" x14ac:dyDescent="0.35">
      <c r="A3573" s="305">
        <v>42593</v>
      </c>
      <c r="B3573" s="306">
        <v>241.95099999999999</v>
      </c>
      <c r="C3573" s="309">
        <v>8.5529208444076694</v>
      </c>
    </row>
    <row r="3574" spans="1:3" x14ac:dyDescent="0.35">
      <c r="A3574" s="302">
        <v>42592</v>
      </c>
      <c r="B3574" s="303">
        <v>241.9136</v>
      </c>
      <c r="C3574" s="308">
        <v>8.5395985741238007</v>
      </c>
    </row>
    <row r="3575" spans="1:3" x14ac:dyDescent="0.35">
      <c r="A3575" s="305">
        <v>42591</v>
      </c>
      <c r="B3575" s="306">
        <v>241.87629999999999</v>
      </c>
      <c r="C3575" s="309">
        <v>8.5263690177333906</v>
      </c>
    </row>
    <row r="3576" spans="1:3" x14ac:dyDescent="0.35">
      <c r="A3576" s="302">
        <v>42590</v>
      </c>
      <c r="B3576" s="303">
        <v>241.8389</v>
      </c>
      <c r="C3576" s="308">
        <v>8.5130937365530208</v>
      </c>
    </row>
    <row r="3577" spans="1:3" x14ac:dyDescent="0.35">
      <c r="A3577" s="305">
        <v>42589</v>
      </c>
      <c r="B3577" s="306">
        <v>241.8015</v>
      </c>
      <c r="C3577" s="309">
        <v>8.4998175975920205</v>
      </c>
    </row>
    <row r="3578" spans="1:3" x14ac:dyDescent="0.35">
      <c r="A3578" s="302">
        <v>42588</v>
      </c>
      <c r="B3578" s="303">
        <v>241.76419999999999</v>
      </c>
      <c r="C3578" s="308">
        <v>8.4865854736580406</v>
      </c>
    </row>
    <row r="3579" spans="1:3" x14ac:dyDescent="0.35">
      <c r="A3579" s="305">
        <v>42587</v>
      </c>
      <c r="B3579" s="306">
        <v>241.7269</v>
      </c>
      <c r="C3579" s="309">
        <v>8.4733524946767798</v>
      </c>
    </row>
    <row r="3580" spans="1:3" x14ac:dyDescent="0.35">
      <c r="A3580" s="302">
        <v>42586</v>
      </c>
      <c r="B3580" s="303">
        <v>241.68950000000001</v>
      </c>
      <c r="C3580" s="308">
        <v>8.46007378477481</v>
      </c>
    </row>
    <row r="3581" spans="1:3" x14ac:dyDescent="0.35">
      <c r="A3581" s="305">
        <v>42585</v>
      </c>
      <c r="B3581" s="306">
        <v>241.65219999999999</v>
      </c>
      <c r="C3581" s="309">
        <v>8.44679042607331</v>
      </c>
    </row>
    <row r="3582" spans="1:3" x14ac:dyDescent="0.35">
      <c r="A3582" s="302">
        <v>42584</v>
      </c>
      <c r="B3582" s="303">
        <v>241.61490000000001</v>
      </c>
      <c r="C3582" s="308">
        <v>8.4335548843701105</v>
      </c>
    </row>
    <row r="3583" spans="1:3" x14ac:dyDescent="0.35">
      <c r="A3583" s="305">
        <v>42583</v>
      </c>
      <c r="B3583" s="306">
        <v>241.57749999999999</v>
      </c>
      <c r="C3583" s="309">
        <v>8.4202736071678892</v>
      </c>
    </row>
    <row r="3584" spans="1:3" x14ac:dyDescent="0.35">
      <c r="A3584" s="302">
        <v>42582</v>
      </c>
      <c r="B3584" s="303">
        <v>241.5402</v>
      </c>
      <c r="C3584" s="308">
        <v>8.4070363531748793</v>
      </c>
    </row>
    <row r="3585" spans="1:3" x14ac:dyDescent="0.35">
      <c r="A3585" s="305">
        <v>42581</v>
      </c>
      <c r="B3585" s="306">
        <v>241.50290000000001</v>
      </c>
      <c r="C3585" s="309">
        <v>8.39379824363761</v>
      </c>
    </row>
    <row r="3586" spans="1:3" x14ac:dyDescent="0.35">
      <c r="A3586" s="302">
        <v>42580</v>
      </c>
      <c r="B3586" s="303">
        <v>241.46559999999999</v>
      </c>
      <c r="C3586" s="308">
        <v>8.3805592784731395</v>
      </c>
    </row>
    <row r="3587" spans="1:3" x14ac:dyDescent="0.35">
      <c r="A3587" s="305">
        <v>42579</v>
      </c>
      <c r="B3587" s="306">
        <v>241.42830000000001</v>
      </c>
      <c r="C3587" s="309">
        <v>8.3672708159494</v>
      </c>
    </row>
    <row r="3588" spans="1:3" x14ac:dyDescent="0.35">
      <c r="A3588" s="302">
        <v>42578</v>
      </c>
      <c r="B3588" s="303">
        <v>241.39099999999999</v>
      </c>
      <c r="C3588" s="308">
        <v>8.3540301436530005</v>
      </c>
    </row>
    <row r="3589" spans="1:3" x14ac:dyDescent="0.35">
      <c r="A3589" s="305">
        <v>42577</v>
      </c>
      <c r="B3589" s="306">
        <v>241.3537</v>
      </c>
      <c r="C3589" s="309">
        <v>8.3407886154811592</v>
      </c>
    </row>
    <row r="3590" spans="1:3" x14ac:dyDescent="0.35">
      <c r="A3590" s="302">
        <v>42576</v>
      </c>
      <c r="B3590" s="303">
        <v>241.31649999999999</v>
      </c>
      <c r="C3590" s="308">
        <v>8.3275911216054599</v>
      </c>
    </row>
    <row r="3591" spans="1:3" x14ac:dyDescent="0.35">
      <c r="A3591" s="305">
        <v>42575</v>
      </c>
      <c r="B3591" s="306">
        <v>241.2792</v>
      </c>
      <c r="C3591" s="309">
        <v>8.3143478828847197</v>
      </c>
    </row>
    <row r="3592" spans="1:3" x14ac:dyDescent="0.35">
      <c r="A3592" s="302">
        <v>42574</v>
      </c>
      <c r="B3592" s="303">
        <v>241.24189999999999</v>
      </c>
      <c r="C3592" s="308">
        <v>8.3011037880396596</v>
      </c>
    </row>
    <row r="3593" spans="1:3" x14ac:dyDescent="0.35">
      <c r="A3593" s="305">
        <v>42573</v>
      </c>
      <c r="B3593" s="306">
        <v>241.2047</v>
      </c>
      <c r="C3593" s="309">
        <v>8.2878551161871901</v>
      </c>
    </row>
    <row r="3594" spans="1:3" x14ac:dyDescent="0.35">
      <c r="A3594" s="302">
        <v>42572</v>
      </c>
      <c r="B3594" s="303">
        <v>241.16739999999999</v>
      </c>
      <c r="C3594" s="308">
        <v>8.2746093146709505</v>
      </c>
    </row>
    <row r="3595" spans="1:3" x14ac:dyDescent="0.35">
      <c r="A3595" s="305">
        <v>42571</v>
      </c>
      <c r="B3595" s="306">
        <v>241.1302</v>
      </c>
      <c r="C3595" s="309">
        <v>8.2614075542720897</v>
      </c>
    </row>
    <row r="3596" spans="1:3" x14ac:dyDescent="0.35">
      <c r="A3596" s="302">
        <v>42570</v>
      </c>
      <c r="B3596" s="303">
        <v>241.09289999999999</v>
      </c>
      <c r="C3596" s="308">
        <v>8.2481600413788598</v>
      </c>
    </row>
    <row r="3597" spans="1:3" x14ac:dyDescent="0.35">
      <c r="A3597" s="305">
        <v>42569</v>
      </c>
      <c r="B3597" s="306">
        <v>241.0557</v>
      </c>
      <c r="C3597" s="309">
        <v>8.2349565723399198</v>
      </c>
    </row>
    <row r="3598" spans="1:3" x14ac:dyDescent="0.35">
      <c r="A3598" s="302">
        <v>42568</v>
      </c>
      <c r="B3598" s="303">
        <v>241.01840000000001</v>
      </c>
      <c r="C3598" s="308">
        <v>8.2216587542168398</v>
      </c>
    </row>
    <row r="3599" spans="1:3" x14ac:dyDescent="0.35">
      <c r="A3599" s="305">
        <v>42567</v>
      </c>
      <c r="B3599" s="306">
        <v>240.9812</v>
      </c>
      <c r="C3599" s="309">
        <v>8.2084535805647807</v>
      </c>
    </row>
    <row r="3600" spans="1:3" x14ac:dyDescent="0.35">
      <c r="A3600" s="302">
        <v>42566</v>
      </c>
      <c r="B3600" s="303">
        <v>240.94399999999999</v>
      </c>
      <c r="C3600" s="308">
        <v>8.1952475530291196</v>
      </c>
    </row>
    <row r="3601" spans="1:3" x14ac:dyDescent="0.35">
      <c r="A3601" s="305">
        <v>42565</v>
      </c>
      <c r="B3601" s="306">
        <v>240.90309999999999</v>
      </c>
      <c r="C3601" s="309">
        <v>8.1862576030293592</v>
      </c>
    </row>
    <row r="3602" spans="1:3" x14ac:dyDescent="0.35">
      <c r="A3602" s="302">
        <v>42564</v>
      </c>
      <c r="B3602" s="303">
        <v>240.8623</v>
      </c>
      <c r="C3602" s="308">
        <v>8.1772624218971792</v>
      </c>
    </row>
    <row r="3603" spans="1:3" x14ac:dyDescent="0.35">
      <c r="A3603" s="305">
        <v>42563</v>
      </c>
      <c r="B3603" s="306">
        <v>240.82140000000001</v>
      </c>
      <c r="C3603" s="309">
        <v>8.1682693581762909</v>
      </c>
    </row>
    <row r="3604" spans="1:3" x14ac:dyDescent="0.35">
      <c r="A3604" s="302">
        <v>42562</v>
      </c>
      <c r="B3604" s="303">
        <v>240.78059999999999</v>
      </c>
      <c r="C3604" s="308">
        <v>8.1593196554075504</v>
      </c>
    </row>
    <row r="3605" spans="1:3" x14ac:dyDescent="0.35">
      <c r="A3605" s="305">
        <v>42561</v>
      </c>
      <c r="B3605" s="306">
        <v>240.7398</v>
      </c>
      <c r="C3605" s="309">
        <v>8.1503684006948909</v>
      </c>
    </row>
    <row r="3606" spans="1:3" x14ac:dyDescent="0.35">
      <c r="A3606" s="302">
        <v>42560</v>
      </c>
      <c r="B3606" s="303">
        <v>240.69900000000001</v>
      </c>
      <c r="C3606" s="308">
        <v>8.1413670078053499</v>
      </c>
    </row>
    <row r="3607" spans="1:3" x14ac:dyDescent="0.35">
      <c r="A3607" s="305">
        <v>42559</v>
      </c>
      <c r="B3607" s="306">
        <v>240.65819999999999</v>
      </c>
      <c r="C3607" s="309">
        <v>8.1324126478036405</v>
      </c>
    </row>
    <row r="3608" spans="1:3" x14ac:dyDescent="0.35">
      <c r="A3608" s="302">
        <v>42558</v>
      </c>
      <c r="B3608" s="303">
        <v>240.6173</v>
      </c>
      <c r="C3608" s="308">
        <v>8.1233632126596795</v>
      </c>
    </row>
    <row r="3609" spans="1:3" x14ac:dyDescent="0.35">
      <c r="A3609" s="305">
        <v>42557</v>
      </c>
      <c r="B3609" s="306">
        <v>240.57660000000001</v>
      </c>
      <c r="C3609" s="309">
        <v>8.1144506815782602</v>
      </c>
    </row>
    <row r="3610" spans="1:3" x14ac:dyDescent="0.35">
      <c r="A3610" s="302">
        <v>42556</v>
      </c>
      <c r="B3610" s="303">
        <v>240.53579999999999</v>
      </c>
      <c r="C3610" s="308">
        <v>8.1054916607116407</v>
      </c>
    </row>
    <row r="3611" spans="1:3" x14ac:dyDescent="0.35">
      <c r="A3611" s="305">
        <v>42555</v>
      </c>
      <c r="B3611" s="306">
        <v>240.495</v>
      </c>
      <c r="C3611" s="309">
        <v>8.0964824987931596</v>
      </c>
    </row>
    <row r="3612" spans="1:3" x14ac:dyDescent="0.35">
      <c r="A3612" s="302">
        <v>42554</v>
      </c>
      <c r="B3612" s="303">
        <v>240.45419999999999</v>
      </c>
      <c r="C3612" s="308">
        <v>8.0875203686014494</v>
      </c>
    </row>
    <row r="3613" spans="1:3" x14ac:dyDescent="0.35">
      <c r="A3613" s="305">
        <v>42553</v>
      </c>
      <c r="B3613" s="306">
        <v>240.4134</v>
      </c>
      <c r="C3613" s="309">
        <v>8.0785080962204798</v>
      </c>
    </row>
    <row r="3614" spans="1:3" x14ac:dyDescent="0.35">
      <c r="A3614" s="302">
        <v>42552</v>
      </c>
      <c r="B3614" s="303">
        <v>240.37270000000001</v>
      </c>
      <c r="C3614" s="308">
        <v>8.0695878142646507</v>
      </c>
    </row>
    <row r="3615" spans="1:3" x14ac:dyDescent="0.35">
      <c r="A3615" s="305">
        <v>42551</v>
      </c>
      <c r="B3615" s="306">
        <v>240.33189999999999</v>
      </c>
      <c r="C3615" s="309">
        <v>8.0605724336884794</v>
      </c>
    </row>
    <row r="3616" spans="1:3" x14ac:dyDescent="0.35">
      <c r="A3616" s="302">
        <v>42550</v>
      </c>
      <c r="B3616" s="303">
        <v>240.2912</v>
      </c>
      <c r="C3616" s="308">
        <v>8.0516490508598793</v>
      </c>
    </row>
    <row r="3617" spans="1:3" x14ac:dyDescent="0.35">
      <c r="A3617" s="305">
        <v>42549</v>
      </c>
      <c r="B3617" s="306">
        <v>240.25040000000001</v>
      </c>
      <c r="C3617" s="309">
        <v>8.0426305604761197</v>
      </c>
    </row>
    <row r="3618" spans="1:3" x14ac:dyDescent="0.35">
      <c r="A3618" s="302">
        <v>42548</v>
      </c>
      <c r="B3618" s="303">
        <v>240.2097</v>
      </c>
      <c r="C3618" s="308">
        <v>8.0337040751618005</v>
      </c>
    </row>
    <row r="3619" spans="1:3" x14ac:dyDescent="0.35">
      <c r="A3619" s="305">
        <v>42547</v>
      </c>
      <c r="B3619" s="306">
        <v>240.16900000000001</v>
      </c>
      <c r="C3619" s="309">
        <v>8.0247274519875607</v>
      </c>
    </row>
    <row r="3620" spans="1:3" x14ac:dyDescent="0.35">
      <c r="A3620" s="302">
        <v>42546</v>
      </c>
      <c r="B3620" s="303">
        <v>240.12819999999999</v>
      </c>
      <c r="C3620" s="308">
        <v>8.0157528839428096</v>
      </c>
    </row>
    <row r="3621" spans="1:3" x14ac:dyDescent="0.35">
      <c r="A3621" s="305">
        <v>42545</v>
      </c>
      <c r="B3621" s="306">
        <v>240.08750000000001</v>
      </c>
      <c r="C3621" s="309">
        <v>8.0067731555230104</v>
      </c>
    </row>
    <row r="3622" spans="1:3" x14ac:dyDescent="0.35">
      <c r="A3622" s="302">
        <v>42544</v>
      </c>
      <c r="B3622" s="303">
        <v>240.04679999999999</v>
      </c>
      <c r="C3622" s="308">
        <v>7.9977918757403703</v>
      </c>
    </row>
    <row r="3623" spans="1:3" x14ac:dyDescent="0.35">
      <c r="A3623" s="305">
        <v>42543</v>
      </c>
      <c r="B3623" s="306">
        <v>240.0061</v>
      </c>
      <c r="C3623" s="309">
        <v>7.9888576329084096</v>
      </c>
    </row>
    <row r="3624" spans="1:3" x14ac:dyDescent="0.35">
      <c r="A3624" s="302">
        <v>42542</v>
      </c>
      <c r="B3624" s="303">
        <v>239.96539999999999</v>
      </c>
      <c r="C3624" s="308">
        <v>7.9798732493488798</v>
      </c>
    </row>
    <row r="3625" spans="1:3" x14ac:dyDescent="0.35">
      <c r="A3625" s="305">
        <v>42541</v>
      </c>
      <c r="B3625" s="306">
        <v>239.9247</v>
      </c>
      <c r="C3625" s="309">
        <v>7.9709359022880397</v>
      </c>
    </row>
    <row r="3626" spans="1:3" x14ac:dyDescent="0.35">
      <c r="A3626" s="302">
        <v>42540</v>
      </c>
      <c r="B3626" s="303">
        <v>239.88409999999999</v>
      </c>
      <c r="C3626" s="308">
        <v>7.9619934192375901</v>
      </c>
    </row>
    <row r="3627" spans="1:3" x14ac:dyDescent="0.35">
      <c r="A3627" s="305">
        <v>42539</v>
      </c>
      <c r="B3627" s="306">
        <v>239.8434</v>
      </c>
      <c r="C3627" s="309">
        <v>7.9530043808026099</v>
      </c>
    </row>
    <row r="3628" spans="1:3" x14ac:dyDescent="0.35">
      <c r="A3628" s="302">
        <v>42538</v>
      </c>
      <c r="B3628" s="303">
        <v>239.80269999999999</v>
      </c>
      <c r="C3628" s="308">
        <v>7.9440137885896602</v>
      </c>
    </row>
    <row r="3629" spans="1:3" x14ac:dyDescent="0.35">
      <c r="A3629" s="305">
        <v>42537</v>
      </c>
      <c r="B3629" s="306">
        <v>239.7621</v>
      </c>
      <c r="C3629" s="309">
        <v>7.93511524952799</v>
      </c>
    </row>
    <row r="3630" spans="1:3" x14ac:dyDescent="0.35">
      <c r="A3630" s="302">
        <v>42536</v>
      </c>
      <c r="B3630" s="303">
        <v>239.72139999999999</v>
      </c>
      <c r="C3630" s="308">
        <v>7.9261215525927398</v>
      </c>
    </row>
    <row r="3631" spans="1:3" x14ac:dyDescent="0.35">
      <c r="A3631" s="305">
        <v>42535</v>
      </c>
      <c r="B3631" s="306">
        <v>239.68289999999999</v>
      </c>
      <c r="C3631" s="309">
        <v>7.9275442457951604</v>
      </c>
    </row>
    <row r="3632" spans="1:3" x14ac:dyDescent="0.35">
      <c r="A3632" s="302">
        <v>42534</v>
      </c>
      <c r="B3632" s="303">
        <v>239.64429999999999</v>
      </c>
      <c r="C3632" s="308">
        <v>7.9289223965159303</v>
      </c>
    </row>
    <row r="3633" spans="1:3" x14ac:dyDescent="0.35">
      <c r="A3633" s="305">
        <v>42533</v>
      </c>
      <c r="B3633" s="306">
        <v>239.60579999999999</v>
      </c>
      <c r="C3633" s="309">
        <v>7.93029745428501</v>
      </c>
    </row>
    <row r="3634" spans="1:3" x14ac:dyDescent="0.35">
      <c r="A3634" s="302">
        <v>42532</v>
      </c>
      <c r="B3634" s="303">
        <v>239.56720000000001</v>
      </c>
      <c r="C3634" s="308">
        <v>7.9316765625091499</v>
      </c>
    </row>
    <row r="3635" spans="1:3" x14ac:dyDescent="0.35">
      <c r="A3635" s="305">
        <v>42531</v>
      </c>
      <c r="B3635" s="306">
        <v>239.52869999999999</v>
      </c>
      <c r="C3635" s="309">
        <v>7.9331012110941002</v>
      </c>
    </row>
    <row r="3636" spans="1:3" x14ac:dyDescent="0.35">
      <c r="A3636" s="302">
        <v>42530</v>
      </c>
      <c r="B3636" s="303">
        <v>239.49010000000001</v>
      </c>
      <c r="C3636" s="308">
        <v>7.9344326425244098</v>
      </c>
    </row>
    <row r="3637" spans="1:3" x14ac:dyDescent="0.35">
      <c r="A3637" s="305">
        <v>42529</v>
      </c>
      <c r="B3637" s="306">
        <v>239.45160000000001</v>
      </c>
      <c r="C3637" s="309">
        <v>7.9358582657715102</v>
      </c>
    </row>
    <row r="3638" spans="1:3" x14ac:dyDescent="0.35">
      <c r="A3638" s="302">
        <v>42528</v>
      </c>
      <c r="B3638" s="303">
        <v>239.41309999999999</v>
      </c>
      <c r="C3638" s="308">
        <v>7.9372357226552497</v>
      </c>
    </row>
    <row r="3639" spans="1:3" x14ac:dyDescent="0.35">
      <c r="A3639" s="305">
        <v>42527</v>
      </c>
      <c r="B3639" s="306">
        <v>239.37459999999999</v>
      </c>
      <c r="C3639" s="309">
        <v>7.9386136578027999</v>
      </c>
    </row>
    <row r="3640" spans="1:3" x14ac:dyDescent="0.35">
      <c r="A3640" s="302">
        <v>42526</v>
      </c>
      <c r="B3640" s="303">
        <v>239.33609999999999</v>
      </c>
      <c r="C3640" s="308">
        <v>7.9400407521559897</v>
      </c>
    </row>
    <row r="3641" spans="1:3" x14ac:dyDescent="0.35">
      <c r="A3641" s="305">
        <v>42525</v>
      </c>
      <c r="B3641" s="306">
        <v>239.29759999999999</v>
      </c>
      <c r="C3641" s="309">
        <v>7.9414196536547799</v>
      </c>
    </row>
    <row r="3642" spans="1:3" x14ac:dyDescent="0.35">
      <c r="A3642" s="302">
        <v>42524</v>
      </c>
      <c r="B3642" s="303">
        <v>239.25909999999999</v>
      </c>
      <c r="C3642" s="308">
        <v>7.9427990341686296</v>
      </c>
    </row>
    <row r="3643" spans="1:3" x14ac:dyDescent="0.35">
      <c r="A3643" s="305">
        <v>42523</v>
      </c>
      <c r="B3643" s="306">
        <v>239.22059999999999</v>
      </c>
      <c r="C3643" s="309">
        <v>7.9441788939472104</v>
      </c>
    </row>
    <row r="3644" spans="1:3" x14ac:dyDescent="0.35">
      <c r="A3644" s="302">
        <v>42522</v>
      </c>
      <c r="B3644" s="303">
        <v>239.18209999999999</v>
      </c>
      <c r="C3644" s="308">
        <v>7.9455592332403304</v>
      </c>
    </row>
    <row r="3645" spans="1:3" x14ac:dyDescent="0.35">
      <c r="A3645" s="305">
        <v>42521</v>
      </c>
      <c r="B3645" s="306">
        <v>239.14359999999999</v>
      </c>
      <c r="C3645" s="309">
        <v>7.9469400522980003</v>
      </c>
    </row>
    <row r="3646" spans="1:3" x14ac:dyDescent="0.35">
      <c r="A3646" s="302">
        <v>42520</v>
      </c>
      <c r="B3646" s="303">
        <v>239.10509999999999</v>
      </c>
      <c r="C3646" s="308">
        <v>7.9483213513703896</v>
      </c>
    </row>
    <row r="3647" spans="1:3" x14ac:dyDescent="0.35">
      <c r="A3647" s="305">
        <v>42519</v>
      </c>
      <c r="B3647" s="306">
        <v>239.0667</v>
      </c>
      <c r="C3647" s="309">
        <v>7.94969954104827</v>
      </c>
    </row>
    <row r="3648" spans="1:3" x14ac:dyDescent="0.35">
      <c r="A3648" s="302">
        <v>42518</v>
      </c>
      <c r="B3648" s="303">
        <v>239.0282</v>
      </c>
      <c r="C3648" s="308">
        <v>7.9510817996528802</v>
      </c>
    </row>
    <row r="3649" spans="1:3" x14ac:dyDescent="0.35">
      <c r="A3649" s="305">
        <v>42517</v>
      </c>
      <c r="B3649" s="306">
        <v>238.9898</v>
      </c>
      <c r="C3649" s="309">
        <v>7.9525097093649899</v>
      </c>
    </row>
    <row r="3650" spans="1:3" x14ac:dyDescent="0.35">
      <c r="A3650" s="302">
        <v>42516</v>
      </c>
      <c r="B3650" s="303">
        <v>238.9513</v>
      </c>
      <c r="C3650" s="308">
        <v>7.9538441660063102</v>
      </c>
    </row>
    <row r="3651" spans="1:3" x14ac:dyDescent="0.35">
      <c r="A3651" s="305">
        <v>42515</v>
      </c>
      <c r="B3651" s="306">
        <v>238.91290000000001</v>
      </c>
      <c r="C3651" s="309">
        <v>7.9552730524478896</v>
      </c>
    </row>
    <row r="3652" spans="1:3" x14ac:dyDescent="0.35">
      <c r="A3652" s="302">
        <v>42514</v>
      </c>
      <c r="B3652" s="303">
        <v>238.87440000000001</v>
      </c>
      <c r="C3652" s="308">
        <v>7.9566084524305003</v>
      </c>
    </row>
    <row r="3653" spans="1:3" x14ac:dyDescent="0.35">
      <c r="A3653" s="305">
        <v>42513</v>
      </c>
      <c r="B3653" s="306">
        <v>238.83600000000001</v>
      </c>
      <c r="C3653" s="309">
        <v>7.9579895177202102</v>
      </c>
    </row>
    <row r="3654" spans="1:3" x14ac:dyDescent="0.35">
      <c r="A3654" s="302">
        <v>42512</v>
      </c>
      <c r="B3654" s="303">
        <v>238.79759999999999</v>
      </c>
      <c r="C3654" s="308">
        <v>7.9594198705197297</v>
      </c>
    </row>
    <row r="3655" spans="1:3" x14ac:dyDescent="0.35">
      <c r="A3655" s="305">
        <v>42511</v>
      </c>
      <c r="B3655" s="306">
        <v>238.75919999999999</v>
      </c>
      <c r="C3655" s="309">
        <v>7.9608019041968996</v>
      </c>
    </row>
    <row r="3656" spans="1:3" x14ac:dyDescent="0.35">
      <c r="A3656" s="302">
        <v>42510</v>
      </c>
      <c r="B3656" s="303">
        <v>238.7208</v>
      </c>
      <c r="C3656" s="308">
        <v>7.9621844178961902</v>
      </c>
    </row>
    <row r="3657" spans="1:3" x14ac:dyDescent="0.35">
      <c r="A3657" s="305">
        <v>42509</v>
      </c>
      <c r="B3657" s="306">
        <v>238.6824</v>
      </c>
      <c r="C3657" s="309">
        <v>7.9635674118677304</v>
      </c>
    </row>
    <row r="3658" spans="1:3" x14ac:dyDescent="0.35">
      <c r="A3658" s="302">
        <v>42508</v>
      </c>
      <c r="B3658" s="303">
        <v>238.64400000000001</v>
      </c>
      <c r="C3658" s="308">
        <v>7.9649508863618301</v>
      </c>
    </row>
    <row r="3659" spans="1:3" x14ac:dyDescent="0.35">
      <c r="A3659" s="305">
        <v>42507</v>
      </c>
      <c r="B3659" s="306">
        <v>238.60560000000001</v>
      </c>
      <c r="C3659" s="309">
        <v>7.9663348416289601</v>
      </c>
    </row>
    <row r="3660" spans="1:3" x14ac:dyDescent="0.35">
      <c r="A3660" s="302">
        <v>42506</v>
      </c>
      <c r="B3660" s="303">
        <v>238.56720000000001</v>
      </c>
      <c r="C3660" s="308">
        <v>7.9677192779197803</v>
      </c>
    </row>
    <row r="3661" spans="1:3" x14ac:dyDescent="0.35">
      <c r="A3661" s="305">
        <v>42505</v>
      </c>
      <c r="B3661" s="306">
        <v>238.52879999999999</v>
      </c>
      <c r="C3661" s="309">
        <v>7.96910419548513</v>
      </c>
    </row>
    <row r="3662" spans="1:3" x14ac:dyDescent="0.35">
      <c r="A3662" s="302">
        <v>42504</v>
      </c>
      <c r="B3662" s="303">
        <v>238.45439999999999</v>
      </c>
      <c r="C3662" s="308">
        <v>7.9565863620908903</v>
      </c>
    </row>
    <row r="3663" spans="1:3" x14ac:dyDescent="0.35">
      <c r="A3663" s="305">
        <v>42503</v>
      </c>
      <c r="B3663" s="306">
        <v>238.3801</v>
      </c>
      <c r="C3663" s="309">
        <v>7.9441089022381304</v>
      </c>
    </row>
    <row r="3664" spans="1:3" x14ac:dyDescent="0.35">
      <c r="A3664" s="302">
        <v>42502</v>
      </c>
      <c r="B3664" s="303">
        <v>238.3057</v>
      </c>
      <c r="C3664" s="308">
        <v>7.9315812572211204</v>
      </c>
    </row>
    <row r="3665" spans="1:3" x14ac:dyDescent="0.35">
      <c r="A3665" s="305">
        <v>42501</v>
      </c>
      <c r="B3665" s="306">
        <v>238.23140000000001</v>
      </c>
      <c r="C3665" s="309">
        <v>7.9190939977349899</v>
      </c>
    </row>
    <row r="3666" spans="1:3" x14ac:dyDescent="0.35">
      <c r="A3666" s="302">
        <v>42500</v>
      </c>
      <c r="B3666" s="303">
        <v>238.15710000000001</v>
      </c>
      <c r="C3666" s="308">
        <v>7.9066018385486299</v>
      </c>
    </row>
    <row r="3667" spans="1:3" x14ac:dyDescent="0.35">
      <c r="A3667" s="305">
        <v>42499</v>
      </c>
      <c r="B3667" s="306">
        <v>238.0829</v>
      </c>
      <c r="C3667" s="309">
        <v>7.8941500946690804</v>
      </c>
    </row>
    <row r="3668" spans="1:3" x14ac:dyDescent="0.35">
      <c r="A3668" s="302">
        <v>42498</v>
      </c>
      <c r="B3668" s="303">
        <v>238.0086</v>
      </c>
      <c r="C3668" s="308">
        <v>7.8815992370598904</v>
      </c>
    </row>
    <row r="3669" spans="1:3" x14ac:dyDescent="0.35">
      <c r="A3669" s="305">
        <v>42497</v>
      </c>
      <c r="B3669" s="306">
        <v>237.93440000000001</v>
      </c>
      <c r="C3669" s="309">
        <v>7.8691377020893798</v>
      </c>
    </row>
    <row r="3670" spans="1:3" x14ac:dyDescent="0.35">
      <c r="A3670" s="302">
        <v>42496</v>
      </c>
      <c r="B3670" s="303">
        <v>237.86019999999999</v>
      </c>
      <c r="C3670" s="308">
        <v>7.8566223665589403</v>
      </c>
    </row>
    <row r="3671" spans="1:3" x14ac:dyDescent="0.35">
      <c r="A3671" s="305">
        <v>42495</v>
      </c>
      <c r="B3671" s="306">
        <v>237.786</v>
      </c>
      <c r="C3671" s="309">
        <v>7.8441510378683201</v>
      </c>
    </row>
    <row r="3672" spans="1:3" x14ac:dyDescent="0.35">
      <c r="A3672" s="302">
        <v>42494</v>
      </c>
      <c r="B3672" s="303">
        <v>237.71190000000001</v>
      </c>
      <c r="C3672" s="308">
        <v>7.8316712573350902</v>
      </c>
    </row>
    <row r="3673" spans="1:3" x14ac:dyDescent="0.35">
      <c r="A3673" s="305">
        <v>42493</v>
      </c>
      <c r="B3673" s="306">
        <v>237.6378</v>
      </c>
      <c r="C3673" s="309">
        <v>7.8191865846354904</v>
      </c>
    </row>
    <row r="3674" spans="1:3" x14ac:dyDescent="0.35">
      <c r="A3674" s="302">
        <v>42492</v>
      </c>
      <c r="B3674" s="303">
        <v>237.56370000000001</v>
      </c>
      <c r="C3674" s="308">
        <v>7.8066970168922998</v>
      </c>
    </row>
    <row r="3675" spans="1:3" x14ac:dyDescent="0.35">
      <c r="A3675" s="305">
        <v>42491</v>
      </c>
      <c r="B3675" s="306">
        <v>237.4896</v>
      </c>
      <c r="C3675" s="309">
        <v>7.79425147798064</v>
      </c>
    </row>
    <row r="3676" spans="1:3" x14ac:dyDescent="0.35">
      <c r="A3676" s="302">
        <v>42490</v>
      </c>
      <c r="B3676" s="303">
        <v>237.41550000000001</v>
      </c>
      <c r="C3676" s="308">
        <v>7.7817521154306197</v>
      </c>
    </row>
    <row r="3677" spans="1:3" x14ac:dyDescent="0.35">
      <c r="A3677" s="305">
        <v>42489</v>
      </c>
      <c r="B3677" s="306">
        <v>237.3415</v>
      </c>
      <c r="C3677" s="309">
        <v>7.7692443214222102</v>
      </c>
    </row>
    <row r="3678" spans="1:3" x14ac:dyDescent="0.35">
      <c r="A3678" s="302">
        <v>42488</v>
      </c>
      <c r="B3678" s="303">
        <v>237.26750000000001</v>
      </c>
      <c r="C3678" s="308">
        <v>7.75678056933166</v>
      </c>
    </row>
    <row r="3679" spans="1:3" x14ac:dyDescent="0.35">
      <c r="A3679" s="305">
        <v>42487</v>
      </c>
      <c r="B3679" s="306">
        <v>237.1935</v>
      </c>
      <c r="C3679" s="309">
        <v>7.7443119256053299</v>
      </c>
    </row>
    <row r="3680" spans="1:3" x14ac:dyDescent="0.35">
      <c r="A3680" s="302">
        <v>42486</v>
      </c>
      <c r="B3680" s="303">
        <v>237.11959999999999</v>
      </c>
      <c r="C3680" s="308">
        <v>7.7318838209263401</v>
      </c>
    </row>
    <row r="3681" spans="1:3" x14ac:dyDescent="0.35">
      <c r="A3681" s="305">
        <v>42485</v>
      </c>
      <c r="B3681" s="306">
        <v>237.04560000000001</v>
      </c>
      <c r="C3681" s="309">
        <v>7.7193564438547</v>
      </c>
    </row>
    <row r="3682" spans="1:3" x14ac:dyDescent="0.35">
      <c r="A3682" s="302">
        <v>42484</v>
      </c>
      <c r="B3682" s="303">
        <v>236.9717</v>
      </c>
      <c r="C3682" s="308">
        <v>7.7069185642998503</v>
      </c>
    </row>
    <row r="3683" spans="1:3" x14ac:dyDescent="0.35">
      <c r="A3683" s="305">
        <v>42483</v>
      </c>
      <c r="B3683" s="306">
        <v>236.89779999999999</v>
      </c>
      <c r="C3683" s="309">
        <v>7.6944268412099301</v>
      </c>
    </row>
    <row r="3684" spans="1:3" x14ac:dyDescent="0.35">
      <c r="A3684" s="302">
        <v>42482</v>
      </c>
      <c r="B3684" s="303">
        <v>236.82390000000001</v>
      </c>
      <c r="C3684" s="308">
        <v>7.6819302220579297</v>
      </c>
    </row>
    <row r="3685" spans="1:3" x14ac:dyDescent="0.35">
      <c r="A3685" s="305">
        <v>42481</v>
      </c>
      <c r="B3685" s="306">
        <v>236.7501</v>
      </c>
      <c r="C3685" s="309">
        <v>7.6694741820761703</v>
      </c>
    </row>
    <row r="3686" spans="1:3" x14ac:dyDescent="0.35">
      <c r="A3686" s="302">
        <v>42480</v>
      </c>
      <c r="B3686" s="303">
        <v>236.6763</v>
      </c>
      <c r="C3686" s="308">
        <v>7.6570622281011698</v>
      </c>
    </row>
    <row r="3687" spans="1:3" x14ac:dyDescent="0.35">
      <c r="A3687" s="305">
        <v>42479</v>
      </c>
      <c r="B3687" s="306">
        <v>236.60249999999999</v>
      </c>
      <c r="C3687" s="309">
        <v>7.6445964211962103</v>
      </c>
    </row>
    <row r="3688" spans="1:3" x14ac:dyDescent="0.35">
      <c r="A3688" s="302">
        <v>42478</v>
      </c>
      <c r="B3688" s="303">
        <v>236.52869999999999</v>
      </c>
      <c r="C3688" s="308">
        <v>7.6321257245516199</v>
      </c>
    </row>
    <row r="3689" spans="1:3" x14ac:dyDescent="0.35">
      <c r="A3689" s="305">
        <v>42477</v>
      </c>
      <c r="B3689" s="306">
        <v>236.45490000000001</v>
      </c>
      <c r="C3689" s="309">
        <v>7.6196501352898203</v>
      </c>
    </row>
    <row r="3690" spans="1:3" x14ac:dyDescent="0.35">
      <c r="A3690" s="302">
        <v>42476</v>
      </c>
      <c r="B3690" s="303">
        <v>236.38120000000001</v>
      </c>
      <c r="C3690" s="308">
        <v>7.6071661875399696</v>
      </c>
    </row>
    <row r="3691" spans="1:3" x14ac:dyDescent="0.35">
      <c r="A3691" s="305">
        <v>42475</v>
      </c>
      <c r="B3691" s="306">
        <v>236.3075</v>
      </c>
      <c r="C3691" s="309">
        <v>7.5947263410667301</v>
      </c>
    </row>
    <row r="3692" spans="1:3" x14ac:dyDescent="0.35">
      <c r="A3692" s="302">
        <v>42474</v>
      </c>
      <c r="B3692" s="303">
        <v>236.2106</v>
      </c>
      <c r="C3692" s="308">
        <v>7.5902861536331301</v>
      </c>
    </row>
    <row r="3693" spans="1:3" x14ac:dyDescent="0.35">
      <c r="A3693" s="305">
        <v>42473</v>
      </c>
      <c r="B3693" s="306">
        <v>236.11369999999999</v>
      </c>
      <c r="C3693" s="309">
        <v>7.5858426886424901</v>
      </c>
    </row>
    <row r="3694" spans="1:3" x14ac:dyDescent="0.35">
      <c r="A3694" s="302">
        <v>42472</v>
      </c>
      <c r="B3694" s="303">
        <v>236.01679999999999</v>
      </c>
      <c r="C3694" s="308">
        <v>7.5813469046354696</v>
      </c>
    </row>
    <row r="3695" spans="1:3" x14ac:dyDescent="0.35">
      <c r="A3695" s="305">
        <v>42471</v>
      </c>
      <c r="B3695" s="306">
        <v>235.92</v>
      </c>
      <c r="C3695" s="309">
        <v>7.57689340257068</v>
      </c>
    </row>
    <row r="3696" spans="1:3" x14ac:dyDescent="0.35">
      <c r="A3696" s="302">
        <v>42470</v>
      </c>
      <c r="B3696" s="303">
        <v>235.82320000000001</v>
      </c>
      <c r="C3696" s="308">
        <v>7.5724366135441299</v>
      </c>
    </row>
    <row r="3697" spans="1:3" x14ac:dyDescent="0.35">
      <c r="A3697" s="305">
        <v>42469</v>
      </c>
      <c r="B3697" s="306">
        <v>235.72649999999999</v>
      </c>
      <c r="C3697" s="309">
        <v>7.5679730804560901</v>
      </c>
    </row>
    <row r="3698" spans="1:3" x14ac:dyDescent="0.35">
      <c r="A3698" s="302">
        <v>42468</v>
      </c>
      <c r="B3698" s="303">
        <v>235.62979999999999</v>
      </c>
      <c r="C3698" s="308">
        <v>7.5635062546476801</v>
      </c>
    </row>
    <row r="3699" spans="1:3" x14ac:dyDescent="0.35">
      <c r="A3699" s="305">
        <v>42467</v>
      </c>
      <c r="B3699" s="306">
        <v>235.53319999999999</v>
      </c>
      <c r="C3699" s="309">
        <v>7.5590817986823504</v>
      </c>
    </row>
    <row r="3700" spans="1:3" x14ac:dyDescent="0.35">
      <c r="A3700" s="302">
        <v>42466</v>
      </c>
      <c r="B3700" s="303">
        <v>235.4365</v>
      </c>
      <c r="C3700" s="308">
        <v>7.5546083933494597</v>
      </c>
    </row>
    <row r="3701" spans="1:3" x14ac:dyDescent="0.35">
      <c r="A3701" s="305">
        <v>42465</v>
      </c>
      <c r="B3701" s="306">
        <v>235.34</v>
      </c>
      <c r="C3701" s="309">
        <v>7.5501739338667404</v>
      </c>
    </row>
    <row r="3702" spans="1:3" x14ac:dyDescent="0.35">
      <c r="A3702" s="302">
        <v>42464</v>
      </c>
      <c r="B3702" s="303">
        <v>235.24340000000001</v>
      </c>
      <c r="C3702" s="308">
        <v>7.5456904855624103</v>
      </c>
    </row>
    <row r="3703" spans="1:3" x14ac:dyDescent="0.35">
      <c r="A3703" s="305">
        <v>42463</v>
      </c>
      <c r="B3703" s="306">
        <v>235.14689999999999</v>
      </c>
      <c r="C3703" s="309">
        <v>7.5412494614863297</v>
      </c>
    </row>
    <row r="3704" spans="1:3" x14ac:dyDescent="0.35">
      <c r="A3704" s="302">
        <v>42462</v>
      </c>
      <c r="B3704" s="303">
        <v>235.0505</v>
      </c>
      <c r="C3704" s="308">
        <v>7.5368017099710496</v>
      </c>
    </row>
    <row r="3705" spans="1:3" x14ac:dyDescent="0.35">
      <c r="A3705" s="305">
        <v>42461</v>
      </c>
      <c r="B3705" s="306">
        <v>234.95410000000001</v>
      </c>
      <c r="C3705" s="309">
        <v>7.5323506770369502</v>
      </c>
    </row>
    <row r="3706" spans="1:3" x14ac:dyDescent="0.35">
      <c r="A3706" s="302">
        <v>42460</v>
      </c>
      <c r="B3706" s="303">
        <v>234.85769999999999</v>
      </c>
      <c r="C3706" s="308">
        <v>7.5278963590512804</v>
      </c>
    </row>
    <row r="3707" spans="1:3" x14ac:dyDescent="0.35">
      <c r="A3707" s="305">
        <v>42459</v>
      </c>
      <c r="B3707" s="306">
        <v>234.76130000000001</v>
      </c>
      <c r="C3707" s="309">
        <v>7.5233895053979003</v>
      </c>
    </row>
    <row r="3708" spans="1:3" x14ac:dyDescent="0.35">
      <c r="A3708" s="302">
        <v>42458</v>
      </c>
      <c r="B3708" s="303">
        <v>234.66499999999999</v>
      </c>
      <c r="C3708" s="308">
        <v>7.5189744083169003</v>
      </c>
    </row>
    <row r="3709" spans="1:3" x14ac:dyDescent="0.35">
      <c r="A3709" s="305">
        <v>42457</v>
      </c>
      <c r="B3709" s="306">
        <v>234.56880000000001</v>
      </c>
      <c r="C3709" s="309">
        <v>7.5145033255551397</v>
      </c>
    </row>
    <row r="3710" spans="1:3" x14ac:dyDescent="0.35">
      <c r="A3710" s="302">
        <v>42456</v>
      </c>
      <c r="B3710" s="303">
        <v>234.4726</v>
      </c>
      <c r="C3710" s="308">
        <v>7.5100782416356999</v>
      </c>
    </row>
    <row r="3711" spans="1:3" x14ac:dyDescent="0.35">
      <c r="A3711" s="305">
        <v>42455</v>
      </c>
      <c r="B3711" s="306">
        <v>234.37639999999999</v>
      </c>
      <c r="C3711" s="309">
        <v>7.5056005783136097</v>
      </c>
    </row>
    <row r="3712" spans="1:3" x14ac:dyDescent="0.35">
      <c r="A3712" s="302">
        <v>42454</v>
      </c>
      <c r="B3712" s="303">
        <v>234.28020000000001</v>
      </c>
      <c r="C3712" s="308">
        <v>7.5011196111828999</v>
      </c>
    </row>
    <row r="3713" spans="1:3" x14ac:dyDescent="0.35">
      <c r="A3713" s="305">
        <v>42453</v>
      </c>
      <c r="B3713" s="306">
        <v>234.1841</v>
      </c>
      <c r="C3713" s="309">
        <v>7.49668123922436</v>
      </c>
    </row>
    <row r="3714" spans="1:3" x14ac:dyDescent="0.35">
      <c r="A3714" s="302">
        <v>42452</v>
      </c>
      <c r="B3714" s="303">
        <v>234.0881</v>
      </c>
      <c r="C3714" s="308">
        <v>7.4922361496261498</v>
      </c>
    </row>
    <row r="3715" spans="1:3" x14ac:dyDescent="0.35">
      <c r="A3715" s="305">
        <v>42451</v>
      </c>
      <c r="B3715" s="306">
        <v>233.99209999999999</v>
      </c>
      <c r="C3715" s="309">
        <v>7.4878371568599098</v>
      </c>
    </row>
    <row r="3716" spans="1:3" x14ac:dyDescent="0.35">
      <c r="A3716" s="302">
        <v>42450</v>
      </c>
      <c r="B3716" s="303">
        <v>233.89609999999999</v>
      </c>
      <c r="C3716" s="308">
        <v>7.4833361288351004</v>
      </c>
    </row>
    <row r="3717" spans="1:3" x14ac:dyDescent="0.35">
      <c r="A3717" s="305">
        <v>42449</v>
      </c>
      <c r="B3717" s="306">
        <v>233.80009999999999</v>
      </c>
      <c r="C3717" s="309">
        <v>7.4788811903763701</v>
      </c>
    </row>
    <row r="3718" spans="1:3" x14ac:dyDescent="0.35">
      <c r="A3718" s="302">
        <v>42448</v>
      </c>
      <c r="B3718" s="303">
        <v>233.70419999999999</v>
      </c>
      <c r="C3718" s="308">
        <v>7.4744195243986002</v>
      </c>
    </row>
    <row r="3719" spans="1:3" x14ac:dyDescent="0.35">
      <c r="A3719" s="305">
        <v>42447</v>
      </c>
      <c r="B3719" s="306">
        <v>233.60839999999999</v>
      </c>
      <c r="C3719" s="309">
        <v>7.4700005704538102</v>
      </c>
    </row>
    <row r="3720" spans="1:3" x14ac:dyDescent="0.35">
      <c r="A3720" s="302">
        <v>42446</v>
      </c>
      <c r="B3720" s="303">
        <v>233.51249999999999</v>
      </c>
      <c r="C3720" s="308">
        <v>7.4655323331980297</v>
      </c>
    </row>
    <row r="3721" spans="1:3" x14ac:dyDescent="0.35">
      <c r="A3721" s="305">
        <v>42445</v>
      </c>
      <c r="B3721" s="306">
        <v>233.41669999999999</v>
      </c>
      <c r="C3721" s="309">
        <v>7.4610573614074802</v>
      </c>
    </row>
    <row r="3722" spans="1:3" x14ac:dyDescent="0.35">
      <c r="A3722" s="302">
        <v>42444</v>
      </c>
      <c r="B3722" s="303">
        <v>233.321</v>
      </c>
      <c r="C3722" s="308">
        <v>7.4566251432319</v>
      </c>
    </row>
    <row r="3723" spans="1:3" x14ac:dyDescent="0.35">
      <c r="A3723" s="305">
        <v>42443</v>
      </c>
      <c r="B3723" s="306">
        <v>233.21789999999999</v>
      </c>
      <c r="C3723" s="309">
        <v>7.43363418891298</v>
      </c>
    </row>
    <row r="3724" spans="1:3" x14ac:dyDescent="0.35">
      <c r="A3724" s="302">
        <v>42442</v>
      </c>
      <c r="B3724" s="303">
        <v>233.11490000000001</v>
      </c>
      <c r="C3724" s="308">
        <v>7.4106293326083996</v>
      </c>
    </row>
    <row r="3725" spans="1:3" x14ac:dyDescent="0.35">
      <c r="A3725" s="305">
        <v>42441</v>
      </c>
      <c r="B3725" s="306">
        <v>233.01179999999999</v>
      </c>
      <c r="C3725" s="309">
        <v>7.3876174060521098</v>
      </c>
    </row>
    <row r="3726" spans="1:3" x14ac:dyDescent="0.35">
      <c r="A3726" s="302">
        <v>42440</v>
      </c>
      <c r="B3726" s="303">
        <v>232.90889999999999</v>
      </c>
      <c r="C3726" s="308">
        <v>7.3646376800904996</v>
      </c>
    </row>
    <row r="3727" spans="1:3" x14ac:dyDescent="0.35">
      <c r="A3727" s="305">
        <v>42439</v>
      </c>
      <c r="B3727" s="306">
        <v>232.80600000000001</v>
      </c>
      <c r="C3727" s="309">
        <v>7.3416474858356899</v>
      </c>
    </row>
    <row r="3728" spans="1:3" x14ac:dyDescent="0.35">
      <c r="A3728" s="302">
        <v>42438</v>
      </c>
      <c r="B3728" s="303">
        <v>232.70310000000001</v>
      </c>
      <c r="C3728" s="308">
        <v>7.3186468161329099</v>
      </c>
    </row>
    <row r="3729" spans="1:3" x14ac:dyDescent="0.35">
      <c r="A3729" s="305">
        <v>42437</v>
      </c>
      <c r="B3729" s="306">
        <v>232.6003</v>
      </c>
      <c r="C3729" s="309">
        <v>7.29568179260131</v>
      </c>
    </row>
    <row r="3730" spans="1:3" x14ac:dyDescent="0.35">
      <c r="A3730" s="302">
        <v>42436</v>
      </c>
      <c r="B3730" s="303">
        <v>232.4975</v>
      </c>
      <c r="C3730" s="308">
        <v>7.27270630032067</v>
      </c>
    </row>
    <row r="3731" spans="1:3" x14ac:dyDescent="0.35">
      <c r="A3731" s="305">
        <v>42435</v>
      </c>
      <c r="B3731" s="306">
        <v>232.3947</v>
      </c>
      <c r="C3731" s="309">
        <v>7.2497203321309804</v>
      </c>
    </row>
    <row r="3732" spans="1:3" x14ac:dyDescent="0.35">
      <c r="A3732" s="302">
        <v>42434</v>
      </c>
      <c r="B3732" s="303">
        <v>232.292</v>
      </c>
      <c r="C3732" s="308">
        <v>7.2267700412027196</v>
      </c>
    </row>
    <row r="3733" spans="1:3" x14ac:dyDescent="0.35">
      <c r="A3733" s="305">
        <v>42433</v>
      </c>
      <c r="B3733" s="306">
        <v>232.18940000000001</v>
      </c>
      <c r="C3733" s="309">
        <v>7.2038059550231299</v>
      </c>
    </row>
    <row r="3734" spans="1:3" x14ac:dyDescent="0.35">
      <c r="A3734" s="302">
        <v>42432</v>
      </c>
      <c r="B3734" s="303">
        <v>232.08680000000001</v>
      </c>
      <c r="C3734" s="308">
        <v>7.1808809097731299</v>
      </c>
    </row>
    <row r="3735" spans="1:3" x14ac:dyDescent="0.35">
      <c r="A3735" s="305">
        <v>42431</v>
      </c>
      <c r="B3735" s="306">
        <v>231.98419999999999</v>
      </c>
      <c r="C3735" s="309">
        <v>7.1578959037952199</v>
      </c>
    </row>
    <row r="3736" spans="1:3" x14ac:dyDescent="0.35">
      <c r="A3736" s="302">
        <v>42430</v>
      </c>
      <c r="B3736" s="303">
        <v>231.8817</v>
      </c>
      <c r="C3736" s="308">
        <v>7.1349466292796704</v>
      </c>
    </row>
    <row r="3737" spans="1:3" x14ac:dyDescent="0.35">
      <c r="A3737" s="305">
        <v>42429</v>
      </c>
      <c r="B3737" s="306">
        <v>231.77930000000001</v>
      </c>
      <c r="C3737" s="309">
        <v>7.1120331106485697</v>
      </c>
    </row>
    <row r="3738" spans="1:3" x14ac:dyDescent="0.35">
      <c r="A3738" s="302">
        <v>42428</v>
      </c>
      <c r="B3738" s="303">
        <v>231.67679999999999</v>
      </c>
      <c r="C3738" s="308">
        <v>7.06466484526059</v>
      </c>
    </row>
    <row r="3739" spans="1:3" x14ac:dyDescent="0.35">
      <c r="A3739" s="305">
        <v>42427</v>
      </c>
      <c r="B3739" s="306">
        <v>231.5745</v>
      </c>
      <c r="C3739" s="309">
        <v>7.0417763125963999</v>
      </c>
    </row>
    <row r="3740" spans="1:3" x14ac:dyDescent="0.35">
      <c r="A3740" s="302">
        <v>42426</v>
      </c>
      <c r="B3740" s="303">
        <v>231.47210000000001</v>
      </c>
      <c r="C3740" s="308">
        <v>7.0188311117892104</v>
      </c>
    </row>
    <row r="3741" spans="1:3" x14ac:dyDescent="0.35">
      <c r="A3741" s="305">
        <v>42425</v>
      </c>
      <c r="B3741" s="306">
        <v>231.3699</v>
      </c>
      <c r="C3741" s="309">
        <v>6.9959679377289401</v>
      </c>
    </row>
    <row r="3742" spans="1:3" x14ac:dyDescent="0.35">
      <c r="A3742" s="302">
        <v>42424</v>
      </c>
      <c r="B3742" s="303">
        <v>231.26759999999999</v>
      </c>
      <c r="C3742" s="308">
        <v>6.9729986007840203</v>
      </c>
    </row>
    <row r="3743" spans="1:3" x14ac:dyDescent="0.35">
      <c r="A3743" s="305">
        <v>42423</v>
      </c>
      <c r="B3743" s="306">
        <v>231.16540000000001</v>
      </c>
      <c r="C3743" s="309">
        <v>6.9501145536847799</v>
      </c>
    </row>
    <row r="3744" spans="1:3" x14ac:dyDescent="0.35">
      <c r="A3744" s="302">
        <v>42422</v>
      </c>
      <c r="B3744" s="303">
        <v>231.0633</v>
      </c>
      <c r="C3744" s="308">
        <v>6.9272168593297403</v>
      </c>
    </row>
    <row r="3745" spans="1:3" x14ac:dyDescent="0.35">
      <c r="A3745" s="305">
        <v>42421</v>
      </c>
      <c r="B3745" s="306">
        <v>230.96119999999999</v>
      </c>
      <c r="C3745" s="309">
        <v>6.9043582184612697</v>
      </c>
    </row>
    <row r="3746" spans="1:3" x14ac:dyDescent="0.35">
      <c r="A3746" s="302">
        <v>42420</v>
      </c>
      <c r="B3746" s="303">
        <v>230.85910000000001</v>
      </c>
      <c r="C3746" s="308">
        <v>6.88143965962254</v>
      </c>
    </row>
    <row r="3747" spans="1:3" x14ac:dyDescent="0.35">
      <c r="A3747" s="305">
        <v>42419</v>
      </c>
      <c r="B3747" s="306">
        <v>230.75710000000001</v>
      </c>
      <c r="C3747" s="309">
        <v>6.8585569653196199</v>
      </c>
    </row>
    <row r="3748" spans="1:3" x14ac:dyDescent="0.35">
      <c r="A3748" s="302">
        <v>42418</v>
      </c>
      <c r="B3748" s="303">
        <v>230.6551</v>
      </c>
      <c r="C3748" s="308">
        <v>6.8356638417097804</v>
      </c>
    </row>
    <row r="3749" spans="1:3" x14ac:dyDescent="0.35">
      <c r="A3749" s="305">
        <v>42417</v>
      </c>
      <c r="B3749" s="306">
        <v>230.5532</v>
      </c>
      <c r="C3749" s="309">
        <v>6.8128066105808802</v>
      </c>
    </row>
    <row r="3750" spans="1:3" x14ac:dyDescent="0.35">
      <c r="A3750" s="302">
        <v>42416</v>
      </c>
      <c r="B3750" s="303">
        <v>230.4513</v>
      </c>
      <c r="C3750" s="308">
        <v>6.7898894711184701</v>
      </c>
    </row>
    <row r="3751" spans="1:3" x14ac:dyDescent="0.35">
      <c r="A3751" s="305">
        <v>42415</v>
      </c>
      <c r="B3751" s="306">
        <v>230.34950000000001</v>
      </c>
      <c r="C3751" s="309">
        <v>6.7670577373028697</v>
      </c>
    </row>
    <row r="3752" spans="1:3" x14ac:dyDescent="0.35">
      <c r="A3752" s="302">
        <v>42414</v>
      </c>
      <c r="B3752" s="303">
        <v>230.30350000000001</v>
      </c>
      <c r="C3752" s="308">
        <v>6.7550391506451604</v>
      </c>
    </row>
    <row r="3753" spans="1:3" x14ac:dyDescent="0.35">
      <c r="A3753" s="305">
        <v>42413</v>
      </c>
      <c r="B3753" s="306">
        <v>230.2576</v>
      </c>
      <c r="C3753" s="309">
        <v>6.7430648271769797</v>
      </c>
    </row>
    <row r="3754" spans="1:3" x14ac:dyDescent="0.35">
      <c r="A3754" s="302">
        <v>42412</v>
      </c>
      <c r="B3754" s="303">
        <v>230.21170000000001</v>
      </c>
      <c r="C3754" s="308">
        <v>6.7310389335227399</v>
      </c>
    </row>
    <row r="3755" spans="1:3" x14ac:dyDescent="0.35">
      <c r="A3755" s="305">
        <v>42411</v>
      </c>
      <c r="B3755" s="306">
        <v>230.16579999999999</v>
      </c>
      <c r="C3755" s="309">
        <v>6.7190604359810697</v>
      </c>
    </row>
    <row r="3756" spans="1:3" x14ac:dyDescent="0.35">
      <c r="A3756" s="302">
        <v>42410</v>
      </c>
      <c r="B3756" s="303">
        <v>230.1199</v>
      </c>
      <c r="C3756" s="308">
        <v>6.7070798499645496</v>
      </c>
    </row>
    <row r="3757" spans="1:3" x14ac:dyDescent="0.35">
      <c r="A3757" s="305">
        <v>42409</v>
      </c>
      <c r="B3757" s="306">
        <v>230.07409999999999</v>
      </c>
      <c r="C3757" s="309">
        <v>6.6950940701271104</v>
      </c>
    </row>
    <row r="3758" spans="1:3" x14ac:dyDescent="0.35">
      <c r="A3758" s="302">
        <v>42408</v>
      </c>
      <c r="B3758" s="303">
        <v>230.0282</v>
      </c>
      <c r="C3758" s="308">
        <v>6.68310931080957</v>
      </c>
    </row>
    <row r="3759" spans="1:3" x14ac:dyDescent="0.35">
      <c r="A3759" s="305">
        <v>42407</v>
      </c>
      <c r="B3759" s="306">
        <v>229.98230000000001</v>
      </c>
      <c r="C3759" s="309">
        <v>6.67107298486314</v>
      </c>
    </row>
    <row r="3760" spans="1:3" x14ac:dyDescent="0.35">
      <c r="A3760" s="302">
        <v>42406</v>
      </c>
      <c r="B3760" s="303">
        <v>229.9365</v>
      </c>
      <c r="C3760" s="308">
        <v>6.6591304323624501</v>
      </c>
    </row>
    <row r="3761" spans="1:3" x14ac:dyDescent="0.35">
      <c r="A3761" s="305">
        <v>42405</v>
      </c>
      <c r="B3761" s="306">
        <v>229.89060000000001</v>
      </c>
      <c r="C3761" s="309">
        <v>6.6470899323628503</v>
      </c>
    </row>
    <row r="3762" spans="1:3" x14ac:dyDescent="0.35">
      <c r="A3762" s="302">
        <v>42404</v>
      </c>
      <c r="B3762" s="303">
        <v>229.84479999999999</v>
      </c>
      <c r="C3762" s="308">
        <v>6.63514321027061</v>
      </c>
    </row>
    <row r="3763" spans="1:3" x14ac:dyDescent="0.35">
      <c r="A3763" s="305">
        <v>42403</v>
      </c>
      <c r="B3763" s="306">
        <v>229.79900000000001</v>
      </c>
      <c r="C3763" s="309">
        <v>6.6231449324786702</v>
      </c>
    </row>
    <row r="3764" spans="1:3" x14ac:dyDescent="0.35">
      <c r="A3764" s="302">
        <v>42402</v>
      </c>
      <c r="B3764" s="303">
        <v>229.75319999999999</v>
      </c>
      <c r="C3764" s="308">
        <v>6.61119404266337</v>
      </c>
    </row>
    <row r="3765" spans="1:3" x14ac:dyDescent="0.35">
      <c r="A3765" s="305">
        <v>42401</v>
      </c>
      <c r="B3765" s="306">
        <v>229.70740000000001</v>
      </c>
      <c r="C3765" s="309">
        <v>6.5991915985651097</v>
      </c>
    </row>
    <row r="3766" spans="1:3" x14ac:dyDescent="0.35">
      <c r="A3766" s="302">
        <v>42400</v>
      </c>
      <c r="B3766" s="303">
        <v>229.66159999999999</v>
      </c>
      <c r="C3766" s="308">
        <v>6.5871870711376097</v>
      </c>
    </row>
    <row r="3767" spans="1:3" x14ac:dyDescent="0.35">
      <c r="A3767" s="305">
        <v>42399</v>
      </c>
      <c r="B3767" s="306">
        <v>229.61580000000001</v>
      </c>
      <c r="C3767" s="309">
        <v>6.5752299262704303</v>
      </c>
    </row>
    <row r="3768" spans="1:3" x14ac:dyDescent="0.35">
      <c r="A3768" s="302">
        <v>42398</v>
      </c>
      <c r="B3768" s="303">
        <v>229.57</v>
      </c>
      <c r="C3768" s="308">
        <v>6.5632212292764098</v>
      </c>
    </row>
    <row r="3769" spans="1:3" x14ac:dyDescent="0.35">
      <c r="A3769" s="305">
        <v>42397</v>
      </c>
      <c r="B3769" s="306">
        <v>229.52430000000001</v>
      </c>
      <c r="C3769" s="309">
        <v>6.5513063339089701</v>
      </c>
    </row>
    <row r="3770" spans="1:3" x14ac:dyDescent="0.35">
      <c r="A3770" s="302">
        <v>42396</v>
      </c>
      <c r="B3770" s="303">
        <v>229.4785</v>
      </c>
      <c r="C3770" s="308">
        <v>6.5392934692026197</v>
      </c>
    </row>
    <row r="3771" spans="1:3" x14ac:dyDescent="0.35">
      <c r="A3771" s="305">
        <v>42395</v>
      </c>
      <c r="B3771" s="306">
        <v>229.43270000000001</v>
      </c>
      <c r="C3771" s="309">
        <v>6.5272785184511104</v>
      </c>
    </row>
    <row r="3772" spans="1:3" x14ac:dyDescent="0.35">
      <c r="A3772" s="302">
        <v>42394</v>
      </c>
      <c r="B3772" s="303">
        <v>229.387</v>
      </c>
      <c r="C3772" s="308">
        <v>6.5153573760260901</v>
      </c>
    </row>
    <row r="3773" spans="1:3" x14ac:dyDescent="0.35">
      <c r="A3773" s="305">
        <v>42393</v>
      </c>
      <c r="B3773" s="306">
        <v>229.34129999999999</v>
      </c>
      <c r="C3773" s="309">
        <v>6.5033846931160504</v>
      </c>
    </row>
    <row r="3774" spans="1:3" x14ac:dyDescent="0.35">
      <c r="A3774" s="302">
        <v>42392</v>
      </c>
      <c r="B3774" s="303">
        <v>229.2955</v>
      </c>
      <c r="C3774" s="308">
        <v>6.4913634877465203</v>
      </c>
    </row>
    <row r="3775" spans="1:3" x14ac:dyDescent="0.35">
      <c r="A3775" s="305">
        <v>42391</v>
      </c>
      <c r="B3775" s="306">
        <v>229.24979999999999</v>
      </c>
      <c r="C3775" s="309">
        <v>6.4794360974196001</v>
      </c>
    </row>
    <row r="3776" spans="1:3" x14ac:dyDescent="0.35">
      <c r="A3776" s="302">
        <v>42390</v>
      </c>
      <c r="B3776" s="303">
        <v>229.20410000000001</v>
      </c>
      <c r="C3776" s="308">
        <v>6.4674571687502196</v>
      </c>
    </row>
    <row r="3777" spans="1:3" x14ac:dyDescent="0.35">
      <c r="A3777" s="305">
        <v>42389</v>
      </c>
      <c r="B3777" s="306">
        <v>229.1584</v>
      </c>
      <c r="C3777" s="309">
        <v>6.4554761588425702</v>
      </c>
    </row>
    <row r="3778" spans="1:3" x14ac:dyDescent="0.35">
      <c r="A3778" s="302">
        <v>42388</v>
      </c>
      <c r="B3778" s="303">
        <v>229.11279999999999</v>
      </c>
      <c r="C3778" s="308">
        <v>6.4435395261645496</v>
      </c>
    </row>
    <row r="3779" spans="1:3" x14ac:dyDescent="0.35">
      <c r="A3779" s="305">
        <v>42387</v>
      </c>
      <c r="B3779" s="306">
        <v>229.06710000000001</v>
      </c>
      <c r="C3779" s="309">
        <v>6.4315543561894399</v>
      </c>
    </row>
    <row r="3780" spans="1:3" x14ac:dyDescent="0.35">
      <c r="A3780" s="302">
        <v>42386</v>
      </c>
      <c r="B3780" s="303">
        <v>229.0214</v>
      </c>
      <c r="C3780" s="308">
        <v>6.4196165534418199</v>
      </c>
    </row>
    <row r="3781" spans="1:3" x14ac:dyDescent="0.35">
      <c r="A3781" s="305">
        <v>42385</v>
      </c>
      <c r="B3781" s="306">
        <v>228.97569999999999</v>
      </c>
      <c r="C3781" s="309">
        <v>6.40762721591841</v>
      </c>
    </row>
    <row r="3782" spans="1:3" x14ac:dyDescent="0.35">
      <c r="A3782" s="302">
        <v>42384</v>
      </c>
      <c r="B3782" s="303">
        <v>228.93010000000001</v>
      </c>
      <c r="C3782" s="308">
        <v>6.3956822696248397</v>
      </c>
    </row>
    <row r="3783" spans="1:3" x14ac:dyDescent="0.35">
      <c r="A3783" s="305">
        <v>42383</v>
      </c>
      <c r="B3783" s="306">
        <v>228.88589999999999</v>
      </c>
      <c r="C3783" s="309">
        <v>6.3796392908516699</v>
      </c>
    </row>
    <row r="3784" spans="1:3" x14ac:dyDescent="0.35">
      <c r="A3784" s="302">
        <v>42382</v>
      </c>
      <c r="B3784" s="303">
        <v>228.84180000000001</v>
      </c>
      <c r="C3784" s="308">
        <v>6.3635919972298503</v>
      </c>
    </row>
    <row r="3785" spans="1:3" x14ac:dyDescent="0.35">
      <c r="A3785" s="305">
        <v>42381</v>
      </c>
      <c r="B3785" s="306">
        <v>228.79759999999999</v>
      </c>
      <c r="C3785" s="309">
        <v>6.3474968799604001</v>
      </c>
    </row>
    <row r="3786" spans="1:3" x14ac:dyDescent="0.35">
      <c r="A3786" s="302">
        <v>42380</v>
      </c>
      <c r="B3786" s="303">
        <v>228.7534</v>
      </c>
      <c r="C3786" s="308">
        <v>6.3314004160226798</v>
      </c>
    </row>
    <row r="3787" spans="1:3" x14ac:dyDescent="0.35">
      <c r="A3787" s="305">
        <v>42379</v>
      </c>
      <c r="B3787" s="306">
        <v>228.70930000000001</v>
      </c>
      <c r="C3787" s="309">
        <v>6.3153490901737799</v>
      </c>
    </row>
    <row r="3788" spans="1:3" x14ac:dyDescent="0.35">
      <c r="A3788" s="302">
        <v>42378</v>
      </c>
      <c r="B3788" s="303">
        <v>228.6652</v>
      </c>
      <c r="C3788" s="308">
        <v>6.2992964212082398</v>
      </c>
    </row>
    <row r="3789" spans="1:3" x14ac:dyDescent="0.35">
      <c r="A3789" s="305">
        <v>42377</v>
      </c>
      <c r="B3789" s="306">
        <v>228.62110000000001</v>
      </c>
      <c r="C3789" s="309">
        <v>6.2832918188013904</v>
      </c>
    </row>
    <row r="3790" spans="1:3" x14ac:dyDescent="0.35">
      <c r="A3790" s="302">
        <v>42376</v>
      </c>
      <c r="B3790" s="303">
        <v>228.57689999999999</v>
      </c>
      <c r="C3790" s="308">
        <v>6.2671899669171598</v>
      </c>
    </row>
    <row r="3791" spans="1:3" x14ac:dyDescent="0.35">
      <c r="A3791" s="305">
        <v>42375</v>
      </c>
      <c r="B3791" s="306">
        <v>228.53280000000001</v>
      </c>
      <c r="C3791" s="309">
        <v>6.2511332602467604</v>
      </c>
    </row>
    <row r="3792" spans="1:3" x14ac:dyDescent="0.35">
      <c r="A3792" s="302">
        <v>42374</v>
      </c>
      <c r="B3792" s="303">
        <v>228.48869999999999</v>
      </c>
      <c r="C3792" s="308">
        <v>6.2350752097839699</v>
      </c>
    </row>
    <row r="3793" spans="1:3" x14ac:dyDescent="0.35">
      <c r="A3793" s="305">
        <v>42373</v>
      </c>
      <c r="B3793" s="306">
        <v>228.44470000000001</v>
      </c>
      <c r="C3793" s="309">
        <v>6.2190623119793003</v>
      </c>
    </row>
    <row r="3794" spans="1:3" x14ac:dyDescent="0.35">
      <c r="A3794" s="302">
        <v>42372</v>
      </c>
      <c r="B3794" s="303">
        <v>228.4006</v>
      </c>
      <c r="C3794" s="308">
        <v>6.2030015753713803</v>
      </c>
    </row>
    <row r="3795" spans="1:3" x14ac:dyDescent="0.35">
      <c r="A3795" s="305">
        <v>42371</v>
      </c>
      <c r="B3795" s="306">
        <v>228.35650000000001</v>
      </c>
      <c r="C3795" s="309">
        <v>6.1869394944650402</v>
      </c>
    </row>
    <row r="3796" spans="1:3" x14ac:dyDescent="0.35">
      <c r="A3796" s="302">
        <v>42370</v>
      </c>
      <c r="B3796" s="303">
        <v>228.3124</v>
      </c>
      <c r="C3796" s="308">
        <v>6.1708760690914897</v>
      </c>
    </row>
    <row r="3797" spans="1:3" x14ac:dyDescent="0.35">
      <c r="A3797" s="305">
        <v>42369</v>
      </c>
      <c r="B3797" s="306">
        <v>228.26840000000001</v>
      </c>
      <c r="C3797" s="309">
        <v>6.1549071701917804</v>
      </c>
    </row>
    <row r="3798" spans="1:3" x14ac:dyDescent="0.35">
      <c r="A3798" s="302">
        <v>42368</v>
      </c>
      <c r="B3798" s="303">
        <v>228.2244</v>
      </c>
      <c r="C3798" s="308">
        <v>6.1388875582899196</v>
      </c>
    </row>
    <row r="3799" spans="1:3" x14ac:dyDescent="0.35">
      <c r="A3799" s="305">
        <v>42367</v>
      </c>
      <c r="B3799" s="306">
        <v>228.18029999999999</v>
      </c>
      <c r="C3799" s="309">
        <v>6.1228200969884501</v>
      </c>
    </row>
    <row r="3800" spans="1:3" x14ac:dyDescent="0.35">
      <c r="A3800" s="302">
        <v>42366</v>
      </c>
      <c r="B3800" s="303">
        <v>228.13630000000001</v>
      </c>
      <c r="C3800" s="308">
        <v>6.1067978008086303</v>
      </c>
    </row>
    <row r="3801" spans="1:3" x14ac:dyDescent="0.35">
      <c r="A3801" s="305">
        <v>42365</v>
      </c>
      <c r="B3801" s="306">
        <v>228.09229999999999</v>
      </c>
      <c r="C3801" s="309">
        <v>6.09077416321042</v>
      </c>
    </row>
    <row r="3802" spans="1:3" x14ac:dyDescent="0.35">
      <c r="A3802" s="302">
        <v>42364</v>
      </c>
      <c r="B3802" s="303">
        <v>228.04830000000001</v>
      </c>
      <c r="C3802" s="308">
        <v>6.07474918402536</v>
      </c>
    </row>
    <row r="3803" spans="1:3" x14ac:dyDescent="0.35">
      <c r="A3803" s="305">
        <v>42363</v>
      </c>
      <c r="B3803" s="306">
        <v>228.0043</v>
      </c>
      <c r="C3803" s="309">
        <v>6.0587228630849603</v>
      </c>
    </row>
    <row r="3804" spans="1:3" x14ac:dyDescent="0.35">
      <c r="A3804" s="302">
        <v>42362</v>
      </c>
      <c r="B3804" s="303">
        <v>227.96029999999999</v>
      </c>
      <c r="C3804" s="308">
        <v>6.0426952002206802</v>
      </c>
    </row>
    <row r="3805" spans="1:3" x14ac:dyDescent="0.35">
      <c r="A3805" s="305">
        <v>42361</v>
      </c>
      <c r="B3805" s="306">
        <v>227.91630000000001</v>
      </c>
      <c r="C3805" s="309">
        <v>6.0266661952639797</v>
      </c>
    </row>
    <row r="3806" spans="1:3" x14ac:dyDescent="0.35">
      <c r="A3806" s="302">
        <v>42360</v>
      </c>
      <c r="B3806" s="303">
        <v>227.8723</v>
      </c>
      <c r="C3806" s="308">
        <v>6.0106851662834799</v>
      </c>
    </row>
    <row r="3807" spans="1:3" x14ac:dyDescent="0.35">
      <c r="A3807" s="305">
        <v>42359</v>
      </c>
      <c r="B3807" s="306">
        <v>227.82830000000001</v>
      </c>
      <c r="C3807" s="309">
        <v>5.99465347124264</v>
      </c>
    </row>
    <row r="3808" spans="1:3" x14ac:dyDescent="0.35">
      <c r="A3808" s="302">
        <v>42358</v>
      </c>
      <c r="B3808" s="303">
        <v>227.78440000000001</v>
      </c>
      <c r="C3808" s="308">
        <v>5.9786669594694599</v>
      </c>
    </row>
    <row r="3809" spans="1:3" x14ac:dyDescent="0.35">
      <c r="A3809" s="305">
        <v>42357</v>
      </c>
      <c r="B3809" s="306">
        <v>227.74039999999999</v>
      </c>
      <c r="C3809" s="309">
        <v>5.9626325810095802</v>
      </c>
    </row>
    <row r="3810" spans="1:3" x14ac:dyDescent="0.35">
      <c r="A3810" s="302">
        <v>42356</v>
      </c>
      <c r="B3810" s="303">
        <v>227.69649999999999</v>
      </c>
      <c r="C3810" s="308">
        <v>5.94664338937688</v>
      </c>
    </row>
    <row r="3811" spans="1:3" x14ac:dyDescent="0.35">
      <c r="A3811" s="305">
        <v>42355</v>
      </c>
      <c r="B3811" s="306">
        <v>227.6525</v>
      </c>
      <c r="C3811" s="309">
        <v>5.9306063268238596</v>
      </c>
    </row>
    <row r="3812" spans="1:3" x14ac:dyDescent="0.35">
      <c r="A3812" s="302">
        <v>42354</v>
      </c>
      <c r="B3812" s="303">
        <v>227.6086</v>
      </c>
      <c r="C3812" s="308">
        <v>5.9146144546580697</v>
      </c>
    </row>
    <row r="3813" spans="1:3" x14ac:dyDescent="0.35">
      <c r="A3813" s="305">
        <v>42353</v>
      </c>
      <c r="B3813" s="306">
        <v>227.56469999999999</v>
      </c>
      <c r="C3813" s="309">
        <v>5.89862124294753</v>
      </c>
    </row>
    <row r="3814" spans="1:3" x14ac:dyDescent="0.35">
      <c r="A3814" s="302">
        <v>42352</v>
      </c>
      <c r="B3814" s="303">
        <v>227.51329999999999</v>
      </c>
      <c r="C3814" s="308">
        <v>5.8803682280664802</v>
      </c>
    </row>
    <row r="3815" spans="1:3" x14ac:dyDescent="0.35">
      <c r="A3815" s="305">
        <v>42351</v>
      </c>
      <c r="B3815" s="306">
        <v>227.46190000000001</v>
      </c>
      <c r="C3815" s="309">
        <v>5.8620639904908298</v>
      </c>
    </row>
    <row r="3816" spans="1:3" x14ac:dyDescent="0.35">
      <c r="A3816" s="302">
        <v>42350</v>
      </c>
      <c r="B3816" s="303">
        <v>227.41050000000001</v>
      </c>
      <c r="C3816" s="308">
        <v>5.8438070734281897</v>
      </c>
    </row>
    <row r="3817" spans="1:3" x14ac:dyDescent="0.35">
      <c r="A3817" s="305">
        <v>42349</v>
      </c>
      <c r="B3817" s="306">
        <v>227.35919999999999</v>
      </c>
      <c r="C3817" s="309">
        <v>5.8255454903431998</v>
      </c>
    </row>
    <row r="3818" spans="1:3" x14ac:dyDescent="0.35">
      <c r="A3818" s="302">
        <v>42348</v>
      </c>
      <c r="B3818" s="303">
        <v>227.30779999999999</v>
      </c>
      <c r="C3818" s="308">
        <v>5.8072846723414902</v>
      </c>
    </row>
    <row r="3819" spans="1:3" x14ac:dyDescent="0.35">
      <c r="A3819" s="305">
        <v>42347</v>
      </c>
      <c r="B3819" s="306">
        <v>227.25649999999999</v>
      </c>
      <c r="C3819" s="309">
        <v>5.7890192044055402</v>
      </c>
    </row>
    <row r="3820" spans="1:3" x14ac:dyDescent="0.35">
      <c r="A3820" s="302">
        <v>42346</v>
      </c>
      <c r="B3820" s="303">
        <v>227.20509999999999</v>
      </c>
      <c r="C3820" s="308">
        <v>5.7707544842162104</v>
      </c>
    </row>
    <row r="3821" spans="1:3" x14ac:dyDescent="0.35">
      <c r="A3821" s="305">
        <v>42345</v>
      </c>
      <c r="B3821" s="306">
        <v>227.15379999999999</v>
      </c>
      <c r="C3821" s="309">
        <v>5.7524851301876696</v>
      </c>
    </row>
    <row r="3822" spans="1:3" x14ac:dyDescent="0.35">
      <c r="A3822" s="302">
        <v>42344</v>
      </c>
      <c r="B3822" s="303">
        <v>227.10249999999999</v>
      </c>
      <c r="C3822" s="308">
        <v>5.7342630645092996</v>
      </c>
    </row>
    <row r="3823" spans="1:3" x14ac:dyDescent="0.35">
      <c r="A3823" s="305">
        <v>42343</v>
      </c>
      <c r="B3823" s="306">
        <v>227.05119999999999</v>
      </c>
      <c r="C3823" s="309">
        <v>5.7159898256172603</v>
      </c>
    </row>
    <row r="3824" spans="1:3" x14ac:dyDescent="0.35">
      <c r="A3824" s="302">
        <v>42342</v>
      </c>
      <c r="B3824" s="303">
        <v>226.9999</v>
      </c>
      <c r="C3824" s="308">
        <v>5.6977638627101799</v>
      </c>
    </row>
    <row r="3825" spans="1:3" x14ac:dyDescent="0.35">
      <c r="A3825" s="305">
        <v>42341</v>
      </c>
      <c r="B3825" s="306">
        <v>226.9486</v>
      </c>
      <c r="C3825" s="309">
        <v>5.6794867377130203</v>
      </c>
    </row>
    <row r="3826" spans="1:3" x14ac:dyDescent="0.35">
      <c r="A3826" s="302">
        <v>42340</v>
      </c>
      <c r="B3826" s="303">
        <v>226.8974</v>
      </c>
      <c r="C3826" s="308">
        <v>5.6612542400032799</v>
      </c>
    </row>
    <row r="3827" spans="1:3" x14ac:dyDescent="0.35">
      <c r="A3827" s="305">
        <v>42339</v>
      </c>
      <c r="B3827" s="306">
        <v>226.84610000000001</v>
      </c>
      <c r="C3827" s="309">
        <v>5.6430224343346396</v>
      </c>
    </row>
    <row r="3828" spans="1:3" x14ac:dyDescent="0.35">
      <c r="A3828" s="302">
        <v>42338</v>
      </c>
      <c r="B3828" s="303">
        <v>226.79490000000001</v>
      </c>
      <c r="C3828" s="308">
        <v>5.6247860560969603</v>
      </c>
    </row>
    <row r="3829" spans="1:3" x14ac:dyDescent="0.35">
      <c r="A3829" s="305">
        <v>42337</v>
      </c>
      <c r="B3829" s="306">
        <v>226.74369999999999</v>
      </c>
      <c r="C3829" s="309">
        <v>5.60659692789209</v>
      </c>
    </row>
    <row r="3830" spans="1:3" x14ac:dyDescent="0.35">
      <c r="A3830" s="302">
        <v>42336</v>
      </c>
      <c r="B3830" s="303">
        <v>226.69239999999999</v>
      </c>
      <c r="C3830" s="308">
        <v>5.5883100925687001</v>
      </c>
    </row>
    <row r="3831" spans="1:3" x14ac:dyDescent="0.35">
      <c r="A3831" s="305">
        <v>42335</v>
      </c>
      <c r="B3831" s="306">
        <v>226.6412</v>
      </c>
      <c r="C3831" s="309">
        <v>5.5701170702304896</v>
      </c>
    </row>
    <row r="3832" spans="1:3" x14ac:dyDescent="0.35">
      <c r="A3832" s="302">
        <v>42334</v>
      </c>
      <c r="B3832" s="303">
        <v>226.59010000000001</v>
      </c>
      <c r="C3832" s="308">
        <v>5.5519195124462097</v>
      </c>
    </row>
    <row r="3833" spans="1:3" x14ac:dyDescent="0.35">
      <c r="A3833" s="305">
        <v>42333</v>
      </c>
      <c r="B3833" s="306">
        <v>226.53890000000001</v>
      </c>
      <c r="C3833" s="309">
        <v>5.5336734365879501</v>
      </c>
    </row>
    <row r="3834" spans="1:3" x14ac:dyDescent="0.35">
      <c r="A3834" s="302">
        <v>42332</v>
      </c>
      <c r="B3834" s="303">
        <v>226.48769999999999</v>
      </c>
      <c r="C3834" s="308">
        <v>5.5154745798718698</v>
      </c>
    </row>
    <row r="3835" spans="1:3" x14ac:dyDescent="0.35">
      <c r="A3835" s="305">
        <v>42331</v>
      </c>
      <c r="B3835" s="306">
        <v>226.4365</v>
      </c>
      <c r="C3835" s="309">
        <v>5.4972246216176703</v>
      </c>
    </row>
    <row r="3836" spans="1:3" x14ac:dyDescent="0.35">
      <c r="A3836" s="302">
        <v>42330</v>
      </c>
      <c r="B3836" s="303">
        <v>226.3854</v>
      </c>
      <c r="C3836" s="308">
        <v>5.4790684628462802</v>
      </c>
    </row>
    <row r="3837" spans="1:3" x14ac:dyDescent="0.35">
      <c r="A3837" s="305">
        <v>42329</v>
      </c>
      <c r="B3837" s="306">
        <v>226.33430000000001</v>
      </c>
      <c r="C3837" s="309">
        <v>5.4608612186035899</v>
      </c>
    </row>
    <row r="3838" spans="1:3" x14ac:dyDescent="0.35">
      <c r="A3838" s="302">
        <v>42328</v>
      </c>
      <c r="B3838" s="303">
        <v>226.28309999999999</v>
      </c>
      <c r="C3838" s="308">
        <v>5.4426054423258599</v>
      </c>
    </row>
    <row r="3839" spans="1:3" x14ac:dyDescent="0.35">
      <c r="A3839" s="305">
        <v>42327</v>
      </c>
      <c r="B3839" s="306">
        <v>226.232</v>
      </c>
      <c r="C3839" s="309">
        <v>5.4244434544502198</v>
      </c>
    </row>
    <row r="3840" spans="1:3" x14ac:dyDescent="0.35">
      <c r="A3840" s="302">
        <v>42326</v>
      </c>
      <c r="B3840" s="303">
        <v>226.18090000000001</v>
      </c>
      <c r="C3840" s="308">
        <v>5.4062303977720196</v>
      </c>
    </row>
    <row r="3841" spans="1:3" x14ac:dyDescent="0.35">
      <c r="A3841" s="305">
        <v>42325</v>
      </c>
      <c r="B3841" s="306">
        <v>226.12979999999999</v>
      </c>
      <c r="C3841" s="309">
        <v>5.3880154057812701</v>
      </c>
    </row>
    <row r="3842" spans="1:3" x14ac:dyDescent="0.35">
      <c r="A3842" s="302">
        <v>42324</v>
      </c>
      <c r="B3842" s="303">
        <v>226.0788</v>
      </c>
      <c r="C3842" s="308">
        <v>5.3698941960958697</v>
      </c>
    </row>
    <row r="3843" spans="1:3" x14ac:dyDescent="0.35">
      <c r="A3843" s="305">
        <v>42323</v>
      </c>
      <c r="B3843" s="306">
        <v>226.02770000000001</v>
      </c>
      <c r="C3843" s="309">
        <v>5.35167532914868</v>
      </c>
    </row>
    <row r="3844" spans="1:3" x14ac:dyDescent="0.35">
      <c r="A3844" s="302">
        <v>42322</v>
      </c>
      <c r="B3844" s="303">
        <v>225.97540000000001</v>
      </c>
      <c r="C3844" s="308">
        <v>5.3320114125208597</v>
      </c>
    </row>
    <row r="3845" spans="1:3" x14ac:dyDescent="0.35">
      <c r="A3845" s="305">
        <v>42321</v>
      </c>
      <c r="B3845" s="306">
        <v>225.92310000000001</v>
      </c>
      <c r="C3845" s="309">
        <v>5.3123948265622998</v>
      </c>
    </row>
    <row r="3846" spans="1:3" x14ac:dyDescent="0.35">
      <c r="A3846" s="302">
        <v>42320</v>
      </c>
      <c r="B3846" s="303">
        <v>225.8708</v>
      </c>
      <c r="C3846" s="308">
        <v>5.2927764665627697</v>
      </c>
    </row>
    <row r="3847" spans="1:3" x14ac:dyDescent="0.35">
      <c r="A3847" s="305">
        <v>42319</v>
      </c>
      <c r="B3847" s="306">
        <v>225.8185</v>
      </c>
      <c r="C3847" s="309">
        <v>5.2731563322816202</v>
      </c>
    </row>
    <row r="3848" spans="1:3" x14ac:dyDescent="0.35">
      <c r="A3848" s="302">
        <v>42318</v>
      </c>
      <c r="B3848" s="303">
        <v>225.7663</v>
      </c>
      <c r="C3848" s="308">
        <v>5.2535810440681097</v>
      </c>
    </row>
    <row r="3849" spans="1:3" x14ac:dyDescent="0.35">
      <c r="A3849" s="305">
        <v>42317</v>
      </c>
      <c r="B3849" s="306">
        <v>225.714</v>
      </c>
      <c r="C3849" s="309">
        <v>5.2339082997222697</v>
      </c>
    </row>
    <row r="3850" spans="1:3" x14ac:dyDescent="0.35">
      <c r="A3850" s="302">
        <v>42316</v>
      </c>
      <c r="B3850" s="303">
        <v>225.6618</v>
      </c>
      <c r="C3850" s="308">
        <v>5.2143294749769398</v>
      </c>
    </row>
    <row r="3851" spans="1:3" x14ac:dyDescent="0.35">
      <c r="A3851" s="305">
        <v>42315</v>
      </c>
      <c r="B3851" s="306">
        <v>225.6096</v>
      </c>
      <c r="C3851" s="309">
        <v>5.1947488792060401</v>
      </c>
    </row>
    <row r="3852" spans="1:3" x14ac:dyDescent="0.35">
      <c r="A3852" s="302">
        <v>42314</v>
      </c>
      <c r="B3852" s="303">
        <v>225.5574</v>
      </c>
      <c r="C3852" s="308">
        <v>5.1751665121692403</v>
      </c>
    </row>
    <row r="3853" spans="1:3" x14ac:dyDescent="0.35">
      <c r="A3853" s="305">
        <v>42313</v>
      </c>
      <c r="B3853" s="306">
        <v>225.5052</v>
      </c>
      <c r="C3853" s="309">
        <v>5.1555823736261903</v>
      </c>
    </row>
    <row r="3854" spans="1:3" x14ac:dyDescent="0.35">
      <c r="A3854" s="302">
        <v>42312</v>
      </c>
      <c r="B3854" s="303">
        <v>225.453</v>
      </c>
      <c r="C3854" s="308">
        <v>5.1359474350574397</v>
      </c>
    </row>
    <row r="3855" spans="1:3" x14ac:dyDescent="0.35">
      <c r="A3855" s="305">
        <v>42311</v>
      </c>
      <c r="B3855" s="306">
        <v>225.4008</v>
      </c>
      <c r="C3855" s="309">
        <v>5.1163597596975796</v>
      </c>
    </row>
    <row r="3856" spans="1:3" x14ac:dyDescent="0.35">
      <c r="A3856" s="302">
        <v>42310</v>
      </c>
      <c r="B3856" s="303">
        <v>225.34870000000001</v>
      </c>
      <c r="C3856" s="308">
        <v>5.0968169495303801</v>
      </c>
    </row>
    <row r="3857" spans="1:3" x14ac:dyDescent="0.35">
      <c r="A3857" s="305">
        <v>42309</v>
      </c>
      <c r="B3857" s="306">
        <v>225.29650000000001</v>
      </c>
      <c r="C3857" s="309">
        <v>5.0772257315876503</v>
      </c>
    </row>
    <row r="3858" spans="1:3" x14ac:dyDescent="0.35">
      <c r="A3858" s="302">
        <v>42308</v>
      </c>
      <c r="B3858" s="303">
        <v>225.24440000000001</v>
      </c>
      <c r="C3858" s="308">
        <v>5.0576303819761899</v>
      </c>
    </row>
    <row r="3859" spans="1:3" x14ac:dyDescent="0.35">
      <c r="A3859" s="305">
        <v>42307</v>
      </c>
      <c r="B3859" s="306">
        <v>225.19229999999999</v>
      </c>
      <c r="C3859" s="309">
        <v>5.0380822711390501</v>
      </c>
    </row>
    <row r="3860" spans="1:3" x14ac:dyDescent="0.35">
      <c r="A3860" s="302">
        <v>42306</v>
      </c>
      <c r="B3860" s="303">
        <v>225.14019999999999</v>
      </c>
      <c r="C3860" s="308">
        <v>5.0185323913361897</v>
      </c>
    </row>
    <row r="3861" spans="1:3" x14ac:dyDescent="0.35">
      <c r="A3861" s="305">
        <v>42305</v>
      </c>
      <c r="B3861" s="306">
        <v>225.0881</v>
      </c>
      <c r="C3861" s="309">
        <v>4.9989807423274604</v>
      </c>
    </row>
    <row r="3862" spans="1:3" x14ac:dyDescent="0.35">
      <c r="A3862" s="302">
        <v>42304</v>
      </c>
      <c r="B3862" s="303">
        <v>225.036</v>
      </c>
      <c r="C3862" s="308">
        <v>4.9793783509305003</v>
      </c>
    </row>
    <row r="3863" spans="1:3" x14ac:dyDescent="0.35">
      <c r="A3863" s="305">
        <v>42303</v>
      </c>
      <c r="B3863" s="306">
        <v>224.98390000000001</v>
      </c>
      <c r="C3863" s="309">
        <v>4.9598231696962598</v>
      </c>
    </row>
    <row r="3864" spans="1:3" x14ac:dyDescent="0.35">
      <c r="A3864" s="302">
        <v>42302</v>
      </c>
      <c r="B3864" s="303">
        <v>224.93180000000001</v>
      </c>
      <c r="C3864" s="308">
        <v>4.9402662185369497</v>
      </c>
    </row>
    <row r="3865" spans="1:3" x14ac:dyDescent="0.35">
      <c r="A3865" s="305">
        <v>42301</v>
      </c>
      <c r="B3865" s="306">
        <v>224.87979999999999</v>
      </c>
      <c r="C3865" s="309">
        <v>4.9207541535834398</v>
      </c>
    </row>
    <row r="3866" spans="1:3" x14ac:dyDescent="0.35">
      <c r="A3866" s="302">
        <v>42300</v>
      </c>
      <c r="B3866" s="303">
        <v>224.8278</v>
      </c>
      <c r="C3866" s="308">
        <v>4.9011913771431397</v>
      </c>
    </row>
    <row r="3867" spans="1:3" x14ac:dyDescent="0.35">
      <c r="A3867" s="305">
        <v>42299</v>
      </c>
      <c r="B3867" s="306">
        <v>224.7757</v>
      </c>
      <c r="C3867" s="309">
        <v>4.8816291259028199</v>
      </c>
    </row>
    <row r="3868" spans="1:3" x14ac:dyDescent="0.35">
      <c r="A3868" s="302">
        <v>42298</v>
      </c>
      <c r="B3868" s="303">
        <v>224.72370000000001</v>
      </c>
      <c r="C3868" s="308">
        <v>4.8621117664625997</v>
      </c>
    </row>
    <row r="3869" spans="1:3" x14ac:dyDescent="0.35">
      <c r="A3869" s="305">
        <v>42297</v>
      </c>
      <c r="B3869" s="306">
        <v>224.67169999999999</v>
      </c>
      <c r="C3869" s="309">
        <v>4.8425926401215502</v>
      </c>
    </row>
    <row r="3870" spans="1:3" x14ac:dyDescent="0.35">
      <c r="A3870" s="302">
        <v>42296</v>
      </c>
      <c r="B3870" s="303">
        <v>224.61969999999999</v>
      </c>
      <c r="C3870" s="308">
        <v>4.8230228289747199</v>
      </c>
    </row>
    <row r="3871" spans="1:3" x14ac:dyDescent="0.35">
      <c r="A3871" s="305">
        <v>42295</v>
      </c>
      <c r="B3871" s="306">
        <v>224.56780000000001</v>
      </c>
      <c r="C3871" s="309">
        <v>4.8035468440088698</v>
      </c>
    </row>
    <row r="3872" spans="1:3" x14ac:dyDescent="0.35">
      <c r="A3872" s="302">
        <v>42294</v>
      </c>
      <c r="B3872" s="303">
        <v>224.51580000000001</v>
      </c>
      <c r="C3872" s="308">
        <v>4.7840224245363103</v>
      </c>
    </row>
    <row r="3873" spans="1:3" x14ac:dyDescent="0.35">
      <c r="A3873" s="305">
        <v>42293</v>
      </c>
      <c r="B3873" s="306">
        <v>224.46379999999999</v>
      </c>
      <c r="C3873" s="309">
        <v>4.7644473402574601</v>
      </c>
    </row>
    <row r="3874" spans="1:3" x14ac:dyDescent="0.35">
      <c r="A3874" s="302">
        <v>42292</v>
      </c>
      <c r="B3874" s="303">
        <v>224.4119</v>
      </c>
      <c r="C3874" s="308">
        <v>4.7449660670444302</v>
      </c>
    </row>
    <row r="3875" spans="1:3" x14ac:dyDescent="0.35">
      <c r="A3875" s="305">
        <v>42291</v>
      </c>
      <c r="B3875" s="306">
        <v>224.37610000000001</v>
      </c>
      <c r="C3875" s="309">
        <v>4.7351980424941598</v>
      </c>
    </row>
    <row r="3876" spans="1:3" x14ac:dyDescent="0.35">
      <c r="A3876" s="302">
        <v>42290</v>
      </c>
      <c r="B3876" s="303">
        <v>224.34030000000001</v>
      </c>
      <c r="C3876" s="308">
        <v>4.7254776103726401</v>
      </c>
    </row>
    <row r="3877" spans="1:3" x14ac:dyDescent="0.35">
      <c r="A3877" s="305">
        <v>42289</v>
      </c>
      <c r="B3877" s="306">
        <v>224.30449999999999</v>
      </c>
      <c r="C3877" s="309">
        <v>4.7157558803976798</v>
      </c>
    </row>
    <row r="3878" spans="1:3" x14ac:dyDescent="0.35">
      <c r="A3878" s="302">
        <v>42288</v>
      </c>
      <c r="B3878" s="303">
        <v>224.2687</v>
      </c>
      <c r="C3878" s="308">
        <v>4.7059839674306296</v>
      </c>
    </row>
    <row r="3879" spans="1:3" x14ac:dyDescent="0.35">
      <c r="A3879" s="305">
        <v>42287</v>
      </c>
      <c r="B3879" s="306">
        <v>224.2329</v>
      </c>
      <c r="C3879" s="309">
        <v>4.6962596422453302</v>
      </c>
    </row>
    <row r="3880" spans="1:3" x14ac:dyDescent="0.35">
      <c r="A3880" s="302">
        <v>42286</v>
      </c>
      <c r="B3880" s="303">
        <v>224.19710000000001</v>
      </c>
      <c r="C3880" s="308">
        <v>4.6865340184273103</v>
      </c>
    </row>
    <row r="3881" spans="1:3" x14ac:dyDescent="0.35">
      <c r="A3881" s="305">
        <v>42285</v>
      </c>
      <c r="B3881" s="306">
        <v>224.16130000000001</v>
      </c>
      <c r="C3881" s="309">
        <v>4.6767582147149902</v>
      </c>
    </row>
    <row r="3882" spans="1:3" x14ac:dyDescent="0.35">
      <c r="A3882" s="302">
        <v>42284</v>
      </c>
      <c r="B3882" s="303">
        <v>224.12559999999999</v>
      </c>
      <c r="C3882" s="308">
        <v>4.6670766943178501</v>
      </c>
    </row>
    <row r="3883" spans="1:3" x14ac:dyDescent="0.35">
      <c r="A3883" s="305">
        <v>42283</v>
      </c>
      <c r="B3883" s="306">
        <v>224.0898</v>
      </c>
      <c r="C3883" s="309">
        <v>4.6572982990196499</v>
      </c>
    </row>
    <row r="3884" spans="1:3" x14ac:dyDescent="0.35">
      <c r="A3884" s="302">
        <v>42282</v>
      </c>
      <c r="B3884" s="303">
        <v>224.054</v>
      </c>
      <c r="C3884" s="308">
        <v>4.6475674837485101</v>
      </c>
    </row>
    <row r="3885" spans="1:3" x14ac:dyDescent="0.35">
      <c r="A3885" s="305">
        <v>42281</v>
      </c>
      <c r="B3885" s="306">
        <v>224.01830000000001</v>
      </c>
      <c r="C3885" s="309">
        <v>4.6378820780693601</v>
      </c>
    </row>
    <row r="3886" spans="1:3" x14ac:dyDescent="0.35">
      <c r="A3886" s="302">
        <v>42280</v>
      </c>
      <c r="B3886" s="303">
        <v>223.98249999999999</v>
      </c>
      <c r="C3886" s="308">
        <v>4.62809979124129</v>
      </c>
    </row>
    <row r="3887" spans="1:3" x14ac:dyDescent="0.35">
      <c r="A3887" s="305">
        <v>42279</v>
      </c>
      <c r="B3887" s="306">
        <v>223.9468</v>
      </c>
      <c r="C3887" s="309">
        <v>4.61841179553827</v>
      </c>
    </row>
    <row r="3888" spans="1:3" x14ac:dyDescent="0.35">
      <c r="A3888" s="302">
        <v>42278</v>
      </c>
      <c r="B3888" s="303">
        <v>223.911</v>
      </c>
      <c r="C3888" s="308">
        <v>4.60862691453816</v>
      </c>
    </row>
    <row r="3889" spans="1:3" x14ac:dyDescent="0.35">
      <c r="A3889" s="305">
        <v>42277</v>
      </c>
      <c r="B3889" s="306">
        <v>223.87530000000001</v>
      </c>
      <c r="C3889" s="309">
        <v>4.5989363277751298</v>
      </c>
    </row>
    <row r="3890" spans="1:3" x14ac:dyDescent="0.35">
      <c r="A3890" s="302">
        <v>42276</v>
      </c>
      <c r="B3890" s="303">
        <v>223.83949999999999</v>
      </c>
      <c r="C3890" s="308">
        <v>4.5891488515680203</v>
      </c>
    </row>
    <row r="3891" spans="1:3" x14ac:dyDescent="0.35">
      <c r="A3891" s="305">
        <v>42275</v>
      </c>
      <c r="B3891" s="306">
        <v>223.8038</v>
      </c>
      <c r="C3891" s="309">
        <v>4.5794556727083098</v>
      </c>
    </row>
    <row r="3892" spans="1:3" x14ac:dyDescent="0.35">
      <c r="A3892" s="302">
        <v>42274</v>
      </c>
      <c r="B3892" s="303">
        <v>223.7681</v>
      </c>
      <c r="C3892" s="308">
        <v>4.5697123315453902</v>
      </c>
    </row>
    <row r="3893" spans="1:3" x14ac:dyDescent="0.35">
      <c r="A3893" s="305">
        <v>42273</v>
      </c>
      <c r="B3893" s="306">
        <v>223.73240000000001</v>
      </c>
      <c r="C3893" s="309">
        <v>4.5600165626748197</v>
      </c>
    </row>
    <row r="3894" spans="1:3" x14ac:dyDescent="0.35">
      <c r="A3894" s="302">
        <v>42272</v>
      </c>
      <c r="B3894" s="303">
        <v>223.69669999999999</v>
      </c>
      <c r="C3894" s="308">
        <v>4.5502706335596796</v>
      </c>
    </row>
    <row r="3895" spans="1:3" x14ac:dyDescent="0.35">
      <c r="A3895" s="305">
        <v>42271</v>
      </c>
      <c r="B3895" s="306">
        <v>223.661</v>
      </c>
      <c r="C3895" s="309">
        <v>4.5405722736421099</v>
      </c>
    </row>
    <row r="3896" spans="1:3" x14ac:dyDescent="0.35">
      <c r="A3896" s="302">
        <v>42270</v>
      </c>
      <c r="B3896" s="303">
        <v>223.62530000000001</v>
      </c>
      <c r="C3896" s="308">
        <v>4.5308237555414701</v>
      </c>
    </row>
    <row r="3897" spans="1:3" x14ac:dyDescent="0.35">
      <c r="A3897" s="305">
        <v>42269</v>
      </c>
      <c r="B3897" s="306">
        <v>223.58959999999999</v>
      </c>
      <c r="C3897" s="309">
        <v>4.52112280354023</v>
      </c>
    </row>
    <row r="3898" spans="1:3" x14ac:dyDescent="0.35">
      <c r="A3898" s="302">
        <v>42268</v>
      </c>
      <c r="B3898" s="303">
        <v>223.5539</v>
      </c>
      <c r="C3898" s="308">
        <v>4.5113716954202303</v>
      </c>
    </row>
    <row r="3899" spans="1:3" x14ac:dyDescent="0.35">
      <c r="A3899" s="305">
        <v>42267</v>
      </c>
      <c r="B3899" s="306">
        <v>223.51820000000001</v>
      </c>
      <c r="C3899" s="309">
        <v>4.5016681502980997</v>
      </c>
    </row>
    <row r="3900" spans="1:3" x14ac:dyDescent="0.35">
      <c r="A3900" s="302">
        <v>42266</v>
      </c>
      <c r="B3900" s="303">
        <v>223.48249999999999</v>
      </c>
      <c r="C3900" s="308">
        <v>4.4919144511243498</v>
      </c>
    </row>
    <row r="3901" spans="1:3" x14ac:dyDescent="0.35">
      <c r="A3901" s="305">
        <v>42265</v>
      </c>
      <c r="B3901" s="306">
        <v>223.4469</v>
      </c>
      <c r="C3901" s="309">
        <v>4.4822550711653504</v>
      </c>
    </row>
    <row r="3902" spans="1:3" x14ac:dyDescent="0.35">
      <c r="A3902" s="302">
        <v>42264</v>
      </c>
      <c r="B3902" s="303">
        <v>223.41120000000001</v>
      </c>
      <c r="C3902" s="308">
        <v>4.4724987830078398</v>
      </c>
    </row>
    <row r="3903" spans="1:3" x14ac:dyDescent="0.35">
      <c r="A3903" s="305">
        <v>42263</v>
      </c>
      <c r="B3903" s="306">
        <v>223.37559999999999</v>
      </c>
      <c r="C3903" s="309">
        <v>4.4628368172112198</v>
      </c>
    </row>
    <row r="3904" spans="1:3" x14ac:dyDescent="0.35">
      <c r="A3904" s="302">
        <v>42262</v>
      </c>
      <c r="B3904" s="303">
        <v>223.3399</v>
      </c>
      <c r="C3904" s="308">
        <v>4.4530779390361204</v>
      </c>
    </row>
    <row r="3905" spans="1:3" x14ac:dyDescent="0.35">
      <c r="A3905" s="305">
        <v>42261</v>
      </c>
      <c r="B3905" s="306">
        <v>223.3263</v>
      </c>
      <c r="C3905" s="309">
        <v>4.4517490216694302</v>
      </c>
    </row>
    <row r="3906" spans="1:3" x14ac:dyDescent="0.35">
      <c r="A3906" s="302">
        <v>42260</v>
      </c>
      <c r="B3906" s="303">
        <v>223.3126</v>
      </c>
      <c r="C3906" s="308">
        <v>4.4503732030918899</v>
      </c>
    </row>
    <row r="3907" spans="1:3" x14ac:dyDescent="0.35">
      <c r="A3907" s="305">
        <v>42259</v>
      </c>
      <c r="B3907" s="306">
        <v>223.2989</v>
      </c>
      <c r="C3907" s="309">
        <v>4.4490461084235999</v>
      </c>
    </row>
    <row r="3908" spans="1:3" x14ac:dyDescent="0.35">
      <c r="A3908" s="302">
        <v>42258</v>
      </c>
      <c r="B3908" s="303">
        <v>223.2852</v>
      </c>
      <c r="C3908" s="308">
        <v>4.4476700263966498</v>
      </c>
    </row>
    <row r="3909" spans="1:3" x14ac:dyDescent="0.35">
      <c r="A3909" s="305">
        <v>42257</v>
      </c>
      <c r="B3909" s="306">
        <v>223.27160000000001</v>
      </c>
      <c r="C3909" s="309">
        <v>4.4463405917102197</v>
      </c>
    </row>
    <row r="3910" spans="1:3" x14ac:dyDescent="0.35">
      <c r="A3910" s="302">
        <v>42256</v>
      </c>
      <c r="B3910" s="303">
        <v>223.25790000000001</v>
      </c>
      <c r="C3910" s="308">
        <v>4.4450131083794497</v>
      </c>
    </row>
    <row r="3911" spans="1:3" x14ac:dyDescent="0.35">
      <c r="A3911" s="305">
        <v>42255</v>
      </c>
      <c r="B3911" s="306">
        <v>223.24420000000001</v>
      </c>
      <c r="C3911" s="309">
        <v>4.4436366324344601</v>
      </c>
    </row>
    <row r="3912" spans="1:3" x14ac:dyDescent="0.35">
      <c r="A3912" s="302">
        <v>42254</v>
      </c>
      <c r="B3912" s="303">
        <v>223.23060000000001</v>
      </c>
      <c r="C3912" s="308">
        <v>4.4423068105577102</v>
      </c>
    </row>
    <row r="3913" spans="1:3" x14ac:dyDescent="0.35">
      <c r="A3913" s="305">
        <v>42253</v>
      </c>
      <c r="B3913" s="306">
        <v>223.21690000000001</v>
      </c>
      <c r="C3913" s="309">
        <v>4.44097893839478</v>
      </c>
    </row>
    <row r="3914" spans="1:3" x14ac:dyDescent="0.35">
      <c r="A3914" s="302">
        <v>42252</v>
      </c>
      <c r="B3914" s="303">
        <v>223.20320000000001</v>
      </c>
      <c r="C3914" s="308">
        <v>4.4396020683610997</v>
      </c>
    </row>
    <row r="3915" spans="1:3" x14ac:dyDescent="0.35">
      <c r="A3915" s="305">
        <v>42251</v>
      </c>
      <c r="B3915" s="306">
        <v>223.18960000000001</v>
      </c>
      <c r="C3915" s="309">
        <v>4.4382718591253001</v>
      </c>
    </row>
    <row r="3916" spans="1:3" x14ac:dyDescent="0.35">
      <c r="A3916" s="302">
        <v>42250</v>
      </c>
      <c r="B3916" s="303">
        <v>223.17590000000001</v>
      </c>
      <c r="C3916" s="308">
        <v>4.4369435979604503</v>
      </c>
    </row>
    <row r="3917" spans="1:3" x14ac:dyDescent="0.35">
      <c r="A3917" s="305">
        <v>42249</v>
      </c>
      <c r="B3917" s="306">
        <v>223.16220000000001</v>
      </c>
      <c r="C3917" s="309">
        <v>4.4355663336673201</v>
      </c>
    </row>
    <row r="3918" spans="1:3" x14ac:dyDescent="0.35">
      <c r="A3918" s="302">
        <v>42248</v>
      </c>
      <c r="B3918" s="303">
        <v>223.14859999999999</v>
      </c>
      <c r="C3918" s="308">
        <v>4.4342357369036396</v>
      </c>
    </row>
    <row r="3919" spans="1:3" x14ac:dyDescent="0.35">
      <c r="A3919" s="305">
        <v>42247</v>
      </c>
      <c r="B3919" s="306">
        <v>223.13489999999999</v>
      </c>
      <c r="C3919" s="309">
        <v>4.4329070865669999</v>
      </c>
    </row>
    <row r="3920" spans="1:3" x14ac:dyDescent="0.35">
      <c r="A3920" s="302">
        <v>42246</v>
      </c>
      <c r="B3920" s="303">
        <v>223.12119999999999</v>
      </c>
      <c r="C3920" s="308">
        <v>4.4315294278435502</v>
      </c>
    </row>
    <row r="3921" spans="1:3" x14ac:dyDescent="0.35">
      <c r="A3921" s="305">
        <v>42245</v>
      </c>
      <c r="B3921" s="306">
        <v>223.10759999999999</v>
      </c>
      <c r="C3921" s="309">
        <v>4.4301984433830697</v>
      </c>
    </row>
    <row r="3922" spans="1:3" x14ac:dyDescent="0.35">
      <c r="A3922" s="302">
        <v>42244</v>
      </c>
      <c r="B3922" s="303">
        <v>223.09389999999999</v>
      </c>
      <c r="C3922" s="308">
        <v>4.4288694037046801</v>
      </c>
    </row>
    <row r="3923" spans="1:3" x14ac:dyDescent="0.35">
      <c r="A3923" s="305">
        <v>42243</v>
      </c>
      <c r="B3923" s="306">
        <v>223.08029999999999</v>
      </c>
      <c r="C3923" s="309">
        <v>4.4275381620160097</v>
      </c>
    </row>
    <row r="3924" spans="1:3" x14ac:dyDescent="0.35">
      <c r="A3924" s="302">
        <v>42242</v>
      </c>
      <c r="B3924" s="303">
        <v>223.06659999999999</v>
      </c>
      <c r="C3924" s="308">
        <v>4.4261599780536498</v>
      </c>
    </row>
    <row r="3925" spans="1:3" x14ac:dyDescent="0.35">
      <c r="A3925" s="305">
        <v>42241</v>
      </c>
      <c r="B3925" s="306">
        <v>223.05289999999999</v>
      </c>
      <c r="C3925" s="309">
        <v>4.4247816611774704</v>
      </c>
    </row>
    <row r="3926" spans="1:3" x14ac:dyDescent="0.35">
      <c r="A3926" s="302">
        <v>42240</v>
      </c>
      <c r="B3926" s="303">
        <v>223.0393</v>
      </c>
      <c r="C3926" s="308">
        <v>4.4234989191965397</v>
      </c>
    </row>
    <row r="3927" spans="1:3" x14ac:dyDescent="0.35">
      <c r="A3927" s="305">
        <v>42239</v>
      </c>
      <c r="B3927" s="306">
        <v>223.0256</v>
      </c>
      <c r="C3927" s="309">
        <v>4.4221203404051304</v>
      </c>
    </row>
    <row r="3928" spans="1:3" x14ac:dyDescent="0.35">
      <c r="A3928" s="302">
        <v>42238</v>
      </c>
      <c r="B3928" s="303">
        <v>223.012</v>
      </c>
      <c r="C3928" s="308">
        <v>4.4207884515885896</v>
      </c>
    </row>
    <row r="3929" spans="1:3" x14ac:dyDescent="0.35">
      <c r="A3929" s="305">
        <v>42237</v>
      </c>
      <c r="B3929" s="306">
        <v>222.9983</v>
      </c>
      <c r="C3929" s="309">
        <v>4.41945850371863</v>
      </c>
    </row>
    <row r="3930" spans="1:3" x14ac:dyDescent="0.35">
      <c r="A3930" s="302">
        <v>42236</v>
      </c>
      <c r="B3930" s="303">
        <v>222.9847</v>
      </c>
      <c r="C3930" s="308">
        <v>4.41812635741171</v>
      </c>
    </row>
    <row r="3931" spans="1:3" x14ac:dyDescent="0.35">
      <c r="A3931" s="305">
        <v>42235</v>
      </c>
      <c r="B3931" s="306">
        <v>222.971</v>
      </c>
      <c r="C3931" s="309">
        <v>4.4167472528501799</v>
      </c>
    </row>
    <row r="3932" spans="1:3" x14ac:dyDescent="0.35">
      <c r="A3932" s="302">
        <v>42234</v>
      </c>
      <c r="B3932" s="303">
        <v>222.95740000000001</v>
      </c>
      <c r="C3932" s="308">
        <v>4.4154148472433699</v>
      </c>
    </row>
    <row r="3933" spans="1:3" x14ac:dyDescent="0.35">
      <c r="A3933" s="305">
        <v>42233</v>
      </c>
      <c r="B3933" s="306">
        <v>222.94370000000001</v>
      </c>
      <c r="C3933" s="309">
        <v>4.4140843803917997</v>
      </c>
    </row>
    <row r="3934" spans="1:3" x14ac:dyDescent="0.35">
      <c r="A3934" s="302">
        <v>42232</v>
      </c>
      <c r="B3934" s="303">
        <v>222.93010000000001</v>
      </c>
      <c r="C3934" s="308">
        <v>4.4127517171447499</v>
      </c>
    </row>
    <row r="3935" spans="1:3" x14ac:dyDescent="0.35">
      <c r="A3935" s="305">
        <v>42231</v>
      </c>
      <c r="B3935" s="306">
        <v>222.91640000000001</v>
      </c>
      <c r="C3935" s="309">
        <v>4.4113720865093899</v>
      </c>
    </row>
    <row r="3936" spans="1:3" x14ac:dyDescent="0.35">
      <c r="A3936" s="302">
        <v>42230</v>
      </c>
      <c r="B3936" s="303">
        <v>222.9092</v>
      </c>
      <c r="C3936" s="308">
        <v>4.4110317951023896</v>
      </c>
    </row>
    <row r="3937" spans="1:3" x14ac:dyDescent="0.35">
      <c r="A3937" s="305">
        <v>42229</v>
      </c>
      <c r="B3937" s="306">
        <v>222.90199999999999</v>
      </c>
      <c r="C3937" s="309">
        <v>4.4106914839300799</v>
      </c>
    </row>
    <row r="3938" spans="1:3" x14ac:dyDescent="0.35">
      <c r="A3938" s="302">
        <v>42228</v>
      </c>
      <c r="B3938" s="303">
        <v>222.8948</v>
      </c>
      <c r="C3938" s="308">
        <v>4.4103511529907298</v>
      </c>
    </row>
    <row r="3939" spans="1:3" x14ac:dyDescent="0.35">
      <c r="A3939" s="305">
        <v>42227</v>
      </c>
      <c r="B3939" s="306">
        <v>222.88759999999999</v>
      </c>
      <c r="C3939" s="309">
        <v>4.4100108022826303</v>
      </c>
    </row>
    <row r="3940" spans="1:3" x14ac:dyDescent="0.35">
      <c r="A3940" s="302">
        <v>42226</v>
      </c>
      <c r="B3940" s="303">
        <v>222.88050000000001</v>
      </c>
      <c r="C3940" s="308">
        <v>4.4097172774084301</v>
      </c>
    </row>
    <row r="3941" spans="1:3" x14ac:dyDescent="0.35">
      <c r="A3941" s="305">
        <v>42225</v>
      </c>
      <c r="B3941" s="306">
        <v>222.8733</v>
      </c>
      <c r="C3941" s="309">
        <v>4.4093768885182802</v>
      </c>
    </row>
    <row r="3942" spans="1:3" x14ac:dyDescent="0.35">
      <c r="A3942" s="302">
        <v>42224</v>
      </c>
      <c r="B3942" s="303">
        <v>222.86609999999999</v>
      </c>
      <c r="C3942" s="308">
        <v>4.4090364798542803</v>
      </c>
    </row>
    <row r="3943" spans="1:3" x14ac:dyDescent="0.35">
      <c r="A3943" s="305">
        <v>42223</v>
      </c>
      <c r="B3943" s="306">
        <v>222.85890000000001</v>
      </c>
      <c r="C3943" s="309">
        <v>4.4086960514147204</v>
      </c>
    </row>
    <row r="3944" spans="1:3" x14ac:dyDescent="0.35">
      <c r="A3944" s="302">
        <v>42222</v>
      </c>
      <c r="B3944" s="303">
        <v>222.85169999999999</v>
      </c>
      <c r="C3944" s="308">
        <v>4.4083556031978697</v>
      </c>
    </row>
    <row r="3945" spans="1:3" x14ac:dyDescent="0.35">
      <c r="A3945" s="305">
        <v>42221</v>
      </c>
      <c r="B3945" s="306">
        <v>222.84450000000001</v>
      </c>
      <c r="C3945" s="309">
        <v>4.4080151352019898</v>
      </c>
    </row>
    <row r="3946" spans="1:3" x14ac:dyDescent="0.35">
      <c r="A3946" s="302">
        <v>42220</v>
      </c>
      <c r="B3946" s="303">
        <v>222.8373</v>
      </c>
      <c r="C3946" s="308">
        <v>4.4076746474253898</v>
      </c>
    </row>
    <row r="3947" spans="1:3" x14ac:dyDescent="0.35">
      <c r="A3947" s="305">
        <v>42219</v>
      </c>
      <c r="B3947" s="306">
        <v>222.83019999999999</v>
      </c>
      <c r="C3947" s="309">
        <v>4.4073809949968101</v>
      </c>
    </row>
    <row r="3948" spans="1:3" x14ac:dyDescent="0.35">
      <c r="A3948" s="302">
        <v>42218</v>
      </c>
      <c r="B3948" s="303">
        <v>222.82300000000001</v>
      </c>
      <c r="C3948" s="308">
        <v>4.4070404690147402</v>
      </c>
    </row>
    <row r="3949" spans="1:3" x14ac:dyDescent="0.35">
      <c r="A3949" s="305">
        <v>42217</v>
      </c>
      <c r="B3949" s="306">
        <v>222.8158</v>
      </c>
      <c r="C3949" s="309">
        <v>4.4066510005318396</v>
      </c>
    </row>
    <row r="3950" spans="1:3" x14ac:dyDescent="0.35">
      <c r="A3950" s="302">
        <v>42216</v>
      </c>
      <c r="B3950" s="303">
        <v>222.80860000000001</v>
      </c>
      <c r="C3950" s="308">
        <v>4.4063104337146299</v>
      </c>
    </row>
    <row r="3951" spans="1:3" x14ac:dyDescent="0.35">
      <c r="A3951" s="305">
        <v>42215</v>
      </c>
      <c r="B3951" s="306">
        <v>222.8014</v>
      </c>
      <c r="C3951" s="309">
        <v>4.4059698471080697</v>
      </c>
    </row>
    <row r="3952" spans="1:3" x14ac:dyDescent="0.35">
      <c r="A3952" s="302">
        <v>42214</v>
      </c>
      <c r="B3952" s="303">
        <v>222.79419999999999</v>
      </c>
      <c r="C3952" s="308">
        <v>4.40562924071045</v>
      </c>
    </row>
    <row r="3953" spans="1:3" x14ac:dyDescent="0.35">
      <c r="A3953" s="305">
        <v>42213</v>
      </c>
      <c r="B3953" s="306">
        <v>222.78710000000001</v>
      </c>
      <c r="C3953" s="309">
        <v>4.4053354777968803</v>
      </c>
    </row>
    <row r="3954" spans="1:3" x14ac:dyDescent="0.35">
      <c r="A3954" s="302">
        <v>42212</v>
      </c>
      <c r="B3954" s="303">
        <v>222.7799</v>
      </c>
      <c r="C3954" s="308">
        <v>4.4049948331735997</v>
      </c>
    </row>
    <row r="3955" spans="1:3" x14ac:dyDescent="0.35">
      <c r="A3955" s="305">
        <v>42211</v>
      </c>
      <c r="B3955" s="306">
        <v>222.77269999999999</v>
      </c>
      <c r="C3955" s="309">
        <v>4.4046541687541598</v>
      </c>
    </row>
    <row r="3956" spans="1:3" x14ac:dyDescent="0.35">
      <c r="A3956" s="302">
        <v>42210</v>
      </c>
      <c r="B3956" s="303">
        <v>222.7655</v>
      </c>
      <c r="C3956" s="308">
        <v>4.4043134845368197</v>
      </c>
    </row>
    <row r="3957" spans="1:3" x14ac:dyDescent="0.35">
      <c r="A3957" s="305">
        <v>42209</v>
      </c>
      <c r="B3957" s="306">
        <v>222.75829999999999</v>
      </c>
      <c r="C3957" s="309">
        <v>4.4039727805198599</v>
      </c>
    </row>
    <row r="3958" spans="1:3" x14ac:dyDescent="0.35">
      <c r="A3958" s="302">
        <v>42208</v>
      </c>
      <c r="B3958" s="303">
        <v>222.75110000000001</v>
      </c>
      <c r="C3958" s="308">
        <v>4.4036320567015599</v>
      </c>
    </row>
    <row r="3959" spans="1:3" x14ac:dyDescent="0.35">
      <c r="A3959" s="305">
        <v>42207</v>
      </c>
      <c r="B3959" s="306">
        <v>222.744</v>
      </c>
      <c r="C3959" s="309">
        <v>4.4033381845281996</v>
      </c>
    </row>
    <row r="3960" spans="1:3" x14ac:dyDescent="0.35">
      <c r="A3960" s="302">
        <v>42206</v>
      </c>
      <c r="B3960" s="303">
        <v>222.73679999999999</v>
      </c>
      <c r="C3960" s="308">
        <v>4.4029974224641704</v>
      </c>
    </row>
    <row r="3961" spans="1:3" x14ac:dyDescent="0.35">
      <c r="A3961" s="305">
        <v>42205</v>
      </c>
      <c r="B3961" s="306">
        <v>222.7296</v>
      </c>
      <c r="C3961" s="309">
        <v>4.4026077027353896</v>
      </c>
    </row>
    <row r="3962" spans="1:3" x14ac:dyDescent="0.35">
      <c r="A3962" s="302">
        <v>42204</v>
      </c>
      <c r="B3962" s="303">
        <v>222.72239999999999</v>
      </c>
      <c r="C3962" s="308">
        <v>4.4022668997942196</v>
      </c>
    </row>
    <row r="3963" spans="1:3" x14ac:dyDescent="0.35">
      <c r="A3963" s="305">
        <v>42203</v>
      </c>
      <c r="B3963" s="306">
        <v>222.71520000000001</v>
      </c>
      <c r="C3963" s="309">
        <v>4.4019260770430799</v>
      </c>
    </row>
    <row r="3964" spans="1:3" x14ac:dyDescent="0.35">
      <c r="A3964" s="302">
        <v>42202</v>
      </c>
      <c r="B3964" s="303">
        <v>222.7081</v>
      </c>
      <c r="C3964" s="308">
        <v>4.4016321127177802</v>
      </c>
    </row>
    <row r="3965" spans="1:3" x14ac:dyDescent="0.35">
      <c r="A3965" s="305">
        <v>42201</v>
      </c>
      <c r="B3965" s="306">
        <v>222.70089999999999</v>
      </c>
      <c r="C3965" s="309">
        <v>4.4012912517040697</v>
      </c>
    </row>
    <row r="3966" spans="1:3" x14ac:dyDescent="0.35">
      <c r="A3966" s="302">
        <v>42200</v>
      </c>
      <c r="B3966" s="303">
        <v>222.69370000000001</v>
      </c>
      <c r="C3966" s="308">
        <v>4.4009503708753002</v>
      </c>
    </row>
    <row r="3967" spans="1:3" x14ac:dyDescent="0.35">
      <c r="A3967" s="305">
        <v>42199</v>
      </c>
      <c r="B3967" s="306">
        <v>222.67439999999999</v>
      </c>
      <c r="C3967" s="309">
        <v>4.4085935291113998</v>
      </c>
    </row>
    <row r="3968" spans="1:3" x14ac:dyDescent="0.35">
      <c r="A3968" s="302">
        <v>42198</v>
      </c>
      <c r="B3968" s="303">
        <v>222.65520000000001</v>
      </c>
      <c r="C3968" s="308">
        <v>4.4162370608254298</v>
      </c>
    </row>
    <row r="3969" spans="1:3" x14ac:dyDescent="0.35">
      <c r="A3969" s="305">
        <v>42197</v>
      </c>
      <c r="B3969" s="306">
        <v>222.63589999999999</v>
      </c>
      <c r="C3969" s="309">
        <v>4.4238361269787996</v>
      </c>
    </row>
    <row r="3970" spans="1:3" x14ac:dyDescent="0.35">
      <c r="A3970" s="302">
        <v>42196</v>
      </c>
      <c r="B3970" s="303">
        <v>222.61660000000001</v>
      </c>
      <c r="C3970" s="308">
        <v>4.4314866069334302</v>
      </c>
    </row>
    <row r="3971" spans="1:3" x14ac:dyDescent="0.35">
      <c r="A3971" s="305">
        <v>42195</v>
      </c>
      <c r="B3971" s="306">
        <v>222.59729999999999</v>
      </c>
      <c r="C3971" s="309">
        <v>4.4390905337437099</v>
      </c>
    </row>
    <row r="3972" spans="1:3" x14ac:dyDescent="0.35">
      <c r="A3972" s="302">
        <v>42194</v>
      </c>
      <c r="B3972" s="303">
        <v>222.57810000000001</v>
      </c>
      <c r="C3972" s="308">
        <v>4.4467438128220298</v>
      </c>
    </row>
    <row r="3973" spans="1:3" x14ac:dyDescent="0.35">
      <c r="A3973" s="305">
        <v>42193</v>
      </c>
      <c r="B3973" s="306">
        <v>222.55879999999999</v>
      </c>
      <c r="C3973" s="309">
        <v>4.4543526010475496</v>
      </c>
    </row>
    <row r="3974" spans="1:3" x14ac:dyDescent="0.35">
      <c r="A3974" s="302">
        <v>42192</v>
      </c>
      <c r="B3974" s="303">
        <v>222.53960000000001</v>
      </c>
      <c r="C3974" s="308">
        <v>4.4620107588460103</v>
      </c>
    </row>
    <row r="3975" spans="1:3" x14ac:dyDescent="0.35">
      <c r="A3975" s="305">
        <v>42191</v>
      </c>
      <c r="B3975" s="306">
        <v>222.52029999999999</v>
      </c>
      <c r="C3975" s="309">
        <v>4.4696244131455396</v>
      </c>
    </row>
    <row r="3976" spans="1:3" x14ac:dyDescent="0.35">
      <c r="A3976" s="302">
        <v>42190</v>
      </c>
      <c r="B3976" s="303">
        <v>222.501</v>
      </c>
      <c r="C3976" s="308">
        <v>4.4772404984833303</v>
      </c>
    </row>
    <row r="3977" spans="1:3" x14ac:dyDescent="0.35">
      <c r="A3977" s="305">
        <v>42189</v>
      </c>
      <c r="B3977" s="306">
        <v>222.48179999999999</v>
      </c>
      <c r="C3977" s="309">
        <v>4.4849059793736998</v>
      </c>
    </row>
    <row r="3978" spans="1:3" x14ac:dyDescent="0.35">
      <c r="A3978" s="302">
        <v>42188</v>
      </c>
      <c r="B3978" s="303">
        <v>222.46250000000001</v>
      </c>
      <c r="C3978" s="308">
        <v>4.4925269377824097</v>
      </c>
    </row>
    <row r="3979" spans="1:3" x14ac:dyDescent="0.35">
      <c r="A3979" s="305">
        <v>42187</v>
      </c>
      <c r="B3979" s="306">
        <v>222.44329999999999</v>
      </c>
      <c r="C3979" s="309">
        <v>4.5001973090799803</v>
      </c>
    </row>
    <row r="3980" spans="1:3" x14ac:dyDescent="0.35">
      <c r="A3980" s="302">
        <v>42186</v>
      </c>
      <c r="B3980" s="303">
        <v>222.42400000000001</v>
      </c>
      <c r="C3980" s="308">
        <v>4.5078231452332798</v>
      </c>
    </row>
    <row r="3981" spans="1:3" x14ac:dyDescent="0.35">
      <c r="A3981" s="305">
        <v>42185</v>
      </c>
      <c r="B3981" s="306">
        <v>222.40479999999999</v>
      </c>
      <c r="C3981" s="309">
        <v>4.5154492962981898</v>
      </c>
    </row>
    <row r="3982" spans="1:3" x14ac:dyDescent="0.35">
      <c r="A3982" s="302">
        <v>42184</v>
      </c>
      <c r="B3982" s="303">
        <v>222.38550000000001</v>
      </c>
      <c r="C3982" s="308">
        <v>4.5230800034404597</v>
      </c>
    </row>
    <row r="3983" spans="1:3" x14ac:dyDescent="0.35">
      <c r="A3983" s="305">
        <v>42183</v>
      </c>
      <c r="B3983" s="306">
        <v>222.3663</v>
      </c>
      <c r="C3983" s="309">
        <v>4.5307110199776099</v>
      </c>
    </row>
    <row r="3984" spans="1:3" x14ac:dyDescent="0.35">
      <c r="A3984" s="302">
        <v>42182</v>
      </c>
      <c r="B3984" s="303">
        <v>222.34700000000001</v>
      </c>
      <c r="C3984" s="308">
        <v>4.5383466027752499</v>
      </c>
    </row>
    <row r="3985" spans="1:3" x14ac:dyDescent="0.35">
      <c r="A3985" s="305">
        <v>42181</v>
      </c>
      <c r="B3985" s="306">
        <v>222.3278</v>
      </c>
      <c r="C3985" s="309">
        <v>4.5459824894444303</v>
      </c>
    </row>
    <row r="3986" spans="1:3" x14ac:dyDescent="0.35">
      <c r="A3986" s="302">
        <v>42180</v>
      </c>
      <c r="B3986" s="303">
        <v>222.30850000000001</v>
      </c>
      <c r="C3986" s="308">
        <v>4.5536229525698397</v>
      </c>
    </row>
    <row r="3987" spans="1:3" x14ac:dyDescent="0.35">
      <c r="A3987" s="305">
        <v>42179</v>
      </c>
      <c r="B3987" s="306">
        <v>222.2893</v>
      </c>
      <c r="C3987" s="309">
        <v>4.5612637140368104</v>
      </c>
    </row>
    <row r="3988" spans="1:3" x14ac:dyDescent="0.35">
      <c r="A3988" s="302">
        <v>42178</v>
      </c>
      <c r="B3988" s="303">
        <v>222.27010000000001</v>
      </c>
      <c r="C3988" s="308">
        <v>4.5689069126852102</v>
      </c>
    </row>
    <row r="3989" spans="1:3" x14ac:dyDescent="0.35">
      <c r="A3989" s="305">
        <v>42177</v>
      </c>
      <c r="B3989" s="306">
        <v>222.2508</v>
      </c>
      <c r="C3989" s="309">
        <v>4.5765547031048204</v>
      </c>
    </row>
    <row r="3990" spans="1:3" x14ac:dyDescent="0.35">
      <c r="A3990" s="302">
        <v>42176</v>
      </c>
      <c r="B3990" s="303">
        <v>222.23159999999999</v>
      </c>
      <c r="C3990" s="308">
        <v>4.58420278355843</v>
      </c>
    </row>
    <row r="3991" spans="1:3" x14ac:dyDescent="0.35">
      <c r="A3991" s="305">
        <v>42175</v>
      </c>
      <c r="B3991" s="306">
        <v>222.2123</v>
      </c>
      <c r="C3991" s="309">
        <v>4.5918062362825003</v>
      </c>
    </row>
    <row r="3992" spans="1:3" x14ac:dyDescent="0.35">
      <c r="A3992" s="302">
        <v>42174</v>
      </c>
      <c r="B3992" s="303">
        <v>222.19309999999999</v>
      </c>
      <c r="C3992" s="308">
        <v>4.5994591917628398</v>
      </c>
    </row>
    <row r="3993" spans="1:3" x14ac:dyDescent="0.35">
      <c r="A3993" s="305">
        <v>42173</v>
      </c>
      <c r="B3993" s="306">
        <v>222.1739</v>
      </c>
      <c r="C3993" s="309">
        <v>4.6071145902634303</v>
      </c>
    </row>
    <row r="3994" spans="1:3" x14ac:dyDescent="0.35">
      <c r="A3994" s="302">
        <v>42172</v>
      </c>
      <c r="B3994" s="303">
        <v>222.15469999999999</v>
      </c>
      <c r="C3994" s="308">
        <v>4.6147724329542497</v>
      </c>
    </row>
    <row r="3995" spans="1:3" x14ac:dyDescent="0.35">
      <c r="A3995" s="305">
        <v>42171</v>
      </c>
      <c r="B3995" s="306">
        <v>222.1354</v>
      </c>
      <c r="C3995" s="309">
        <v>4.6223856225311604</v>
      </c>
    </row>
    <row r="3996" spans="1:3" x14ac:dyDescent="0.35">
      <c r="A3996" s="302">
        <v>42170</v>
      </c>
      <c r="B3996" s="303">
        <v>222.11619999999999</v>
      </c>
      <c r="C3996" s="308">
        <v>4.6300483495943201</v>
      </c>
    </row>
    <row r="3997" spans="1:3" x14ac:dyDescent="0.35">
      <c r="A3997" s="305">
        <v>42169</v>
      </c>
      <c r="B3997" s="306">
        <v>222.07759999999999</v>
      </c>
      <c r="C3997" s="309">
        <v>4.6273411609953703</v>
      </c>
    </row>
    <row r="3998" spans="1:3" x14ac:dyDescent="0.35">
      <c r="A3998" s="302">
        <v>42168</v>
      </c>
      <c r="B3998" s="303">
        <v>222.03899999999999</v>
      </c>
      <c r="C3998" s="308">
        <v>4.6246331713035804</v>
      </c>
    </row>
    <row r="3999" spans="1:3" x14ac:dyDescent="0.35">
      <c r="A3999" s="305">
        <v>42167</v>
      </c>
      <c r="B3999" s="306">
        <v>222.00049999999999</v>
      </c>
      <c r="C3999" s="309">
        <v>4.6219715070713896</v>
      </c>
    </row>
    <row r="4000" spans="1:3" x14ac:dyDescent="0.35">
      <c r="A4000" s="302">
        <v>42166</v>
      </c>
      <c r="B4000" s="303">
        <v>221.96190000000001</v>
      </c>
      <c r="C4000" s="308">
        <v>4.6192619211016499</v>
      </c>
    </row>
    <row r="4001" spans="1:3" x14ac:dyDescent="0.35">
      <c r="A4001" s="305">
        <v>42165</v>
      </c>
      <c r="B4001" s="306">
        <v>221.92330000000001</v>
      </c>
      <c r="C4001" s="309">
        <v>4.6165515329736202</v>
      </c>
    </row>
    <row r="4002" spans="1:3" x14ac:dyDescent="0.35">
      <c r="A4002" s="302">
        <v>42164</v>
      </c>
      <c r="B4002" s="303">
        <v>221.88480000000001</v>
      </c>
      <c r="C4002" s="308">
        <v>4.61388749016968</v>
      </c>
    </row>
    <row r="4003" spans="1:3" x14ac:dyDescent="0.35">
      <c r="A4003" s="305">
        <v>42163</v>
      </c>
      <c r="B4003" s="306">
        <v>221.84620000000001</v>
      </c>
      <c r="C4003" s="309">
        <v>4.6111755036370496</v>
      </c>
    </row>
    <row r="4004" spans="1:3" x14ac:dyDescent="0.35">
      <c r="A4004" s="302">
        <v>42162</v>
      </c>
      <c r="B4004" s="303">
        <v>221.80770000000001</v>
      </c>
      <c r="C4004" s="308">
        <v>4.6085098756814897</v>
      </c>
    </row>
    <row r="4005" spans="1:3" x14ac:dyDescent="0.35">
      <c r="A4005" s="305">
        <v>42161</v>
      </c>
      <c r="B4005" s="306">
        <v>221.76920000000001</v>
      </c>
      <c r="C4005" s="309">
        <v>4.6058434581136396</v>
      </c>
    </row>
    <row r="4006" spans="1:3" x14ac:dyDescent="0.35">
      <c r="A4006" s="302">
        <v>42160</v>
      </c>
      <c r="B4006" s="303">
        <v>221.73060000000001</v>
      </c>
      <c r="C4006" s="308">
        <v>4.6031290748075699</v>
      </c>
    </row>
    <row r="4007" spans="1:3" x14ac:dyDescent="0.35">
      <c r="A4007" s="305">
        <v>42159</v>
      </c>
      <c r="B4007" s="306">
        <v>221.69210000000001</v>
      </c>
      <c r="C4007" s="309">
        <v>4.6004610699729804</v>
      </c>
    </row>
    <row r="4008" spans="1:3" x14ac:dyDescent="0.35">
      <c r="A4008" s="302">
        <v>42158</v>
      </c>
      <c r="B4008" s="303">
        <v>221.65360000000001</v>
      </c>
      <c r="C4008" s="308">
        <v>4.59779227447072</v>
      </c>
    </row>
    <row r="4009" spans="1:3" x14ac:dyDescent="0.35">
      <c r="A4009" s="305">
        <v>42157</v>
      </c>
      <c r="B4009" s="306">
        <v>221.61510000000001</v>
      </c>
      <c r="C4009" s="309">
        <v>4.5950733224749403</v>
      </c>
    </row>
    <row r="4010" spans="1:3" x14ac:dyDescent="0.35">
      <c r="A4010" s="302">
        <v>42156</v>
      </c>
      <c r="B4010" s="303">
        <v>221.57660000000001</v>
      </c>
      <c r="C4010" s="308">
        <v>4.5924029385261198</v>
      </c>
    </row>
    <row r="4011" spans="1:3" x14ac:dyDescent="0.35">
      <c r="A4011" s="305">
        <v>42155</v>
      </c>
      <c r="B4011" s="306">
        <v>221.53809999999999</v>
      </c>
      <c r="C4011" s="309">
        <v>4.5897317628529999</v>
      </c>
    </row>
    <row r="4012" spans="1:3" x14ac:dyDescent="0.35">
      <c r="A4012" s="302">
        <v>42154</v>
      </c>
      <c r="B4012" s="303">
        <v>221.49959999999999</v>
      </c>
      <c r="C4012" s="308">
        <v>4.5870104115022299</v>
      </c>
    </row>
    <row r="4013" spans="1:3" x14ac:dyDescent="0.35">
      <c r="A4013" s="305">
        <v>42153</v>
      </c>
      <c r="B4013" s="306">
        <v>221.46119999999999</v>
      </c>
      <c r="C4013" s="309">
        <v>4.5843848699620704</v>
      </c>
    </row>
    <row r="4014" spans="1:3" x14ac:dyDescent="0.35">
      <c r="A4014" s="302">
        <v>42152</v>
      </c>
      <c r="B4014" s="303">
        <v>221.42269999999999</v>
      </c>
      <c r="C4014" s="308">
        <v>4.5816619222443702</v>
      </c>
    </row>
    <row r="4015" spans="1:3" x14ac:dyDescent="0.35">
      <c r="A4015" s="305">
        <v>42151</v>
      </c>
      <c r="B4015" s="306">
        <v>221.38419999999999</v>
      </c>
      <c r="C4015" s="309">
        <v>4.5789875710292698</v>
      </c>
    </row>
    <row r="4016" spans="1:3" x14ac:dyDescent="0.35">
      <c r="A4016" s="302">
        <v>42150</v>
      </c>
      <c r="B4016" s="303">
        <v>221.3458</v>
      </c>
      <c r="C4016" s="308">
        <v>4.5763102642167004</v>
      </c>
    </row>
    <row r="4017" spans="1:3" x14ac:dyDescent="0.35">
      <c r="A4017" s="305">
        <v>42149</v>
      </c>
      <c r="B4017" s="306">
        <v>221.3073</v>
      </c>
      <c r="C4017" s="309">
        <v>4.5735849127928496</v>
      </c>
    </row>
    <row r="4018" spans="1:3" x14ac:dyDescent="0.35">
      <c r="A4018" s="302">
        <v>42148</v>
      </c>
      <c r="B4018" s="303">
        <v>221.2689</v>
      </c>
      <c r="C4018" s="308">
        <v>4.5709554346022996</v>
      </c>
    </row>
    <row r="4019" spans="1:3" x14ac:dyDescent="0.35">
      <c r="A4019" s="305">
        <v>42147</v>
      </c>
      <c r="B4019" s="306">
        <v>221.23050000000001</v>
      </c>
      <c r="C4019" s="309">
        <v>4.5682757499328801</v>
      </c>
    </row>
    <row r="4020" spans="1:3" x14ac:dyDescent="0.35">
      <c r="A4020" s="302">
        <v>42146</v>
      </c>
      <c r="B4020" s="303">
        <v>221.19200000000001</v>
      </c>
      <c r="C4020" s="308">
        <v>4.5655479985988103</v>
      </c>
    </row>
    <row r="4021" spans="1:3" x14ac:dyDescent="0.35">
      <c r="A4021" s="305">
        <v>42145</v>
      </c>
      <c r="B4021" s="306">
        <v>221.15360000000001</v>
      </c>
      <c r="C4021" s="309">
        <v>4.5628667205666096</v>
      </c>
    </row>
    <row r="4022" spans="1:3" x14ac:dyDescent="0.35">
      <c r="A4022" s="302">
        <v>42144</v>
      </c>
      <c r="B4022" s="303">
        <v>221.11519999999999</v>
      </c>
      <c r="C4022" s="308">
        <v>4.5601846488206199</v>
      </c>
    </row>
    <row r="4023" spans="1:3" x14ac:dyDescent="0.35">
      <c r="A4023" s="305">
        <v>42143</v>
      </c>
      <c r="B4023" s="306">
        <v>221.07679999999999</v>
      </c>
      <c r="C4023" s="309">
        <v>4.5575017830083597</v>
      </c>
    </row>
    <row r="4024" spans="1:3" x14ac:dyDescent="0.35">
      <c r="A4024" s="302">
        <v>42142</v>
      </c>
      <c r="B4024" s="303">
        <v>221.0384</v>
      </c>
      <c r="C4024" s="308">
        <v>4.5548181227771201</v>
      </c>
    </row>
    <row r="4025" spans="1:3" x14ac:dyDescent="0.35">
      <c r="A4025" s="305">
        <v>42141</v>
      </c>
      <c r="B4025" s="306">
        <v>221</v>
      </c>
      <c r="C4025" s="309">
        <v>4.5521336677740001</v>
      </c>
    </row>
    <row r="4026" spans="1:3" x14ac:dyDescent="0.35">
      <c r="A4026" s="302">
        <v>42140</v>
      </c>
      <c r="B4026" s="303">
        <v>220.9616</v>
      </c>
      <c r="C4026" s="308">
        <v>4.5494484176459</v>
      </c>
    </row>
    <row r="4027" spans="1:3" x14ac:dyDescent="0.35">
      <c r="A4027" s="305">
        <v>42139</v>
      </c>
      <c r="B4027" s="306">
        <v>220.92320000000001</v>
      </c>
      <c r="C4027" s="309">
        <v>4.5467623720394901</v>
      </c>
    </row>
    <row r="4028" spans="1:3" x14ac:dyDescent="0.35">
      <c r="A4028" s="302">
        <v>42138</v>
      </c>
      <c r="B4028" s="303">
        <v>220.87989999999999</v>
      </c>
      <c r="C4028" s="308">
        <v>4.5398267197632798</v>
      </c>
    </row>
    <row r="4029" spans="1:3" x14ac:dyDescent="0.35">
      <c r="A4029" s="305">
        <v>42137</v>
      </c>
      <c r="B4029" s="306">
        <v>220.8366</v>
      </c>
      <c r="C4029" s="309">
        <v>4.5328892684099804</v>
      </c>
    </row>
    <row r="4030" spans="1:3" x14ac:dyDescent="0.35">
      <c r="A4030" s="302">
        <v>42136</v>
      </c>
      <c r="B4030" s="303">
        <v>220.79329999999999</v>
      </c>
      <c r="C4030" s="308">
        <v>4.5259500172795004</v>
      </c>
    </row>
    <row r="4031" spans="1:3" x14ac:dyDescent="0.35">
      <c r="A4031" s="305">
        <v>42135</v>
      </c>
      <c r="B4031" s="306">
        <v>220.75</v>
      </c>
      <c r="C4031" s="309">
        <v>4.5190089656713601</v>
      </c>
    </row>
    <row r="4032" spans="1:3" x14ac:dyDescent="0.35">
      <c r="A4032" s="302">
        <v>42134</v>
      </c>
      <c r="B4032" s="303">
        <v>220.70670000000001</v>
      </c>
      <c r="C4032" s="308">
        <v>4.5120661128847601</v>
      </c>
    </row>
    <row r="4033" spans="1:3" x14ac:dyDescent="0.35">
      <c r="A4033" s="305">
        <v>42133</v>
      </c>
      <c r="B4033" s="306">
        <v>220.6634</v>
      </c>
      <c r="C4033" s="309">
        <v>4.5051214582184897</v>
      </c>
    </row>
    <row r="4034" spans="1:3" x14ac:dyDescent="0.35">
      <c r="A4034" s="302">
        <v>42132</v>
      </c>
      <c r="B4034" s="303">
        <v>220.62020000000001</v>
      </c>
      <c r="C4034" s="308">
        <v>4.4982223666348702</v>
      </c>
    </row>
    <row r="4035" spans="1:3" x14ac:dyDescent="0.35">
      <c r="A4035" s="305">
        <v>42131</v>
      </c>
      <c r="B4035" s="306">
        <v>220.57689999999999</v>
      </c>
      <c r="C4035" s="309">
        <v>4.4912741122522499</v>
      </c>
    </row>
    <row r="4036" spans="1:3" x14ac:dyDescent="0.35">
      <c r="A4036" s="302">
        <v>42130</v>
      </c>
      <c r="B4036" s="303">
        <v>220.53370000000001</v>
      </c>
      <c r="C4036" s="308">
        <v>4.48437143184728</v>
      </c>
    </row>
    <row r="4037" spans="1:3" x14ac:dyDescent="0.35">
      <c r="A4037" s="305">
        <v>42129</v>
      </c>
      <c r="B4037" s="306">
        <v>220.49039999999999</v>
      </c>
      <c r="C4037" s="309">
        <v>4.4774195749455599</v>
      </c>
    </row>
    <row r="4038" spans="1:3" x14ac:dyDescent="0.35">
      <c r="A4038" s="302">
        <v>42128</v>
      </c>
      <c r="B4038" s="303">
        <v>220.44720000000001</v>
      </c>
      <c r="C4038" s="308">
        <v>4.4705133029214199</v>
      </c>
    </row>
    <row r="4039" spans="1:3" x14ac:dyDescent="0.35">
      <c r="A4039" s="305">
        <v>42127</v>
      </c>
      <c r="B4039" s="306">
        <v>220.404</v>
      </c>
      <c r="C4039" s="309">
        <v>4.4635557251293303</v>
      </c>
    </row>
    <row r="4040" spans="1:3" x14ac:dyDescent="0.35">
      <c r="A4040" s="302">
        <v>42126</v>
      </c>
      <c r="B4040" s="303">
        <v>220.36080000000001</v>
      </c>
      <c r="C4040" s="308">
        <v>4.4566458616859901</v>
      </c>
    </row>
    <row r="4041" spans="1:3" x14ac:dyDescent="0.35">
      <c r="A4041" s="305">
        <v>42125</v>
      </c>
      <c r="B4041" s="306">
        <v>220.3175</v>
      </c>
      <c r="C4041" s="309">
        <v>4.4496867943509697</v>
      </c>
    </row>
    <row r="4042" spans="1:3" x14ac:dyDescent="0.35">
      <c r="A4042" s="302">
        <v>42124</v>
      </c>
      <c r="B4042" s="303">
        <v>220.27430000000001</v>
      </c>
      <c r="C4042" s="308">
        <v>4.4427238123054797</v>
      </c>
    </row>
    <row r="4043" spans="1:3" x14ac:dyDescent="0.35">
      <c r="A4043" s="305">
        <v>42123</v>
      </c>
      <c r="B4043" s="306">
        <v>220.2312</v>
      </c>
      <c r="C4043" s="309">
        <v>4.4358559729131199</v>
      </c>
    </row>
    <row r="4044" spans="1:3" x14ac:dyDescent="0.35">
      <c r="A4044" s="302">
        <v>42122</v>
      </c>
      <c r="B4044" s="303">
        <v>220.18799999999999</v>
      </c>
      <c r="C4044" s="308">
        <v>4.4289389213923096</v>
      </c>
    </row>
    <row r="4045" spans="1:3" x14ac:dyDescent="0.35">
      <c r="A4045" s="305">
        <v>42121</v>
      </c>
      <c r="B4045" s="306">
        <v>220.1448</v>
      </c>
      <c r="C4045" s="309">
        <v>4.4219705410670498</v>
      </c>
    </row>
    <row r="4046" spans="1:3" x14ac:dyDescent="0.35">
      <c r="A4046" s="302">
        <v>42120</v>
      </c>
      <c r="B4046" s="303">
        <v>220.10159999999999</v>
      </c>
      <c r="C4046" s="308">
        <v>4.4150498897269301</v>
      </c>
    </row>
    <row r="4047" spans="1:3" x14ac:dyDescent="0.35">
      <c r="A4047" s="305">
        <v>42119</v>
      </c>
      <c r="B4047" s="306">
        <v>220.05850000000001</v>
      </c>
      <c r="C4047" s="309">
        <v>4.4081253475391904</v>
      </c>
    </row>
    <row r="4048" spans="1:3" x14ac:dyDescent="0.35">
      <c r="A4048" s="302">
        <v>42118</v>
      </c>
      <c r="B4048" s="303">
        <v>220.0153</v>
      </c>
      <c r="C4048" s="308">
        <v>4.4012010997427202</v>
      </c>
    </row>
    <row r="4049" spans="1:3" x14ac:dyDescent="0.35">
      <c r="A4049" s="305">
        <v>42117</v>
      </c>
      <c r="B4049" s="306">
        <v>219.97219999999999</v>
      </c>
      <c r="C4049" s="309">
        <v>4.3942729657272999</v>
      </c>
    </row>
    <row r="4050" spans="1:3" x14ac:dyDescent="0.35">
      <c r="A4050" s="302">
        <v>42116</v>
      </c>
      <c r="B4050" s="303">
        <v>219.92910000000001</v>
      </c>
      <c r="C4050" s="308">
        <v>4.3873430362587698</v>
      </c>
    </row>
    <row r="4051" spans="1:3" x14ac:dyDescent="0.35">
      <c r="A4051" s="305">
        <v>42115</v>
      </c>
      <c r="B4051" s="306">
        <v>219.886</v>
      </c>
      <c r="C4051" s="309">
        <v>4.38046086029407</v>
      </c>
    </row>
    <row r="4052" spans="1:3" x14ac:dyDescent="0.35">
      <c r="A4052" s="302">
        <v>42114</v>
      </c>
      <c r="B4052" s="303">
        <v>219.84280000000001</v>
      </c>
      <c r="C4052" s="308">
        <v>4.3734798645402897</v>
      </c>
    </row>
    <row r="4053" spans="1:3" x14ac:dyDescent="0.35">
      <c r="A4053" s="305">
        <v>42113</v>
      </c>
      <c r="B4053" s="306">
        <v>219.7997</v>
      </c>
      <c r="C4053" s="309">
        <v>4.3665445414988202</v>
      </c>
    </row>
    <row r="4054" spans="1:3" x14ac:dyDescent="0.35">
      <c r="A4054" s="302">
        <v>42112</v>
      </c>
      <c r="B4054" s="303">
        <v>219.75659999999999</v>
      </c>
      <c r="C4054" s="308">
        <v>4.3596569792787596</v>
      </c>
    </row>
    <row r="4055" spans="1:3" x14ac:dyDescent="0.35">
      <c r="A4055" s="305">
        <v>42111</v>
      </c>
      <c r="B4055" s="306">
        <v>219.71350000000001</v>
      </c>
      <c r="C4055" s="309">
        <v>4.3527180621698802</v>
      </c>
    </row>
    <row r="4056" spans="1:3" x14ac:dyDescent="0.35">
      <c r="A4056" s="302">
        <v>42110</v>
      </c>
      <c r="B4056" s="303">
        <v>219.6705</v>
      </c>
      <c r="C4056" s="308">
        <v>4.3458248464765603</v>
      </c>
    </row>
    <row r="4057" spans="1:3" x14ac:dyDescent="0.35">
      <c r="A4057" s="305">
        <v>42109</v>
      </c>
      <c r="B4057" s="306">
        <v>219.62739999999999</v>
      </c>
      <c r="C4057" s="309">
        <v>4.3388823355311796</v>
      </c>
    </row>
    <row r="4058" spans="1:3" x14ac:dyDescent="0.35">
      <c r="A4058" s="302">
        <v>42108</v>
      </c>
      <c r="B4058" s="303">
        <v>219.54640000000001</v>
      </c>
      <c r="C4058" s="308">
        <v>4.3215141526535499</v>
      </c>
    </row>
    <row r="4059" spans="1:3" x14ac:dyDescent="0.35">
      <c r="A4059" s="305">
        <v>42107</v>
      </c>
      <c r="B4059" s="306">
        <v>219.46539999999999</v>
      </c>
      <c r="C4059" s="309">
        <v>4.3041885090466696</v>
      </c>
    </row>
    <row r="4060" spans="1:3" x14ac:dyDescent="0.35">
      <c r="A4060" s="302">
        <v>42106</v>
      </c>
      <c r="B4060" s="303">
        <v>219.3845</v>
      </c>
      <c r="C4060" s="308">
        <v>4.2868537941420302</v>
      </c>
    </row>
    <row r="4061" spans="1:3" x14ac:dyDescent="0.35">
      <c r="A4061" s="305">
        <v>42105</v>
      </c>
      <c r="B4061" s="306">
        <v>219.30359999999999</v>
      </c>
      <c r="C4061" s="309">
        <v>4.2695120571233502</v>
      </c>
    </row>
    <row r="4062" spans="1:3" x14ac:dyDescent="0.35">
      <c r="A4062" s="302">
        <v>42104</v>
      </c>
      <c r="B4062" s="303">
        <v>219.2227</v>
      </c>
      <c r="C4062" s="308">
        <v>4.2521632937228802</v>
      </c>
    </row>
    <row r="4063" spans="1:3" x14ac:dyDescent="0.35">
      <c r="A4063" s="305">
        <v>42103</v>
      </c>
      <c r="B4063" s="306">
        <v>219.14189999999999</v>
      </c>
      <c r="C4063" s="309">
        <v>4.2348550646741403</v>
      </c>
    </row>
    <row r="4064" spans="1:3" x14ac:dyDescent="0.35">
      <c r="A4064" s="302">
        <v>42102</v>
      </c>
      <c r="B4064" s="303">
        <v>219.06110000000001</v>
      </c>
      <c r="C4064" s="308">
        <v>4.2175398199775396</v>
      </c>
    </row>
    <row r="4065" spans="1:3" x14ac:dyDescent="0.35">
      <c r="A4065" s="305">
        <v>42101</v>
      </c>
      <c r="B4065" s="306">
        <v>218.9803</v>
      </c>
      <c r="C4065" s="309">
        <v>4.2002175553666996</v>
      </c>
    </row>
    <row r="4066" spans="1:3" x14ac:dyDescent="0.35">
      <c r="A4066" s="302">
        <v>42100</v>
      </c>
      <c r="B4066" s="303">
        <v>218.89949999999999</v>
      </c>
      <c r="C4066" s="308">
        <v>4.1828386818580103</v>
      </c>
    </row>
    <row r="4067" spans="1:3" x14ac:dyDescent="0.35">
      <c r="A4067" s="305">
        <v>42099</v>
      </c>
      <c r="B4067" s="306">
        <v>218.81880000000001</v>
      </c>
      <c r="C4067" s="309">
        <v>4.1655499663680802</v>
      </c>
    </row>
    <row r="4068" spans="1:3" x14ac:dyDescent="0.35">
      <c r="A4068" s="302">
        <v>42098</v>
      </c>
      <c r="B4068" s="303">
        <v>218.7381</v>
      </c>
      <c r="C4068" s="308">
        <v>4.1482046491431097</v>
      </c>
    </row>
    <row r="4069" spans="1:3" x14ac:dyDescent="0.35">
      <c r="A4069" s="305">
        <v>42097</v>
      </c>
      <c r="B4069" s="306">
        <v>218.6574</v>
      </c>
      <c r="C4069" s="309">
        <v>4.1309019007234902</v>
      </c>
    </row>
    <row r="4070" spans="1:3" x14ac:dyDescent="0.35">
      <c r="A4070" s="302">
        <v>42096</v>
      </c>
      <c r="B4070" s="303">
        <v>218.57679999999999</v>
      </c>
      <c r="C4070" s="308">
        <v>4.1135901709387497</v>
      </c>
    </row>
    <row r="4071" spans="1:3" x14ac:dyDescent="0.35">
      <c r="A4071" s="305">
        <v>42095</v>
      </c>
      <c r="B4071" s="306">
        <v>218.49619999999999</v>
      </c>
      <c r="C4071" s="309">
        <v>4.0963210243446699</v>
      </c>
    </row>
    <row r="4072" spans="1:3" x14ac:dyDescent="0.35">
      <c r="A4072" s="302">
        <v>42094</v>
      </c>
      <c r="B4072" s="303">
        <v>218.41560000000001</v>
      </c>
      <c r="C4072" s="308">
        <v>4.0789952710339898</v>
      </c>
    </row>
    <row r="4073" spans="1:3" x14ac:dyDescent="0.35">
      <c r="A4073" s="305">
        <v>42093</v>
      </c>
      <c r="B4073" s="306">
        <v>218.33510000000001</v>
      </c>
      <c r="C4073" s="309">
        <v>4.0617101601377597</v>
      </c>
    </row>
    <row r="4074" spans="1:3" x14ac:dyDescent="0.35">
      <c r="A4074" s="302">
        <v>42092</v>
      </c>
      <c r="B4074" s="303">
        <v>218.25450000000001</v>
      </c>
      <c r="C4074" s="308">
        <v>4.0443703741134396</v>
      </c>
    </row>
    <row r="4075" spans="1:3" x14ac:dyDescent="0.35">
      <c r="A4075" s="305">
        <v>42091</v>
      </c>
      <c r="B4075" s="306">
        <v>218.17410000000001</v>
      </c>
      <c r="C4075" s="309">
        <v>4.0271189220710104</v>
      </c>
    </row>
    <row r="4076" spans="1:3" x14ac:dyDescent="0.35">
      <c r="A4076" s="302">
        <v>42090</v>
      </c>
      <c r="B4076" s="303">
        <v>218.09360000000001</v>
      </c>
      <c r="C4076" s="308">
        <v>4.0098127863811301</v>
      </c>
    </row>
    <row r="4077" spans="1:3" x14ac:dyDescent="0.35">
      <c r="A4077" s="305">
        <v>42089</v>
      </c>
      <c r="B4077" s="306">
        <v>218.01320000000001</v>
      </c>
      <c r="C4077" s="309">
        <v>3.9924977294756001</v>
      </c>
    </row>
    <row r="4078" spans="1:3" x14ac:dyDescent="0.35">
      <c r="A4078" s="302">
        <v>42088</v>
      </c>
      <c r="B4078" s="303">
        <v>217.93279999999999</v>
      </c>
      <c r="C4078" s="308">
        <v>3.9752252735797202</v>
      </c>
    </row>
    <row r="4079" spans="1:3" x14ac:dyDescent="0.35">
      <c r="A4079" s="305">
        <v>42087</v>
      </c>
      <c r="B4079" s="306">
        <v>217.85239999999999</v>
      </c>
      <c r="C4079" s="309">
        <v>3.9579458117124502</v>
      </c>
    </row>
    <row r="4080" spans="1:3" x14ac:dyDescent="0.35">
      <c r="A4080" s="302">
        <v>42086</v>
      </c>
      <c r="B4080" s="303">
        <v>217.77209999999999</v>
      </c>
      <c r="C4080" s="308">
        <v>3.9406574587692198</v>
      </c>
    </row>
    <row r="4081" spans="1:3" x14ac:dyDescent="0.35">
      <c r="A4081" s="305">
        <v>42085</v>
      </c>
      <c r="B4081" s="306">
        <v>217.6917</v>
      </c>
      <c r="C4081" s="309">
        <v>3.92336398003946</v>
      </c>
    </row>
    <row r="4082" spans="1:3" x14ac:dyDescent="0.35">
      <c r="A4082" s="302">
        <v>42084</v>
      </c>
      <c r="B4082" s="303">
        <v>217.61150000000001</v>
      </c>
      <c r="C4082" s="308">
        <v>3.9061093659054098</v>
      </c>
    </row>
    <row r="4083" spans="1:3" x14ac:dyDescent="0.35">
      <c r="A4083" s="305">
        <v>42083</v>
      </c>
      <c r="B4083" s="306">
        <v>217.53120000000001</v>
      </c>
      <c r="C4083" s="309">
        <v>3.8888000057309702</v>
      </c>
    </row>
    <row r="4084" spans="1:3" x14ac:dyDescent="0.35">
      <c r="A4084" s="302">
        <v>42082</v>
      </c>
      <c r="B4084" s="303">
        <v>217.45099999999999</v>
      </c>
      <c r="C4084" s="308">
        <v>3.87153140182693</v>
      </c>
    </row>
    <row r="4085" spans="1:3" x14ac:dyDescent="0.35">
      <c r="A4085" s="305">
        <v>42081</v>
      </c>
      <c r="B4085" s="306">
        <v>217.3708</v>
      </c>
      <c r="C4085" s="309">
        <v>3.8542558014980099</v>
      </c>
    </row>
    <row r="4086" spans="1:3" x14ac:dyDescent="0.35">
      <c r="A4086" s="302">
        <v>42080</v>
      </c>
      <c r="B4086" s="303">
        <v>217.29060000000001</v>
      </c>
      <c r="C4086" s="308">
        <v>3.8369732004914399</v>
      </c>
    </row>
    <row r="4087" spans="1:3" x14ac:dyDescent="0.35">
      <c r="A4087" s="305">
        <v>42079</v>
      </c>
      <c r="B4087" s="306">
        <v>217.2105</v>
      </c>
      <c r="C4087" s="309">
        <v>3.8197313913800301</v>
      </c>
    </row>
    <row r="4088" spans="1:3" x14ac:dyDescent="0.35">
      <c r="A4088" s="302">
        <v>42078</v>
      </c>
      <c r="B4088" s="303">
        <v>217.13040000000001</v>
      </c>
      <c r="C4088" s="308">
        <v>3.8024825924518302</v>
      </c>
    </row>
    <row r="4089" spans="1:3" x14ac:dyDescent="0.35">
      <c r="A4089" s="305">
        <v>42077</v>
      </c>
      <c r="B4089" s="306">
        <v>217.08090000000001</v>
      </c>
      <c r="C4089" s="309">
        <v>3.79693028593287</v>
      </c>
    </row>
    <row r="4090" spans="1:3" x14ac:dyDescent="0.35">
      <c r="A4090" s="302">
        <v>42076</v>
      </c>
      <c r="B4090" s="303">
        <v>217.03149999999999</v>
      </c>
      <c r="C4090" s="308">
        <v>3.79147350067</v>
      </c>
    </row>
    <row r="4091" spans="1:3" x14ac:dyDescent="0.35">
      <c r="A4091" s="305">
        <v>42075</v>
      </c>
      <c r="B4091" s="306">
        <v>216.982</v>
      </c>
      <c r="C4091" s="309">
        <v>3.7859173307682901</v>
      </c>
    </row>
    <row r="4092" spans="1:3" x14ac:dyDescent="0.35">
      <c r="A4092" s="302">
        <v>42074</v>
      </c>
      <c r="B4092" s="303">
        <v>216.93260000000001</v>
      </c>
      <c r="C4092" s="308">
        <v>3.7803574119566301</v>
      </c>
    </row>
    <row r="4093" spans="1:3" x14ac:dyDescent="0.35">
      <c r="A4093" s="305">
        <v>42073</v>
      </c>
      <c r="B4093" s="306">
        <v>216.88319999999999</v>
      </c>
      <c r="C4093" s="309">
        <v>3.7748452108673001</v>
      </c>
    </row>
    <row r="4094" spans="1:3" x14ac:dyDescent="0.35">
      <c r="A4094" s="302">
        <v>42072</v>
      </c>
      <c r="B4094" s="303">
        <v>216.8338</v>
      </c>
      <c r="C4094" s="308">
        <v>3.7693310840721201</v>
      </c>
    </row>
    <row r="4095" spans="1:3" x14ac:dyDescent="0.35">
      <c r="A4095" s="305">
        <v>42071</v>
      </c>
      <c r="B4095" s="306">
        <v>216.78440000000001</v>
      </c>
      <c r="C4095" s="309">
        <v>3.7638150305617901</v>
      </c>
    </row>
    <row r="4096" spans="1:3" x14ac:dyDescent="0.35">
      <c r="A4096" s="302">
        <v>42070</v>
      </c>
      <c r="B4096" s="303">
        <v>216.73500000000001</v>
      </c>
      <c r="C4096" s="308">
        <v>3.7582970493263002</v>
      </c>
    </row>
    <row r="4097" spans="1:3" x14ac:dyDescent="0.35">
      <c r="A4097" s="305">
        <v>42069</v>
      </c>
      <c r="B4097" s="306">
        <v>216.68559999999999</v>
      </c>
      <c r="C4097" s="309">
        <v>3.7527274607717298</v>
      </c>
    </row>
    <row r="4098" spans="1:3" x14ac:dyDescent="0.35">
      <c r="A4098" s="302">
        <v>42068</v>
      </c>
      <c r="B4098" s="303">
        <v>216.6362</v>
      </c>
      <c r="C4098" s="308">
        <v>3.7472056150137298</v>
      </c>
    </row>
    <row r="4099" spans="1:3" x14ac:dyDescent="0.35">
      <c r="A4099" s="305">
        <v>42067</v>
      </c>
      <c r="B4099" s="306">
        <v>216.58690000000001</v>
      </c>
      <c r="C4099" s="309">
        <v>3.7416800462890198</v>
      </c>
    </row>
    <row r="4100" spans="1:3" x14ac:dyDescent="0.35">
      <c r="A4100" s="302">
        <v>42066</v>
      </c>
      <c r="B4100" s="303">
        <v>216.53749999999999</v>
      </c>
      <c r="C4100" s="308">
        <v>3.73615434033076</v>
      </c>
    </row>
    <row r="4101" spans="1:3" x14ac:dyDescent="0.35">
      <c r="A4101" s="305">
        <v>42065</v>
      </c>
      <c r="B4101" s="306">
        <v>216.48820000000001</v>
      </c>
      <c r="C4101" s="309">
        <v>3.7306249140522199</v>
      </c>
    </row>
    <row r="4102" spans="1:3" x14ac:dyDescent="0.35">
      <c r="A4102" s="302">
        <v>42064</v>
      </c>
      <c r="B4102" s="303">
        <v>216.43889999999999</v>
      </c>
      <c r="C4102" s="308">
        <v>3.7250935586504599</v>
      </c>
    </row>
    <row r="4103" spans="1:3" x14ac:dyDescent="0.35">
      <c r="A4103" s="305">
        <v>42063</v>
      </c>
      <c r="B4103" s="306">
        <v>216.3896</v>
      </c>
      <c r="C4103" s="309">
        <v>3.7196099878540601</v>
      </c>
    </row>
    <row r="4104" spans="1:3" x14ac:dyDescent="0.35">
      <c r="A4104" s="302">
        <v>42062</v>
      </c>
      <c r="B4104" s="303">
        <v>216.34030000000001</v>
      </c>
      <c r="C4104" s="308">
        <v>3.7140747771977001</v>
      </c>
    </row>
    <row r="4105" spans="1:3" x14ac:dyDescent="0.35">
      <c r="A4105" s="305">
        <v>42061</v>
      </c>
      <c r="B4105" s="306">
        <v>216.291</v>
      </c>
      <c r="C4105" s="309">
        <v>3.7085376343879801</v>
      </c>
    </row>
    <row r="4106" spans="1:3" x14ac:dyDescent="0.35">
      <c r="A4106" s="302">
        <v>42060</v>
      </c>
      <c r="B4106" s="303">
        <v>216.24170000000001</v>
      </c>
      <c r="C4106" s="308">
        <v>3.70299855841305</v>
      </c>
    </row>
    <row r="4107" spans="1:3" x14ac:dyDescent="0.35">
      <c r="A4107" s="305">
        <v>42059</v>
      </c>
      <c r="B4107" s="306">
        <v>216.1925</v>
      </c>
      <c r="C4107" s="309">
        <v>3.6975055136178399</v>
      </c>
    </row>
    <row r="4108" spans="1:3" x14ac:dyDescent="0.35">
      <c r="A4108" s="302">
        <v>42058</v>
      </c>
      <c r="B4108" s="303">
        <v>216.14320000000001</v>
      </c>
      <c r="C4108" s="308">
        <v>3.6919625766500301</v>
      </c>
    </row>
    <row r="4109" spans="1:3" x14ac:dyDescent="0.35">
      <c r="A4109" s="305">
        <v>42057</v>
      </c>
      <c r="B4109" s="306">
        <v>216.09399999999999</v>
      </c>
      <c r="C4109" s="309">
        <v>3.6864656855924101</v>
      </c>
    </row>
    <row r="4110" spans="1:3" x14ac:dyDescent="0.35">
      <c r="A4110" s="302">
        <v>42056</v>
      </c>
      <c r="B4110" s="303">
        <v>216.04470000000001</v>
      </c>
      <c r="C4110" s="308">
        <v>3.6809188835875402</v>
      </c>
    </row>
    <row r="4111" spans="1:3" x14ac:dyDescent="0.35">
      <c r="A4111" s="305">
        <v>42055</v>
      </c>
      <c r="B4111" s="306">
        <v>215.99549999999999</v>
      </c>
      <c r="C4111" s="309">
        <v>3.67536837921784</v>
      </c>
    </row>
    <row r="4112" spans="1:3" x14ac:dyDescent="0.35">
      <c r="A4112" s="302">
        <v>42054</v>
      </c>
      <c r="B4112" s="303">
        <v>215.94630000000001</v>
      </c>
      <c r="C4112" s="308">
        <v>3.6698657093382199</v>
      </c>
    </row>
    <row r="4113" spans="1:3" x14ac:dyDescent="0.35">
      <c r="A4113" s="305">
        <v>42053</v>
      </c>
      <c r="B4113" s="306">
        <v>215.89709999999999</v>
      </c>
      <c r="C4113" s="309">
        <v>3.6643611159793599</v>
      </c>
    </row>
    <row r="4114" spans="1:3" x14ac:dyDescent="0.35">
      <c r="A4114" s="302">
        <v>42052</v>
      </c>
      <c r="B4114" s="303">
        <v>215.84790000000001</v>
      </c>
      <c r="C4114" s="308">
        <v>3.65880481699973</v>
      </c>
    </row>
    <row r="4115" spans="1:3" x14ac:dyDescent="0.35">
      <c r="A4115" s="305">
        <v>42051</v>
      </c>
      <c r="B4115" s="306">
        <v>215.7988</v>
      </c>
      <c r="C4115" s="309">
        <v>3.6533443999984598</v>
      </c>
    </row>
    <row r="4116" spans="1:3" x14ac:dyDescent="0.35">
      <c r="A4116" s="302">
        <v>42050</v>
      </c>
      <c r="B4116" s="303">
        <v>215.74959999999999</v>
      </c>
      <c r="C4116" s="308">
        <v>3.6477842392622901</v>
      </c>
    </row>
    <row r="4117" spans="1:3" x14ac:dyDescent="0.35">
      <c r="A4117" s="305">
        <v>42049</v>
      </c>
      <c r="B4117" s="306">
        <v>215.73079999999999</v>
      </c>
      <c r="C4117" s="309">
        <v>3.6474165594066701</v>
      </c>
    </row>
    <row r="4118" spans="1:3" x14ac:dyDescent="0.35">
      <c r="A4118" s="302">
        <v>42048</v>
      </c>
      <c r="B4118" s="303">
        <v>215.71199999999999</v>
      </c>
      <c r="C4118" s="308">
        <v>3.64709861926874</v>
      </c>
    </row>
    <row r="4119" spans="1:3" x14ac:dyDescent="0.35">
      <c r="A4119" s="305">
        <v>42047</v>
      </c>
      <c r="B4119" s="306">
        <v>215.69329999999999</v>
      </c>
      <c r="C4119" s="309">
        <v>3.6467788732759798</v>
      </c>
    </row>
    <row r="4120" spans="1:3" x14ac:dyDescent="0.35">
      <c r="A4120" s="302">
        <v>42046</v>
      </c>
      <c r="B4120" s="303">
        <v>215.67449999999999</v>
      </c>
      <c r="C4120" s="308">
        <v>3.64641101694101</v>
      </c>
    </row>
    <row r="4121" spans="1:3" x14ac:dyDescent="0.35">
      <c r="A4121" s="305">
        <v>42045</v>
      </c>
      <c r="B4121" s="306">
        <v>215.6557</v>
      </c>
      <c r="C4121" s="309">
        <v>3.6460929123133501</v>
      </c>
    </row>
    <row r="4122" spans="1:3" x14ac:dyDescent="0.35">
      <c r="A4122" s="302">
        <v>42044</v>
      </c>
      <c r="B4122" s="303">
        <v>215.637</v>
      </c>
      <c r="C4122" s="308">
        <v>3.6457730018327199</v>
      </c>
    </row>
    <row r="4123" spans="1:3" x14ac:dyDescent="0.35">
      <c r="A4123" s="305">
        <v>42043</v>
      </c>
      <c r="B4123" s="306">
        <v>215.6182</v>
      </c>
      <c r="C4123" s="309">
        <v>3.64540496888737</v>
      </c>
    </row>
    <row r="4124" spans="1:3" x14ac:dyDescent="0.35">
      <c r="A4124" s="302">
        <v>42042</v>
      </c>
      <c r="B4124" s="303">
        <v>215.59950000000001</v>
      </c>
      <c r="C4124" s="308">
        <v>3.6450849473432698</v>
      </c>
    </row>
    <row r="4125" spans="1:3" x14ac:dyDescent="0.35">
      <c r="A4125" s="305">
        <v>42041</v>
      </c>
      <c r="B4125" s="306">
        <v>215.58070000000001</v>
      </c>
      <c r="C4125" s="309">
        <v>3.6447666245511998</v>
      </c>
    </row>
    <row r="4126" spans="1:3" x14ac:dyDescent="0.35">
      <c r="A4126" s="302">
        <v>42040</v>
      </c>
      <c r="B4126" s="303">
        <v>215.56200000000001</v>
      </c>
      <c r="C4126" s="308">
        <v>3.6444464959020499</v>
      </c>
    </row>
    <row r="4127" spans="1:3" x14ac:dyDescent="0.35">
      <c r="A4127" s="305">
        <v>42039</v>
      </c>
      <c r="B4127" s="306">
        <v>215.54320000000001</v>
      </c>
      <c r="C4127" s="309">
        <v>3.64407822862331</v>
      </c>
    </row>
    <row r="4128" spans="1:3" x14ac:dyDescent="0.35">
      <c r="A4128" s="302">
        <v>42038</v>
      </c>
      <c r="B4128" s="303">
        <v>215.52449999999999</v>
      </c>
      <c r="C4128" s="308">
        <v>3.6437579887990901</v>
      </c>
    </row>
    <row r="4129" spans="1:3" x14ac:dyDescent="0.35">
      <c r="A4129" s="305">
        <v>42037</v>
      </c>
      <c r="B4129" s="306">
        <v>215.50569999999999</v>
      </c>
      <c r="C4129" s="309">
        <v>3.6433896022699899</v>
      </c>
    </row>
    <row r="4130" spans="1:3" x14ac:dyDescent="0.35">
      <c r="A4130" s="302">
        <v>42036</v>
      </c>
      <c r="B4130" s="303">
        <v>215.48699999999999</v>
      </c>
      <c r="C4130" s="308">
        <v>3.64311910058318</v>
      </c>
    </row>
    <row r="4131" spans="1:3" x14ac:dyDescent="0.35">
      <c r="A4131" s="305">
        <v>42035</v>
      </c>
      <c r="B4131" s="306">
        <v>215.4683</v>
      </c>
      <c r="C4131" s="309">
        <v>3.64279869992126</v>
      </c>
    </row>
    <row r="4132" spans="1:3" x14ac:dyDescent="0.35">
      <c r="A4132" s="302">
        <v>42034</v>
      </c>
      <c r="B4132" s="303">
        <v>215.4495</v>
      </c>
      <c r="C4132" s="308">
        <v>3.64243014041429</v>
      </c>
    </row>
    <row r="4133" spans="1:3" x14ac:dyDescent="0.35">
      <c r="A4133" s="305">
        <v>42033</v>
      </c>
      <c r="B4133" s="306">
        <v>215.4308</v>
      </c>
      <c r="C4133" s="309">
        <v>3.6421096284379502</v>
      </c>
    </row>
    <row r="4134" spans="1:3" x14ac:dyDescent="0.35">
      <c r="A4134" s="302">
        <v>42032</v>
      </c>
      <c r="B4134" s="303">
        <v>215.41200000000001</v>
      </c>
      <c r="C4134" s="308">
        <v>3.6417409495344799</v>
      </c>
    </row>
    <row r="4135" spans="1:3" x14ac:dyDescent="0.35">
      <c r="A4135" s="305">
        <v>42031</v>
      </c>
      <c r="B4135" s="306">
        <v>215.39330000000001</v>
      </c>
      <c r="C4135" s="309">
        <v>3.6414203261871099</v>
      </c>
    </row>
    <row r="4136" spans="1:3" x14ac:dyDescent="0.35">
      <c r="A4136" s="302">
        <v>42030</v>
      </c>
      <c r="B4136" s="303">
        <v>215.37459999999999</v>
      </c>
      <c r="C4136" s="308">
        <v>3.6410996491474599</v>
      </c>
    </row>
    <row r="4137" spans="1:3" x14ac:dyDescent="0.35">
      <c r="A4137" s="305">
        <v>42029</v>
      </c>
      <c r="B4137" s="306">
        <v>215.35579999999999</v>
      </c>
      <c r="C4137" s="309">
        <v>3.6407307930528199</v>
      </c>
    </row>
    <row r="4138" spans="1:3" x14ac:dyDescent="0.35">
      <c r="A4138" s="302">
        <v>42028</v>
      </c>
      <c r="B4138" s="303">
        <v>215.33709999999999</v>
      </c>
      <c r="C4138" s="308">
        <v>3.6404100045578498</v>
      </c>
    </row>
    <row r="4139" spans="1:3" x14ac:dyDescent="0.35">
      <c r="A4139" s="305">
        <v>42027</v>
      </c>
      <c r="B4139" s="306">
        <v>215.3184</v>
      </c>
      <c r="C4139" s="309">
        <v>3.64008916232945</v>
      </c>
    </row>
    <row r="4140" spans="1:3" x14ac:dyDescent="0.35">
      <c r="A4140" s="302">
        <v>42026</v>
      </c>
      <c r="B4140" s="303">
        <v>215.2996</v>
      </c>
      <c r="C4140" s="308">
        <v>3.63972012891207</v>
      </c>
    </row>
    <row r="4141" spans="1:3" x14ac:dyDescent="0.35">
      <c r="A4141" s="305">
        <v>42025</v>
      </c>
      <c r="B4141" s="306">
        <v>215.2809</v>
      </c>
      <c r="C4141" s="309">
        <v>3.6393991751439798</v>
      </c>
    </row>
    <row r="4142" spans="1:3" x14ac:dyDescent="0.35">
      <c r="A4142" s="302">
        <v>42024</v>
      </c>
      <c r="B4142" s="303">
        <v>215.26220000000001</v>
      </c>
      <c r="C4142" s="308">
        <v>3.6390781676012498</v>
      </c>
    </row>
    <row r="4143" spans="1:3" x14ac:dyDescent="0.35">
      <c r="A4143" s="305">
        <v>42023</v>
      </c>
      <c r="B4143" s="306">
        <v>215.24350000000001</v>
      </c>
      <c r="C4143" s="309">
        <v>3.6387571062703699</v>
      </c>
    </row>
    <row r="4144" spans="1:3" x14ac:dyDescent="0.35">
      <c r="A4144" s="302">
        <v>42022</v>
      </c>
      <c r="B4144" s="303">
        <v>215.22479999999999</v>
      </c>
      <c r="C4144" s="308">
        <v>3.6384359911378201</v>
      </c>
    </row>
    <row r="4145" spans="1:3" x14ac:dyDescent="0.35">
      <c r="A4145" s="305">
        <v>42021</v>
      </c>
      <c r="B4145" s="306">
        <v>215.20599999999999</v>
      </c>
      <c r="C4145" s="309">
        <v>3.6380666645798398</v>
      </c>
    </row>
    <row r="4146" spans="1:3" x14ac:dyDescent="0.35">
      <c r="A4146" s="302">
        <v>42020</v>
      </c>
      <c r="B4146" s="303">
        <v>215.18729999999999</v>
      </c>
      <c r="C4146" s="308">
        <v>3.6377454377676899</v>
      </c>
    </row>
    <row r="4147" spans="1:3" x14ac:dyDescent="0.35">
      <c r="A4147" s="305">
        <v>42019</v>
      </c>
      <c r="B4147" s="306">
        <v>215.1686</v>
      </c>
      <c r="C4147" s="309">
        <v>3.6374241571126</v>
      </c>
    </row>
    <row r="4148" spans="1:3" x14ac:dyDescent="0.35">
      <c r="A4148" s="302">
        <v>42018</v>
      </c>
      <c r="B4148" s="303">
        <v>215.15950000000001</v>
      </c>
      <c r="C4148" s="308">
        <v>3.62565410354402</v>
      </c>
    </row>
    <row r="4149" spans="1:3" x14ac:dyDescent="0.35">
      <c r="A4149" s="305">
        <v>42017</v>
      </c>
      <c r="B4149" s="306">
        <v>215.15049999999999</v>
      </c>
      <c r="C4149" s="309">
        <v>3.6139837858819499</v>
      </c>
    </row>
    <row r="4150" spans="1:3" x14ac:dyDescent="0.35">
      <c r="A4150" s="302">
        <v>42016</v>
      </c>
      <c r="B4150" s="303">
        <v>215.14150000000001</v>
      </c>
      <c r="C4150" s="308">
        <v>3.60226523035139</v>
      </c>
    </row>
    <row r="4151" spans="1:3" x14ac:dyDescent="0.35">
      <c r="A4151" s="305">
        <v>42015</v>
      </c>
      <c r="B4151" s="306">
        <v>215.13249999999999</v>
      </c>
      <c r="C4151" s="309">
        <v>3.5905982259840701</v>
      </c>
    </row>
    <row r="4152" spans="1:3" x14ac:dyDescent="0.35">
      <c r="A4152" s="302">
        <v>42014</v>
      </c>
      <c r="B4152" s="303">
        <v>215.12350000000001</v>
      </c>
      <c r="C4152" s="308">
        <v>3.57888300138909</v>
      </c>
    </row>
    <row r="4153" spans="1:3" x14ac:dyDescent="0.35">
      <c r="A4153" s="305">
        <v>42013</v>
      </c>
      <c r="B4153" s="306">
        <v>215.11449999999999</v>
      </c>
      <c r="C4153" s="309">
        <v>3.5671694463261199</v>
      </c>
    </row>
    <row r="4154" spans="1:3" x14ac:dyDescent="0.35">
      <c r="A4154" s="302">
        <v>42012</v>
      </c>
      <c r="B4154" s="303">
        <v>215.1054</v>
      </c>
      <c r="C4154" s="308">
        <v>3.5554592720970501</v>
      </c>
    </row>
    <row r="4155" spans="1:3" x14ac:dyDescent="0.35">
      <c r="A4155" s="305">
        <v>42011</v>
      </c>
      <c r="B4155" s="306">
        <v>215.09639999999999</v>
      </c>
      <c r="C4155" s="309">
        <v>3.5437490492685901</v>
      </c>
    </row>
    <row r="4156" spans="1:3" x14ac:dyDescent="0.35">
      <c r="A4156" s="302">
        <v>42010</v>
      </c>
      <c r="B4156" s="303">
        <v>215.0874</v>
      </c>
      <c r="C4156" s="308">
        <v>3.5320903299406301</v>
      </c>
    </row>
    <row r="4157" spans="1:3" x14ac:dyDescent="0.35">
      <c r="A4157" s="305">
        <v>42009</v>
      </c>
      <c r="B4157" s="306">
        <v>215.07839999999999</v>
      </c>
      <c r="C4157" s="309">
        <v>3.5203834344976501</v>
      </c>
    </row>
    <row r="4158" spans="1:3" x14ac:dyDescent="0.35">
      <c r="A4158" s="302">
        <v>42008</v>
      </c>
      <c r="B4158" s="303">
        <v>215.0694</v>
      </c>
      <c r="C4158" s="308">
        <v>3.5086782068071298</v>
      </c>
    </row>
    <row r="4159" spans="1:3" x14ac:dyDescent="0.35">
      <c r="A4159" s="305">
        <v>42007</v>
      </c>
      <c r="B4159" s="306">
        <v>215.06039999999999</v>
      </c>
      <c r="C4159" s="309">
        <v>3.4970244540501199</v>
      </c>
    </row>
    <row r="4160" spans="1:3" x14ac:dyDescent="0.35">
      <c r="A4160" s="302">
        <v>42006</v>
      </c>
      <c r="B4160" s="303">
        <v>215.0514</v>
      </c>
      <c r="C4160" s="308">
        <v>3.4853225516172102</v>
      </c>
    </row>
    <row r="4161" spans="1:3" x14ac:dyDescent="0.35">
      <c r="A4161" s="305">
        <v>42005</v>
      </c>
      <c r="B4161" s="306">
        <v>215.04239999999999</v>
      </c>
      <c r="C4161" s="309">
        <v>3.4736721051008201</v>
      </c>
    </row>
    <row r="4162" spans="1:3" x14ac:dyDescent="0.35">
      <c r="A4162" s="302">
        <v>42004</v>
      </c>
      <c r="B4162" s="303">
        <v>215.0333</v>
      </c>
      <c r="C4162" s="308">
        <v>3.4619254121357002</v>
      </c>
    </row>
    <row r="4163" spans="1:3" x14ac:dyDescent="0.35">
      <c r="A4163" s="305">
        <v>42003</v>
      </c>
      <c r="B4163" s="306">
        <v>215.02430000000001</v>
      </c>
      <c r="C4163" s="309">
        <v>3.4502285029460702</v>
      </c>
    </row>
    <row r="4164" spans="1:3" x14ac:dyDescent="0.35">
      <c r="A4164" s="302">
        <v>42002</v>
      </c>
      <c r="B4164" s="303">
        <v>215.0153</v>
      </c>
      <c r="C4164" s="308">
        <v>3.4385830211153601</v>
      </c>
    </row>
    <row r="4165" spans="1:3" x14ac:dyDescent="0.35">
      <c r="A4165" s="305">
        <v>42001</v>
      </c>
      <c r="B4165" s="306">
        <v>215.00630000000001</v>
      </c>
      <c r="C4165" s="309">
        <v>3.42688943364133</v>
      </c>
    </row>
    <row r="4166" spans="1:3" x14ac:dyDescent="0.35">
      <c r="A4166" s="302">
        <v>42000</v>
      </c>
      <c r="B4166" s="303">
        <v>214.9973</v>
      </c>
      <c r="C4166" s="308">
        <v>3.4151975110775901</v>
      </c>
    </row>
    <row r="4167" spans="1:3" x14ac:dyDescent="0.35">
      <c r="A4167" s="305">
        <v>41999</v>
      </c>
      <c r="B4167" s="306">
        <v>214.98830000000001</v>
      </c>
      <c r="C4167" s="309">
        <v>3.4035072530686099</v>
      </c>
    </row>
    <row r="4168" spans="1:3" x14ac:dyDescent="0.35">
      <c r="A4168" s="302">
        <v>41998</v>
      </c>
      <c r="B4168" s="303">
        <v>214.97929999999999</v>
      </c>
      <c r="C4168" s="308">
        <v>3.3918683843873798</v>
      </c>
    </row>
    <row r="4169" spans="1:3" x14ac:dyDescent="0.35">
      <c r="A4169" s="305">
        <v>41997</v>
      </c>
      <c r="B4169" s="306">
        <v>214.97030000000001</v>
      </c>
      <c r="C4169" s="309">
        <v>3.3801814452622501</v>
      </c>
    </row>
    <row r="4170" spans="1:3" x14ac:dyDescent="0.35">
      <c r="A4170" s="302">
        <v>41996</v>
      </c>
      <c r="B4170" s="303">
        <v>214.96129999999999</v>
      </c>
      <c r="C4170" s="308">
        <v>3.3684961696279498</v>
      </c>
    </row>
    <row r="4171" spans="1:3" x14ac:dyDescent="0.35">
      <c r="A4171" s="305">
        <v>41995</v>
      </c>
      <c r="B4171" s="306">
        <v>214.9522</v>
      </c>
      <c r="C4171" s="309">
        <v>3.35681417120656</v>
      </c>
    </row>
    <row r="4172" spans="1:3" x14ac:dyDescent="0.35">
      <c r="A4172" s="302">
        <v>41994</v>
      </c>
      <c r="B4172" s="303">
        <v>214.94319999999999</v>
      </c>
      <c r="C4172" s="308">
        <v>3.3451322157570398</v>
      </c>
    </row>
    <row r="4173" spans="1:3" x14ac:dyDescent="0.35">
      <c r="A4173" s="305">
        <v>41993</v>
      </c>
      <c r="B4173" s="306">
        <v>214.9342</v>
      </c>
      <c r="C4173" s="309">
        <v>3.3334519227348398</v>
      </c>
    </row>
    <row r="4174" spans="1:3" x14ac:dyDescent="0.35">
      <c r="A4174" s="302">
        <v>41992</v>
      </c>
      <c r="B4174" s="303">
        <v>214.92519999999999</v>
      </c>
      <c r="C4174" s="308">
        <v>3.3217732917851301</v>
      </c>
    </row>
    <row r="4175" spans="1:3" x14ac:dyDescent="0.35">
      <c r="A4175" s="305">
        <v>41991</v>
      </c>
      <c r="B4175" s="306">
        <v>214.9162</v>
      </c>
      <c r="C4175" s="309">
        <v>3.3100963225531701</v>
      </c>
    </row>
    <row r="4176" spans="1:3" x14ac:dyDescent="0.35">
      <c r="A4176" s="302">
        <v>41990</v>
      </c>
      <c r="B4176" s="303">
        <v>214.90719999999999</v>
      </c>
      <c r="C4176" s="308">
        <v>3.2984706666685901</v>
      </c>
    </row>
    <row r="4177" spans="1:3" x14ac:dyDescent="0.35">
      <c r="A4177" s="305">
        <v>41989</v>
      </c>
      <c r="B4177" s="306">
        <v>214.8982</v>
      </c>
      <c r="C4177" s="309">
        <v>3.2867970106656901</v>
      </c>
    </row>
    <row r="4178" spans="1:3" x14ac:dyDescent="0.35">
      <c r="A4178" s="302">
        <v>41988</v>
      </c>
      <c r="B4178" s="303">
        <v>214.88919999999999</v>
      </c>
      <c r="C4178" s="308">
        <v>3.2751250153190301</v>
      </c>
    </row>
    <row r="4179" spans="1:3" x14ac:dyDescent="0.35">
      <c r="A4179" s="305">
        <v>41987</v>
      </c>
      <c r="B4179" s="306">
        <v>214.8777</v>
      </c>
      <c r="C4179" s="309">
        <v>3.2606157066613601</v>
      </c>
    </row>
    <row r="4180" spans="1:3" x14ac:dyDescent="0.35">
      <c r="A4180" s="302">
        <v>41986</v>
      </c>
      <c r="B4180" s="303">
        <v>214.8663</v>
      </c>
      <c r="C4180" s="308">
        <v>3.2462065843835002</v>
      </c>
    </row>
    <row r="4181" spans="1:3" x14ac:dyDescent="0.35">
      <c r="A4181" s="305">
        <v>41985</v>
      </c>
      <c r="B4181" s="306">
        <v>214.85480000000001</v>
      </c>
      <c r="C4181" s="309">
        <v>3.2317023072743001</v>
      </c>
    </row>
    <row r="4182" spans="1:3" x14ac:dyDescent="0.35">
      <c r="A4182" s="302">
        <v>41984</v>
      </c>
      <c r="B4182" s="303">
        <v>214.8434</v>
      </c>
      <c r="C4182" s="308">
        <v>3.2172981844055202</v>
      </c>
    </row>
    <row r="4183" spans="1:3" x14ac:dyDescent="0.35">
      <c r="A4183" s="305">
        <v>41983</v>
      </c>
      <c r="B4183" s="306">
        <v>214.83189999999999</v>
      </c>
      <c r="C4183" s="309">
        <v>3.2027989362274498</v>
      </c>
    </row>
    <row r="4184" spans="1:3" x14ac:dyDescent="0.35">
      <c r="A4184" s="302">
        <v>41982</v>
      </c>
      <c r="B4184" s="303">
        <v>214.82050000000001</v>
      </c>
      <c r="C4184" s="308">
        <v>3.18835024394415</v>
      </c>
    </row>
    <row r="4185" spans="1:3" x14ac:dyDescent="0.35">
      <c r="A4185" s="305">
        <v>41981</v>
      </c>
      <c r="B4185" s="306">
        <v>214.809</v>
      </c>
      <c r="C4185" s="309">
        <v>3.1739055883043701</v>
      </c>
    </row>
    <row r="4186" spans="1:3" x14ac:dyDescent="0.35">
      <c r="A4186" s="302">
        <v>41980</v>
      </c>
      <c r="B4186" s="303">
        <v>214.79759999999999</v>
      </c>
      <c r="C4186" s="308">
        <v>3.1594619126976902</v>
      </c>
    </row>
    <row r="4187" spans="1:3" x14ac:dyDescent="0.35">
      <c r="A4187" s="305">
        <v>41979</v>
      </c>
      <c r="B4187" s="306">
        <v>214.7861</v>
      </c>
      <c r="C4187" s="309">
        <v>3.1449727258014999</v>
      </c>
    </row>
    <row r="4188" spans="1:3" x14ac:dyDescent="0.35">
      <c r="A4188" s="302">
        <v>41978</v>
      </c>
      <c r="B4188" s="303">
        <v>214.7747</v>
      </c>
      <c r="C4188" s="308">
        <v>3.13058359675225</v>
      </c>
    </row>
    <row r="4189" spans="1:3" x14ac:dyDescent="0.35">
      <c r="A4189" s="305">
        <v>41977</v>
      </c>
      <c r="B4189" s="306">
        <v>214.76320000000001</v>
      </c>
      <c r="C4189" s="309">
        <v>3.1160994309397498</v>
      </c>
    </row>
    <row r="4190" spans="1:3" x14ac:dyDescent="0.35">
      <c r="A4190" s="302">
        <v>41976</v>
      </c>
      <c r="B4190" s="303">
        <v>214.7518</v>
      </c>
      <c r="C4190" s="308">
        <v>3.10166579209021</v>
      </c>
    </row>
    <row r="4191" spans="1:3" x14ac:dyDescent="0.35">
      <c r="A4191" s="305">
        <v>41975</v>
      </c>
      <c r="B4191" s="306">
        <v>214.74039999999999</v>
      </c>
      <c r="C4191" s="309">
        <v>3.08723466151792</v>
      </c>
    </row>
    <row r="4192" spans="1:3" x14ac:dyDescent="0.35">
      <c r="A4192" s="302">
        <v>41974</v>
      </c>
      <c r="B4192" s="303">
        <v>214.72890000000001</v>
      </c>
      <c r="C4192" s="308">
        <v>3.07280751355799</v>
      </c>
    </row>
    <row r="4193" spans="1:3" x14ac:dyDescent="0.35">
      <c r="A4193" s="305">
        <v>41973</v>
      </c>
      <c r="B4193" s="306">
        <v>214.7175</v>
      </c>
      <c r="C4193" s="309">
        <v>3.0583813905267898</v>
      </c>
    </row>
    <row r="4194" spans="1:3" x14ac:dyDescent="0.35">
      <c r="A4194" s="302">
        <v>41972</v>
      </c>
      <c r="B4194" s="303">
        <v>214.70599999999999</v>
      </c>
      <c r="C4194" s="308">
        <v>3.0439097807870499</v>
      </c>
    </row>
    <row r="4195" spans="1:3" x14ac:dyDescent="0.35">
      <c r="A4195" s="305">
        <v>41971</v>
      </c>
      <c r="B4195" s="306">
        <v>214.69460000000001</v>
      </c>
      <c r="C4195" s="309">
        <v>3.0294886739094702</v>
      </c>
    </row>
    <row r="4196" spans="1:3" x14ac:dyDescent="0.35">
      <c r="A4196" s="302">
        <v>41970</v>
      </c>
      <c r="B4196" s="303">
        <v>214.6831</v>
      </c>
      <c r="C4196" s="308">
        <v>3.0150220873532501</v>
      </c>
    </row>
    <row r="4197" spans="1:3" x14ac:dyDescent="0.35">
      <c r="A4197" s="305">
        <v>41969</v>
      </c>
      <c r="B4197" s="306">
        <v>214.67169999999999</v>
      </c>
      <c r="C4197" s="309">
        <v>3.0006059940149101</v>
      </c>
    </row>
    <row r="4198" spans="1:3" x14ac:dyDescent="0.35">
      <c r="A4198" s="302">
        <v>41968</v>
      </c>
      <c r="B4198" s="303">
        <v>214.66030000000001</v>
      </c>
      <c r="C4198" s="308">
        <v>2.9862418134304098</v>
      </c>
    </row>
    <row r="4199" spans="1:3" x14ac:dyDescent="0.35">
      <c r="A4199" s="305">
        <v>41967</v>
      </c>
      <c r="B4199" s="306">
        <v>214.64879999999999</v>
      </c>
      <c r="C4199" s="309">
        <v>2.9717827434349999</v>
      </c>
    </row>
    <row r="4200" spans="1:3" x14ac:dyDescent="0.35">
      <c r="A4200" s="302">
        <v>41966</v>
      </c>
      <c r="B4200" s="303">
        <v>214.63740000000001</v>
      </c>
      <c r="C4200" s="308">
        <v>2.9573741522246899</v>
      </c>
    </row>
    <row r="4201" spans="1:3" x14ac:dyDescent="0.35">
      <c r="A4201" s="305">
        <v>41965</v>
      </c>
      <c r="B4201" s="306">
        <v>214.6259</v>
      </c>
      <c r="C4201" s="309">
        <v>2.9429200988823498</v>
      </c>
    </row>
    <row r="4202" spans="1:3" x14ac:dyDescent="0.35">
      <c r="A4202" s="302">
        <v>41964</v>
      </c>
      <c r="B4202" s="303">
        <v>214.61449999999999</v>
      </c>
      <c r="C4202" s="308">
        <v>2.9285165146902998</v>
      </c>
    </row>
    <row r="4203" spans="1:3" x14ac:dyDescent="0.35">
      <c r="A4203" s="305">
        <v>41963</v>
      </c>
      <c r="B4203" s="306">
        <v>214.60310000000001</v>
      </c>
      <c r="C4203" s="309">
        <v>2.9141154309478301</v>
      </c>
    </row>
    <row r="4204" spans="1:3" x14ac:dyDescent="0.35">
      <c r="A4204" s="302">
        <v>41962</v>
      </c>
      <c r="B4204" s="303">
        <v>214.5916</v>
      </c>
      <c r="C4204" s="308">
        <v>2.8996688956074101</v>
      </c>
    </row>
    <row r="4205" spans="1:3" x14ac:dyDescent="0.35">
      <c r="A4205" s="305">
        <v>41961</v>
      </c>
      <c r="B4205" s="306">
        <v>214.58019999999999</v>
      </c>
      <c r="C4205" s="309">
        <v>2.8852728149725801</v>
      </c>
    </row>
    <row r="4206" spans="1:3" x14ac:dyDescent="0.35">
      <c r="A4206" s="302">
        <v>41960</v>
      </c>
      <c r="B4206" s="303">
        <v>214.56880000000001</v>
      </c>
      <c r="C4206" s="308">
        <v>2.8708792328341</v>
      </c>
    </row>
    <row r="4207" spans="1:3" x14ac:dyDescent="0.35">
      <c r="A4207" s="305">
        <v>41959</v>
      </c>
      <c r="B4207" s="306">
        <v>214.5573</v>
      </c>
      <c r="C4207" s="309">
        <v>2.8564402096272801</v>
      </c>
    </row>
    <row r="4208" spans="1:3" x14ac:dyDescent="0.35">
      <c r="A4208" s="302">
        <v>41958</v>
      </c>
      <c r="B4208" s="303">
        <v>214.54589999999999</v>
      </c>
      <c r="C4208" s="308">
        <v>2.8420516266898801</v>
      </c>
    </row>
    <row r="4209" spans="1:3" x14ac:dyDescent="0.35">
      <c r="A4209" s="305">
        <v>41957</v>
      </c>
      <c r="B4209" s="306">
        <v>214.53630000000001</v>
      </c>
      <c r="C4209" s="309">
        <v>2.84701398626542</v>
      </c>
    </row>
    <row r="4210" spans="1:3" x14ac:dyDescent="0.35">
      <c r="A4210" s="302">
        <v>41956</v>
      </c>
      <c r="B4210" s="303">
        <v>214.5266</v>
      </c>
      <c r="C4210" s="308">
        <v>2.8519786362895401</v>
      </c>
    </row>
    <row r="4211" spans="1:3" x14ac:dyDescent="0.35">
      <c r="A4211" s="305">
        <v>41955</v>
      </c>
      <c r="B4211" s="306">
        <v>214.51689999999999</v>
      </c>
      <c r="C4211" s="309">
        <v>2.8569442146927599</v>
      </c>
    </row>
    <row r="4212" spans="1:3" x14ac:dyDescent="0.35">
      <c r="A4212" s="302">
        <v>41954</v>
      </c>
      <c r="B4212" s="303">
        <v>214.50720000000001</v>
      </c>
      <c r="C4212" s="308">
        <v>2.8619107217355002</v>
      </c>
    </row>
    <row r="4213" spans="1:3" x14ac:dyDescent="0.35">
      <c r="A4213" s="305">
        <v>41953</v>
      </c>
      <c r="B4213" s="306">
        <v>214.4975</v>
      </c>
      <c r="C4213" s="309">
        <v>2.8668781576783</v>
      </c>
    </row>
    <row r="4214" spans="1:3" x14ac:dyDescent="0.35">
      <c r="A4214" s="302">
        <v>41952</v>
      </c>
      <c r="B4214" s="303">
        <v>214.4879</v>
      </c>
      <c r="C4214" s="308">
        <v>2.8718944844124699</v>
      </c>
    </row>
    <row r="4215" spans="1:3" x14ac:dyDescent="0.35">
      <c r="A4215" s="305">
        <v>41951</v>
      </c>
      <c r="B4215" s="306">
        <v>214.47819999999999</v>
      </c>
      <c r="C4215" s="309">
        <v>2.8768144374104798</v>
      </c>
    </row>
    <row r="4216" spans="1:3" x14ac:dyDescent="0.35">
      <c r="A4216" s="302">
        <v>41950</v>
      </c>
      <c r="B4216" s="303">
        <v>214.46850000000001</v>
      </c>
      <c r="C4216" s="308">
        <v>2.8817846591042602</v>
      </c>
    </row>
    <row r="4217" spans="1:3" x14ac:dyDescent="0.35">
      <c r="A4217" s="305">
        <v>41949</v>
      </c>
      <c r="B4217" s="306">
        <v>214.4588</v>
      </c>
      <c r="C4217" s="309">
        <v>2.88675581074027</v>
      </c>
    </row>
    <row r="4218" spans="1:3" x14ac:dyDescent="0.35">
      <c r="A4218" s="302">
        <v>41948</v>
      </c>
      <c r="B4218" s="303">
        <v>214.44909999999999</v>
      </c>
      <c r="C4218" s="308">
        <v>2.8916785256081199</v>
      </c>
    </row>
    <row r="4219" spans="1:3" x14ac:dyDescent="0.35">
      <c r="A4219" s="305">
        <v>41947</v>
      </c>
      <c r="B4219" s="306">
        <v>214.43950000000001</v>
      </c>
      <c r="C4219" s="309">
        <v>2.8966995149295101</v>
      </c>
    </row>
    <row r="4220" spans="1:3" x14ac:dyDescent="0.35">
      <c r="A4220" s="302">
        <v>41946</v>
      </c>
      <c r="B4220" s="303">
        <v>214.4298</v>
      </c>
      <c r="C4220" s="308">
        <v>2.9016734554417098</v>
      </c>
    </row>
    <row r="4221" spans="1:3" x14ac:dyDescent="0.35">
      <c r="A4221" s="305">
        <v>41945</v>
      </c>
      <c r="B4221" s="306">
        <v>214.42009999999999</v>
      </c>
      <c r="C4221" s="309">
        <v>2.9065989389711602</v>
      </c>
    </row>
    <row r="4222" spans="1:3" x14ac:dyDescent="0.35">
      <c r="A4222" s="302">
        <v>41944</v>
      </c>
      <c r="B4222" s="303">
        <v>214.41040000000001</v>
      </c>
      <c r="C4222" s="308">
        <v>2.9115747347059702</v>
      </c>
    </row>
    <row r="4223" spans="1:3" x14ac:dyDescent="0.35">
      <c r="A4223" s="305">
        <v>41943</v>
      </c>
      <c r="B4223" s="306">
        <v>214.4008</v>
      </c>
      <c r="C4223" s="309">
        <v>2.9165994639140398</v>
      </c>
    </row>
    <row r="4224" spans="1:3" x14ac:dyDescent="0.35">
      <c r="A4224" s="302">
        <v>41942</v>
      </c>
      <c r="B4224" s="303">
        <v>214.39109999999999</v>
      </c>
      <c r="C4224" s="308">
        <v>2.9215277184364901</v>
      </c>
    </row>
    <row r="4225" spans="1:3" x14ac:dyDescent="0.35">
      <c r="A4225" s="305">
        <v>41941</v>
      </c>
      <c r="B4225" s="306">
        <v>214.38140000000001</v>
      </c>
      <c r="C4225" s="309">
        <v>2.9265063069559698</v>
      </c>
    </row>
    <row r="4226" spans="1:3" x14ac:dyDescent="0.35">
      <c r="A4226" s="302">
        <v>41940</v>
      </c>
      <c r="B4226" s="303">
        <v>214.3717</v>
      </c>
      <c r="C4226" s="308">
        <v>2.9314364047986601</v>
      </c>
    </row>
    <row r="4227" spans="1:3" x14ac:dyDescent="0.35">
      <c r="A4227" s="305">
        <v>41939</v>
      </c>
      <c r="B4227" s="306">
        <v>214.3621</v>
      </c>
      <c r="C4227" s="309">
        <v>2.9364648710425598</v>
      </c>
    </row>
    <row r="4228" spans="1:3" x14ac:dyDescent="0.35">
      <c r="A4228" s="302">
        <v>41938</v>
      </c>
      <c r="B4228" s="303">
        <v>214.35239999999999</v>
      </c>
      <c r="C4228" s="308">
        <v>2.9413968177129299</v>
      </c>
    </row>
    <row r="4229" spans="1:3" x14ac:dyDescent="0.35">
      <c r="A4229" s="305">
        <v>41937</v>
      </c>
      <c r="B4229" s="306">
        <v>214.34270000000001</v>
      </c>
      <c r="C4229" s="309">
        <v>2.9463791274210802</v>
      </c>
    </row>
    <row r="4230" spans="1:3" x14ac:dyDescent="0.35">
      <c r="A4230" s="302">
        <v>41936</v>
      </c>
      <c r="B4230" s="303">
        <v>214.333</v>
      </c>
      <c r="C4230" s="308">
        <v>2.9513129194812202</v>
      </c>
    </row>
    <row r="4231" spans="1:3" x14ac:dyDescent="0.35">
      <c r="A4231" s="305">
        <v>41935</v>
      </c>
      <c r="B4231" s="306">
        <v>214.32339999999999</v>
      </c>
      <c r="C4231" s="309">
        <v>2.95634512694481</v>
      </c>
    </row>
    <row r="4232" spans="1:3" x14ac:dyDescent="0.35">
      <c r="A4232" s="302">
        <v>41934</v>
      </c>
      <c r="B4232" s="303">
        <v>214.31370000000001</v>
      </c>
      <c r="C4232" s="308">
        <v>2.9612807699070598</v>
      </c>
    </row>
    <row r="4233" spans="1:3" x14ac:dyDescent="0.35">
      <c r="A4233" s="305">
        <v>41933</v>
      </c>
      <c r="B4233" s="306">
        <v>214.304</v>
      </c>
      <c r="C4233" s="309">
        <v>2.9662668049774599</v>
      </c>
    </row>
    <row r="4234" spans="1:3" x14ac:dyDescent="0.35">
      <c r="A4234" s="302">
        <v>41932</v>
      </c>
      <c r="B4234" s="303">
        <v>214.29429999999999</v>
      </c>
      <c r="C4234" s="308">
        <v>2.9712042954021101</v>
      </c>
    </row>
    <row r="4235" spans="1:3" x14ac:dyDescent="0.35">
      <c r="A4235" s="305">
        <v>41931</v>
      </c>
      <c r="B4235" s="306">
        <v>214.28469999999999</v>
      </c>
      <c r="C4235" s="309">
        <v>2.9762402482755199</v>
      </c>
    </row>
    <row r="4236" spans="1:3" x14ac:dyDescent="0.35">
      <c r="A4236" s="302">
        <v>41930</v>
      </c>
      <c r="B4236" s="303">
        <v>214.27500000000001</v>
      </c>
      <c r="C4236" s="308">
        <v>2.9811795916797998</v>
      </c>
    </row>
    <row r="4237" spans="1:3" x14ac:dyDescent="0.35">
      <c r="A4237" s="305">
        <v>41929</v>
      </c>
      <c r="B4237" s="306">
        <v>214.2653</v>
      </c>
      <c r="C4237" s="309">
        <v>2.9861198562286702</v>
      </c>
    </row>
    <row r="4238" spans="1:3" x14ac:dyDescent="0.35">
      <c r="A4238" s="302">
        <v>41928</v>
      </c>
      <c r="B4238" s="303">
        <v>214.25569999999999</v>
      </c>
      <c r="C4238" s="308">
        <v>2.9911586185083001</v>
      </c>
    </row>
    <row r="4239" spans="1:3" x14ac:dyDescent="0.35">
      <c r="A4239" s="305">
        <v>41927</v>
      </c>
      <c r="B4239" s="306">
        <v>214.24600000000001</v>
      </c>
      <c r="C4239" s="309">
        <v>2.9961007375956501</v>
      </c>
    </row>
    <row r="4240" spans="1:3" x14ac:dyDescent="0.35">
      <c r="A4240" s="302">
        <v>41926</v>
      </c>
      <c r="B4240" s="303">
        <v>214.23179999999999</v>
      </c>
      <c r="C4240" s="308">
        <v>2.9920469443257298</v>
      </c>
    </row>
    <row r="4241" spans="1:3" x14ac:dyDescent="0.35">
      <c r="A4241" s="305">
        <v>41925</v>
      </c>
      <c r="B4241" s="306">
        <v>214.2175</v>
      </c>
      <c r="C4241" s="309">
        <v>2.9878953436159001</v>
      </c>
    </row>
    <row r="4242" spans="1:3" x14ac:dyDescent="0.35">
      <c r="A4242" s="302">
        <v>41924</v>
      </c>
      <c r="B4242" s="303">
        <v>214.20320000000001</v>
      </c>
      <c r="C4242" s="308">
        <v>2.9837930354764701</v>
      </c>
    </row>
    <row r="4243" spans="1:3" x14ac:dyDescent="0.35">
      <c r="A4243" s="305">
        <v>41923</v>
      </c>
      <c r="B4243" s="306">
        <v>214.18899999999999</v>
      </c>
      <c r="C4243" s="309">
        <v>2.9796890738323398</v>
      </c>
    </row>
    <row r="4244" spans="1:3" x14ac:dyDescent="0.35">
      <c r="A4244" s="302">
        <v>41922</v>
      </c>
      <c r="B4244" s="303">
        <v>214.1747</v>
      </c>
      <c r="C4244" s="308">
        <v>2.97553681497793</v>
      </c>
    </row>
    <row r="4245" spans="1:3" x14ac:dyDescent="0.35">
      <c r="A4245" s="305">
        <v>41921</v>
      </c>
      <c r="B4245" s="306">
        <v>214.16040000000001</v>
      </c>
      <c r="C4245" s="309">
        <v>2.97143384665093</v>
      </c>
    </row>
    <row r="4246" spans="1:3" x14ac:dyDescent="0.35">
      <c r="A4246" s="302">
        <v>41920</v>
      </c>
      <c r="B4246" s="303">
        <v>214.14619999999999</v>
      </c>
      <c r="C4246" s="308">
        <v>2.9673292305946499</v>
      </c>
    </row>
    <row r="4247" spans="1:3" x14ac:dyDescent="0.35">
      <c r="A4247" s="305">
        <v>41919</v>
      </c>
      <c r="B4247" s="306">
        <v>214.1319</v>
      </c>
      <c r="C4247" s="309">
        <v>2.9632258222728098</v>
      </c>
    </row>
    <row r="4248" spans="1:3" x14ac:dyDescent="0.35">
      <c r="A4248" s="302">
        <v>41918</v>
      </c>
      <c r="B4248" s="303">
        <v>214.11770000000001</v>
      </c>
      <c r="C4248" s="308">
        <v>2.9591207700570998</v>
      </c>
    </row>
    <row r="4249" spans="1:3" x14ac:dyDescent="0.35">
      <c r="A4249" s="305">
        <v>41917</v>
      </c>
      <c r="B4249" s="306">
        <v>214.10339999999999</v>
      </c>
      <c r="C4249" s="309">
        <v>2.9550169216698401</v>
      </c>
    </row>
    <row r="4250" spans="1:3" x14ac:dyDescent="0.35">
      <c r="A4250" s="302">
        <v>41916</v>
      </c>
      <c r="B4250" s="303">
        <v>214.0891</v>
      </c>
      <c r="C4250" s="308">
        <v>2.9508633453665198</v>
      </c>
    </row>
    <row r="4251" spans="1:3" x14ac:dyDescent="0.35">
      <c r="A4251" s="305">
        <v>41915</v>
      </c>
      <c r="B4251" s="306">
        <v>214.07490000000001</v>
      </c>
      <c r="C4251" s="309">
        <v>2.9467576384774601</v>
      </c>
    </row>
    <row r="4252" spans="1:3" x14ac:dyDescent="0.35">
      <c r="A4252" s="302">
        <v>41914</v>
      </c>
      <c r="B4252" s="303">
        <v>214.06059999999999</v>
      </c>
      <c r="C4252" s="308">
        <v>2.9426531295325198</v>
      </c>
    </row>
    <row r="4253" spans="1:3" x14ac:dyDescent="0.35">
      <c r="A4253" s="305">
        <v>41913</v>
      </c>
      <c r="B4253" s="306">
        <v>214.04640000000001</v>
      </c>
      <c r="C4253" s="309">
        <v>2.9385469863097402</v>
      </c>
    </row>
    <row r="4254" spans="1:3" x14ac:dyDescent="0.35">
      <c r="A4254" s="302">
        <v>41912</v>
      </c>
      <c r="B4254" s="303">
        <v>214.03210000000001</v>
      </c>
      <c r="C4254" s="308">
        <v>2.93444203712298</v>
      </c>
    </row>
    <row r="4255" spans="1:3" x14ac:dyDescent="0.35">
      <c r="A4255" s="305">
        <v>41911</v>
      </c>
      <c r="B4255" s="306">
        <v>214.0179</v>
      </c>
      <c r="C4255" s="309">
        <v>2.9303354574966902</v>
      </c>
    </row>
    <row r="4256" spans="1:3" x14ac:dyDescent="0.35">
      <c r="A4256" s="302">
        <v>41910</v>
      </c>
      <c r="B4256" s="303">
        <v>214.00360000000001</v>
      </c>
      <c r="C4256" s="308">
        <v>2.9262300679975</v>
      </c>
    </row>
    <row r="4257" spans="1:3" x14ac:dyDescent="0.35">
      <c r="A4257" s="305">
        <v>41909</v>
      </c>
      <c r="B4257" s="306">
        <v>213.98939999999999</v>
      </c>
      <c r="C4257" s="309">
        <v>2.92212305189793</v>
      </c>
    </row>
    <row r="4258" spans="1:3" x14ac:dyDescent="0.35">
      <c r="A4258" s="302">
        <v>41908</v>
      </c>
      <c r="B4258" s="303">
        <v>213.9751</v>
      </c>
      <c r="C4258" s="308">
        <v>2.9179677203999499</v>
      </c>
    </row>
    <row r="4259" spans="1:3" x14ac:dyDescent="0.35">
      <c r="A4259" s="305">
        <v>41907</v>
      </c>
      <c r="B4259" s="306">
        <v>213.96090000000001</v>
      </c>
      <c r="C4259" s="309">
        <v>2.9139097693729998</v>
      </c>
    </row>
    <row r="4260" spans="1:3" x14ac:dyDescent="0.35">
      <c r="A4260" s="302">
        <v>41906</v>
      </c>
      <c r="B4260" s="303">
        <v>213.94659999999999</v>
      </c>
      <c r="C4260" s="308">
        <v>2.9097539987291801</v>
      </c>
    </row>
    <row r="4261" spans="1:3" x14ac:dyDescent="0.35">
      <c r="A4261" s="305">
        <v>41905</v>
      </c>
      <c r="B4261" s="306">
        <v>213.9324</v>
      </c>
      <c r="C4261" s="309">
        <v>2.9056956097814401</v>
      </c>
    </row>
    <row r="4262" spans="1:3" x14ac:dyDescent="0.35">
      <c r="A4262" s="302">
        <v>41904</v>
      </c>
      <c r="B4262" s="303">
        <v>213.91810000000001</v>
      </c>
      <c r="C4262" s="308">
        <v>2.9015393999216901</v>
      </c>
    </row>
    <row r="4263" spans="1:3" x14ac:dyDescent="0.35">
      <c r="A4263" s="305">
        <v>41903</v>
      </c>
      <c r="B4263" s="306">
        <v>213.90389999999999</v>
      </c>
      <c r="C4263" s="309">
        <v>2.8974805729827602</v>
      </c>
    </row>
    <row r="4264" spans="1:3" x14ac:dyDescent="0.35">
      <c r="A4264" s="302">
        <v>41902</v>
      </c>
      <c r="B4264" s="303">
        <v>213.8896</v>
      </c>
      <c r="C4264" s="308">
        <v>2.8933239238369599</v>
      </c>
    </row>
    <row r="4265" spans="1:3" x14ac:dyDescent="0.35">
      <c r="A4265" s="305">
        <v>41901</v>
      </c>
      <c r="B4265" s="306">
        <v>213.87540000000001</v>
      </c>
      <c r="C4265" s="309">
        <v>2.88921516181298</v>
      </c>
    </row>
    <row r="4266" spans="1:3" x14ac:dyDescent="0.35">
      <c r="A4266" s="302">
        <v>41900</v>
      </c>
      <c r="B4266" s="303">
        <v>213.86109999999999</v>
      </c>
      <c r="C4266" s="308">
        <v>2.88510757033445</v>
      </c>
    </row>
    <row r="4267" spans="1:3" x14ac:dyDescent="0.35">
      <c r="A4267" s="305">
        <v>41899</v>
      </c>
      <c r="B4267" s="306">
        <v>213.84690000000001</v>
      </c>
      <c r="C4267" s="309">
        <v>2.8809983714883001</v>
      </c>
    </row>
    <row r="4268" spans="1:3" x14ac:dyDescent="0.35">
      <c r="A4268" s="302">
        <v>41898</v>
      </c>
      <c r="B4268" s="303">
        <v>213.83260000000001</v>
      </c>
      <c r="C4268" s="308">
        <v>2.8768903392735901</v>
      </c>
    </row>
    <row r="4269" spans="1:3" x14ac:dyDescent="0.35">
      <c r="A4269" s="305">
        <v>41897</v>
      </c>
      <c r="B4269" s="306">
        <v>213.8184</v>
      </c>
      <c r="C4269" s="309">
        <v>2.8727807035353798</v>
      </c>
    </row>
    <row r="4270" spans="1:3" x14ac:dyDescent="0.35">
      <c r="A4270" s="302">
        <v>41896</v>
      </c>
      <c r="B4270" s="303">
        <v>213.8081</v>
      </c>
      <c r="C4270" s="308">
        <v>2.8691614460219599</v>
      </c>
    </row>
    <row r="4271" spans="1:3" x14ac:dyDescent="0.35">
      <c r="A4271" s="305">
        <v>41895</v>
      </c>
      <c r="B4271" s="306">
        <v>213.7978</v>
      </c>
      <c r="C4271" s="309">
        <v>2.86554209447561</v>
      </c>
    </row>
    <row r="4272" spans="1:3" x14ac:dyDescent="0.35">
      <c r="A4272" s="302">
        <v>41894</v>
      </c>
      <c r="B4272" s="303">
        <v>213.78739999999999</v>
      </c>
      <c r="C4272" s="308">
        <v>2.8618250437597501</v>
      </c>
    </row>
    <row r="4273" spans="1:3" x14ac:dyDescent="0.35">
      <c r="A4273" s="305">
        <v>41893</v>
      </c>
      <c r="B4273" s="306">
        <v>213.77709999999999</v>
      </c>
      <c r="C4273" s="309">
        <v>2.85820550461011</v>
      </c>
    </row>
    <row r="4274" spans="1:3" x14ac:dyDescent="0.35">
      <c r="A4274" s="302">
        <v>41892</v>
      </c>
      <c r="B4274" s="303">
        <v>213.76679999999999</v>
      </c>
      <c r="C4274" s="308">
        <v>2.8545858714166101</v>
      </c>
    </row>
    <row r="4275" spans="1:3" x14ac:dyDescent="0.35">
      <c r="A4275" s="305">
        <v>41891</v>
      </c>
      <c r="B4275" s="306">
        <v>213.75640000000001</v>
      </c>
      <c r="C4275" s="309">
        <v>2.8509180282276998</v>
      </c>
    </row>
    <row r="4276" spans="1:3" x14ac:dyDescent="0.35">
      <c r="A4276" s="302">
        <v>41890</v>
      </c>
      <c r="B4276" s="303">
        <v>213.74610000000001</v>
      </c>
      <c r="C4276" s="308">
        <v>2.84729820631039</v>
      </c>
    </row>
    <row r="4277" spans="1:3" x14ac:dyDescent="0.35">
      <c r="A4277" s="305">
        <v>41889</v>
      </c>
      <c r="B4277" s="306">
        <v>213.73580000000001</v>
      </c>
      <c r="C4277" s="309">
        <v>2.84362880486561</v>
      </c>
    </row>
    <row r="4278" spans="1:3" x14ac:dyDescent="0.35">
      <c r="A4278" s="302">
        <v>41888</v>
      </c>
      <c r="B4278" s="303">
        <v>213.72540000000001</v>
      </c>
      <c r="C4278" s="308">
        <v>2.8399606781337798</v>
      </c>
    </row>
    <row r="4279" spans="1:3" x14ac:dyDescent="0.35">
      <c r="A4279" s="305">
        <v>41887</v>
      </c>
      <c r="B4279" s="306">
        <v>213.71510000000001</v>
      </c>
      <c r="C4279" s="309">
        <v>2.8363405745147499</v>
      </c>
    </row>
    <row r="4280" spans="1:3" x14ac:dyDescent="0.35">
      <c r="A4280" s="302">
        <v>41886</v>
      </c>
      <c r="B4280" s="303">
        <v>213.70480000000001</v>
      </c>
      <c r="C4280" s="308">
        <v>2.8327203768299101</v>
      </c>
    </row>
    <row r="4281" spans="1:3" x14ac:dyDescent="0.35">
      <c r="A4281" s="305">
        <v>41885</v>
      </c>
      <c r="B4281" s="306">
        <v>213.6944</v>
      </c>
      <c r="C4281" s="309">
        <v>2.8290519654000299</v>
      </c>
    </row>
    <row r="4282" spans="1:3" x14ac:dyDescent="0.35">
      <c r="A4282" s="302">
        <v>41884</v>
      </c>
      <c r="B4282" s="303">
        <v>213.6841</v>
      </c>
      <c r="C4282" s="308">
        <v>2.82538209906425</v>
      </c>
    </row>
    <row r="4283" spans="1:3" x14ac:dyDescent="0.35">
      <c r="A4283" s="305">
        <v>41883</v>
      </c>
      <c r="B4283" s="306">
        <v>213.6738</v>
      </c>
      <c r="C4283" s="309">
        <v>2.8217616196341</v>
      </c>
    </row>
    <row r="4284" spans="1:3" x14ac:dyDescent="0.35">
      <c r="A4284" s="302">
        <v>41882</v>
      </c>
      <c r="B4284" s="303">
        <v>213.6634</v>
      </c>
      <c r="C4284" s="308">
        <v>2.81809292459549</v>
      </c>
    </row>
    <row r="4285" spans="1:3" x14ac:dyDescent="0.35">
      <c r="A4285" s="305">
        <v>41881</v>
      </c>
      <c r="B4285" s="306">
        <v>213.65309999999999</v>
      </c>
      <c r="C4285" s="309">
        <v>2.8144722563755802</v>
      </c>
    </row>
    <row r="4286" spans="1:3" x14ac:dyDescent="0.35">
      <c r="A4286" s="302">
        <v>41880</v>
      </c>
      <c r="B4286" s="303">
        <v>213.64279999999999</v>
      </c>
      <c r="C4286" s="308">
        <v>2.8108514940679101</v>
      </c>
    </row>
    <row r="4287" spans="1:3" x14ac:dyDescent="0.35">
      <c r="A4287" s="305">
        <v>41879</v>
      </c>
      <c r="B4287" s="306">
        <v>213.63239999999999</v>
      </c>
      <c r="C4287" s="309">
        <v>2.80718251426498</v>
      </c>
    </row>
    <row r="4288" spans="1:3" x14ac:dyDescent="0.35">
      <c r="A4288" s="302">
        <v>41878</v>
      </c>
      <c r="B4288" s="303">
        <v>213.62209999999999</v>
      </c>
      <c r="C4288" s="308">
        <v>2.8035120899533901</v>
      </c>
    </row>
    <row r="4289" spans="1:3" x14ac:dyDescent="0.35">
      <c r="A4289" s="305">
        <v>41877</v>
      </c>
      <c r="B4289" s="306">
        <v>213.61179999999999</v>
      </c>
      <c r="C4289" s="309">
        <v>2.79989104583486</v>
      </c>
    </row>
    <row r="4290" spans="1:3" x14ac:dyDescent="0.35">
      <c r="A4290" s="302">
        <v>41876</v>
      </c>
      <c r="B4290" s="303">
        <v>213.60149999999999</v>
      </c>
      <c r="C4290" s="308">
        <v>2.7962699076139401</v>
      </c>
    </row>
    <row r="4291" spans="1:3" x14ac:dyDescent="0.35">
      <c r="A4291" s="305">
        <v>41875</v>
      </c>
      <c r="B4291" s="306">
        <v>213.59110000000001</v>
      </c>
      <c r="C4291" s="309">
        <v>2.7926005494050701</v>
      </c>
    </row>
    <row r="4292" spans="1:3" x14ac:dyDescent="0.35">
      <c r="A4292" s="302">
        <v>41874</v>
      </c>
      <c r="B4292" s="303">
        <v>213.58080000000001</v>
      </c>
      <c r="C4292" s="308">
        <v>2.7889792223430199</v>
      </c>
    </row>
    <row r="4293" spans="1:3" x14ac:dyDescent="0.35">
      <c r="A4293" s="305">
        <v>41873</v>
      </c>
      <c r="B4293" s="306">
        <v>213.57050000000001</v>
      </c>
      <c r="C4293" s="309">
        <v>2.7853083335458901</v>
      </c>
    </row>
    <row r="4294" spans="1:3" x14ac:dyDescent="0.35">
      <c r="A4294" s="302">
        <v>41872</v>
      </c>
      <c r="B4294" s="303">
        <v>213.56010000000001</v>
      </c>
      <c r="C4294" s="308">
        <v>2.78163869161865</v>
      </c>
    </row>
    <row r="4295" spans="1:3" x14ac:dyDescent="0.35">
      <c r="A4295" s="305">
        <v>41871</v>
      </c>
      <c r="B4295" s="306">
        <v>213.5498</v>
      </c>
      <c r="C4295" s="309">
        <v>2.77801708268019</v>
      </c>
    </row>
    <row r="4296" spans="1:3" x14ac:dyDescent="0.35">
      <c r="A4296" s="302">
        <v>41870</v>
      </c>
      <c r="B4296" s="303">
        <v>213.5395</v>
      </c>
      <c r="C4296" s="308">
        <v>2.7743953796173701</v>
      </c>
    </row>
    <row r="4297" spans="1:3" x14ac:dyDescent="0.35">
      <c r="A4297" s="305">
        <v>41869</v>
      </c>
      <c r="B4297" s="306">
        <v>213.5292</v>
      </c>
      <c r="C4297" s="309">
        <v>2.7707735824265298</v>
      </c>
    </row>
    <row r="4298" spans="1:3" x14ac:dyDescent="0.35">
      <c r="A4298" s="302">
        <v>41868</v>
      </c>
      <c r="B4298" s="303">
        <v>213.5188</v>
      </c>
      <c r="C4298" s="308">
        <v>2.7670540988411698</v>
      </c>
    </row>
    <row r="4299" spans="1:3" x14ac:dyDescent="0.35">
      <c r="A4299" s="305">
        <v>41867</v>
      </c>
      <c r="B4299" s="306">
        <v>213.5085</v>
      </c>
      <c r="C4299" s="309">
        <v>2.7634321138583098</v>
      </c>
    </row>
    <row r="4300" spans="1:3" x14ac:dyDescent="0.35">
      <c r="A4300" s="302">
        <v>41866</v>
      </c>
      <c r="B4300" s="303">
        <v>213.4982</v>
      </c>
      <c r="C4300" s="308">
        <v>2.7598100347364798</v>
      </c>
    </row>
    <row r="4301" spans="1:3" x14ac:dyDescent="0.35">
      <c r="A4301" s="305">
        <v>41865</v>
      </c>
      <c r="B4301" s="306">
        <v>213.49199999999999</v>
      </c>
      <c r="C4301" s="309">
        <v>2.7644430367621702</v>
      </c>
    </row>
    <row r="4302" spans="1:3" x14ac:dyDescent="0.35">
      <c r="A4302" s="302">
        <v>41864</v>
      </c>
      <c r="B4302" s="303">
        <v>213.48580000000001</v>
      </c>
      <c r="C4302" s="308">
        <v>2.7690767257086599</v>
      </c>
    </row>
    <row r="4303" spans="1:3" x14ac:dyDescent="0.35">
      <c r="A4303" s="305">
        <v>41863</v>
      </c>
      <c r="B4303" s="306">
        <v>213.4796</v>
      </c>
      <c r="C4303" s="309">
        <v>2.7737111017287401</v>
      </c>
    </row>
    <row r="4304" spans="1:3" x14ac:dyDescent="0.35">
      <c r="A4304" s="302">
        <v>41862</v>
      </c>
      <c r="B4304" s="303">
        <v>213.4734</v>
      </c>
      <c r="C4304" s="308">
        <v>2.7783461649752299</v>
      </c>
    </row>
    <row r="4305" spans="1:3" x14ac:dyDescent="0.35">
      <c r="A4305" s="305">
        <v>41861</v>
      </c>
      <c r="B4305" s="306">
        <v>213.46719999999999</v>
      </c>
      <c r="C4305" s="309">
        <v>2.7829819156009998</v>
      </c>
    </row>
    <row r="4306" spans="1:3" x14ac:dyDescent="0.35">
      <c r="A4306" s="302">
        <v>41860</v>
      </c>
      <c r="B4306" s="303">
        <v>213.46100000000001</v>
      </c>
      <c r="C4306" s="308">
        <v>2.78761835375898</v>
      </c>
    </row>
    <row r="4307" spans="1:3" x14ac:dyDescent="0.35">
      <c r="A4307" s="305">
        <v>41859</v>
      </c>
      <c r="B4307" s="306">
        <v>213.45480000000001</v>
      </c>
      <c r="C4307" s="309">
        <v>2.7922554796021299</v>
      </c>
    </row>
    <row r="4308" spans="1:3" x14ac:dyDescent="0.35">
      <c r="A4308" s="302">
        <v>41858</v>
      </c>
      <c r="B4308" s="303">
        <v>213.4486</v>
      </c>
      <c r="C4308" s="308">
        <v>2.79689329328346</v>
      </c>
    </row>
    <row r="4309" spans="1:3" x14ac:dyDescent="0.35">
      <c r="A4309" s="305">
        <v>41857</v>
      </c>
      <c r="B4309" s="306">
        <v>213.44239999999999</v>
      </c>
      <c r="C4309" s="309">
        <v>2.8015317949560199</v>
      </c>
    </row>
    <row r="4310" spans="1:3" x14ac:dyDescent="0.35">
      <c r="A4310" s="302">
        <v>41856</v>
      </c>
      <c r="B4310" s="303">
        <v>213.43620000000001</v>
      </c>
      <c r="C4310" s="308">
        <v>2.8061709847729102</v>
      </c>
    </row>
    <row r="4311" spans="1:3" x14ac:dyDescent="0.35">
      <c r="A4311" s="305">
        <v>41855</v>
      </c>
      <c r="B4311" s="306">
        <v>213.43</v>
      </c>
      <c r="C4311" s="309">
        <v>2.8107613381825201</v>
      </c>
    </row>
    <row r="4312" spans="1:3" x14ac:dyDescent="0.35">
      <c r="A4312" s="302">
        <v>41854</v>
      </c>
      <c r="B4312" s="303">
        <v>213.4238</v>
      </c>
      <c r="C4312" s="308">
        <v>2.8154018988378402</v>
      </c>
    </row>
    <row r="4313" spans="1:3" x14ac:dyDescent="0.35">
      <c r="A4313" s="305">
        <v>41853</v>
      </c>
      <c r="B4313" s="306">
        <v>213.41759999999999</v>
      </c>
      <c r="C4313" s="309">
        <v>2.8200431480958699</v>
      </c>
    </row>
    <row r="4314" spans="1:3" x14ac:dyDescent="0.35">
      <c r="A4314" s="302">
        <v>41852</v>
      </c>
      <c r="B4314" s="303">
        <v>213.41149999999999</v>
      </c>
      <c r="C4314" s="308">
        <v>2.8247332675496102</v>
      </c>
    </row>
    <row r="4315" spans="1:3" x14ac:dyDescent="0.35">
      <c r="A4315" s="305">
        <v>41851</v>
      </c>
      <c r="B4315" s="306">
        <v>213.40530000000001</v>
      </c>
      <c r="C4315" s="309">
        <v>2.82937589804822</v>
      </c>
    </row>
    <row r="4316" spans="1:3" x14ac:dyDescent="0.35">
      <c r="A4316" s="302">
        <v>41850</v>
      </c>
      <c r="B4316" s="303">
        <v>213.3991</v>
      </c>
      <c r="C4316" s="308">
        <v>2.8339696633691198</v>
      </c>
    </row>
    <row r="4317" spans="1:3" x14ac:dyDescent="0.35">
      <c r="A4317" s="305">
        <v>41849</v>
      </c>
      <c r="B4317" s="306">
        <v>213.3929</v>
      </c>
      <c r="C4317" s="309">
        <v>2.8386136662318102</v>
      </c>
    </row>
    <row r="4318" spans="1:3" x14ac:dyDescent="0.35">
      <c r="A4318" s="302">
        <v>41848</v>
      </c>
      <c r="B4318" s="303">
        <v>213.38669999999999</v>
      </c>
      <c r="C4318" s="308">
        <v>2.8432583584633901</v>
      </c>
    </row>
    <row r="4319" spans="1:3" x14ac:dyDescent="0.35">
      <c r="A4319" s="305">
        <v>41847</v>
      </c>
      <c r="B4319" s="306">
        <v>213.38050000000001</v>
      </c>
      <c r="C4319" s="309">
        <v>2.8479037402173502</v>
      </c>
    </row>
    <row r="4320" spans="1:3" x14ac:dyDescent="0.35">
      <c r="A4320" s="302">
        <v>41846</v>
      </c>
      <c r="B4320" s="303">
        <v>213.37430000000001</v>
      </c>
      <c r="C4320" s="308">
        <v>2.8525498116472598</v>
      </c>
    </row>
    <row r="4321" spans="1:3" x14ac:dyDescent="0.35">
      <c r="A4321" s="305">
        <v>41845</v>
      </c>
      <c r="B4321" s="306">
        <v>213.3681</v>
      </c>
      <c r="C4321" s="309">
        <v>2.8571469891226999</v>
      </c>
    </row>
    <row r="4322" spans="1:3" x14ac:dyDescent="0.35">
      <c r="A4322" s="302">
        <v>41844</v>
      </c>
      <c r="B4322" s="303">
        <v>213.36189999999999</v>
      </c>
      <c r="C4322" s="308">
        <v>2.8617944344435502</v>
      </c>
    </row>
    <row r="4323" spans="1:3" x14ac:dyDescent="0.35">
      <c r="A4323" s="305">
        <v>41843</v>
      </c>
      <c r="B4323" s="306">
        <v>213.35570000000001</v>
      </c>
      <c r="C4323" s="309">
        <v>2.8664425699000602</v>
      </c>
    </row>
    <row r="4324" spans="1:3" x14ac:dyDescent="0.35">
      <c r="A4324" s="302">
        <v>41842</v>
      </c>
      <c r="B4324" s="303">
        <v>213.34950000000001</v>
      </c>
      <c r="C4324" s="308">
        <v>2.87104179414075</v>
      </c>
    </row>
    <row r="4325" spans="1:3" x14ac:dyDescent="0.35">
      <c r="A4325" s="305">
        <v>41841</v>
      </c>
      <c r="B4325" s="306">
        <v>213.3433</v>
      </c>
      <c r="C4325" s="309">
        <v>2.8756913044044299</v>
      </c>
    </row>
    <row r="4326" spans="1:3" x14ac:dyDescent="0.35">
      <c r="A4326" s="302">
        <v>41840</v>
      </c>
      <c r="B4326" s="303">
        <v>213.3372</v>
      </c>
      <c r="C4326" s="308">
        <v>2.8803897295725398</v>
      </c>
    </row>
    <row r="4327" spans="1:3" x14ac:dyDescent="0.35">
      <c r="A4327" s="305">
        <v>41839</v>
      </c>
      <c r="B4327" s="306">
        <v>213.33099999999999</v>
      </c>
      <c r="C4327" s="309">
        <v>2.8849910055027999</v>
      </c>
    </row>
    <row r="4328" spans="1:3" x14ac:dyDescent="0.35">
      <c r="A4328" s="302">
        <v>41838</v>
      </c>
      <c r="B4328" s="303">
        <v>213.32480000000001</v>
      </c>
      <c r="C4328" s="308">
        <v>2.8896425856687</v>
      </c>
    </row>
    <row r="4329" spans="1:3" x14ac:dyDescent="0.35">
      <c r="A4329" s="305">
        <v>41837</v>
      </c>
      <c r="B4329" s="306">
        <v>213.3186</v>
      </c>
      <c r="C4329" s="309">
        <v>2.8942948568914799</v>
      </c>
    </row>
    <row r="4330" spans="1:3" x14ac:dyDescent="0.35">
      <c r="A4330" s="302">
        <v>41836</v>
      </c>
      <c r="B4330" s="303">
        <v>213.3124</v>
      </c>
      <c r="C4330" s="308">
        <v>2.89889818232162</v>
      </c>
    </row>
    <row r="4331" spans="1:3" x14ac:dyDescent="0.35">
      <c r="A4331" s="305">
        <v>41835</v>
      </c>
      <c r="B4331" s="306">
        <v>213.30619999999999</v>
      </c>
      <c r="C4331" s="309">
        <v>2.9035518301875398</v>
      </c>
    </row>
    <row r="4332" spans="1:3" x14ac:dyDescent="0.35">
      <c r="A4332" s="302">
        <v>41834</v>
      </c>
      <c r="B4332" s="303">
        <v>213.27209999999999</v>
      </c>
      <c r="C4332" s="308">
        <v>2.89668169067903</v>
      </c>
    </row>
    <row r="4333" spans="1:3" x14ac:dyDescent="0.35">
      <c r="A4333" s="305">
        <v>41833</v>
      </c>
      <c r="B4333" s="306">
        <v>213.2381</v>
      </c>
      <c r="C4333" s="309">
        <v>2.8899081683464498</v>
      </c>
    </row>
    <row r="4334" spans="1:3" x14ac:dyDescent="0.35">
      <c r="A4334" s="302">
        <v>41832</v>
      </c>
      <c r="B4334" s="303">
        <v>213.20410000000001</v>
      </c>
      <c r="C4334" s="308">
        <v>2.8830837308394801</v>
      </c>
    </row>
    <row r="4335" spans="1:3" x14ac:dyDescent="0.35">
      <c r="A4335" s="305">
        <v>41831</v>
      </c>
      <c r="B4335" s="306">
        <v>213.17</v>
      </c>
      <c r="C4335" s="309">
        <v>2.87620976187466</v>
      </c>
    </row>
    <row r="4336" spans="1:3" x14ac:dyDescent="0.35">
      <c r="A4336" s="302">
        <v>41830</v>
      </c>
      <c r="B4336" s="303">
        <v>213.136</v>
      </c>
      <c r="C4336" s="308">
        <v>2.8693827769462801</v>
      </c>
    </row>
    <row r="4337" spans="1:3" x14ac:dyDescent="0.35">
      <c r="A4337" s="305">
        <v>41829</v>
      </c>
      <c r="B4337" s="306">
        <v>213.102</v>
      </c>
      <c r="C4337" s="309">
        <v>2.8625545200210798</v>
      </c>
    </row>
    <row r="4338" spans="1:3" x14ac:dyDescent="0.35">
      <c r="A4338" s="302">
        <v>41828</v>
      </c>
      <c r="B4338" s="303">
        <v>213.06800000000001</v>
      </c>
      <c r="C4338" s="308">
        <v>2.8557249907435298</v>
      </c>
    </row>
    <row r="4339" spans="1:3" x14ac:dyDescent="0.35">
      <c r="A4339" s="305">
        <v>41827</v>
      </c>
      <c r="B4339" s="306">
        <v>213.03399999999999</v>
      </c>
      <c r="C4339" s="309">
        <v>2.8488941887579502</v>
      </c>
    </row>
    <row r="4340" spans="1:3" x14ac:dyDescent="0.35">
      <c r="A4340" s="302">
        <v>41826</v>
      </c>
      <c r="B4340" s="303">
        <v>213</v>
      </c>
      <c r="C4340" s="308">
        <v>2.8420621137085602</v>
      </c>
    </row>
    <row r="4341" spans="1:3" x14ac:dyDescent="0.35">
      <c r="A4341" s="305">
        <v>41825</v>
      </c>
      <c r="B4341" s="306">
        <v>212.96600000000001</v>
      </c>
      <c r="C4341" s="309">
        <v>2.8352287652394299</v>
      </c>
    </row>
    <row r="4342" spans="1:3" x14ac:dyDescent="0.35">
      <c r="A4342" s="302">
        <v>41824</v>
      </c>
      <c r="B4342" s="303">
        <v>212.93199999999999</v>
      </c>
      <c r="C4342" s="308">
        <v>2.8283941429945001</v>
      </c>
    </row>
    <row r="4343" spans="1:3" x14ac:dyDescent="0.35">
      <c r="A4343" s="305">
        <v>41823</v>
      </c>
      <c r="B4343" s="306">
        <v>212.898</v>
      </c>
      <c r="C4343" s="309">
        <v>2.8215582466175801</v>
      </c>
    </row>
    <row r="4344" spans="1:3" x14ac:dyDescent="0.35">
      <c r="A4344" s="302">
        <v>41822</v>
      </c>
      <c r="B4344" s="303">
        <v>212.864</v>
      </c>
      <c r="C4344" s="308">
        <v>2.81472107575234</v>
      </c>
    </row>
    <row r="4345" spans="1:3" x14ac:dyDescent="0.35">
      <c r="A4345" s="305">
        <v>41821</v>
      </c>
      <c r="B4345" s="306">
        <v>212.83</v>
      </c>
      <c r="C4345" s="309">
        <v>2.8078826300423301</v>
      </c>
    </row>
    <row r="4346" spans="1:3" x14ac:dyDescent="0.35">
      <c r="A4346" s="302">
        <v>41820</v>
      </c>
      <c r="B4346" s="303">
        <v>212.7961</v>
      </c>
      <c r="C4346" s="308">
        <v>2.8010912187998001</v>
      </c>
    </row>
    <row r="4347" spans="1:3" x14ac:dyDescent="0.35">
      <c r="A4347" s="305">
        <v>41819</v>
      </c>
      <c r="B4347" s="306">
        <v>212.7621</v>
      </c>
      <c r="C4347" s="309">
        <v>2.79425022683504</v>
      </c>
    </row>
    <row r="4348" spans="1:3" x14ac:dyDescent="0.35">
      <c r="A4348" s="302">
        <v>41818</v>
      </c>
      <c r="B4348" s="303">
        <v>212.72819999999999</v>
      </c>
      <c r="C4348" s="308">
        <v>2.7874562776352598</v>
      </c>
    </row>
    <row r="4349" spans="1:3" x14ac:dyDescent="0.35">
      <c r="A4349" s="305">
        <v>41817</v>
      </c>
      <c r="B4349" s="306">
        <v>212.6942</v>
      </c>
      <c r="C4349" s="309">
        <v>2.7806127379916901</v>
      </c>
    </row>
    <row r="4350" spans="1:3" x14ac:dyDescent="0.35">
      <c r="A4350" s="302">
        <v>41816</v>
      </c>
      <c r="B4350" s="303">
        <v>212.66030000000001</v>
      </c>
      <c r="C4350" s="308">
        <v>2.7738162494134202</v>
      </c>
    </row>
    <row r="4351" spans="1:3" x14ac:dyDescent="0.35">
      <c r="A4351" s="305">
        <v>41815</v>
      </c>
      <c r="B4351" s="306">
        <v>212.62629999999999</v>
      </c>
      <c r="C4351" s="309">
        <v>2.7669701606658998</v>
      </c>
    </row>
    <row r="4352" spans="1:3" x14ac:dyDescent="0.35">
      <c r="A4352" s="302">
        <v>41814</v>
      </c>
      <c r="B4352" s="303">
        <v>212.5924</v>
      </c>
      <c r="C4352" s="308">
        <v>2.7601214604252999</v>
      </c>
    </row>
    <row r="4353" spans="1:3" x14ac:dyDescent="0.35">
      <c r="A4353" s="305">
        <v>41813</v>
      </c>
      <c r="B4353" s="306">
        <v>212.55850000000001</v>
      </c>
      <c r="C4353" s="309">
        <v>2.7533211610201702</v>
      </c>
    </row>
    <row r="4354" spans="1:3" x14ac:dyDescent="0.35">
      <c r="A4354" s="302">
        <v>41812</v>
      </c>
      <c r="B4354" s="303">
        <v>212.52449999999999</v>
      </c>
      <c r="C4354" s="308">
        <v>2.7464712468744499</v>
      </c>
    </row>
    <row r="4355" spans="1:3" x14ac:dyDescent="0.35">
      <c r="A4355" s="305">
        <v>41811</v>
      </c>
      <c r="B4355" s="306">
        <v>212.4906</v>
      </c>
      <c r="C4355" s="309">
        <v>2.7396684045346702</v>
      </c>
    </row>
    <row r="4356" spans="1:3" x14ac:dyDescent="0.35">
      <c r="A4356" s="302">
        <v>41810</v>
      </c>
      <c r="B4356" s="303">
        <v>212.45670000000001</v>
      </c>
      <c r="C4356" s="308">
        <v>2.7328146162739699</v>
      </c>
    </row>
    <row r="4357" spans="1:3" x14ac:dyDescent="0.35">
      <c r="A4357" s="305">
        <v>41809</v>
      </c>
      <c r="B4357" s="306">
        <v>212.4228</v>
      </c>
      <c r="C4357" s="309">
        <v>2.7260092327422898</v>
      </c>
    </row>
    <row r="4358" spans="1:3" x14ac:dyDescent="0.35">
      <c r="A4358" s="302">
        <v>41808</v>
      </c>
      <c r="B4358" s="303">
        <v>212.38890000000001</v>
      </c>
      <c r="C4358" s="308">
        <v>2.7192025787543002</v>
      </c>
    </row>
    <row r="4359" spans="1:3" x14ac:dyDescent="0.35">
      <c r="A4359" s="305">
        <v>41807</v>
      </c>
      <c r="B4359" s="306">
        <v>212.35499999999999</v>
      </c>
      <c r="C4359" s="309">
        <v>2.7123946539541999</v>
      </c>
    </row>
    <row r="4360" spans="1:3" x14ac:dyDescent="0.35">
      <c r="A4360" s="302">
        <v>41806</v>
      </c>
      <c r="B4360" s="303">
        <v>212.3211</v>
      </c>
      <c r="C4360" s="308">
        <v>2.7055357764792398</v>
      </c>
    </row>
    <row r="4361" spans="1:3" x14ac:dyDescent="0.35">
      <c r="A4361" s="305">
        <v>41805</v>
      </c>
      <c r="B4361" s="306">
        <v>212.28720000000001</v>
      </c>
      <c r="C4361" s="309">
        <v>2.6987253076430702</v>
      </c>
    </row>
    <row r="4362" spans="1:3" x14ac:dyDescent="0.35">
      <c r="A4362" s="302">
        <v>41804</v>
      </c>
      <c r="B4362" s="303">
        <v>212.25579999999999</v>
      </c>
      <c r="C4362" s="308">
        <v>2.69183132390223</v>
      </c>
    </row>
    <row r="4363" spans="1:3" x14ac:dyDescent="0.35">
      <c r="A4363" s="305">
        <v>41803</v>
      </c>
      <c r="B4363" s="306">
        <v>212.2244</v>
      </c>
      <c r="C4363" s="309">
        <v>2.6848865418912902</v>
      </c>
    </row>
    <row r="4364" spans="1:3" x14ac:dyDescent="0.35">
      <c r="A4364" s="302">
        <v>41802</v>
      </c>
      <c r="B4364" s="303">
        <v>212.19300000000001</v>
      </c>
      <c r="C4364" s="308">
        <v>2.6779903289820401</v>
      </c>
    </row>
    <row r="4365" spans="1:3" x14ac:dyDescent="0.35">
      <c r="A4365" s="305">
        <v>41801</v>
      </c>
      <c r="B4365" s="306">
        <v>212.16159999999999</v>
      </c>
      <c r="C4365" s="309">
        <v>2.6710433159554601</v>
      </c>
    </row>
    <row r="4366" spans="1:3" x14ac:dyDescent="0.35">
      <c r="A4366" s="302">
        <v>41800</v>
      </c>
      <c r="B4366" s="303">
        <v>212.1302</v>
      </c>
      <c r="C4366" s="308">
        <v>2.66409518670251</v>
      </c>
    </row>
    <row r="4367" spans="1:3" x14ac:dyDescent="0.35">
      <c r="A4367" s="305">
        <v>41799</v>
      </c>
      <c r="B4367" s="306">
        <v>212.09880000000001</v>
      </c>
      <c r="C4367" s="309">
        <v>2.6571956276789801</v>
      </c>
    </row>
    <row r="4368" spans="1:3" x14ac:dyDescent="0.35">
      <c r="A4368" s="302">
        <v>41798</v>
      </c>
      <c r="B4368" s="303">
        <v>212.06739999999999</v>
      </c>
      <c r="C4368" s="308">
        <v>2.65024526579416</v>
      </c>
    </row>
    <row r="4369" spans="1:3" x14ac:dyDescent="0.35">
      <c r="A4369" s="305">
        <v>41797</v>
      </c>
      <c r="B4369" s="306">
        <v>212.036</v>
      </c>
      <c r="C4369" s="309">
        <v>2.6433434749038498</v>
      </c>
    </row>
    <row r="4370" spans="1:3" x14ac:dyDescent="0.35">
      <c r="A4370" s="302">
        <v>41796</v>
      </c>
      <c r="B4370" s="303">
        <v>212.00460000000001</v>
      </c>
      <c r="C4370" s="308">
        <v>2.6363908793085198</v>
      </c>
    </row>
    <row r="4371" spans="1:3" x14ac:dyDescent="0.35">
      <c r="A4371" s="305">
        <v>41795</v>
      </c>
      <c r="B4371" s="306">
        <v>211.97319999999999</v>
      </c>
      <c r="C4371" s="309">
        <v>2.6294371661398199</v>
      </c>
    </row>
    <row r="4372" spans="1:3" x14ac:dyDescent="0.35">
      <c r="A4372" s="302">
        <v>41794</v>
      </c>
      <c r="B4372" s="303">
        <v>211.9418</v>
      </c>
      <c r="C4372" s="308">
        <v>2.6225320250855102</v>
      </c>
    </row>
    <row r="4373" spans="1:3" x14ac:dyDescent="0.35">
      <c r="A4373" s="305">
        <v>41793</v>
      </c>
      <c r="B4373" s="306">
        <v>211.91040000000001</v>
      </c>
      <c r="C4373" s="309">
        <v>2.6155760765874598</v>
      </c>
    </row>
    <row r="4374" spans="1:3" x14ac:dyDescent="0.35">
      <c r="A4374" s="302">
        <v>41792</v>
      </c>
      <c r="B4374" s="303">
        <v>211.87909999999999</v>
      </c>
      <c r="C4374" s="308">
        <v>2.6086674376393502</v>
      </c>
    </row>
    <row r="4375" spans="1:3" x14ac:dyDescent="0.35">
      <c r="A4375" s="305">
        <v>41791</v>
      </c>
      <c r="B4375" s="306">
        <v>211.8477</v>
      </c>
      <c r="C4375" s="309">
        <v>2.6017589479052501</v>
      </c>
    </row>
    <row r="4376" spans="1:3" x14ac:dyDescent="0.35">
      <c r="A4376" s="302">
        <v>41790</v>
      </c>
      <c r="B4376" s="303">
        <v>211.81630000000001</v>
      </c>
      <c r="C4376" s="308">
        <v>2.5947996479690199</v>
      </c>
    </row>
    <row r="4377" spans="1:3" x14ac:dyDescent="0.35">
      <c r="A4377" s="305">
        <v>41789</v>
      </c>
      <c r="B4377" s="306">
        <v>211.785</v>
      </c>
      <c r="C4377" s="309">
        <v>2.5878876684791199</v>
      </c>
    </row>
    <row r="4378" spans="1:3" x14ac:dyDescent="0.35">
      <c r="A4378" s="302">
        <v>41788</v>
      </c>
      <c r="B4378" s="303">
        <v>211.75360000000001</v>
      </c>
      <c r="C4378" s="308">
        <v>2.5809758276339498</v>
      </c>
    </row>
    <row r="4379" spans="1:3" x14ac:dyDescent="0.35">
      <c r="A4379" s="305">
        <v>41787</v>
      </c>
      <c r="B4379" s="306">
        <v>211.72229999999999</v>
      </c>
      <c r="C4379" s="309">
        <v>2.5740616212843199</v>
      </c>
    </row>
    <row r="4380" spans="1:3" x14ac:dyDescent="0.35">
      <c r="A4380" s="302">
        <v>41786</v>
      </c>
      <c r="B4380" s="303">
        <v>211.6909</v>
      </c>
      <c r="C4380" s="308">
        <v>2.5670978513764502</v>
      </c>
    </row>
    <row r="4381" spans="1:3" x14ac:dyDescent="0.35">
      <c r="A4381" s="305">
        <v>41785</v>
      </c>
      <c r="B4381" s="306">
        <v>211.65960000000001</v>
      </c>
      <c r="C4381" s="309">
        <v>2.5601814164437702</v>
      </c>
    </row>
    <row r="4382" spans="1:3" x14ac:dyDescent="0.35">
      <c r="A4382" s="302">
        <v>41784</v>
      </c>
      <c r="B4382" s="303">
        <v>211.6283</v>
      </c>
      <c r="C4382" s="308">
        <v>2.5533135652233701</v>
      </c>
    </row>
    <row r="4383" spans="1:3" x14ac:dyDescent="0.35">
      <c r="A4383" s="305">
        <v>41783</v>
      </c>
      <c r="B4383" s="306">
        <v>211.59690000000001</v>
      </c>
      <c r="C4383" s="309">
        <v>2.5463464421082</v>
      </c>
    </row>
    <row r="4384" spans="1:3" x14ac:dyDescent="0.35">
      <c r="A4384" s="302">
        <v>41782</v>
      </c>
      <c r="B4384" s="303">
        <v>211.56559999999999</v>
      </c>
      <c r="C4384" s="308">
        <v>2.5394266648766202</v>
      </c>
    </row>
    <row r="4385" spans="1:3" x14ac:dyDescent="0.35">
      <c r="A4385" s="305">
        <v>41781</v>
      </c>
      <c r="B4385" s="306">
        <v>211.5343</v>
      </c>
      <c r="C4385" s="309">
        <v>2.53250577409184</v>
      </c>
    </row>
    <row r="4386" spans="1:3" x14ac:dyDescent="0.35">
      <c r="A4386" s="302">
        <v>41780</v>
      </c>
      <c r="B4386" s="303">
        <v>211.50299999999999</v>
      </c>
      <c r="C4386" s="308">
        <v>2.5255837694850398</v>
      </c>
    </row>
    <row r="4387" spans="1:3" x14ac:dyDescent="0.35">
      <c r="A4387" s="305">
        <v>41779</v>
      </c>
      <c r="B4387" s="306">
        <v>211.4717</v>
      </c>
      <c r="C4387" s="309">
        <v>2.5186606507873202</v>
      </c>
    </row>
    <row r="4388" spans="1:3" x14ac:dyDescent="0.35">
      <c r="A4388" s="302">
        <v>41778</v>
      </c>
      <c r="B4388" s="303">
        <v>211.44040000000001</v>
      </c>
      <c r="C4388" s="308">
        <v>2.51178611807644</v>
      </c>
    </row>
    <row r="4389" spans="1:3" x14ac:dyDescent="0.35">
      <c r="A4389" s="305">
        <v>41777</v>
      </c>
      <c r="B4389" s="306">
        <v>211.4091</v>
      </c>
      <c r="C4389" s="309">
        <v>2.5048607710322299</v>
      </c>
    </row>
    <row r="4390" spans="1:3" x14ac:dyDescent="0.35">
      <c r="A4390" s="302">
        <v>41776</v>
      </c>
      <c r="B4390" s="303">
        <v>211.37780000000001</v>
      </c>
      <c r="C4390" s="308">
        <v>2.4979343090894299</v>
      </c>
    </row>
    <row r="4391" spans="1:3" x14ac:dyDescent="0.35">
      <c r="A4391" s="305">
        <v>41775</v>
      </c>
      <c r="B4391" s="306">
        <v>211.34649999999999</v>
      </c>
      <c r="C4391" s="309">
        <v>2.4910067319787901</v>
      </c>
    </row>
    <row r="4392" spans="1:3" x14ac:dyDescent="0.35">
      <c r="A4392" s="302">
        <v>41774</v>
      </c>
      <c r="B4392" s="303">
        <v>211.3152</v>
      </c>
      <c r="C4392" s="308">
        <v>2.48407803943098</v>
      </c>
    </row>
    <row r="4393" spans="1:3" x14ac:dyDescent="0.35">
      <c r="A4393" s="305">
        <v>41773</v>
      </c>
      <c r="B4393" s="306">
        <v>211.2878</v>
      </c>
      <c r="C4393" s="309">
        <v>2.4779463261984298</v>
      </c>
    </row>
    <row r="4394" spans="1:3" x14ac:dyDescent="0.35">
      <c r="A4394" s="302">
        <v>41772</v>
      </c>
      <c r="B4394" s="303">
        <v>211.2604</v>
      </c>
      <c r="C4394" s="308">
        <v>2.47181375640023</v>
      </c>
    </row>
    <row r="4395" spans="1:3" x14ac:dyDescent="0.35">
      <c r="A4395" s="305">
        <v>41771</v>
      </c>
      <c r="B4395" s="306">
        <v>211.233</v>
      </c>
      <c r="C4395" s="309">
        <v>2.4657300343099902</v>
      </c>
    </row>
    <row r="4396" spans="1:3" x14ac:dyDescent="0.35">
      <c r="A4396" s="302">
        <v>41770</v>
      </c>
      <c r="B4396" s="303">
        <v>211.2056</v>
      </c>
      <c r="C4396" s="308">
        <v>2.4595957513383202</v>
      </c>
    </row>
    <row r="4397" spans="1:3" x14ac:dyDescent="0.35">
      <c r="A4397" s="305">
        <v>41769</v>
      </c>
      <c r="B4397" s="306">
        <v>211.1782</v>
      </c>
      <c r="C4397" s="309">
        <v>2.4534606112620199</v>
      </c>
    </row>
    <row r="4398" spans="1:3" x14ac:dyDescent="0.35">
      <c r="A4398" s="302">
        <v>41768</v>
      </c>
      <c r="B4398" s="303">
        <v>211.1508</v>
      </c>
      <c r="C4398" s="308">
        <v>2.44732461390144</v>
      </c>
    </row>
    <row r="4399" spans="1:3" x14ac:dyDescent="0.35">
      <c r="A4399" s="305">
        <v>41767</v>
      </c>
      <c r="B4399" s="306">
        <v>211.1234</v>
      </c>
      <c r="C4399" s="309">
        <v>2.4411877590768798</v>
      </c>
    </row>
    <row r="4400" spans="1:3" x14ac:dyDescent="0.35">
      <c r="A4400" s="302">
        <v>41766</v>
      </c>
      <c r="B4400" s="303">
        <v>211.096</v>
      </c>
      <c r="C4400" s="308">
        <v>2.4350500466085898</v>
      </c>
    </row>
    <row r="4401" spans="1:3" x14ac:dyDescent="0.35">
      <c r="A4401" s="305">
        <v>41765</v>
      </c>
      <c r="B4401" s="306">
        <v>211.0686</v>
      </c>
      <c r="C4401" s="309">
        <v>2.4289114763167698</v>
      </c>
    </row>
    <row r="4402" spans="1:3" x14ac:dyDescent="0.35">
      <c r="A4402" s="302">
        <v>41764</v>
      </c>
      <c r="B4402" s="303">
        <v>211.0412</v>
      </c>
      <c r="C4402" s="308">
        <v>2.4227720480215602</v>
      </c>
    </row>
    <row r="4403" spans="1:3" x14ac:dyDescent="0.35">
      <c r="A4403" s="305">
        <v>41763</v>
      </c>
      <c r="B4403" s="306">
        <v>211.0138</v>
      </c>
      <c r="C4403" s="309">
        <v>2.4166317615430799</v>
      </c>
    </row>
    <row r="4404" spans="1:3" x14ac:dyDescent="0.35">
      <c r="A4404" s="302">
        <v>41762</v>
      </c>
      <c r="B4404" s="303">
        <v>210.98650000000001</v>
      </c>
      <c r="C4404" s="308">
        <v>2.4105391556074802</v>
      </c>
    </row>
    <row r="4405" spans="1:3" x14ac:dyDescent="0.35">
      <c r="A4405" s="305">
        <v>41761</v>
      </c>
      <c r="B4405" s="306">
        <v>210.95910000000001</v>
      </c>
      <c r="C4405" s="309">
        <v>2.4044468650882602</v>
      </c>
    </row>
    <row r="4406" spans="1:3" x14ac:dyDescent="0.35">
      <c r="A4406" s="302">
        <v>41760</v>
      </c>
      <c r="B4406" s="303">
        <v>210.93170000000001</v>
      </c>
      <c r="C4406" s="308">
        <v>2.3983040068663102</v>
      </c>
    </row>
    <row r="4407" spans="1:3" x14ac:dyDescent="0.35">
      <c r="A4407" s="305">
        <v>41759</v>
      </c>
      <c r="B4407" s="306">
        <v>210.90440000000001</v>
      </c>
      <c r="C4407" s="309">
        <v>2.3922088388509399</v>
      </c>
    </row>
    <row r="4408" spans="1:3" x14ac:dyDescent="0.35">
      <c r="A4408" s="302">
        <v>41758</v>
      </c>
      <c r="B4408" s="303">
        <v>210.87700000000001</v>
      </c>
      <c r="C4408" s="308">
        <v>2.3860642660366498</v>
      </c>
    </row>
    <row r="4409" spans="1:3" x14ac:dyDescent="0.35">
      <c r="A4409" s="305">
        <v>41757</v>
      </c>
      <c r="B4409" s="306">
        <v>210.84960000000001</v>
      </c>
      <c r="C4409" s="309">
        <v>2.3799188339592199</v>
      </c>
    </row>
    <row r="4410" spans="1:3" x14ac:dyDescent="0.35">
      <c r="A4410" s="302">
        <v>41756</v>
      </c>
      <c r="B4410" s="303">
        <v>210.82230000000001</v>
      </c>
      <c r="C4410" s="308">
        <v>2.3738211017326898</v>
      </c>
    </row>
    <row r="4411" spans="1:3" x14ac:dyDescent="0.35">
      <c r="A4411" s="305">
        <v>41755</v>
      </c>
      <c r="B4411" s="306">
        <v>210.79490000000001</v>
      </c>
      <c r="C4411" s="309">
        <v>2.3676739539839402</v>
      </c>
    </row>
    <row r="4412" spans="1:3" x14ac:dyDescent="0.35">
      <c r="A4412" s="302">
        <v>41754</v>
      </c>
      <c r="B4412" s="303">
        <v>210.76759999999999</v>
      </c>
      <c r="C4412" s="308">
        <v>2.36157451251791</v>
      </c>
    </row>
    <row r="4413" spans="1:3" x14ac:dyDescent="0.35">
      <c r="A4413" s="305">
        <v>41753</v>
      </c>
      <c r="B4413" s="306">
        <v>210.74019999999999</v>
      </c>
      <c r="C4413" s="309">
        <v>2.35542564837831</v>
      </c>
    </row>
    <row r="4414" spans="1:3" x14ac:dyDescent="0.35">
      <c r="A4414" s="302">
        <v>41752</v>
      </c>
      <c r="B4414" s="303">
        <v>210.71289999999999</v>
      </c>
      <c r="C4414" s="308">
        <v>2.3493244969549698</v>
      </c>
    </row>
    <row r="4415" spans="1:3" x14ac:dyDescent="0.35">
      <c r="A4415" s="305">
        <v>41751</v>
      </c>
      <c r="B4415" s="306">
        <v>210.68559999999999</v>
      </c>
      <c r="C4415" s="309">
        <v>2.3432224919824902</v>
      </c>
    </row>
    <row r="4416" spans="1:3" x14ac:dyDescent="0.35">
      <c r="A4416" s="302">
        <v>41750</v>
      </c>
      <c r="B4416" s="303">
        <v>210.65819999999999</v>
      </c>
      <c r="C4416" s="308">
        <v>2.33707105360573</v>
      </c>
    </row>
    <row r="4417" spans="1:3" x14ac:dyDescent="0.35">
      <c r="A4417" s="305">
        <v>41749</v>
      </c>
      <c r="B4417" s="306">
        <v>210.6309</v>
      </c>
      <c r="C4417" s="309">
        <v>2.33091762209285</v>
      </c>
    </row>
    <row r="4418" spans="1:3" x14ac:dyDescent="0.35">
      <c r="A4418" s="302">
        <v>41748</v>
      </c>
      <c r="B4418" s="303">
        <v>210.6036</v>
      </c>
      <c r="C4418" s="308">
        <v>2.3248130514865801</v>
      </c>
    </row>
    <row r="4419" spans="1:3" x14ac:dyDescent="0.35">
      <c r="A4419" s="305">
        <v>41747</v>
      </c>
      <c r="B4419" s="306">
        <v>210.5762</v>
      </c>
      <c r="C4419" s="309">
        <v>2.3186590367645401</v>
      </c>
    </row>
    <row r="4420" spans="1:3" x14ac:dyDescent="0.35">
      <c r="A4420" s="302">
        <v>41746</v>
      </c>
      <c r="B4420" s="303">
        <v>210.5489</v>
      </c>
      <c r="C4420" s="308">
        <v>2.3125527540467199</v>
      </c>
    </row>
    <row r="4421" spans="1:3" x14ac:dyDescent="0.35">
      <c r="A4421" s="305">
        <v>41745</v>
      </c>
      <c r="B4421" s="306">
        <v>210.52160000000001</v>
      </c>
      <c r="C4421" s="309">
        <v>2.3064456167036398</v>
      </c>
    </row>
    <row r="4422" spans="1:3" x14ac:dyDescent="0.35">
      <c r="A4422" s="302">
        <v>41744</v>
      </c>
      <c r="B4422" s="303">
        <v>210.49430000000001</v>
      </c>
      <c r="C4422" s="308">
        <v>2.3003376245558602</v>
      </c>
    </row>
    <row r="4423" spans="1:3" x14ac:dyDescent="0.35">
      <c r="A4423" s="305">
        <v>41743</v>
      </c>
      <c r="B4423" s="306">
        <v>210.45169999999999</v>
      </c>
      <c r="C4423" s="309">
        <v>2.29415078556121</v>
      </c>
    </row>
    <row r="4424" spans="1:3" x14ac:dyDescent="0.35">
      <c r="A4424" s="302">
        <v>41742</v>
      </c>
      <c r="B4424" s="303">
        <v>210.40899999999999</v>
      </c>
      <c r="C4424" s="308">
        <v>2.28786385017608</v>
      </c>
    </row>
    <row r="4425" spans="1:3" x14ac:dyDescent="0.35">
      <c r="A4425" s="305">
        <v>41741</v>
      </c>
      <c r="B4425" s="306">
        <v>210.3664</v>
      </c>
      <c r="C4425" s="309">
        <v>2.2816237564647301</v>
      </c>
    </row>
    <row r="4426" spans="1:3" x14ac:dyDescent="0.35">
      <c r="A4426" s="302">
        <v>41740</v>
      </c>
      <c r="B4426" s="303">
        <v>210.32380000000001</v>
      </c>
      <c r="C4426" s="308">
        <v>2.2753818967286299</v>
      </c>
    </row>
    <row r="4427" spans="1:3" x14ac:dyDescent="0.35">
      <c r="A4427" s="305">
        <v>41739</v>
      </c>
      <c r="B4427" s="306">
        <v>210.28120000000001</v>
      </c>
      <c r="C4427" s="309">
        <v>2.2691880082912101</v>
      </c>
    </row>
    <row r="4428" spans="1:3" x14ac:dyDescent="0.35">
      <c r="A4428" s="302">
        <v>41738</v>
      </c>
      <c r="B4428" s="303">
        <v>210.23859999999999</v>
      </c>
      <c r="C4428" s="308">
        <v>2.26294261825812</v>
      </c>
    </row>
    <row r="4429" spans="1:3" x14ac:dyDescent="0.35">
      <c r="A4429" s="305">
        <v>41737</v>
      </c>
      <c r="B4429" s="306">
        <v>210.196</v>
      </c>
      <c r="C4429" s="309">
        <v>2.2566954599498299</v>
      </c>
    </row>
    <row r="4430" spans="1:3" x14ac:dyDescent="0.35">
      <c r="A4430" s="302">
        <v>41736</v>
      </c>
      <c r="B4430" s="303">
        <v>210.1534</v>
      </c>
      <c r="C4430" s="308">
        <v>2.2504465326152499</v>
      </c>
    </row>
    <row r="4431" spans="1:3" x14ac:dyDescent="0.35">
      <c r="A4431" s="305">
        <v>41735</v>
      </c>
      <c r="B4431" s="306">
        <v>210.11089999999999</v>
      </c>
      <c r="C4431" s="309">
        <v>2.2442444975401301</v>
      </c>
    </row>
    <row r="4432" spans="1:3" x14ac:dyDescent="0.35">
      <c r="A4432" s="302">
        <v>41734</v>
      </c>
      <c r="B4432" s="303">
        <v>210.06829999999999</v>
      </c>
      <c r="C4432" s="308">
        <v>2.2379920367898198</v>
      </c>
    </row>
    <row r="4433" spans="1:3" x14ac:dyDescent="0.35">
      <c r="A4433" s="305">
        <v>41733</v>
      </c>
      <c r="B4433" s="306">
        <v>210.0258</v>
      </c>
      <c r="C4433" s="309">
        <v>2.2317864805822398</v>
      </c>
    </row>
    <row r="4434" spans="1:3" x14ac:dyDescent="0.35">
      <c r="A4434" s="302">
        <v>41732</v>
      </c>
      <c r="B4434" s="303">
        <v>209.98320000000001</v>
      </c>
      <c r="C4434" s="308">
        <v>2.2255304834145302</v>
      </c>
    </row>
    <row r="4435" spans="1:3" x14ac:dyDescent="0.35">
      <c r="A4435" s="305">
        <v>41731</v>
      </c>
      <c r="B4435" s="306">
        <v>209.94069999999999</v>
      </c>
      <c r="C4435" s="309">
        <v>2.2193214030789399</v>
      </c>
    </row>
    <row r="4436" spans="1:3" x14ac:dyDescent="0.35">
      <c r="A4436" s="302">
        <v>41730</v>
      </c>
      <c r="B4436" s="303">
        <v>209.8981</v>
      </c>
      <c r="C4436" s="308">
        <v>2.21306186648876</v>
      </c>
    </row>
    <row r="4437" spans="1:3" x14ac:dyDescent="0.35">
      <c r="A4437" s="305">
        <v>41729</v>
      </c>
      <c r="B4437" s="306">
        <v>209.85560000000001</v>
      </c>
      <c r="C4437" s="309">
        <v>2.2068492590262001</v>
      </c>
    </row>
    <row r="4438" spans="1:3" x14ac:dyDescent="0.35">
      <c r="A4438" s="302">
        <v>41728</v>
      </c>
      <c r="B4438" s="303">
        <v>209.81309999999999</v>
      </c>
      <c r="C4438" s="308">
        <v>2.2005851080930201</v>
      </c>
    </row>
    <row r="4439" spans="1:3" x14ac:dyDescent="0.35">
      <c r="A4439" s="305">
        <v>41727</v>
      </c>
      <c r="B4439" s="306">
        <v>209.7706</v>
      </c>
      <c r="C4439" s="309">
        <v>2.19436897337751</v>
      </c>
    </row>
    <row r="4440" spans="1:3" x14ac:dyDescent="0.35">
      <c r="A4440" s="302">
        <v>41726</v>
      </c>
      <c r="B4440" s="303">
        <v>209.72810000000001</v>
      </c>
      <c r="C4440" s="308">
        <v>2.18815107592581</v>
      </c>
    </row>
    <row r="4441" spans="1:3" x14ac:dyDescent="0.35">
      <c r="A4441" s="305">
        <v>41725</v>
      </c>
      <c r="B4441" s="306">
        <v>209.68559999999999</v>
      </c>
      <c r="C4441" s="309">
        <v>2.1818816207149601</v>
      </c>
    </row>
    <row r="4442" spans="1:3" x14ac:dyDescent="0.35">
      <c r="A4442" s="302">
        <v>41724</v>
      </c>
      <c r="B4442" s="303">
        <v>209.64320000000001</v>
      </c>
      <c r="C4442" s="308">
        <v>2.1757089294182501</v>
      </c>
    </row>
    <row r="4443" spans="1:3" x14ac:dyDescent="0.35">
      <c r="A4443" s="305">
        <v>41723</v>
      </c>
      <c r="B4443" s="306">
        <v>209.60069999999999</v>
      </c>
      <c r="C4443" s="309">
        <v>2.1694857421399001</v>
      </c>
    </row>
    <row r="4444" spans="1:3" x14ac:dyDescent="0.35">
      <c r="A4444" s="302">
        <v>41722</v>
      </c>
      <c r="B4444" s="303">
        <v>209.5582</v>
      </c>
      <c r="C4444" s="308">
        <v>2.16321098278577</v>
      </c>
    </row>
    <row r="4445" spans="1:3" x14ac:dyDescent="0.35">
      <c r="A4445" s="305">
        <v>41721</v>
      </c>
      <c r="B4445" s="306">
        <v>209.51580000000001</v>
      </c>
      <c r="C4445" s="309">
        <v>2.15703301788125</v>
      </c>
    </row>
    <row r="4446" spans="1:3" x14ac:dyDescent="0.35">
      <c r="A4446" s="302">
        <v>41720</v>
      </c>
      <c r="B4446" s="303">
        <v>209.47329999999999</v>
      </c>
      <c r="C4446" s="308">
        <v>2.1507547196494299</v>
      </c>
    </row>
    <row r="4447" spans="1:3" x14ac:dyDescent="0.35">
      <c r="A4447" s="305">
        <v>41719</v>
      </c>
      <c r="B4447" s="306">
        <v>209.43090000000001</v>
      </c>
      <c r="C4447" s="309">
        <v>2.1445234178348098</v>
      </c>
    </row>
    <row r="4448" spans="1:3" x14ac:dyDescent="0.35">
      <c r="A4448" s="302">
        <v>41718</v>
      </c>
      <c r="B4448" s="303">
        <v>209.38849999999999</v>
      </c>
      <c r="C4448" s="308">
        <v>2.1383401754495499</v>
      </c>
    </row>
    <row r="4449" spans="1:3" x14ac:dyDescent="0.35">
      <c r="A4449" s="305">
        <v>41717</v>
      </c>
      <c r="B4449" s="306">
        <v>209.34610000000001</v>
      </c>
      <c r="C4449" s="309">
        <v>2.13210535097314</v>
      </c>
    </row>
    <row r="4450" spans="1:3" x14ac:dyDescent="0.35">
      <c r="A4450" s="302">
        <v>41716</v>
      </c>
      <c r="B4450" s="303">
        <v>209.30369999999999</v>
      </c>
      <c r="C4450" s="308">
        <v>2.1258687620397101</v>
      </c>
    </row>
    <row r="4451" spans="1:3" x14ac:dyDescent="0.35">
      <c r="A4451" s="305">
        <v>41715</v>
      </c>
      <c r="B4451" s="306">
        <v>209.26130000000001</v>
      </c>
      <c r="C4451" s="309">
        <v>2.11968024236071</v>
      </c>
    </row>
    <row r="4452" spans="1:3" x14ac:dyDescent="0.35">
      <c r="A4452" s="302">
        <v>41714</v>
      </c>
      <c r="B4452" s="303">
        <v>209.21889999999999</v>
      </c>
      <c r="C4452" s="308">
        <v>2.1134401262734399</v>
      </c>
    </row>
    <row r="4453" spans="1:3" x14ac:dyDescent="0.35">
      <c r="A4453" s="305">
        <v>41713</v>
      </c>
      <c r="B4453" s="306">
        <v>209.1765</v>
      </c>
      <c r="C4453" s="309">
        <v>2.1071982434807799</v>
      </c>
    </row>
    <row r="4454" spans="1:3" x14ac:dyDescent="0.35">
      <c r="A4454" s="302">
        <v>41712</v>
      </c>
      <c r="B4454" s="303">
        <v>209.14</v>
      </c>
      <c r="C4454" s="308">
        <v>2.1002959414717401</v>
      </c>
    </row>
    <row r="4455" spans="1:3" x14ac:dyDescent="0.35">
      <c r="A4455" s="305">
        <v>41711</v>
      </c>
      <c r="B4455" s="306">
        <v>209.10339999999999</v>
      </c>
      <c r="C4455" s="309">
        <v>2.0933433390669398</v>
      </c>
    </row>
    <row r="4456" spans="1:3" x14ac:dyDescent="0.35">
      <c r="A4456" s="302">
        <v>41710</v>
      </c>
      <c r="B4456" s="303">
        <v>209.0669</v>
      </c>
      <c r="C4456" s="308">
        <v>2.0864380792406001</v>
      </c>
    </row>
    <row r="4457" spans="1:3" x14ac:dyDescent="0.35">
      <c r="A4457" s="305">
        <v>41709</v>
      </c>
      <c r="B4457" s="306">
        <v>209.03049999999999</v>
      </c>
      <c r="C4457" s="309">
        <v>2.0795801771823399</v>
      </c>
    </row>
    <row r="4458" spans="1:3" x14ac:dyDescent="0.35">
      <c r="A4458" s="302">
        <v>41708</v>
      </c>
      <c r="B4458" s="303">
        <v>208.994</v>
      </c>
      <c r="C4458" s="308">
        <v>2.0726719680859902</v>
      </c>
    </row>
    <row r="4459" spans="1:3" x14ac:dyDescent="0.35">
      <c r="A4459" s="305">
        <v>41707</v>
      </c>
      <c r="B4459" s="306">
        <v>208.95750000000001</v>
      </c>
      <c r="C4459" s="309">
        <v>2.0657622810329599</v>
      </c>
    </row>
    <row r="4460" spans="1:3" x14ac:dyDescent="0.35">
      <c r="A4460" s="302">
        <v>41706</v>
      </c>
      <c r="B4460" s="303">
        <v>208.92099999999999</v>
      </c>
      <c r="C4460" s="308">
        <v>2.0588511155489</v>
      </c>
    </row>
    <row r="4461" spans="1:3" x14ac:dyDescent="0.35">
      <c r="A4461" s="305">
        <v>41705</v>
      </c>
      <c r="B4461" s="306">
        <v>208.8845</v>
      </c>
      <c r="C4461" s="309">
        <v>2.0519384711592701</v>
      </c>
    </row>
    <row r="4462" spans="1:3" x14ac:dyDescent="0.35">
      <c r="A4462" s="302">
        <v>41704</v>
      </c>
      <c r="B4462" s="303">
        <v>208.84809999999999</v>
      </c>
      <c r="C4462" s="308">
        <v>2.0450732082950198</v>
      </c>
    </row>
    <row r="4463" spans="1:3" x14ac:dyDescent="0.35">
      <c r="A4463" s="305">
        <v>41703</v>
      </c>
      <c r="B4463" s="306">
        <v>208.8116</v>
      </c>
      <c r="C4463" s="309">
        <v>2.03815760989872</v>
      </c>
    </row>
    <row r="4464" spans="1:3" x14ac:dyDescent="0.35">
      <c r="A4464" s="302">
        <v>41702</v>
      </c>
      <c r="B4464" s="303">
        <v>208.77520000000001</v>
      </c>
      <c r="C4464" s="308">
        <v>2.0312894025377899</v>
      </c>
    </row>
    <row r="4465" spans="1:3" x14ac:dyDescent="0.35">
      <c r="A4465" s="305">
        <v>41701</v>
      </c>
      <c r="B4465" s="306">
        <v>208.73869999999999</v>
      </c>
      <c r="C4465" s="309">
        <v>2.02437084823866</v>
      </c>
    </row>
    <row r="4466" spans="1:3" x14ac:dyDescent="0.35">
      <c r="A4466" s="302">
        <v>41700</v>
      </c>
      <c r="B4466" s="303">
        <v>208.70230000000001</v>
      </c>
      <c r="C4466" s="308">
        <v>2.0174996944885701</v>
      </c>
    </row>
    <row r="4467" spans="1:3" x14ac:dyDescent="0.35">
      <c r="A4467" s="305">
        <v>41699</v>
      </c>
      <c r="B4467" s="306">
        <v>208.66589999999999</v>
      </c>
      <c r="C4467" s="309">
        <v>2.0106270694504298</v>
      </c>
    </row>
    <row r="4468" spans="1:3" x14ac:dyDescent="0.35">
      <c r="A4468" s="302">
        <v>41698</v>
      </c>
      <c r="B4468" s="303">
        <v>208.6294</v>
      </c>
      <c r="C4468" s="308">
        <v>2.0036542084267799</v>
      </c>
    </row>
    <row r="4469" spans="1:3" x14ac:dyDescent="0.35">
      <c r="A4469" s="305">
        <v>41697</v>
      </c>
      <c r="B4469" s="306">
        <v>208.59299999999999</v>
      </c>
      <c r="C4469" s="309">
        <v>1.9967786321802301</v>
      </c>
    </row>
    <row r="4470" spans="1:3" x14ac:dyDescent="0.35">
      <c r="A4470" s="302">
        <v>41696</v>
      </c>
      <c r="B4470" s="303">
        <v>208.5566</v>
      </c>
      <c r="C4470" s="308">
        <v>1.98990158322636</v>
      </c>
    </row>
    <row r="4471" spans="1:3" x14ac:dyDescent="0.35">
      <c r="A4471" s="305">
        <v>41695</v>
      </c>
      <c r="B4471" s="306">
        <v>208.52019999999999</v>
      </c>
      <c r="C4471" s="309">
        <v>1.9830230610919399</v>
      </c>
    </row>
    <row r="4472" spans="1:3" x14ac:dyDescent="0.35">
      <c r="A4472" s="302">
        <v>41694</v>
      </c>
      <c r="B4472" s="303">
        <v>208.4838</v>
      </c>
      <c r="C4472" s="308">
        <v>1.9760931855111299</v>
      </c>
    </row>
    <row r="4473" spans="1:3" x14ac:dyDescent="0.35">
      <c r="A4473" s="305">
        <v>41693</v>
      </c>
      <c r="B4473" s="306">
        <v>208.44739999999999</v>
      </c>
      <c r="C4473" s="309">
        <v>1.96921171361777</v>
      </c>
    </row>
    <row r="4474" spans="1:3" x14ac:dyDescent="0.35">
      <c r="A4474" s="302">
        <v>41692</v>
      </c>
      <c r="B4474" s="303">
        <v>208.411</v>
      </c>
      <c r="C4474" s="308">
        <v>1.9623287671232901</v>
      </c>
    </row>
    <row r="4475" spans="1:3" x14ac:dyDescent="0.35">
      <c r="A4475" s="305">
        <v>41691</v>
      </c>
      <c r="B4475" s="306">
        <v>208.37459999999999</v>
      </c>
      <c r="C4475" s="309">
        <v>1.9554443455536601</v>
      </c>
    </row>
    <row r="4476" spans="1:3" x14ac:dyDescent="0.35">
      <c r="A4476" s="302">
        <v>41690</v>
      </c>
      <c r="B4476" s="303">
        <v>208.3383</v>
      </c>
      <c r="C4476" s="308">
        <v>1.9485574949243101</v>
      </c>
    </row>
    <row r="4477" spans="1:3" x14ac:dyDescent="0.35">
      <c r="A4477" s="305">
        <v>41689</v>
      </c>
      <c r="B4477" s="306">
        <v>208.30189999999999</v>
      </c>
      <c r="C4477" s="309">
        <v>1.94167012504992</v>
      </c>
    </row>
    <row r="4478" spans="1:3" x14ac:dyDescent="0.35">
      <c r="A4478" s="302">
        <v>41688</v>
      </c>
      <c r="B4478" s="303">
        <v>208.2655</v>
      </c>
      <c r="C4478" s="308">
        <v>1.9347313870999601</v>
      </c>
    </row>
    <row r="4479" spans="1:3" x14ac:dyDescent="0.35">
      <c r="A4479" s="305">
        <v>41687</v>
      </c>
      <c r="B4479" s="306">
        <v>208.22919999999999</v>
      </c>
      <c r="C4479" s="309">
        <v>1.9278900116353801</v>
      </c>
    </row>
    <row r="4480" spans="1:3" x14ac:dyDescent="0.35">
      <c r="A4480" s="302">
        <v>41686</v>
      </c>
      <c r="B4480" s="303">
        <v>208.19280000000001</v>
      </c>
      <c r="C4480" s="308">
        <v>1.92094831861336</v>
      </c>
    </row>
    <row r="4481" spans="1:3" x14ac:dyDescent="0.35">
      <c r="A4481" s="305">
        <v>41685</v>
      </c>
      <c r="B4481" s="306">
        <v>208.15649999999999</v>
      </c>
      <c r="C4481" s="309">
        <v>1.9141040015275601</v>
      </c>
    </row>
    <row r="4482" spans="1:3" x14ac:dyDescent="0.35">
      <c r="A4482" s="302">
        <v>41684</v>
      </c>
      <c r="B4482" s="303">
        <v>208.13910000000001</v>
      </c>
      <c r="C4482" s="308">
        <v>1.90857859097831</v>
      </c>
    </row>
    <row r="4483" spans="1:3" x14ac:dyDescent="0.35">
      <c r="A4483" s="305">
        <v>41683</v>
      </c>
      <c r="B4483" s="306">
        <v>208.1216</v>
      </c>
      <c r="C4483" s="309">
        <v>1.9029539976233301</v>
      </c>
    </row>
    <row r="4484" spans="1:3" x14ac:dyDescent="0.35">
      <c r="A4484" s="302">
        <v>41682</v>
      </c>
      <c r="B4484" s="303">
        <v>208.10419999999999</v>
      </c>
      <c r="C4484" s="308">
        <v>1.89737804388403</v>
      </c>
    </row>
    <row r="4485" spans="1:3" x14ac:dyDescent="0.35">
      <c r="A4485" s="305">
        <v>41681</v>
      </c>
      <c r="B4485" s="306">
        <v>208.08680000000001</v>
      </c>
      <c r="C4485" s="309">
        <v>1.8918017679667301</v>
      </c>
    </row>
    <row r="4486" spans="1:3" x14ac:dyDescent="0.35">
      <c r="A4486" s="302">
        <v>41680</v>
      </c>
      <c r="B4486" s="303">
        <v>208.0693</v>
      </c>
      <c r="C4486" s="308">
        <v>1.88622609347984</v>
      </c>
    </row>
    <row r="4487" spans="1:3" x14ac:dyDescent="0.35">
      <c r="A4487" s="305">
        <v>41679</v>
      </c>
      <c r="B4487" s="306">
        <v>208.05189999999999</v>
      </c>
      <c r="C4487" s="309">
        <v>1.8806491704185</v>
      </c>
    </row>
    <row r="4488" spans="1:3" x14ac:dyDescent="0.35">
      <c r="A4488" s="302">
        <v>41678</v>
      </c>
      <c r="B4488" s="303">
        <v>208.03450000000001</v>
      </c>
      <c r="C4488" s="308">
        <v>1.87507192509506</v>
      </c>
    </row>
    <row r="4489" spans="1:3" x14ac:dyDescent="0.35">
      <c r="A4489" s="305">
        <v>41677</v>
      </c>
      <c r="B4489" s="306">
        <v>208.0171</v>
      </c>
      <c r="C4489" s="309">
        <v>1.8695442447214601</v>
      </c>
    </row>
    <row r="4490" spans="1:3" x14ac:dyDescent="0.35">
      <c r="A4490" s="302">
        <v>41676</v>
      </c>
      <c r="B4490" s="303">
        <v>207.99959999999999</v>
      </c>
      <c r="C4490" s="308">
        <v>1.8639173803684299</v>
      </c>
    </row>
    <row r="4491" spans="1:3" x14ac:dyDescent="0.35">
      <c r="A4491" s="305">
        <v>41675</v>
      </c>
      <c r="B4491" s="306">
        <v>207.98220000000001</v>
      </c>
      <c r="C4491" s="309">
        <v>1.8583391653855701</v>
      </c>
    </row>
    <row r="4492" spans="1:3" x14ac:dyDescent="0.35">
      <c r="A4492" s="302">
        <v>41674</v>
      </c>
      <c r="B4492" s="303">
        <v>207.9648</v>
      </c>
      <c r="C4492" s="308">
        <v>1.85276062802855</v>
      </c>
    </row>
    <row r="4493" spans="1:3" x14ac:dyDescent="0.35">
      <c r="A4493" s="305">
        <v>41673</v>
      </c>
      <c r="B4493" s="306">
        <v>207.94739999999999</v>
      </c>
      <c r="C4493" s="309">
        <v>1.84723165037189</v>
      </c>
    </row>
    <row r="4494" spans="1:3" x14ac:dyDescent="0.35">
      <c r="A4494" s="302">
        <v>41672</v>
      </c>
      <c r="B4494" s="303">
        <v>207.93</v>
      </c>
      <c r="C4494" s="308">
        <v>1.8416524668915399</v>
      </c>
    </row>
    <row r="4495" spans="1:3" x14ac:dyDescent="0.35">
      <c r="A4495" s="305">
        <v>41671</v>
      </c>
      <c r="B4495" s="306">
        <v>207.91249999999999</v>
      </c>
      <c r="C4495" s="309">
        <v>1.8360239807213801</v>
      </c>
    </row>
    <row r="4496" spans="1:3" x14ac:dyDescent="0.35">
      <c r="A4496" s="302">
        <v>41670</v>
      </c>
      <c r="B4496" s="303">
        <v>207.89510000000001</v>
      </c>
      <c r="C4496" s="308">
        <v>1.83044415088111</v>
      </c>
    </row>
    <row r="4497" spans="1:3" x14ac:dyDescent="0.35">
      <c r="A4497" s="305">
        <v>41669</v>
      </c>
      <c r="B4497" s="306">
        <v>207.8777</v>
      </c>
      <c r="C4497" s="309">
        <v>1.8249138754879299</v>
      </c>
    </row>
    <row r="4498" spans="1:3" x14ac:dyDescent="0.35">
      <c r="A4498" s="302">
        <v>41668</v>
      </c>
      <c r="B4498" s="303">
        <v>207.8603</v>
      </c>
      <c r="C4498" s="308">
        <v>1.8193333992991301</v>
      </c>
    </row>
    <row r="4499" spans="1:3" x14ac:dyDescent="0.35">
      <c r="A4499" s="305">
        <v>41667</v>
      </c>
      <c r="B4499" s="306">
        <v>207.84289999999999</v>
      </c>
      <c r="C4499" s="309">
        <v>1.81375260053992</v>
      </c>
    </row>
    <row r="4500" spans="1:3" x14ac:dyDescent="0.35">
      <c r="A4500" s="302">
        <v>41666</v>
      </c>
      <c r="B4500" s="303">
        <v>207.82550000000001</v>
      </c>
      <c r="C4500" s="308">
        <v>1.80817147918234</v>
      </c>
    </row>
    <row r="4501" spans="1:3" x14ac:dyDescent="0.35">
      <c r="A4501" s="305">
        <v>41665</v>
      </c>
      <c r="B4501" s="306">
        <v>207.8081</v>
      </c>
      <c r="C4501" s="309">
        <v>1.8026399070389001</v>
      </c>
    </row>
    <row r="4502" spans="1:3" x14ac:dyDescent="0.35">
      <c r="A4502" s="302">
        <v>41664</v>
      </c>
      <c r="B4502" s="303">
        <v>207.79069999999999</v>
      </c>
      <c r="C4502" s="308">
        <v>1.7970581391076399</v>
      </c>
    </row>
    <row r="4503" spans="1:3" x14ac:dyDescent="0.35">
      <c r="A4503" s="305">
        <v>41663</v>
      </c>
      <c r="B4503" s="306">
        <v>207.77330000000001</v>
      </c>
      <c r="C4503" s="309">
        <v>1.7914760484938499</v>
      </c>
    </row>
    <row r="4504" spans="1:3" x14ac:dyDescent="0.35">
      <c r="A4504" s="302">
        <v>41662</v>
      </c>
      <c r="B4504" s="303">
        <v>207.7559</v>
      </c>
      <c r="C4504" s="308">
        <v>1.78589363516954</v>
      </c>
    </row>
    <row r="4505" spans="1:3" x14ac:dyDescent="0.35">
      <c r="A4505" s="305">
        <v>41661</v>
      </c>
      <c r="B4505" s="306">
        <v>207.73849999999999</v>
      </c>
      <c r="C4505" s="309">
        <v>1.78031089910673</v>
      </c>
    </row>
    <row r="4506" spans="1:3" x14ac:dyDescent="0.35">
      <c r="A4506" s="302">
        <v>41660</v>
      </c>
      <c r="B4506" s="303">
        <v>207.72110000000001</v>
      </c>
      <c r="C4506" s="308">
        <v>1.7747777056994001</v>
      </c>
    </row>
    <row r="4507" spans="1:3" x14ac:dyDescent="0.35">
      <c r="A4507" s="305">
        <v>41659</v>
      </c>
      <c r="B4507" s="306">
        <v>207.7037</v>
      </c>
      <c r="C4507" s="309">
        <v>1.76919432278144</v>
      </c>
    </row>
    <row r="4508" spans="1:3" x14ac:dyDescent="0.35">
      <c r="A4508" s="302">
        <v>41658</v>
      </c>
      <c r="B4508" s="303">
        <v>207.68629999999999</v>
      </c>
      <c r="C4508" s="308">
        <v>1.7636106170407699</v>
      </c>
    </row>
    <row r="4509" spans="1:3" x14ac:dyDescent="0.35">
      <c r="A4509" s="305">
        <v>41657</v>
      </c>
      <c r="B4509" s="306">
        <v>207.66890000000001</v>
      </c>
      <c r="C4509" s="309">
        <v>1.7580265884494</v>
      </c>
    </row>
    <row r="4510" spans="1:3" x14ac:dyDescent="0.35">
      <c r="A4510" s="302">
        <v>41656</v>
      </c>
      <c r="B4510" s="303">
        <v>207.6515</v>
      </c>
      <c r="C4510" s="308">
        <v>1.7524920972720299</v>
      </c>
    </row>
    <row r="4511" spans="1:3" x14ac:dyDescent="0.35">
      <c r="A4511" s="305">
        <v>41655</v>
      </c>
      <c r="B4511" s="306">
        <v>207.63409999999999</v>
      </c>
      <c r="C4511" s="309">
        <v>1.7469074216001199</v>
      </c>
    </row>
    <row r="4512" spans="1:3" x14ac:dyDescent="0.35">
      <c r="A4512" s="302">
        <v>41654</v>
      </c>
      <c r="B4512" s="303">
        <v>207.61670000000001</v>
      </c>
      <c r="C4512" s="308">
        <v>1.74132242299326</v>
      </c>
    </row>
    <row r="4513" spans="1:3" x14ac:dyDescent="0.35">
      <c r="A4513" s="305">
        <v>41653</v>
      </c>
      <c r="B4513" s="306">
        <v>207.63149999999999</v>
      </c>
      <c r="C4513" s="309">
        <v>1.74398804346495</v>
      </c>
    </row>
    <row r="4514" spans="1:3" x14ac:dyDescent="0.35">
      <c r="A4514" s="302">
        <v>41652</v>
      </c>
      <c r="B4514" s="303">
        <v>207.64619999999999</v>
      </c>
      <c r="C4514" s="308">
        <v>1.7465545678252501</v>
      </c>
    </row>
    <row r="4515" spans="1:3" x14ac:dyDescent="0.35">
      <c r="A4515" s="305">
        <v>41651</v>
      </c>
      <c r="B4515" s="306">
        <v>207.661</v>
      </c>
      <c r="C4515" s="309">
        <v>1.7492197108152701</v>
      </c>
    </row>
    <row r="4516" spans="1:3" x14ac:dyDescent="0.35">
      <c r="A4516" s="302">
        <v>41650</v>
      </c>
      <c r="B4516" s="303">
        <v>207.67570000000001</v>
      </c>
      <c r="C4516" s="308">
        <v>1.7518356179954699</v>
      </c>
    </row>
    <row r="4517" spans="1:3" x14ac:dyDescent="0.35">
      <c r="A4517" s="305">
        <v>41649</v>
      </c>
      <c r="B4517" s="306">
        <v>207.69049999999999</v>
      </c>
      <c r="C4517" s="309">
        <v>1.7545002826915399</v>
      </c>
    </row>
    <row r="4518" spans="1:3" x14ac:dyDescent="0.35">
      <c r="A4518" s="302">
        <v>41648</v>
      </c>
      <c r="B4518" s="303">
        <v>207.70529999999999</v>
      </c>
      <c r="C4518" s="308">
        <v>1.75711485522884</v>
      </c>
    </row>
    <row r="4519" spans="1:3" x14ac:dyDescent="0.35">
      <c r="A4519" s="305">
        <v>41647</v>
      </c>
      <c r="B4519" s="306">
        <v>207.72</v>
      </c>
      <c r="C4519" s="309">
        <v>1.7597300516000001</v>
      </c>
    </row>
    <row r="4520" spans="1:3" x14ac:dyDescent="0.35">
      <c r="A4520" s="302">
        <v>41646</v>
      </c>
      <c r="B4520" s="303">
        <v>207.73480000000001</v>
      </c>
      <c r="C4520" s="308">
        <v>1.7623939989350299</v>
      </c>
    </row>
    <row r="4521" spans="1:3" x14ac:dyDescent="0.35">
      <c r="A4521" s="305">
        <v>41645</v>
      </c>
      <c r="B4521" s="306">
        <v>207.74950000000001</v>
      </c>
      <c r="C4521" s="309">
        <v>1.7650087216863599</v>
      </c>
    </row>
    <row r="4522" spans="1:3" x14ac:dyDescent="0.35">
      <c r="A4522" s="302">
        <v>41644</v>
      </c>
      <c r="B4522" s="303">
        <v>207.76429999999999</v>
      </c>
      <c r="C4522" s="308">
        <v>1.76762234295802</v>
      </c>
    </row>
    <row r="4523" spans="1:3" x14ac:dyDescent="0.35">
      <c r="A4523" s="305">
        <v>41643</v>
      </c>
      <c r="B4523" s="306">
        <v>207.7791</v>
      </c>
      <c r="C4523" s="309">
        <v>1.7702855732231999</v>
      </c>
    </row>
    <row r="4524" spans="1:3" x14ac:dyDescent="0.35">
      <c r="A4524" s="302">
        <v>41642</v>
      </c>
      <c r="B4524" s="303">
        <v>207.7938</v>
      </c>
      <c r="C4524" s="308">
        <v>1.77289958564754</v>
      </c>
    </row>
    <row r="4525" spans="1:3" x14ac:dyDescent="0.35">
      <c r="A4525" s="305">
        <v>41641</v>
      </c>
      <c r="B4525" s="306">
        <v>207.80860000000001</v>
      </c>
      <c r="C4525" s="309">
        <v>1.7755623381355601</v>
      </c>
    </row>
    <row r="4526" spans="1:3" x14ac:dyDescent="0.35">
      <c r="A4526" s="302">
        <v>41640</v>
      </c>
      <c r="B4526" s="303">
        <v>207.82329999999999</v>
      </c>
      <c r="C4526" s="308">
        <v>1.7781260330325599</v>
      </c>
    </row>
    <row r="4527" spans="1:3" x14ac:dyDescent="0.35">
      <c r="A4527" s="305">
        <v>41639</v>
      </c>
      <c r="B4527" s="306">
        <v>207.8381</v>
      </c>
      <c r="C4527" s="309">
        <v>1.78078830881428</v>
      </c>
    </row>
    <row r="4528" spans="1:3" x14ac:dyDescent="0.35">
      <c r="A4528" s="302">
        <v>41638</v>
      </c>
      <c r="B4528" s="303">
        <v>207.85290000000001</v>
      </c>
      <c r="C4528" s="308">
        <v>1.7834503447171499</v>
      </c>
    </row>
    <row r="4529" spans="1:3" x14ac:dyDescent="0.35">
      <c r="A4529" s="305">
        <v>41637</v>
      </c>
      <c r="B4529" s="306">
        <v>207.86760000000001</v>
      </c>
      <c r="C4529" s="309">
        <v>1.78606317399707</v>
      </c>
    </row>
    <row r="4530" spans="1:3" x14ac:dyDescent="0.35">
      <c r="A4530" s="302">
        <v>41636</v>
      </c>
      <c r="B4530" s="303">
        <v>207.88239999999999</v>
      </c>
      <c r="C4530" s="308">
        <v>1.7886748920576601</v>
      </c>
    </row>
    <row r="4531" spans="1:3" x14ac:dyDescent="0.35">
      <c r="A4531" s="305">
        <v>41635</v>
      </c>
      <c r="B4531" s="306">
        <v>207.8972</v>
      </c>
      <c r="C4531" s="309">
        <v>1.79133621166616</v>
      </c>
    </row>
    <row r="4532" spans="1:3" x14ac:dyDescent="0.35">
      <c r="A4532" s="302">
        <v>41634</v>
      </c>
      <c r="B4532" s="303">
        <v>207.91200000000001</v>
      </c>
      <c r="C4532" s="308">
        <v>1.79399729152529</v>
      </c>
    </row>
    <row r="4533" spans="1:3" x14ac:dyDescent="0.35">
      <c r="A4533" s="305">
        <v>41633</v>
      </c>
      <c r="B4533" s="306">
        <v>207.92670000000001</v>
      </c>
      <c r="C4533" s="309">
        <v>1.7965593362482899</v>
      </c>
    </row>
    <row r="4534" spans="1:3" x14ac:dyDescent="0.35">
      <c r="A4534" s="302">
        <v>41632</v>
      </c>
      <c r="B4534" s="303">
        <v>207.94149999999999</v>
      </c>
      <c r="C4534" s="308">
        <v>1.79921993985303</v>
      </c>
    </row>
    <row r="4535" spans="1:3" x14ac:dyDescent="0.35">
      <c r="A4535" s="305">
        <v>41631</v>
      </c>
      <c r="B4535" s="306">
        <v>207.9563</v>
      </c>
      <c r="C4535" s="309">
        <v>1.8018803038054001</v>
      </c>
    </row>
    <row r="4536" spans="1:3" x14ac:dyDescent="0.35">
      <c r="A4536" s="302">
        <v>41630</v>
      </c>
      <c r="B4536" s="303">
        <v>207.971</v>
      </c>
      <c r="C4536" s="308">
        <v>1.8044416422563001</v>
      </c>
    </row>
    <row r="4537" spans="1:3" x14ac:dyDescent="0.35">
      <c r="A4537" s="305">
        <v>41629</v>
      </c>
      <c r="B4537" s="306">
        <v>207.98580000000001</v>
      </c>
      <c r="C4537" s="309">
        <v>1.80710153014773</v>
      </c>
    </row>
    <row r="4538" spans="1:3" x14ac:dyDescent="0.35">
      <c r="A4538" s="302">
        <v>41628</v>
      </c>
      <c r="B4538" s="303">
        <v>208.00059999999999</v>
      </c>
      <c r="C4538" s="308">
        <v>1.80976117848374</v>
      </c>
    </row>
    <row r="4539" spans="1:3" x14ac:dyDescent="0.35">
      <c r="A4539" s="305">
        <v>41627</v>
      </c>
      <c r="B4539" s="306">
        <v>208.0154</v>
      </c>
      <c r="C4539" s="309">
        <v>1.81237075558275</v>
      </c>
    </row>
    <row r="4540" spans="1:3" x14ac:dyDescent="0.35">
      <c r="A4540" s="302">
        <v>41626</v>
      </c>
      <c r="B4540" s="303">
        <v>208.03020000000001</v>
      </c>
      <c r="C4540" s="308">
        <v>1.8150299258473299</v>
      </c>
    </row>
    <row r="4541" spans="1:3" x14ac:dyDescent="0.35">
      <c r="A4541" s="305">
        <v>41625</v>
      </c>
      <c r="B4541" s="306">
        <v>208.04490000000001</v>
      </c>
      <c r="C4541" s="309">
        <v>1.8176399164296699</v>
      </c>
    </row>
    <row r="4542" spans="1:3" x14ac:dyDescent="0.35">
      <c r="A4542" s="302">
        <v>41624</v>
      </c>
      <c r="B4542" s="303">
        <v>208.05969999999999</v>
      </c>
      <c r="C4542" s="308">
        <v>1.8202487811992001</v>
      </c>
    </row>
    <row r="4543" spans="1:3" x14ac:dyDescent="0.35">
      <c r="A4543" s="305">
        <v>41623</v>
      </c>
      <c r="B4543" s="306">
        <v>208.0745</v>
      </c>
      <c r="C4543" s="309">
        <v>1.8229072363315</v>
      </c>
    </row>
    <row r="4544" spans="1:3" x14ac:dyDescent="0.35">
      <c r="A4544" s="302">
        <v>41622</v>
      </c>
      <c r="B4544" s="303">
        <v>208.0926</v>
      </c>
      <c r="C4544" s="308">
        <v>1.8371966124837</v>
      </c>
    </row>
    <row r="4545" spans="1:3" x14ac:dyDescent="0.35">
      <c r="A4545" s="305">
        <v>41621</v>
      </c>
      <c r="B4545" s="306">
        <v>208.11060000000001</v>
      </c>
      <c r="C4545" s="309">
        <v>1.8513887250725201</v>
      </c>
    </row>
    <row r="4546" spans="1:3" x14ac:dyDescent="0.35">
      <c r="A4546" s="302">
        <v>41620</v>
      </c>
      <c r="B4546" s="303">
        <v>208.12870000000001</v>
      </c>
      <c r="C4546" s="308">
        <v>1.8656811383106999</v>
      </c>
    </row>
    <row r="4547" spans="1:3" x14ac:dyDescent="0.35">
      <c r="A4547" s="305">
        <v>41619</v>
      </c>
      <c r="B4547" s="306">
        <v>208.14670000000001</v>
      </c>
      <c r="C4547" s="309">
        <v>1.8799261303760699</v>
      </c>
    </row>
    <row r="4548" spans="1:3" x14ac:dyDescent="0.35">
      <c r="A4548" s="302">
        <v>41618</v>
      </c>
      <c r="B4548" s="303">
        <v>208.16480000000001</v>
      </c>
      <c r="C4548" s="308">
        <v>1.8942215913262701</v>
      </c>
    </row>
    <row r="4549" spans="1:3" x14ac:dyDescent="0.35">
      <c r="A4549" s="305">
        <v>41617</v>
      </c>
      <c r="B4549" s="306">
        <v>208.18289999999999</v>
      </c>
      <c r="C4549" s="309">
        <v>1.90851857780415</v>
      </c>
    </row>
    <row r="4550" spans="1:3" x14ac:dyDescent="0.35">
      <c r="A4550" s="302">
        <v>41616</v>
      </c>
      <c r="B4550" s="303">
        <v>208.20089999999999</v>
      </c>
      <c r="C4550" s="308">
        <v>1.92276813600609</v>
      </c>
    </row>
    <row r="4551" spans="1:3" x14ac:dyDescent="0.35">
      <c r="A4551" s="305">
        <v>41615</v>
      </c>
      <c r="B4551" s="306">
        <v>208.21899999999999</v>
      </c>
      <c r="C4551" s="309">
        <v>1.93706817165967</v>
      </c>
    </row>
    <row r="4552" spans="1:3" x14ac:dyDescent="0.35">
      <c r="A4552" s="302">
        <v>41614</v>
      </c>
      <c r="B4552" s="303">
        <v>208.2371</v>
      </c>
      <c r="C4552" s="308">
        <v>1.9513198189487</v>
      </c>
    </row>
    <row r="4553" spans="1:3" x14ac:dyDescent="0.35">
      <c r="A4553" s="305">
        <v>41613</v>
      </c>
      <c r="B4553" s="306">
        <v>208.2551</v>
      </c>
      <c r="C4553" s="309">
        <v>1.9655739358384201</v>
      </c>
    </row>
    <row r="4554" spans="1:3" x14ac:dyDescent="0.35">
      <c r="A4554" s="302">
        <v>41612</v>
      </c>
      <c r="B4554" s="303">
        <v>208.2732</v>
      </c>
      <c r="C4554" s="308">
        <v>1.9798785387238</v>
      </c>
    </row>
    <row r="4555" spans="1:3" x14ac:dyDescent="0.35">
      <c r="A4555" s="305">
        <v>41611</v>
      </c>
      <c r="B4555" s="306">
        <v>208.29130000000001</v>
      </c>
      <c r="C4555" s="309">
        <v>1.99418466860054</v>
      </c>
    </row>
    <row r="4556" spans="1:3" x14ac:dyDescent="0.35">
      <c r="A4556" s="302">
        <v>41610</v>
      </c>
      <c r="B4556" s="303">
        <v>208.30940000000001</v>
      </c>
      <c r="C4556" s="308">
        <v>2.0084923257131599</v>
      </c>
    </row>
    <row r="4557" spans="1:3" x14ac:dyDescent="0.35">
      <c r="A4557" s="305">
        <v>41609</v>
      </c>
      <c r="B4557" s="306">
        <v>208.32740000000001</v>
      </c>
      <c r="C4557" s="309">
        <v>2.0227525379902702</v>
      </c>
    </row>
    <row r="4558" spans="1:3" x14ac:dyDescent="0.35">
      <c r="A4558" s="302">
        <v>41608</v>
      </c>
      <c r="B4558" s="303">
        <v>208.34549999999999</v>
      </c>
      <c r="C4558" s="308">
        <v>2.0370132751380798</v>
      </c>
    </row>
    <row r="4559" spans="1:3" x14ac:dyDescent="0.35">
      <c r="A4559" s="305">
        <v>41607</v>
      </c>
      <c r="B4559" s="306">
        <v>208.36359999999999</v>
      </c>
      <c r="C4559" s="309">
        <v>2.05132550313383</v>
      </c>
    </row>
    <row r="4560" spans="1:3" x14ac:dyDescent="0.35">
      <c r="A4560" s="302">
        <v>41606</v>
      </c>
      <c r="B4560" s="303">
        <v>208.3817</v>
      </c>
      <c r="C4560" s="308">
        <v>2.0656392593419799</v>
      </c>
    </row>
    <row r="4561" spans="1:3" x14ac:dyDescent="0.35">
      <c r="A4561" s="305">
        <v>41605</v>
      </c>
      <c r="B4561" s="306">
        <v>208.3998</v>
      </c>
      <c r="C4561" s="309">
        <v>2.0799545440073302</v>
      </c>
    </row>
    <row r="4562" spans="1:3" x14ac:dyDescent="0.35">
      <c r="A4562" s="302">
        <v>41604</v>
      </c>
      <c r="B4562" s="303">
        <v>208.4179</v>
      </c>
      <c r="C4562" s="308">
        <v>2.0942713573747</v>
      </c>
    </row>
    <row r="4563" spans="1:3" x14ac:dyDescent="0.35">
      <c r="A4563" s="305">
        <v>41603</v>
      </c>
      <c r="B4563" s="306">
        <v>208.4359</v>
      </c>
      <c r="C4563" s="309">
        <v>2.10849069081838</v>
      </c>
    </row>
    <row r="4564" spans="1:3" x14ac:dyDescent="0.35">
      <c r="A4564" s="302">
        <v>41602</v>
      </c>
      <c r="B4564" s="303">
        <v>208.45400000000001</v>
      </c>
      <c r="C4564" s="308">
        <v>2.12281055002207</v>
      </c>
    </row>
    <row r="4565" spans="1:3" x14ac:dyDescent="0.35">
      <c r="A4565" s="305">
        <v>41601</v>
      </c>
      <c r="B4565" s="306">
        <v>208.47210000000001</v>
      </c>
      <c r="C4565" s="309">
        <v>2.1371319386605299</v>
      </c>
    </row>
    <row r="4566" spans="1:3" x14ac:dyDescent="0.35">
      <c r="A4566" s="302">
        <v>41600</v>
      </c>
      <c r="B4566" s="303">
        <v>208.49019999999999</v>
      </c>
      <c r="C4566" s="308">
        <v>2.1514548569787899</v>
      </c>
    </row>
    <row r="4567" spans="1:3" x14ac:dyDescent="0.35">
      <c r="A4567" s="305">
        <v>41599</v>
      </c>
      <c r="B4567" s="306">
        <v>208.50829999999999</v>
      </c>
      <c r="C4567" s="309">
        <v>2.1657793052219598</v>
      </c>
    </row>
    <row r="4568" spans="1:3" x14ac:dyDescent="0.35">
      <c r="A4568" s="302">
        <v>41598</v>
      </c>
      <c r="B4568" s="303">
        <v>208.5264</v>
      </c>
      <c r="C4568" s="308">
        <v>2.1800552143451499</v>
      </c>
    </row>
    <row r="4569" spans="1:3" x14ac:dyDescent="0.35">
      <c r="A4569" s="305">
        <v>41597</v>
      </c>
      <c r="B4569" s="306">
        <v>208.5445</v>
      </c>
      <c r="C4569" s="309">
        <v>2.1943827134782001</v>
      </c>
    </row>
    <row r="4570" spans="1:3" x14ac:dyDescent="0.35">
      <c r="A4570" s="302">
        <v>41596</v>
      </c>
      <c r="B4570" s="303">
        <v>208.5626</v>
      </c>
      <c r="C4570" s="308">
        <v>2.2087117432699701</v>
      </c>
    </row>
    <row r="4571" spans="1:3" x14ac:dyDescent="0.35">
      <c r="A4571" s="305">
        <v>41595</v>
      </c>
      <c r="B4571" s="306">
        <v>208.58070000000001</v>
      </c>
      <c r="C4571" s="309">
        <v>2.2230423039657499</v>
      </c>
    </row>
    <row r="4572" spans="1:3" x14ac:dyDescent="0.35">
      <c r="A4572" s="302">
        <v>41594</v>
      </c>
      <c r="B4572" s="303">
        <v>208.59880000000001</v>
      </c>
      <c r="C4572" s="308">
        <v>2.2373242877776698</v>
      </c>
    </row>
    <row r="4573" spans="1:3" x14ac:dyDescent="0.35">
      <c r="A4573" s="305">
        <v>41593</v>
      </c>
      <c r="B4573" s="306">
        <v>208.61689999999999</v>
      </c>
      <c r="C4573" s="309">
        <v>2.2516579013150499</v>
      </c>
    </row>
    <row r="4574" spans="1:3" x14ac:dyDescent="0.35">
      <c r="A4574" s="302">
        <v>41592</v>
      </c>
      <c r="B4574" s="303">
        <v>208.5975</v>
      </c>
      <c r="C4574" s="308">
        <v>2.25172165826242</v>
      </c>
    </row>
    <row r="4575" spans="1:3" x14ac:dyDescent="0.35">
      <c r="A4575" s="305">
        <v>41591</v>
      </c>
      <c r="B4575" s="306">
        <v>208.578</v>
      </c>
      <c r="C4575" s="309">
        <v>2.2517364038889198</v>
      </c>
    </row>
    <row r="4576" spans="1:3" x14ac:dyDescent="0.35">
      <c r="A4576" s="302">
        <v>41590</v>
      </c>
      <c r="B4576" s="303">
        <v>208.55850000000001</v>
      </c>
      <c r="C4576" s="308">
        <v>2.2517010204651999</v>
      </c>
    </row>
    <row r="4577" spans="1:3" x14ac:dyDescent="0.35">
      <c r="A4577" s="305">
        <v>41589</v>
      </c>
      <c r="B4577" s="306">
        <v>208.53899999999999</v>
      </c>
      <c r="C4577" s="309">
        <v>2.2517157669136099</v>
      </c>
    </row>
    <row r="4578" spans="1:3" x14ac:dyDescent="0.35">
      <c r="A4578" s="302">
        <v>41588</v>
      </c>
      <c r="B4578" s="303">
        <v>208.51949999999999</v>
      </c>
      <c r="C4578" s="308">
        <v>2.25168037495642</v>
      </c>
    </row>
    <row r="4579" spans="1:3" x14ac:dyDescent="0.35">
      <c r="A4579" s="305">
        <v>41587</v>
      </c>
      <c r="B4579" s="306">
        <v>208.5</v>
      </c>
      <c r="C4579" s="309">
        <v>2.2516951222263302</v>
      </c>
    </row>
    <row r="4580" spans="1:3" x14ac:dyDescent="0.35">
      <c r="A4580" s="302">
        <v>41586</v>
      </c>
      <c r="B4580" s="303">
        <v>208.48060000000001</v>
      </c>
      <c r="C4580" s="308">
        <v>2.2517087678822301</v>
      </c>
    </row>
    <row r="4581" spans="1:3" x14ac:dyDescent="0.35">
      <c r="A4581" s="305">
        <v>41585</v>
      </c>
      <c r="B4581" s="306">
        <v>208.46109999999999</v>
      </c>
      <c r="C4581" s="309">
        <v>2.2517235205681998</v>
      </c>
    </row>
    <row r="4582" spans="1:3" x14ac:dyDescent="0.35">
      <c r="A4582" s="302">
        <v>41584</v>
      </c>
      <c r="B4582" s="303">
        <v>208.44159999999999</v>
      </c>
      <c r="C4582" s="308">
        <v>2.2516881161041198</v>
      </c>
    </row>
    <row r="4583" spans="1:3" x14ac:dyDescent="0.35">
      <c r="A4583" s="305">
        <v>41583</v>
      </c>
      <c r="B4583" s="306">
        <v>208.4222</v>
      </c>
      <c r="C4583" s="309">
        <v>2.2517017649295399</v>
      </c>
    </row>
    <row r="4584" spans="1:3" x14ac:dyDescent="0.35">
      <c r="A4584" s="302">
        <v>41582</v>
      </c>
      <c r="B4584" s="303">
        <v>208.40270000000001</v>
      </c>
      <c r="C4584" s="308">
        <v>2.2517165210923298</v>
      </c>
    </row>
    <row r="4585" spans="1:3" x14ac:dyDescent="0.35">
      <c r="A4585" s="305">
        <v>41581</v>
      </c>
      <c r="B4585" s="306">
        <v>208.38319999999999</v>
      </c>
      <c r="C4585" s="309">
        <v>2.2516811060559099</v>
      </c>
    </row>
    <row r="4586" spans="1:3" x14ac:dyDescent="0.35">
      <c r="A4586" s="302">
        <v>41580</v>
      </c>
      <c r="B4586" s="303">
        <v>208.3638</v>
      </c>
      <c r="C4586" s="308">
        <v>2.2517449367023401</v>
      </c>
    </row>
    <row r="4587" spans="1:3" x14ac:dyDescent="0.35">
      <c r="A4587" s="305">
        <v>41579</v>
      </c>
      <c r="B4587" s="306">
        <v>208.3443</v>
      </c>
      <c r="C4587" s="309">
        <v>2.2517095176934401</v>
      </c>
    </row>
    <row r="4588" spans="1:3" x14ac:dyDescent="0.35">
      <c r="A4588" s="302">
        <v>41578</v>
      </c>
      <c r="B4588" s="303">
        <v>208.32480000000001</v>
      </c>
      <c r="C4588" s="308">
        <v>2.25167409207838</v>
      </c>
    </row>
    <row r="4589" spans="1:3" x14ac:dyDescent="0.35">
      <c r="A4589" s="305">
        <v>41577</v>
      </c>
      <c r="B4589" s="306">
        <v>208.30539999999999</v>
      </c>
      <c r="C4589" s="309">
        <v>2.25173793995824</v>
      </c>
    </row>
    <row r="4590" spans="1:3" x14ac:dyDescent="0.35">
      <c r="A4590" s="302">
        <v>41576</v>
      </c>
      <c r="B4590" s="303">
        <v>208.2859</v>
      </c>
      <c r="C4590" s="308">
        <v>2.2517025103682302</v>
      </c>
    </row>
    <row r="4591" spans="1:3" x14ac:dyDescent="0.35">
      <c r="A4591" s="305">
        <v>41575</v>
      </c>
      <c r="B4591" s="306">
        <v>208.26650000000001</v>
      </c>
      <c r="C4591" s="309">
        <v>2.2517161707421698</v>
      </c>
    </row>
    <row r="4592" spans="1:3" x14ac:dyDescent="0.35">
      <c r="A4592" s="302">
        <v>41574</v>
      </c>
      <c r="B4592" s="303">
        <v>208.24700000000001</v>
      </c>
      <c r="C4592" s="308">
        <v>2.25168073251066</v>
      </c>
    </row>
    <row r="4593" spans="1:3" x14ac:dyDescent="0.35">
      <c r="A4593" s="305">
        <v>41573</v>
      </c>
      <c r="B4593" s="306">
        <v>208.2276</v>
      </c>
      <c r="C4593" s="309">
        <v>2.2517446048729601</v>
      </c>
    </row>
    <row r="4594" spans="1:3" x14ac:dyDescent="0.35">
      <c r="A4594" s="302">
        <v>41572</v>
      </c>
      <c r="B4594" s="303">
        <v>208.2081</v>
      </c>
      <c r="C4594" s="308">
        <v>2.2517091626637602</v>
      </c>
    </row>
    <row r="4595" spans="1:3" x14ac:dyDescent="0.35">
      <c r="A4595" s="305">
        <v>41571</v>
      </c>
      <c r="B4595" s="306">
        <v>208.18870000000001</v>
      </c>
      <c r="C4595" s="309">
        <v>2.2517228287642501</v>
      </c>
    </row>
    <row r="4596" spans="1:3" x14ac:dyDescent="0.35">
      <c r="A4596" s="302">
        <v>41570</v>
      </c>
      <c r="B4596" s="303">
        <v>208.16919999999999</v>
      </c>
      <c r="C4596" s="308">
        <v>2.2516873779073201</v>
      </c>
    </row>
    <row r="4597" spans="1:3" x14ac:dyDescent="0.35">
      <c r="A4597" s="305">
        <v>41569</v>
      </c>
      <c r="B4597" s="306">
        <v>208.1498</v>
      </c>
      <c r="C4597" s="309">
        <v>2.2517010445255901</v>
      </c>
    </row>
    <row r="4598" spans="1:3" x14ac:dyDescent="0.35">
      <c r="A4598" s="302">
        <v>41568</v>
      </c>
      <c r="B4598" s="303">
        <v>208.13030000000001</v>
      </c>
      <c r="C4598" s="308">
        <v>2.25166558501693</v>
      </c>
    </row>
    <row r="4599" spans="1:3" x14ac:dyDescent="0.35">
      <c r="A4599" s="305">
        <v>41567</v>
      </c>
      <c r="B4599" s="306">
        <v>208.11089999999999</v>
      </c>
      <c r="C4599" s="309">
        <v>2.2517294917652602</v>
      </c>
    </row>
    <row r="4600" spans="1:3" x14ac:dyDescent="0.35">
      <c r="A4600" s="302">
        <v>41566</v>
      </c>
      <c r="B4600" s="303">
        <v>208.09139999999999</v>
      </c>
      <c r="C4600" s="308">
        <v>2.2516940282739299</v>
      </c>
    </row>
    <row r="4601" spans="1:3" x14ac:dyDescent="0.35">
      <c r="A4601" s="305">
        <v>41565</v>
      </c>
      <c r="B4601" s="306">
        <v>208.072</v>
      </c>
      <c r="C4601" s="309">
        <v>2.25170770062411</v>
      </c>
    </row>
    <row r="4602" spans="1:3" x14ac:dyDescent="0.35">
      <c r="A4602" s="302">
        <v>41564</v>
      </c>
      <c r="B4602" s="303">
        <v>208.05260000000001</v>
      </c>
      <c r="C4602" s="308">
        <v>2.2517213755277199</v>
      </c>
    </row>
    <row r="4603" spans="1:3" x14ac:dyDescent="0.35">
      <c r="A4603" s="305">
        <v>41563</v>
      </c>
      <c r="B4603" s="306">
        <v>208.03309999999999</v>
      </c>
      <c r="C4603" s="309">
        <v>2.2516859013428201</v>
      </c>
    </row>
    <row r="4604" spans="1:3" x14ac:dyDescent="0.35">
      <c r="A4604" s="302">
        <v>41562</v>
      </c>
      <c r="B4604" s="303">
        <v>208.0137</v>
      </c>
      <c r="C4604" s="308">
        <v>2.25169957676483</v>
      </c>
    </row>
    <row r="4605" spans="1:3" x14ac:dyDescent="0.35">
      <c r="A4605" s="305">
        <v>41561</v>
      </c>
      <c r="B4605" s="306">
        <v>208.00810000000001</v>
      </c>
      <c r="C4605" s="309">
        <v>2.2503039124456898</v>
      </c>
    </row>
    <row r="4606" spans="1:3" x14ac:dyDescent="0.35">
      <c r="A4606" s="302">
        <v>41560</v>
      </c>
      <c r="B4606" s="303">
        <v>208.0026</v>
      </c>
      <c r="C4606" s="308">
        <v>2.24895736861665</v>
      </c>
    </row>
    <row r="4607" spans="1:3" x14ac:dyDescent="0.35">
      <c r="A4607" s="305">
        <v>41559</v>
      </c>
      <c r="B4607" s="306">
        <v>207.99700000000001</v>
      </c>
      <c r="C4607" s="309">
        <v>2.24756163085247</v>
      </c>
    </row>
    <row r="4608" spans="1:3" x14ac:dyDescent="0.35">
      <c r="A4608" s="302">
        <v>41558</v>
      </c>
      <c r="B4608" s="303">
        <v>207.9915</v>
      </c>
      <c r="C4608" s="308">
        <v>2.2462150148803799</v>
      </c>
    </row>
    <row r="4609" spans="1:3" x14ac:dyDescent="0.35">
      <c r="A4609" s="305">
        <v>41557</v>
      </c>
      <c r="B4609" s="306">
        <v>207.98599999999999</v>
      </c>
      <c r="C4609" s="309">
        <v>2.2448683631608599</v>
      </c>
    </row>
    <row r="4610" spans="1:3" x14ac:dyDescent="0.35">
      <c r="A4610" s="302">
        <v>41556</v>
      </c>
      <c r="B4610" s="303">
        <v>207.9804</v>
      </c>
      <c r="C4610" s="308">
        <v>2.2434725155444402</v>
      </c>
    </row>
    <row r="4611" spans="1:3" x14ac:dyDescent="0.35">
      <c r="A4611" s="305">
        <v>41555</v>
      </c>
      <c r="B4611" s="306">
        <v>207.97489999999999</v>
      </c>
      <c r="C4611" s="309">
        <v>2.24212579167324</v>
      </c>
    </row>
    <row r="4612" spans="1:3" x14ac:dyDescent="0.35">
      <c r="A4612" s="302">
        <v>41554</v>
      </c>
      <c r="B4612" s="303">
        <v>207.9693</v>
      </c>
      <c r="C4612" s="308">
        <v>2.2407801336503899</v>
      </c>
    </row>
    <row r="4613" spans="1:3" x14ac:dyDescent="0.35">
      <c r="A4613" s="305">
        <v>41553</v>
      </c>
      <c r="B4613" s="306">
        <v>207.96379999999999</v>
      </c>
      <c r="C4613" s="309">
        <v>2.2394333376268301</v>
      </c>
    </row>
    <row r="4614" spans="1:3" x14ac:dyDescent="0.35">
      <c r="A4614" s="302">
        <v>41552</v>
      </c>
      <c r="B4614" s="303">
        <v>207.95820000000001</v>
      </c>
      <c r="C4614" s="308">
        <v>2.2380373430662499</v>
      </c>
    </row>
    <row r="4615" spans="1:3" x14ac:dyDescent="0.35">
      <c r="A4615" s="305">
        <v>41551</v>
      </c>
      <c r="B4615" s="306">
        <v>207.95269999999999</v>
      </c>
      <c r="C4615" s="309">
        <v>2.2366904748794498</v>
      </c>
    </row>
    <row r="4616" spans="1:3" x14ac:dyDescent="0.35">
      <c r="A4616" s="302">
        <v>41550</v>
      </c>
      <c r="B4616" s="303">
        <v>207.94720000000001</v>
      </c>
      <c r="C4616" s="308">
        <v>2.2353435709351701</v>
      </c>
    </row>
    <row r="4617" spans="1:3" x14ac:dyDescent="0.35">
      <c r="A4617" s="305">
        <v>41549</v>
      </c>
      <c r="B4617" s="306">
        <v>207.94159999999999</v>
      </c>
      <c r="C4617" s="309">
        <v>2.2339474664917698</v>
      </c>
    </row>
    <row r="4618" spans="1:3" x14ac:dyDescent="0.35">
      <c r="A4618" s="302">
        <v>41548</v>
      </c>
      <c r="B4618" s="303">
        <v>207.93610000000001</v>
      </c>
      <c r="C4618" s="308">
        <v>2.23260049037563</v>
      </c>
    </row>
    <row r="4619" spans="1:3" x14ac:dyDescent="0.35">
      <c r="A4619" s="305">
        <v>41547</v>
      </c>
      <c r="B4619" s="306">
        <v>207.93049999999999</v>
      </c>
      <c r="C4619" s="309">
        <v>2.2312043124521899</v>
      </c>
    </row>
    <row r="4620" spans="1:3" x14ac:dyDescent="0.35">
      <c r="A4620" s="302">
        <v>41546</v>
      </c>
      <c r="B4620" s="303">
        <v>207.92500000000001</v>
      </c>
      <c r="C4620" s="308">
        <v>2.2298572641584098</v>
      </c>
    </row>
    <row r="4621" spans="1:3" x14ac:dyDescent="0.35">
      <c r="A4621" s="305">
        <v>41545</v>
      </c>
      <c r="B4621" s="306">
        <v>207.9194</v>
      </c>
      <c r="C4621" s="309">
        <v>2.2285112757999701</v>
      </c>
    </row>
    <row r="4622" spans="1:3" x14ac:dyDescent="0.35">
      <c r="A4622" s="302">
        <v>41544</v>
      </c>
      <c r="B4622" s="303">
        <v>207.91390000000001</v>
      </c>
      <c r="C4622" s="308">
        <v>2.2271641553277002</v>
      </c>
    </row>
    <row r="4623" spans="1:3" x14ac:dyDescent="0.35">
      <c r="A4623" s="305">
        <v>41543</v>
      </c>
      <c r="B4623" s="306">
        <v>207.9084</v>
      </c>
      <c r="C4623" s="309">
        <v>2.22581699908792</v>
      </c>
    </row>
    <row r="4624" spans="1:3" x14ac:dyDescent="0.35">
      <c r="A4624" s="302">
        <v>41542</v>
      </c>
      <c r="B4624" s="303">
        <v>207.90280000000001</v>
      </c>
      <c r="C4624" s="308">
        <v>2.2244206377459199</v>
      </c>
    </row>
    <row r="4625" spans="1:3" x14ac:dyDescent="0.35">
      <c r="A4625" s="305">
        <v>41541</v>
      </c>
      <c r="B4625" s="306">
        <v>207.8973</v>
      </c>
      <c r="C4625" s="309">
        <v>2.22307340931407</v>
      </c>
    </row>
    <row r="4626" spans="1:3" x14ac:dyDescent="0.35">
      <c r="A4626" s="302">
        <v>41540</v>
      </c>
      <c r="B4626" s="303">
        <v>207.89169999999999</v>
      </c>
      <c r="C4626" s="308">
        <v>2.2216769744715901</v>
      </c>
    </row>
    <row r="4627" spans="1:3" x14ac:dyDescent="0.35">
      <c r="A4627" s="305">
        <v>41539</v>
      </c>
      <c r="B4627" s="306">
        <v>207.8862</v>
      </c>
      <c r="C4627" s="309">
        <v>2.2203296738419098</v>
      </c>
    </row>
    <row r="4628" spans="1:3" x14ac:dyDescent="0.35">
      <c r="A4628" s="302">
        <v>41538</v>
      </c>
      <c r="B4628" s="303">
        <v>207.88059999999999</v>
      </c>
      <c r="C4628" s="308">
        <v>2.2189331654930999</v>
      </c>
    </row>
    <row r="4629" spans="1:3" x14ac:dyDescent="0.35">
      <c r="A4629" s="305">
        <v>41537</v>
      </c>
      <c r="B4629" s="306">
        <v>207.8751</v>
      </c>
      <c r="C4629" s="309">
        <v>2.2175857926598099</v>
      </c>
    </row>
    <row r="4630" spans="1:3" x14ac:dyDescent="0.35">
      <c r="A4630" s="302">
        <v>41536</v>
      </c>
      <c r="B4630" s="303">
        <v>207.86959999999999</v>
      </c>
      <c r="C4630" s="308">
        <v>2.2162886471202898</v>
      </c>
    </row>
    <row r="4631" spans="1:3" x14ac:dyDescent="0.35">
      <c r="A4631" s="305">
        <v>41535</v>
      </c>
      <c r="B4631" s="306">
        <v>207.864</v>
      </c>
      <c r="C4631" s="309">
        <v>2.21489202880805</v>
      </c>
    </row>
    <row r="4632" spans="1:3" x14ac:dyDescent="0.35">
      <c r="A4632" s="302">
        <v>41534</v>
      </c>
      <c r="B4632" s="303">
        <v>207.85849999999999</v>
      </c>
      <c r="C4632" s="308">
        <v>2.21354454798972</v>
      </c>
    </row>
    <row r="4633" spans="1:3" x14ac:dyDescent="0.35">
      <c r="A4633" s="305">
        <v>41533</v>
      </c>
      <c r="B4633" s="306">
        <v>207.85290000000001</v>
      </c>
      <c r="C4633" s="309">
        <v>2.2121478561565402</v>
      </c>
    </row>
    <row r="4634" spans="1:3" x14ac:dyDescent="0.35">
      <c r="A4634" s="302">
        <v>41532</v>
      </c>
      <c r="B4634" s="303">
        <v>207.84739999999999</v>
      </c>
      <c r="C4634" s="308">
        <v>2.21080030312016</v>
      </c>
    </row>
    <row r="4635" spans="1:3" x14ac:dyDescent="0.35">
      <c r="A4635" s="305">
        <v>41531</v>
      </c>
      <c r="B4635" s="306">
        <v>207.84469999999999</v>
      </c>
      <c r="C4635" s="309">
        <v>2.2088191470005398</v>
      </c>
    </row>
    <row r="4636" spans="1:3" x14ac:dyDescent="0.35">
      <c r="A4636" s="302">
        <v>41530</v>
      </c>
      <c r="B4636" s="303">
        <v>207.84200000000001</v>
      </c>
      <c r="C4636" s="308">
        <v>2.2068380162111199</v>
      </c>
    </row>
    <row r="4637" spans="1:3" x14ac:dyDescent="0.35">
      <c r="A4637" s="305">
        <v>41529</v>
      </c>
      <c r="B4637" s="306">
        <v>207.83940000000001</v>
      </c>
      <c r="C4637" s="309">
        <v>2.2048558265148199</v>
      </c>
    </row>
    <row r="4638" spans="1:3" x14ac:dyDescent="0.35">
      <c r="A4638" s="302">
        <v>41528</v>
      </c>
      <c r="B4638" s="303">
        <v>207.83670000000001</v>
      </c>
      <c r="C4638" s="308">
        <v>2.20287474736547</v>
      </c>
    </row>
    <row r="4639" spans="1:3" x14ac:dyDescent="0.35">
      <c r="A4639" s="305">
        <v>41527</v>
      </c>
      <c r="B4639" s="306">
        <v>207.834</v>
      </c>
      <c r="C4639" s="309">
        <v>2.20089369354484</v>
      </c>
    </row>
    <row r="4640" spans="1:3" x14ac:dyDescent="0.35">
      <c r="A4640" s="302">
        <v>41526</v>
      </c>
      <c r="B4640" s="303">
        <v>207.8313</v>
      </c>
      <c r="C4640" s="308">
        <v>2.19891266505245</v>
      </c>
    </row>
    <row r="4641" spans="1:3" x14ac:dyDescent="0.35">
      <c r="A4641" s="305">
        <v>41525</v>
      </c>
      <c r="B4641" s="306">
        <v>207.82859999999999</v>
      </c>
      <c r="C4641" s="309">
        <v>2.1969316618878101</v>
      </c>
    </row>
    <row r="4642" spans="1:3" x14ac:dyDescent="0.35">
      <c r="A4642" s="302">
        <v>41524</v>
      </c>
      <c r="B4642" s="303">
        <v>207.82599999999999</v>
      </c>
      <c r="C4642" s="308">
        <v>2.1949998573972902</v>
      </c>
    </row>
    <row r="4643" spans="1:3" x14ac:dyDescent="0.35">
      <c r="A4643" s="305">
        <v>41523</v>
      </c>
      <c r="B4643" s="306">
        <v>207.82329999999999</v>
      </c>
      <c r="C4643" s="309">
        <v>2.1930189045723498</v>
      </c>
    </row>
    <row r="4644" spans="1:3" x14ac:dyDescent="0.35">
      <c r="A4644" s="302">
        <v>41522</v>
      </c>
      <c r="B4644" s="303">
        <v>207.82060000000001</v>
      </c>
      <c r="C4644" s="308">
        <v>2.1910379770737101</v>
      </c>
    </row>
    <row r="4645" spans="1:3" x14ac:dyDescent="0.35">
      <c r="A4645" s="305">
        <v>41521</v>
      </c>
      <c r="B4645" s="306">
        <v>207.81790000000001</v>
      </c>
      <c r="C4645" s="309">
        <v>2.1890068261097499</v>
      </c>
    </row>
    <row r="4646" spans="1:3" x14ac:dyDescent="0.35">
      <c r="A4646" s="302">
        <v>41520</v>
      </c>
      <c r="B4646" s="303">
        <v>207.8152</v>
      </c>
      <c r="C4646" s="308">
        <v>2.1870259505574898</v>
      </c>
    </row>
    <row r="4647" spans="1:3" x14ac:dyDescent="0.35">
      <c r="A4647" s="305">
        <v>41519</v>
      </c>
      <c r="B4647" s="306">
        <v>207.8126</v>
      </c>
      <c r="C4647" s="309">
        <v>2.18509427208107</v>
      </c>
    </row>
    <row r="4648" spans="1:3" x14ac:dyDescent="0.35">
      <c r="A4648" s="302">
        <v>41518</v>
      </c>
      <c r="B4648" s="303">
        <v>207.8099</v>
      </c>
      <c r="C4648" s="308">
        <v>2.18311344686362</v>
      </c>
    </row>
    <row r="4649" spans="1:3" x14ac:dyDescent="0.35">
      <c r="A4649" s="305">
        <v>41517</v>
      </c>
      <c r="B4649" s="306">
        <v>207.80719999999999</v>
      </c>
      <c r="C4649" s="309">
        <v>2.1811326469700298</v>
      </c>
    </row>
    <row r="4650" spans="1:3" x14ac:dyDescent="0.35">
      <c r="A4650" s="302">
        <v>41516</v>
      </c>
      <c r="B4650" s="303">
        <v>207.80449999999999</v>
      </c>
      <c r="C4650" s="308">
        <v>2.1791518723997898</v>
      </c>
    </row>
    <row r="4651" spans="1:3" x14ac:dyDescent="0.35">
      <c r="A4651" s="305">
        <v>41515</v>
      </c>
      <c r="B4651" s="306">
        <v>207.80179999999999</v>
      </c>
      <c r="C4651" s="309">
        <v>2.1771711231524198</v>
      </c>
    </row>
    <row r="4652" spans="1:3" x14ac:dyDescent="0.35">
      <c r="A4652" s="302">
        <v>41514</v>
      </c>
      <c r="B4652" s="303">
        <v>207.79910000000001</v>
      </c>
      <c r="C4652" s="308">
        <v>2.1751903992274402</v>
      </c>
    </row>
    <row r="4653" spans="1:3" x14ac:dyDescent="0.35">
      <c r="A4653" s="305">
        <v>41513</v>
      </c>
      <c r="B4653" s="306">
        <v>207.79650000000001</v>
      </c>
      <c r="C4653" s="309">
        <v>2.1732086320606001</v>
      </c>
    </row>
    <row r="4654" spans="1:3" x14ac:dyDescent="0.35">
      <c r="A4654" s="302">
        <v>41512</v>
      </c>
      <c r="B4654" s="303">
        <v>207.7938</v>
      </c>
      <c r="C4654" s="308">
        <v>2.1712279597596602</v>
      </c>
    </row>
    <row r="4655" spans="1:3" x14ac:dyDescent="0.35">
      <c r="A4655" s="305">
        <v>41511</v>
      </c>
      <c r="B4655" s="306">
        <v>207.7911</v>
      </c>
      <c r="C4655" s="309">
        <v>2.1692473127796199</v>
      </c>
    </row>
    <row r="4656" spans="1:3" x14ac:dyDescent="0.35">
      <c r="A4656" s="302">
        <v>41510</v>
      </c>
      <c r="B4656" s="303">
        <v>207.7884</v>
      </c>
      <c r="C4656" s="308">
        <v>2.16726669112</v>
      </c>
    </row>
    <row r="4657" spans="1:3" x14ac:dyDescent="0.35">
      <c r="A4657" s="305">
        <v>41509</v>
      </c>
      <c r="B4657" s="306">
        <v>207.78569999999999</v>
      </c>
      <c r="C4657" s="309">
        <v>2.1652860947803099</v>
      </c>
    </row>
    <row r="4658" spans="1:3" x14ac:dyDescent="0.35">
      <c r="A4658" s="302">
        <v>41508</v>
      </c>
      <c r="B4658" s="303">
        <v>207.78309999999999</v>
      </c>
      <c r="C4658" s="308">
        <v>2.16335469202963</v>
      </c>
    </row>
    <row r="4659" spans="1:3" x14ac:dyDescent="0.35">
      <c r="A4659" s="305">
        <v>41507</v>
      </c>
      <c r="B4659" s="306">
        <v>207.78039999999999</v>
      </c>
      <c r="C4659" s="309">
        <v>2.1613741460140798</v>
      </c>
    </row>
    <row r="4660" spans="1:3" x14ac:dyDescent="0.35">
      <c r="A4660" s="302">
        <v>41506</v>
      </c>
      <c r="B4660" s="303">
        <v>207.77770000000001</v>
      </c>
      <c r="C4660" s="308">
        <v>2.1593936253170098</v>
      </c>
    </row>
    <row r="4661" spans="1:3" x14ac:dyDescent="0.35">
      <c r="A4661" s="305">
        <v>41505</v>
      </c>
      <c r="B4661" s="306">
        <v>207.77500000000001</v>
      </c>
      <c r="C4661" s="309">
        <v>2.1573629018935301</v>
      </c>
    </row>
    <row r="4662" spans="1:3" x14ac:dyDescent="0.35">
      <c r="A4662" s="302">
        <v>41504</v>
      </c>
      <c r="B4662" s="303">
        <v>207.7723</v>
      </c>
      <c r="C4662" s="308">
        <v>2.1553824331267499</v>
      </c>
    </row>
    <row r="4663" spans="1:3" x14ac:dyDescent="0.35">
      <c r="A4663" s="305">
        <v>41503</v>
      </c>
      <c r="B4663" s="306">
        <v>207.7697</v>
      </c>
      <c r="C4663" s="309">
        <v>2.1534511563510099</v>
      </c>
    </row>
    <row r="4664" spans="1:3" x14ac:dyDescent="0.35">
      <c r="A4664" s="302">
        <v>41502</v>
      </c>
      <c r="B4664" s="303">
        <v>207.767</v>
      </c>
      <c r="C4664" s="308">
        <v>2.1514707379034799</v>
      </c>
    </row>
    <row r="4665" spans="1:3" x14ac:dyDescent="0.35">
      <c r="A4665" s="305">
        <v>41501</v>
      </c>
      <c r="B4665" s="306">
        <v>207.76429999999999</v>
      </c>
      <c r="C4665" s="309">
        <v>2.14949034477198</v>
      </c>
    </row>
    <row r="4666" spans="1:3" x14ac:dyDescent="0.35">
      <c r="A4666" s="302">
        <v>41500</v>
      </c>
      <c r="B4666" s="303">
        <v>207.74889999999999</v>
      </c>
      <c r="C4666" s="308">
        <v>2.1445804576593099</v>
      </c>
    </row>
    <row r="4667" spans="1:3" x14ac:dyDescent="0.35">
      <c r="A4667" s="305">
        <v>41499</v>
      </c>
      <c r="B4667" s="306">
        <v>207.73349999999999</v>
      </c>
      <c r="C4667" s="309">
        <v>2.1396200940201702</v>
      </c>
    </row>
    <row r="4668" spans="1:3" x14ac:dyDescent="0.35">
      <c r="A4668" s="302">
        <v>41498</v>
      </c>
      <c r="B4668" s="303">
        <v>207.71809999999999</v>
      </c>
      <c r="C4668" s="308">
        <v>2.1347096961990699</v>
      </c>
    </row>
    <row r="4669" spans="1:3" x14ac:dyDescent="0.35">
      <c r="A4669" s="305">
        <v>41497</v>
      </c>
      <c r="B4669" s="306">
        <v>207.70269999999999</v>
      </c>
      <c r="C4669" s="309">
        <v>2.1297488240726099</v>
      </c>
    </row>
    <row r="4670" spans="1:3" x14ac:dyDescent="0.35">
      <c r="A4670" s="302">
        <v>41496</v>
      </c>
      <c r="B4670" s="303">
        <v>207.68729999999999</v>
      </c>
      <c r="C4670" s="308">
        <v>2.1247876982507399</v>
      </c>
    </row>
    <row r="4671" spans="1:3" x14ac:dyDescent="0.35">
      <c r="A4671" s="305">
        <v>41495</v>
      </c>
      <c r="B4671" s="306">
        <v>207.67189999999999</v>
      </c>
      <c r="C4671" s="309">
        <v>2.1198765347714299</v>
      </c>
    </row>
    <row r="4672" spans="1:3" x14ac:dyDescent="0.35">
      <c r="A4672" s="302">
        <v>41494</v>
      </c>
      <c r="B4672" s="303">
        <v>207.65649999999999</v>
      </c>
      <c r="C4672" s="308">
        <v>2.1149149003445702</v>
      </c>
    </row>
    <row r="4673" spans="1:3" x14ac:dyDescent="0.35">
      <c r="A4673" s="305">
        <v>41493</v>
      </c>
      <c r="B4673" s="306">
        <v>207.64109999999999</v>
      </c>
      <c r="C4673" s="309">
        <v>2.11000322595874</v>
      </c>
    </row>
    <row r="4674" spans="1:3" x14ac:dyDescent="0.35">
      <c r="A4674" s="302">
        <v>41492</v>
      </c>
      <c r="B4674" s="303">
        <v>207.62569999999999</v>
      </c>
      <c r="C4674" s="308">
        <v>2.1050410828482802</v>
      </c>
    </row>
    <row r="4675" spans="1:3" x14ac:dyDescent="0.35">
      <c r="A4675" s="305">
        <v>41491</v>
      </c>
      <c r="B4675" s="306">
        <v>207.6103</v>
      </c>
      <c r="C4675" s="309">
        <v>2.1001288974765902</v>
      </c>
    </row>
    <row r="4676" spans="1:3" x14ac:dyDescent="0.35">
      <c r="A4676" s="302">
        <v>41490</v>
      </c>
      <c r="B4676" s="303">
        <v>207.595</v>
      </c>
      <c r="C4676" s="308">
        <v>2.0952154256012401</v>
      </c>
    </row>
    <row r="4677" spans="1:3" x14ac:dyDescent="0.35">
      <c r="A4677" s="305">
        <v>41489</v>
      </c>
      <c r="B4677" s="306">
        <v>207.5796</v>
      </c>
      <c r="C4677" s="309">
        <v>2.0903027304462598</v>
      </c>
    </row>
    <row r="4678" spans="1:3" x14ac:dyDescent="0.35">
      <c r="A4678" s="302">
        <v>41488</v>
      </c>
      <c r="B4678" s="303">
        <v>207.5642</v>
      </c>
      <c r="C4678" s="308">
        <v>2.0853395709905702</v>
      </c>
    </row>
    <row r="4679" spans="1:3" x14ac:dyDescent="0.35">
      <c r="A4679" s="305">
        <v>41487</v>
      </c>
      <c r="B4679" s="306">
        <v>207.5488</v>
      </c>
      <c r="C4679" s="309">
        <v>2.0804263646911298</v>
      </c>
    </row>
    <row r="4680" spans="1:3" x14ac:dyDescent="0.35">
      <c r="A4680" s="302">
        <v>41486</v>
      </c>
      <c r="B4680" s="303">
        <v>207.5334</v>
      </c>
      <c r="C4680" s="308">
        <v>2.07546269631609</v>
      </c>
    </row>
    <row r="4681" spans="1:3" x14ac:dyDescent="0.35">
      <c r="A4681" s="305">
        <v>41485</v>
      </c>
      <c r="B4681" s="306">
        <v>207.5181</v>
      </c>
      <c r="C4681" s="309">
        <v>2.07054796036565</v>
      </c>
    </row>
    <row r="4682" spans="1:3" x14ac:dyDescent="0.35">
      <c r="A4682" s="302">
        <v>41484</v>
      </c>
      <c r="B4682" s="303">
        <v>207.5027</v>
      </c>
      <c r="C4682" s="308">
        <v>2.0656339890370599</v>
      </c>
    </row>
    <row r="4683" spans="1:3" x14ac:dyDescent="0.35">
      <c r="A4683" s="305">
        <v>41483</v>
      </c>
      <c r="B4683" s="306">
        <v>207.4873</v>
      </c>
      <c r="C4683" s="309">
        <v>2.0606695589725401</v>
      </c>
    </row>
    <row r="4684" spans="1:3" x14ac:dyDescent="0.35">
      <c r="A4684" s="302">
        <v>41482</v>
      </c>
      <c r="B4684" s="303">
        <v>207.47190000000001</v>
      </c>
      <c r="C4684" s="308">
        <v>2.0557550763013102</v>
      </c>
    </row>
    <row r="4685" spans="1:3" x14ac:dyDescent="0.35">
      <c r="A4685" s="305">
        <v>41481</v>
      </c>
      <c r="B4685" s="306">
        <v>207.45650000000001</v>
      </c>
      <c r="C4685" s="309">
        <v>2.0507901371210702</v>
      </c>
    </row>
    <row r="4686" spans="1:3" x14ac:dyDescent="0.35">
      <c r="A4686" s="302">
        <v>41480</v>
      </c>
      <c r="B4686" s="303">
        <v>207.44120000000001</v>
      </c>
      <c r="C4686" s="308">
        <v>2.0459243357263901</v>
      </c>
    </row>
    <row r="4687" spans="1:3" x14ac:dyDescent="0.35">
      <c r="A4687" s="305">
        <v>41479</v>
      </c>
      <c r="B4687" s="306">
        <v>207.42580000000001</v>
      </c>
      <c r="C4687" s="309">
        <v>2.04095888861012</v>
      </c>
    </row>
    <row r="4688" spans="1:3" x14ac:dyDescent="0.35">
      <c r="A4688" s="302">
        <v>41478</v>
      </c>
      <c r="B4688" s="303">
        <v>207.41040000000001</v>
      </c>
      <c r="C4688" s="308">
        <v>2.0360433842979599</v>
      </c>
    </row>
    <row r="4689" spans="1:3" x14ac:dyDescent="0.35">
      <c r="A4689" s="305">
        <v>41477</v>
      </c>
      <c r="B4689" s="306">
        <v>207.39510000000001</v>
      </c>
      <c r="C4689" s="309">
        <v>2.0311266244068702</v>
      </c>
    </row>
    <row r="4690" spans="1:3" x14ac:dyDescent="0.35">
      <c r="A4690" s="302">
        <v>41476</v>
      </c>
      <c r="B4690" s="303">
        <v>207.37970000000001</v>
      </c>
      <c r="C4690" s="308">
        <v>2.0261604151897101</v>
      </c>
    </row>
    <row r="4691" spans="1:3" x14ac:dyDescent="0.35">
      <c r="A4691" s="305">
        <v>41475</v>
      </c>
      <c r="B4691" s="306">
        <v>207.36429999999999</v>
      </c>
      <c r="C4691" s="309">
        <v>2.02124414531428</v>
      </c>
    </row>
    <row r="4692" spans="1:3" x14ac:dyDescent="0.35">
      <c r="A4692" s="302">
        <v>41474</v>
      </c>
      <c r="B4692" s="303">
        <v>207.34899999999999</v>
      </c>
      <c r="C4692" s="308">
        <v>2.0163266270046698</v>
      </c>
    </row>
    <row r="4693" spans="1:3" x14ac:dyDescent="0.35">
      <c r="A4693" s="305">
        <v>41473</v>
      </c>
      <c r="B4693" s="306">
        <v>207.33359999999999</v>
      </c>
      <c r="C4693" s="309">
        <v>2.0114098467124699</v>
      </c>
    </row>
    <row r="4694" spans="1:3" x14ac:dyDescent="0.35">
      <c r="A4694" s="302">
        <v>41472</v>
      </c>
      <c r="B4694" s="303">
        <v>207.31819999999999</v>
      </c>
      <c r="C4694" s="308">
        <v>2.0064426198937899</v>
      </c>
    </row>
    <row r="4695" spans="1:3" x14ac:dyDescent="0.35">
      <c r="A4695" s="305">
        <v>41471</v>
      </c>
      <c r="B4695" s="306">
        <v>207.30289999999999</v>
      </c>
      <c r="C4695" s="309">
        <v>2.0015745319457801</v>
      </c>
    </row>
    <row r="4696" spans="1:3" x14ac:dyDescent="0.35">
      <c r="A4696" s="302">
        <v>41470</v>
      </c>
      <c r="B4696" s="303">
        <v>207.28749999999999</v>
      </c>
      <c r="C4696" s="308">
        <v>1.99660679683787</v>
      </c>
    </row>
    <row r="4697" spans="1:3" x14ac:dyDescent="0.35">
      <c r="A4697" s="305">
        <v>41469</v>
      </c>
      <c r="B4697" s="306">
        <v>207.26820000000001</v>
      </c>
      <c r="C4697" s="309">
        <v>1.99729835465369</v>
      </c>
    </row>
    <row r="4698" spans="1:3" x14ac:dyDescent="0.35">
      <c r="A4698" s="302">
        <v>41468</v>
      </c>
      <c r="B4698" s="303">
        <v>207.24879999999999</v>
      </c>
      <c r="C4698" s="308">
        <v>1.9979408354381001</v>
      </c>
    </row>
    <row r="4699" spans="1:3" x14ac:dyDescent="0.35">
      <c r="A4699" s="305">
        <v>41467</v>
      </c>
      <c r="B4699" s="306">
        <v>207.2295</v>
      </c>
      <c r="C4699" s="309">
        <v>1.99863266474347</v>
      </c>
    </row>
    <row r="4700" spans="1:3" x14ac:dyDescent="0.35">
      <c r="A4700" s="302">
        <v>41466</v>
      </c>
      <c r="B4700" s="303">
        <v>207.21019999999999</v>
      </c>
      <c r="C4700" s="308">
        <v>1.9993246323134899</v>
      </c>
    </row>
    <row r="4701" spans="1:3" x14ac:dyDescent="0.35">
      <c r="A4701" s="305">
        <v>41465</v>
      </c>
      <c r="B4701" s="306">
        <v>207.1909</v>
      </c>
      <c r="C4701" s="309">
        <v>2.0000167381896099</v>
      </c>
    </row>
    <row r="4702" spans="1:3" x14ac:dyDescent="0.35">
      <c r="A4702" s="302">
        <v>41464</v>
      </c>
      <c r="B4702" s="303">
        <v>207.17160000000001</v>
      </c>
      <c r="C4702" s="308">
        <v>2.0007089824133</v>
      </c>
    </row>
    <row r="4703" spans="1:3" x14ac:dyDescent="0.35">
      <c r="A4703" s="305">
        <v>41463</v>
      </c>
      <c r="B4703" s="306">
        <v>207.1523</v>
      </c>
      <c r="C4703" s="309">
        <v>2.0013511397533499</v>
      </c>
    </row>
    <row r="4704" spans="1:3" x14ac:dyDescent="0.35">
      <c r="A4704" s="302">
        <v>41462</v>
      </c>
      <c r="B4704" s="303">
        <v>207.13300000000001</v>
      </c>
      <c r="C4704" s="308">
        <v>2.00204365543477</v>
      </c>
    </row>
    <row r="4705" spans="1:3" x14ac:dyDescent="0.35">
      <c r="A4705" s="305">
        <v>41461</v>
      </c>
      <c r="B4705" s="306">
        <v>207.11369999999999</v>
      </c>
      <c r="C4705" s="309">
        <v>2.0027363095871298</v>
      </c>
    </row>
    <row r="4706" spans="1:3" x14ac:dyDescent="0.35">
      <c r="A4706" s="302">
        <v>41460</v>
      </c>
      <c r="B4706" s="303">
        <v>207.09440000000001</v>
      </c>
      <c r="C4706" s="308">
        <v>2.0034291022519701</v>
      </c>
    </row>
    <row r="4707" spans="1:3" x14ac:dyDescent="0.35">
      <c r="A4707" s="305">
        <v>41459</v>
      </c>
      <c r="B4707" s="306">
        <v>207.07509999999999</v>
      </c>
      <c r="C4707" s="309">
        <v>2.0040717867932401</v>
      </c>
    </row>
    <row r="4708" spans="1:3" x14ac:dyDescent="0.35">
      <c r="A4708" s="302">
        <v>41458</v>
      </c>
      <c r="B4708" s="303">
        <v>207.0558</v>
      </c>
      <c r="C4708" s="308">
        <v>2.0047648512412701</v>
      </c>
    </row>
    <row r="4709" spans="1:3" x14ac:dyDescent="0.35">
      <c r="A4709" s="305">
        <v>41457</v>
      </c>
      <c r="B4709" s="306">
        <v>207.03649999999999</v>
      </c>
      <c r="C4709" s="309">
        <v>2.00545805432533</v>
      </c>
    </row>
    <row r="4710" spans="1:3" x14ac:dyDescent="0.35">
      <c r="A4710" s="302">
        <v>41456</v>
      </c>
      <c r="B4710" s="303">
        <v>207.0172</v>
      </c>
      <c r="C4710" s="308">
        <v>2.0061011333562302</v>
      </c>
    </row>
    <row r="4711" spans="1:3" x14ac:dyDescent="0.35">
      <c r="A4711" s="305">
        <v>41455</v>
      </c>
      <c r="B4711" s="306">
        <v>206.99789999999999</v>
      </c>
      <c r="C4711" s="309">
        <v>2.0067946084673398</v>
      </c>
    </row>
    <row r="4712" spans="1:3" x14ac:dyDescent="0.35">
      <c r="A4712" s="302">
        <v>41454</v>
      </c>
      <c r="B4712" s="303">
        <v>206.9786</v>
      </c>
      <c r="C4712" s="308">
        <v>2.0074882223381998</v>
      </c>
    </row>
    <row r="4713" spans="1:3" x14ac:dyDescent="0.35">
      <c r="A4713" s="305">
        <v>41453</v>
      </c>
      <c r="B4713" s="306">
        <v>206.95930000000001</v>
      </c>
      <c r="C4713" s="309">
        <v>2.0081316962162301</v>
      </c>
    </row>
    <row r="4714" spans="1:3" x14ac:dyDescent="0.35">
      <c r="A4714" s="302">
        <v>41452</v>
      </c>
      <c r="B4714" s="303">
        <v>206.94</v>
      </c>
      <c r="C4714" s="308">
        <v>2.0088255823583001</v>
      </c>
    </row>
    <row r="4715" spans="1:3" x14ac:dyDescent="0.35">
      <c r="A4715" s="305">
        <v>41451</v>
      </c>
      <c r="B4715" s="306">
        <v>206.92070000000001</v>
      </c>
      <c r="C4715" s="309">
        <v>2.0094693178916301</v>
      </c>
    </row>
    <row r="4716" spans="1:3" x14ac:dyDescent="0.35">
      <c r="A4716" s="302">
        <v>41450</v>
      </c>
      <c r="B4716" s="303">
        <v>206.9014</v>
      </c>
      <c r="C4716" s="308">
        <v>2.0101634764670702</v>
      </c>
    </row>
    <row r="4717" spans="1:3" x14ac:dyDescent="0.35">
      <c r="A4717" s="305">
        <v>41449</v>
      </c>
      <c r="B4717" s="306">
        <v>206.88220000000001</v>
      </c>
      <c r="C4717" s="309">
        <v>2.0108567824812198</v>
      </c>
    </row>
    <row r="4718" spans="1:3" x14ac:dyDescent="0.35">
      <c r="A4718" s="302">
        <v>41448</v>
      </c>
      <c r="B4718" s="303">
        <v>206.8629</v>
      </c>
      <c r="C4718" s="308">
        <v>2.0115512185884699</v>
      </c>
    </row>
    <row r="4719" spans="1:3" x14ac:dyDescent="0.35">
      <c r="A4719" s="305">
        <v>41447</v>
      </c>
      <c r="B4719" s="306">
        <v>206.84360000000001</v>
      </c>
      <c r="C4719" s="309">
        <v>2.0121954828184201</v>
      </c>
    </row>
    <row r="4720" spans="1:3" x14ac:dyDescent="0.35">
      <c r="A4720" s="302">
        <v>41446</v>
      </c>
      <c r="B4720" s="303">
        <v>206.82429999999999</v>
      </c>
      <c r="C4720" s="308">
        <v>2.0128901916857398</v>
      </c>
    </row>
    <row r="4721" spans="1:3" x14ac:dyDescent="0.35">
      <c r="A4721" s="305">
        <v>41445</v>
      </c>
      <c r="B4721" s="306">
        <v>206.80510000000001</v>
      </c>
      <c r="C4721" s="309">
        <v>2.0135840464160202</v>
      </c>
    </row>
    <row r="4722" spans="1:3" x14ac:dyDescent="0.35">
      <c r="A4722" s="302">
        <v>41444</v>
      </c>
      <c r="B4722" s="303">
        <v>206.78579999999999</v>
      </c>
      <c r="C4722" s="308">
        <v>2.0142790331460598</v>
      </c>
    </row>
    <row r="4723" spans="1:3" x14ac:dyDescent="0.35">
      <c r="A4723" s="305">
        <v>41443</v>
      </c>
      <c r="B4723" s="306">
        <v>206.76650000000001</v>
      </c>
      <c r="C4723" s="309">
        <v>2.0149238267123102</v>
      </c>
    </row>
    <row r="4724" spans="1:3" x14ac:dyDescent="0.35">
      <c r="A4724" s="302">
        <v>41442</v>
      </c>
      <c r="B4724" s="303">
        <v>206.74719999999999</v>
      </c>
      <c r="C4724" s="308">
        <v>2.0155687488157601</v>
      </c>
    </row>
    <row r="4725" spans="1:3" x14ac:dyDescent="0.35">
      <c r="A4725" s="305">
        <v>41441</v>
      </c>
      <c r="B4725" s="306">
        <v>206.72800000000001</v>
      </c>
      <c r="C4725" s="309">
        <v>2.0163134906320099</v>
      </c>
    </row>
    <row r="4726" spans="1:3" x14ac:dyDescent="0.35">
      <c r="A4726" s="302">
        <v>41440</v>
      </c>
      <c r="B4726" s="303">
        <v>206.70869999999999</v>
      </c>
      <c r="C4726" s="308">
        <v>2.01695868018215</v>
      </c>
    </row>
    <row r="4727" spans="1:3" x14ac:dyDescent="0.35">
      <c r="A4727" s="305">
        <v>41439</v>
      </c>
      <c r="B4727" s="306">
        <v>206.69200000000001</v>
      </c>
      <c r="C4727" s="309">
        <v>2.0133486202987299</v>
      </c>
    </row>
    <row r="4728" spans="1:3" x14ac:dyDescent="0.35">
      <c r="A4728" s="302">
        <v>41438</v>
      </c>
      <c r="B4728" s="303">
        <v>206.6754</v>
      </c>
      <c r="C4728" s="308">
        <v>2.0097372406018499</v>
      </c>
    </row>
    <row r="4729" spans="1:3" x14ac:dyDescent="0.35">
      <c r="A4729" s="305">
        <v>41437</v>
      </c>
      <c r="B4729" s="306">
        <v>206.65870000000001</v>
      </c>
      <c r="C4729" s="309">
        <v>2.0061265266957</v>
      </c>
    </row>
    <row r="4730" spans="1:3" x14ac:dyDescent="0.35">
      <c r="A4730" s="302">
        <v>41436</v>
      </c>
      <c r="B4730" s="303">
        <v>206.6421</v>
      </c>
      <c r="C4730" s="308">
        <v>2.0025144963627701</v>
      </c>
    </row>
    <row r="4731" spans="1:3" x14ac:dyDescent="0.35">
      <c r="A4731" s="305">
        <v>41435</v>
      </c>
      <c r="B4731" s="306">
        <v>206.62549999999999</v>
      </c>
      <c r="C4731" s="309">
        <v>1.99890214151514</v>
      </c>
    </row>
    <row r="4732" spans="1:3" x14ac:dyDescent="0.35">
      <c r="A4732" s="302">
        <v>41434</v>
      </c>
      <c r="B4732" s="303">
        <v>206.6088</v>
      </c>
      <c r="C4732" s="308">
        <v>1.99529044711133</v>
      </c>
    </row>
    <row r="4733" spans="1:3" x14ac:dyDescent="0.35">
      <c r="A4733" s="305">
        <v>41433</v>
      </c>
      <c r="B4733" s="306">
        <v>206.59219999999999</v>
      </c>
      <c r="C4733" s="309">
        <v>1.99167744136368</v>
      </c>
    </row>
    <row r="4734" spans="1:3" x14ac:dyDescent="0.35">
      <c r="A4734" s="302">
        <v>41432</v>
      </c>
      <c r="B4734" s="303">
        <v>206.57550000000001</v>
      </c>
      <c r="C4734" s="308">
        <v>1.9880650924938099</v>
      </c>
    </row>
    <row r="4735" spans="1:3" x14ac:dyDescent="0.35">
      <c r="A4735" s="305">
        <v>41431</v>
      </c>
      <c r="B4735" s="306">
        <v>206.55889999999999</v>
      </c>
      <c r="C4735" s="309">
        <v>1.9844514356698599</v>
      </c>
    </row>
    <row r="4736" spans="1:3" x14ac:dyDescent="0.35">
      <c r="A4736" s="302">
        <v>41430</v>
      </c>
      <c r="B4736" s="303">
        <v>206.54230000000001</v>
      </c>
      <c r="C4736" s="308">
        <v>1.9808374541118501</v>
      </c>
    </row>
    <row r="4737" spans="1:3" x14ac:dyDescent="0.35">
      <c r="A4737" s="305">
        <v>41429</v>
      </c>
      <c r="B4737" s="306">
        <v>206.5256</v>
      </c>
      <c r="C4737" s="309">
        <v>1.9772241240797901</v>
      </c>
    </row>
    <row r="4738" spans="1:3" x14ac:dyDescent="0.35">
      <c r="A4738" s="302">
        <v>41428</v>
      </c>
      <c r="B4738" s="303">
        <v>206.50899999999999</v>
      </c>
      <c r="C4738" s="308">
        <v>1.97360949118127</v>
      </c>
    </row>
    <row r="4739" spans="1:3" x14ac:dyDescent="0.35">
      <c r="A4739" s="305">
        <v>41427</v>
      </c>
      <c r="B4739" s="306">
        <v>206.4924</v>
      </c>
      <c r="C4739" s="309">
        <v>1.9700448882238799</v>
      </c>
    </row>
    <row r="4740" spans="1:3" x14ac:dyDescent="0.35">
      <c r="A4740" s="302">
        <v>41426</v>
      </c>
      <c r="B4740" s="303">
        <v>206.47569999999999</v>
      </c>
      <c r="C4740" s="308">
        <v>1.9663802218239701</v>
      </c>
    </row>
    <row r="4741" spans="1:3" x14ac:dyDescent="0.35">
      <c r="A4741" s="305">
        <v>41425</v>
      </c>
      <c r="B4741" s="306">
        <v>206.45910000000001</v>
      </c>
      <c r="C4741" s="309">
        <v>1.9627646124548599</v>
      </c>
    </row>
    <row r="4742" spans="1:3" x14ac:dyDescent="0.35">
      <c r="A4742" s="302">
        <v>41424</v>
      </c>
      <c r="B4742" s="303">
        <v>206.4425</v>
      </c>
      <c r="C4742" s="308">
        <v>1.9591990343527801</v>
      </c>
    </row>
    <row r="4743" spans="1:3" x14ac:dyDescent="0.35">
      <c r="A4743" s="305">
        <v>41423</v>
      </c>
      <c r="B4743" s="306">
        <v>206.42580000000001</v>
      </c>
      <c r="C4743" s="309">
        <v>1.9555333845352201</v>
      </c>
    </row>
    <row r="4744" spans="1:3" x14ac:dyDescent="0.35">
      <c r="A4744" s="302">
        <v>41422</v>
      </c>
      <c r="B4744" s="303">
        <v>206.4092</v>
      </c>
      <c r="C4744" s="308">
        <v>1.9519671555434199</v>
      </c>
    </row>
    <row r="4745" spans="1:3" x14ac:dyDescent="0.35">
      <c r="A4745" s="305">
        <v>41421</v>
      </c>
      <c r="B4745" s="306">
        <v>206.39259999999999</v>
      </c>
      <c r="C4745" s="309">
        <v>1.9483502446551799</v>
      </c>
    </row>
    <row r="4746" spans="1:3" x14ac:dyDescent="0.35">
      <c r="A4746" s="302">
        <v>41420</v>
      </c>
      <c r="B4746" s="303">
        <v>206.376</v>
      </c>
      <c r="C4746" s="308">
        <v>1.9447330085937</v>
      </c>
    </row>
    <row r="4747" spans="1:3" x14ac:dyDescent="0.35">
      <c r="A4747" s="305">
        <v>41419</v>
      </c>
      <c r="B4747" s="306">
        <v>206.35929999999999</v>
      </c>
      <c r="C4747" s="309">
        <v>1.9411164062226001</v>
      </c>
    </row>
    <row r="4748" spans="1:3" x14ac:dyDescent="0.35">
      <c r="A4748" s="302">
        <v>41418</v>
      </c>
      <c r="B4748" s="303">
        <v>206.34270000000001</v>
      </c>
      <c r="C4748" s="308">
        <v>1.93749851793887</v>
      </c>
    </row>
    <row r="4749" spans="1:3" x14ac:dyDescent="0.35">
      <c r="A4749" s="305">
        <v>41417</v>
      </c>
      <c r="B4749" s="306">
        <v>206.3261</v>
      </c>
      <c r="C4749" s="309">
        <v>1.9338803043499999</v>
      </c>
    </row>
    <row r="4750" spans="1:3" x14ac:dyDescent="0.35">
      <c r="A4750" s="302">
        <v>41416</v>
      </c>
      <c r="B4750" s="303">
        <v>206.30950000000001</v>
      </c>
      <c r="C4750" s="308">
        <v>1.93031212559133</v>
      </c>
    </row>
    <row r="4751" spans="1:3" x14ac:dyDescent="0.35">
      <c r="A4751" s="305">
        <v>41415</v>
      </c>
      <c r="B4751" s="306">
        <v>206.2929</v>
      </c>
      <c r="C4751" s="309">
        <v>1.9266932617368</v>
      </c>
    </row>
    <row r="4752" spans="1:3" x14ac:dyDescent="0.35">
      <c r="A4752" s="302">
        <v>41414</v>
      </c>
      <c r="B4752" s="303">
        <v>206.27629999999999</v>
      </c>
      <c r="C4752" s="308">
        <v>1.9230740724453399</v>
      </c>
    </row>
    <row r="4753" spans="1:3" x14ac:dyDescent="0.35">
      <c r="A4753" s="305">
        <v>41413</v>
      </c>
      <c r="B4753" s="306">
        <v>206.25960000000001</v>
      </c>
      <c r="C4753" s="309">
        <v>1.9194555061368701</v>
      </c>
    </row>
    <row r="4754" spans="1:3" x14ac:dyDescent="0.35">
      <c r="A4754" s="302">
        <v>41412</v>
      </c>
      <c r="B4754" s="303">
        <v>206.24299999999999</v>
      </c>
      <c r="C4754" s="308">
        <v>1.9158356640937699</v>
      </c>
    </row>
    <row r="4755" spans="1:3" x14ac:dyDescent="0.35">
      <c r="A4755" s="305">
        <v>41411</v>
      </c>
      <c r="B4755" s="306">
        <v>206.22640000000001</v>
      </c>
      <c r="C4755" s="309">
        <v>1.91221549648171</v>
      </c>
    </row>
    <row r="4756" spans="1:3" x14ac:dyDescent="0.35">
      <c r="A4756" s="302">
        <v>41410</v>
      </c>
      <c r="B4756" s="303">
        <v>206.2098</v>
      </c>
      <c r="C4756" s="308">
        <v>1.9086453663669001</v>
      </c>
    </row>
    <row r="4757" spans="1:3" x14ac:dyDescent="0.35">
      <c r="A4757" s="305">
        <v>41409</v>
      </c>
      <c r="B4757" s="306">
        <v>206.19319999999999</v>
      </c>
      <c r="C4757" s="309">
        <v>1.9050245479607</v>
      </c>
    </row>
    <row r="4758" spans="1:3" x14ac:dyDescent="0.35">
      <c r="A4758" s="302">
        <v>41408</v>
      </c>
      <c r="B4758" s="303">
        <v>206.1788</v>
      </c>
      <c r="C4758" s="308">
        <v>1.9019870953711899</v>
      </c>
    </row>
    <row r="4759" spans="1:3" x14ac:dyDescent="0.35">
      <c r="A4759" s="305">
        <v>41407</v>
      </c>
      <c r="B4759" s="306">
        <v>206.1644</v>
      </c>
      <c r="C4759" s="309">
        <v>1.89894939957217</v>
      </c>
    </row>
    <row r="4760" spans="1:3" x14ac:dyDescent="0.35">
      <c r="A4760" s="302">
        <v>41406</v>
      </c>
      <c r="B4760" s="303">
        <v>206.1499</v>
      </c>
      <c r="C4760" s="308">
        <v>1.89581166738502</v>
      </c>
    </row>
    <row r="4761" spans="1:3" x14ac:dyDescent="0.35">
      <c r="A4761" s="305">
        <v>41405</v>
      </c>
      <c r="B4761" s="306">
        <v>206.13550000000001</v>
      </c>
      <c r="C4761" s="309">
        <v>1.89277348258556</v>
      </c>
    </row>
    <row r="4762" spans="1:3" x14ac:dyDescent="0.35">
      <c r="A4762" s="302">
        <v>41404</v>
      </c>
      <c r="B4762" s="303">
        <v>206.12110000000001</v>
      </c>
      <c r="C4762" s="308">
        <v>1.88973505448887</v>
      </c>
    </row>
    <row r="4763" spans="1:3" x14ac:dyDescent="0.35">
      <c r="A4763" s="305">
        <v>41403</v>
      </c>
      <c r="B4763" s="306">
        <v>206.10669999999999</v>
      </c>
      <c r="C4763" s="309">
        <v>1.88669638306571</v>
      </c>
    </row>
    <row r="4764" spans="1:3" x14ac:dyDescent="0.35">
      <c r="A4764" s="302">
        <v>41402</v>
      </c>
      <c r="B4764" s="303">
        <v>206.09229999999999</v>
      </c>
      <c r="C4764" s="308">
        <v>1.8836574682868501</v>
      </c>
    </row>
    <row r="4765" spans="1:3" x14ac:dyDescent="0.35">
      <c r="A4765" s="305">
        <v>41401</v>
      </c>
      <c r="B4765" s="306">
        <v>206.0779</v>
      </c>
      <c r="C4765" s="309">
        <v>1.88061831012306</v>
      </c>
    </row>
    <row r="4766" spans="1:3" x14ac:dyDescent="0.35">
      <c r="A4766" s="302">
        <v>41400</v>
      </c>
      <c r="B4766" s="303">
        <v>206.0635</v>
      </c>
      <c r="C4766" s="308">
        <v>1.87757890854509</v>
      </c>
    </row>
    <row r="4767" spans="1:3" x14ac:dyDescent="0.35">
      <c r="A4767" s="305">
        <v>41399</v>
      </c>
      <c r="B4767" s="306">
        <v>206.04910000000001</v>
      </c>
      <c r="C4767" s="309">
        <v>1.8745392635237099</v>
      </c>
    </row>
    <row r="4768" spans="1:3" x14ac:dyDescent="0.35">
      <c r="A4768" s="302">
        <v>41398</v>
      </c>
      <c r="B4768" s="303">
        <v>206.03469999999999</v>
      </c>
      <c r="C4768" s="308">
        <v>1.8714490058576101</v>
      </c>
    </row>
    <row r="4769" spans="1:3" x14ac:dyDescent="0.35">
      <c r="A4769" s="305">
        <v>41397</v>
      </c>
      <c r="B4769" s="306">
        <v>206.02029999999999</v>
      </c>
      <c r="C4769" s="309">
        <v>1.8684088733475199</v>
      </c>
    </row>
    <row r="4770" spans="1:3" x14ac:dyDescent="0.35">
      <c r="A4770" s="302">
        <v>41396</v>
      </c>
      <c r="B4770" s="303">
        <v>206.00579999999999</v>
      </c>
      <c r="C4770" s="308">
        <v>1.86531904951455</v>
      </c>
    </row>
    <row r="4771" spans="1:3" x14ac:dyDescent="0.35">
      <c r="A4771" s="305">
        <v>41395</v>
      </c>
      <c r="B4771" s="306">
        <v>205.9914</v>
      </c>
      <c r="C4771" s="309">
        <v>1.8622784279324001</v>
      </c>
    </row>
    <row r="4772" spans="1:3" x14ac:dyDescent="0.35">
      <c r="A4772" s="302">
        <v>41394</v>
      </c>
      <c r="B4772" s="303">
        <v>205.977</v>
      </c>
      <c r="C4772" s="308">
        <v>1.85923756276046</v>
      </c>
    </row>
    <row r="4773" spans="1:3" x14ac:dyDescent="0.35">
      <c r="A4773" s="305">
        <v>41393</v>
      </c>
      <c r="B4773" s="306">
        <v>205.96260000000001</v>
      </c>
      <c r="C4773" s="309">
        <v>1.85619645396945</v>
      </c>
    </row>
    <row r="4774" spans="1:3" x14ac:dyDescent="0.35">
      <c r="A4774" s="302">
        <v>41392</v>
      </c>
      <c r="B4774" s="303">
        <v>205.94820000000001</v>
      </c>
      <c r="C4774" s="308">
        <v>1.8531047293487899</v>
      </c>
    </row>
    <row r="4775" spans="1:3" x14ac:dyDescent="0.35">
      <c r="A4775" s="305">
        <v>41391</v>
      </c>
      <c r="B4775" s="306">
        <v>205.93379999999999</v>
      </c>
      <c r="C4775" s="309">
        <v>1.85006313271818</v>
      </c>
    </row>
    <row r="4776" spans="1:3" x14ac:dyDescent="0.35">
      <c r="A4776" s="302">
        <v>41390</v>
      </c>
      <c r="B4776" s="303">
        <v>205.9194</v>
      </c>
      <c r="C4776" s="308">
        <v>1.8470212923807401</v>
      </c>
    </row>
    <row r="4777" spans="1:3" x14ac:dyDescent="0.35">
      <c r="A4777" s="305">
        <v>41389</v>
      </c>
      <c r="B4777" s="306">
        <v>205.905</v>
      </c>
      <c r="C4777" s="309">
        <v>1.84397920830718</v>
      </c>
    </row>
    <row r="4778" spans="1:3" x14ac:dyDescent="0.35">
      <c r="A4778" s="302">
        <v>41388</v>
      </c>
      <c r="B4778" s="303">
        <v>205.89060000000001</v>
      </c>
      <c r="C4778" s="308">
        <v>1.8409368804682</v>
      </c>
    </row>
    <row r="4779" spans="1:3" x14ac:dyDescent="0.35">
      <c r="A4779" s="305">
        <v>41387</v>
      </c>
      <c r="B4779" s="306">
        <v>205.87620000000001</v>
      </c>
      <c r="C4779" s="309">
        <v>1.8378943088345101</v>
      </c>
    </row>
    <row r="4780" spans="1:3" x14ac:dyDescent="0.35">
      <c r="A4780" s="302">
        <v>41386</v>
      </c>
      <c r="B4780" s="303">
        <v>205.86179999999999</v>
      </c>
      <c r="C4780" s="308">
        <v>1.83480111816463</v>
      </c>
    </row>
    <row r="4781" spans="1:3" x14ac:dyDescent="0.35">
      <c r="A4781" s="305">
        <v>41385</v>
      </c>
      <c r="B4781" s="306">
        <v>205.84739999999999</v>
      </c>
      <c r="C4781" s="309">
        <v>1.83175805834042</v>
      </c>
    </row>
    <row r="4782" spans="1:3" x14ac:dyDescent="0.35">
      <c r="A4782" s="302">
        <v>41384</v>
      </c>
      <c r="B4782" s="303">
        <v>205.8331</v>
      </c>
      <c r="C4782" s="308">
        <v>1.8287642261541099</v>
      </c>
    </row>
    <row r="4783" spans="1:3" x14ac:dyDescent="0.35">
      <c r="A4783" s="305">
        <v>41383</v>
      </c>
      <c r="B4783" s="306">
        <v>205.81870000000001</v>
      </c>
      <c r="C4783" s="309">
        <v>1.82572068051793</v>
      </c>
    </row>
    <row r="4784" spans="1:3" x14ac:dyDescent="0.35">
      <c r="A4784" s="302">
        <v>41382</v>
      </c>
      <c r="B4784" s="303">
        <v>205.80430000000001</v>
      </c>
      <c r="C4784" s="308">
        <v>1.8226768909406901</v>
      </c>
    </row>
    <row r="4785" spans="1:3" x14ac:dyDescent="0.35">
      <c r="A4785" s="305">
        <v>41381</v>
      </c>
      <c r="B4785" s="306">
        <v>205.78989999999999</v>
      </c>
      <c r="C4785" s="309">
        <v>1.8195824796412701</v>
      </c>
    </row>
    <row r="4786" spans="1:3" x14ac:dyDescent="0.35">
      <c r="A4786" s="302">
        <v>41380</v>
      </c>
      <c r="B4786" s="303">
        <v>205.77549999999999</v>
      </c>
      <c r="C4786" s="308">
        <v>1.81653820158116</v>
      </c>
    </row>
    <row r="4787" spans="1:3" x14ac:dyDescent="0.35">
      <c r="A4787" s="305">
        <v>41379</v>
      </c>
      <c r="B4787" s="306">
        <v>205.7611</v>
      </c>
      <c r="C4787" s="309">
        <v>1.81349367949208</v>
      </c>
    </row>
    <row r="4788" spans="1:3" x14ac:dyDescent="0.35">
      <c r="A4788" s="302">
        <v>41378</v>
      </c>
      <c r="B4788" s="303">
        <v>205.7319</v>
      </c>
      <c r="C4788" s="308">
        <v>1.81899617186282</v>
      </c>
    </row>
    <row r="4789" spans="1:3" x14ac:dyDescent="0.35">
      <c r="A4789" s="305">
        <v>41377</v>
      </c>
      <c r="B4789" s="306">
        <v>205.7028</v>
      </c>
      <c r="C4789" s="309">
        <v>1.82460072627623</v>
      </c>
    </row>
    <row r="4790" spans="1:3" x14ac:dyDescent="0.35">
      <c r="A4790" s="302">
        <v>41376</v>
      </c>
      <c r="B4790" s="303">
        <v>205.6737</v>
      </c>
      <c r="C4790" s="308">
        <v>1.83015706723333</v>
      </c>
    </row>
    <row r="4791" spans="1:3" x14ac:dyDescent="0.35">
      <c r="A4791" s="305">
        <v>41375</v>
      </c>
      <c r="B4791" s="306">
        <v>205.6446</v>
      </c>
      <c r="C4791" s="309">
        <v>1.83571558738937</v>
      </c>
    </row>
    <row r="4792" spans="1:3" x14ac:dyDescent="0.35">
      <c r="A4792" s="302">
        <v>41374</v>
      </c>
      <c r="B4792" s="303">
        <v>205.61539999999999</v>
      </c>
      <c r="C4792" s="308">
        <v>1.84122675806595</v>
      </c>
    </row>
    <row r="4793" spans="1:3" x14ac:dyDescent="0.35">
      <c r="A4793" s="305">
        <v>41373</v>
      </c>
      <c r="B4793" s="306">
        <v>205.58629999999999</v>
      </c>
      <c r="C4793" s="309">
        <v>1.8467896307510601</v>
      </c>
    </row>
    <row r="4794" spans="1:3" x14ac:dyDescent="0.35">
      <c r="A4794" s="302">
        <v>41372</v>
      </c>
      <c r="B4794" s="303">
        <v>205.55719999999999</v>
      </c>
      <c r="C4794" s="308">
        <v>1.85235468648114</v>
      </c>
    </row>
    <row r="4795" spans="1:3" x14ac:dyDescent="0.35">
      <c r="A4795" s="305">
        <v>41371</v>
      </c>
      <c r="B4795" s="306">
        <v>205.52809999999999</v>
      </c>
      <c r="C4795" s="309">
        <v>1.8579219265414899</v>
      </c>
    </row>
    <row r="4796" spans="1:3" x14ac:dyDescent="0.35">
      <c r="A4796" s="302">
        <v>41370</v>
      </c>
      <c r="B4796" s="303">
        <v>205.499</v>
      </c>
      <c r="C4796" s="308">
        <v>1.8634913522184</v>
      </c>
    </row>
    <row r="4797" spans="1:3" x14ac:dyDescent="0.35">
      <c r="A4797" s="305">
        <v>41369</v>
      </c>
      <c r="B4797" s="306">
        <v>205.4699</v>
      </c>
      <c r="C4797" s="309">
        <v>1.8690629647992101</v>
      </c>
    </row>
    <row r="4798" spans="1:3" x14ac:dyDescent="0.35">
      <c r="A4798" s="302">
        <v>41368</v>
      </c>
      <c r="B4798" s="303">
        <v>205.4408</v>
      </c>
      <c r="C4798" s="308">
        <v>1.8745862476786499</v>
      </c>
    </row>
    <row r="4799" spans="1:3" x14ac:dyDescent="0.35">
      <c r="A4799" s="305">
        <v>41367</v>
      </c>
      <c r="B4799" s="306">
        <v>205.4117</v>
      </c>
      <c r="C4799" s="309">
        <v>1.8801622252454999</v>
      </c>
    </row>
    <row r="4800" spans="1:3" x14ac:dyDescent="0.35">
      <c r="A4800" s="302">
        <v>41366</v>
      </c>
      <c r="B4800" s="303">
        <v>205.3826</v>
      </c>
      <c r="C4800" s="308">
        <v>1.88568985035326</v>
      </c>
    </row>
    <row r="4801" spans="1:3" x14ac:dyDescent="0.35">
      <c r="A4801" s="305">
        <v>41365</v>
      </c>
      <c r="B4801" s="306">
        <v>205.3535</v>
      </c>
      <c r="C4801" s="309">
        <v>1.89127019804328</v>
      </c>
    </row>
    <row r="4802" spans="1:3" x14ac:dyDescent="0.35">
      <c r="A4802" s="302">
        <v>41364</v>
      </c>
      <c r="B4802" s="303">
        <v>205.3244</v>
      </c>
      <c r="C4802" s="308">
        <v>1.8968021704963201</v>
      </c>
    </row>
    <row r="4803" spans="1:3" x14ac:dyDescent="0.35">
      <c r="A4803" s="305">
        <v>41363</v>
      </c>
      <c r="B4803" s="306">
        <v>205.2954</v>
      </c>
      <c r="C4803" s="309">
        <v>1.9023859491677899</v>
      </c>
    </row>
    <row r="4804" spans="1:3" x14ac:dyDescent="0.35">
      <c r="A4804" s="302">
        <v>41362</v>
      </c>
      <c r="B4804" s="303">
        <v>205.2663</v>
      </c>
      <c r="C4804" s="308">
        <v>1.90797286509201</v>
      </c>
    </row>
    <row r="4805" spans="1:3" x14ac:dyDescent="0.35">
      <c r="A4805" s="305">
        <v>41361</v>
      </c>
      <c r="B4805" s="306">
        <v>205.2372</v>
      </c>
      <c r="C4805" s="309">
        <v>1.9135113715757499</v>
      </c>
    </row>
    <row r="4806" spans="1:3" x14ac:dyDescent="0.35">
      <c r="A4806" s="302">
        <v>41360</v>
      </c>
      <c r="B4806" s="303">
        <v>205.20820000000001</v>
      </c>
      <c r="C4806" s="308">
        <v>1.9191017173576399</v>
      </c>
    </row>
    <row r="4807" spans="1:3" x14ac:dyDescent="0.35">
      <c r="A4807" s="305">
        <v>41359</v>
      </c>
      <c r="B4807" s="306">
        <v>205.17910000000001</v>
      </c>
      <c r="C4807" s="309">
        <v>1.9246445810753501</v>
      </c>
    </row>
    <row r="4808" spans="1:3" x14ac:dyDescent="0.35">
      <c r="A4808" s="302">
        <v>41358</v>
      </c>
      <c r="B4808" s="303">
        <v>205.15</v>
      </c>
      <c r="C4808" s="308">
        <v>1.9301896204609601</v>
      </c>
    </row>
    <row r="4809" spans="1:3" x14ac:dyDescent="0.35">
      <c r="A4809" s="305">
        <v>41357</v>
      </c>
      <c r="B4809" s="306">
        <v>205.12100000000001</v>
      </c>
      <c r="C4809" s="309">
        <v>1.9357358748232101</v>
      </c>
    </row>
    <row r="4810" spans="1:3" x14ac:dyDescent="0.35">
      <c r="A4810" s="302">
        <v>41356</v>
      </c>
      <c r="B4810" s="303">
        <v>205.09190000000001</v>
      </c>
      <c r="C4810" s="308">
        <v>1.9412852664421001</v>
      </c>
    </row>
    <row r="4811" spans="1:3" x14ac:dyDescent="0.35">
      <c r="A4811" s="305">
        <v>41355</v>
      </c>
      <c r="B4811" s="306">
        <v>205.06290000000001</v>
      </c>
      <c r="C4811" s="309">
        <v>1.94688655250792</v>
      </c>
    </row>
    <row r="4812" spans="1:3" x14ac:dyDescent="0.35">
      <c r="A4812" s="302">
        <v>41354</v>
      </c>
      <c r="B4812" s="303">
        <v>205.03389999999999</v>
      </c>
      <c r="C4812" s="308">
        <v>1.95243934335584</v>
      </c>
    </row>
    <row r="4813" spans="1:3" x14ac:dyDescent="0.35">
      <c r="A4813" s="305">
        <v>41353</v>
      </c>
      <c r="B4813" s="306">
        <v>205.00479999999999</v>
      </c>
      <c r="C4813" s="309">
        <v>1.95799528418012</v>
      </c>
    </row>
    <row r="4814" spans="1:3" x14ac:dyDescent="0.35">
      <c r="A4814" s="302">
        <v>41352</v>
      </c>
      <c r="B4814" s="303">
        <v>204.97579999999999</v>
      </c>
      <c r="C4814" s="308">
        <v>1.9635524316203901</v>
      </c>
    </row>
    <row r="4815" spans="1:3" x14ac:dyDescent="0.35">
      <c r="A4815" s="305">
        <v>41351</v>
      </c>
      <c r="B4815" s="306">
        <v>204.9468</v>
      </c>
      <c r="C4815" s="309">
        <v>1.96911175780179</v>
      </c>
    </row>
    <row r="4816" spans="1:3" x14ac:dyDescent="0.35">
      <c r="A4816" s="302">
        <v>41350</v>
      </c>
      <c r="B4816" s="303">
        <v>204.9177</v>
      </c>
      <c r="C4816" s="308">
        <v>1.9746742466767799</v>
      </c>
    </row>
    <row r="4817" spans="1:3" x14ac:dyDescent="0.35">
      <c r="A4817" s="305">
        <v>41349</v>
      </c>
      <c r="B4817" s="306">
        <v>204.8887</v>
      </c>
      <c r="C4817" s="309">
        <v>1.9802379371480401</v>
      </c>
    </row>
    <row r="4818" spans="1:3" x14ac:dyDescent="0.35">
      <c r="A4818" s="302">
        <v>41348</v>
      </c>
      <c r="B4818" s="303">
        <v>204.8597</v>
      </c>
      <c r="C4818" s="308">
        <v>1.9858038102103399</v>
      </c>
    </row>
    <row r="4819" spans="1:3" x14ac:dyDescent="0.35">
      <c r="A4819" s="305">
        <v>41347</v>
      </c>
      <c r="B4819" s="306">
        <v>204.83779999999999</v>
      </c>
      <c r="C4819" s="309">
        <v>2.0004431818464701</v>
      </c>
    </row>
    <row r="4820" spans="1:3" x14ac:dyDescent="0.35">
      <c r="A4820" s="302">
        <v>41346</v>
      </c>
      <c r="B4820" s="303">
        <v>204.8159</v>
      </c>
      <c r="C4820" s="308">
        <v>2.01514070073183</v>
      </c>
    </row>
    <row r="4821" spans="1:3" x14ac:dyDescent="0.35">
      <c r="A4821" s="305">
        <v>41345</v>
      </c>
      <c r="B4821" s="306">
        <v>204.79400000000001</v>
      </c>
      <c r="C4821" s="309">
        <v>2.0298456006062202</v>
      </c>
    </row>
    <row r="4822" spans="1:3" x14ac:dyDescent="0.35">
      <c r="A4822" s="302">
        <v>41344</v>
      </c>
      <c r="B4822" s="303">
        <v>204.77209999999999</v>
      </c>
      <c r="C4822" s="308">
        <v>2.0445070349540102</v>
      </c>
    </row>
    <row r="4823" spans="1:3" x14ac:dyDescent="0.35">
      <c r="A4823" s="305">
        <v>41343</v>
      </c>
      <c r="B4823" s="306">
        <v>204.75020000000001</v>
      </c>
      <c r="C4823" s="309">
        <v>2.0591758212453399</v>
      </c>
    </row>
    <row r="4824" spans="1:3" x14ac:dyDescent="0.35">
      <c r="A4824" s="302">
        <v>41342</v>
      </c>
      <c r="B4824" s="303">
        <v>204.72829999999999</v>
      </c>
      <c r="C4824" s="308">
        <v>2.0738519650115101</v>
      </c>
    </row>
    <row r="4825" spans="1:3" x14ac:dyDescent="0.35">
      <c r="A4825" s="305">
        <v>41341</v>
      </c>
      <c r="B4825" s="306">
        <v>204.7064</v>
      </c>
      <c r="C4825" s="309">
        <v>2.08853547178939</v>
      </c>
    </row>
    <row r="4826" spans="1:3" x14ac:dyDescent="0.35">
      <c r="A4826" s="302">
        <v>41340</v>
      </c>
      <c r="B4826" s="303">
        <v>204.68450000000001</v>
      </c>
      <c r="C4826" s="308">
        <v>2.1032263471213901</v>
      </c>
    </row>
    <row r="4827" spans="1:3" x14ac:dyDescent="0.35">
      <c r="A4827" s="305">
        <v>41339</v>
      </c>
      <c r="B4827" s="306">
        <v>204.6626</v>
      </c>
      <c r="C4827" s="309">
        <v>2.1179245965555</v>
      </c>
    </row>
    <row r="4828" spans="1:3" x14ac:dyDescent="0.35">
      <c r="A4828" s="302">
        <v>41338</v>
      </c>
      <c r="B4828" s="303">
        <v>204.64070000000001</v>
      </c>
      <c r="C4828" s="308">
        <v>2.1325792530432799</v>
      </c>
    </row>
    <row r="4829" spans="1:3" x14ac:dyDescent="0.35">
      <c r="A4829" s="305">
        <v>41337</v>
      </c>
      <c r="B4829" s="306">
        <v>204.61879999999999</v>
      </c>
      <c r="C4829" s="309">
        <v>2.1472922472036902</v>
      </c>
    </row>
    <row r="4830" spans="1:3" x14ac:dyDescent="0.35">
      <c r="A4830" s="302">
        <v>41336</v>
      </c>
      <c r="B4830" s="303">
        <v>204.59690000000001</v>
      </c>
      <c r="C4830" s="308">
        <v>2.1619616192766502</v>
      </c>
    </row>
    <row r="4831" spans="1:3" x14ac:dyDescent="0.35">
      <c r="A4831" s="305">
        <v>41335</v>
      </c>
      <c r="B4831" s="306">
        <v>204.57499999999999</v>
      </c>
      <c r="C4831" s="309">
        <v>2.1766383473930802</v>
      </c>
    </row>
    <row r="4832" spans="1:3" x14ac:dyDescent="0.35">
      <c r="A4832" s="302">
        <v>41334</v>
      </c>
      <c r="B4832" s="303">
        <v>204.5531</v>
      </c>
      <c r="C4832" s="308">
        <v>2.1913734901959199</v>
      </c>
    </row>
    <row r="4833" spans="1:3" x14ac:dyDescent="0.35">
      <c r="A4833" s="305">
        <v>41333</v>
      </c>
      <c r="B4833" s="306">
        <v>204.53129999999999</v>
      </c>
      <c r="C4833" s="309">
        <v>2.2317090725879001</v>
      </c>
    </row>
    <row r="4834" spans="1:3" x14ac:dyDescent="0.35">
      <c r="A4834" s="302">
        <v>41332</v>
      </c>
      <c r="B4834" s="303">
        <v>204.5094</v>
      </c>
      <c r="C4834" s="308">
        <v>2.2464180401387499</v>
      </c>
    </row>
    <row r="4835" spans="1:3" x14ac:dyDescent="0.35">
      <c r="A4835" s="305">
        <v>41331</v>
      </c>
      <c r="B4835" s="306">
        <v>204.48750000000001</v>
      </c>
      <c r="C4835" s="309">
        <v>2.2611343928467802</v>
      </c>
    </row>
    <row r="4836" spans="1:3" x14ac:dyDescent="0.35">
      <c r="A4836" s="302">
        <v>41330</v>
      </c>
      <c r="B4836" s="303">
        <v>204.46559999999999</v>
      </c>
      <c r="C4836" s="308">
        <v>2.2758069768337599</v>
      </c>
    </row>
    <row r="4837" spans="1:3" x14ac:dyDescent="0.35">
      <c r="A4837" s="305">
        <v>41329</v>
      </c>
      <c r="B4837" s="306">
        <v>204.44380000000001</v>
      </c>
      <c r="C4837" s="309">
        <v>2.2905881299292501</v>
      </c>
    </row>
    <row r="4838" spans="1:3" x14ac:dyDescent="0.35">
      <c r="A4838" s="302">
        <v>41328</v>
      </c>
      <c r="B4838" s="303">
        <v>204.42189999999999</v>
      </c>
      <c r="C4838" s="308">
        <v>2.3052754639777899</v>
      </c>
    </row>
    <row r="4839" spans="1:3" x14ac:dyDescent="0.35">
      <c r="A4839" s="305">
        <v>41327</v>
      </c>
      <c r="B4839" s="306">
        <v>204.4</v>
      </c>
      <c r="C4839" s="309">
        <v>2.3199701650184799</v>
      </c>
    </row>
    <row r="4840" spans="1:3" x14ac:dyDescent="0.35">
      <c r="A4840" s="302">
        <v>41326</v>
      </c>
      <c r="B4840" s="303">
        <v>204.37809999999999</v>
      </c>
      <c r="C4840" s="308">
        <v>2.3346722385955201</v>
      </c>
    </row>
    <row r="4841" spans="1:3" x14ac:dyDescent="0.35">
      <c r="A4841" s="305">
        <v>41325</v>
      </c>
      <c r="B4841" s="306">
        <v>204.3563</v>
      </c>
      <c r="C4841" s="309">
        <v>2.3494317740739099</v>
      </c>
    </row>
    <row r="4842" spans="1:3" x14ac:dyDescent="0.35">
      <c r="A4842" s="302">
        <v>41324</v>
      </c>
      <c r="B4842" s="303">
        <v>204.33439999999999</v>
      </c>
      <c r="C4842" s="308">
        <v>2.3640973412358699</v>
      </c>
    </row>
    <row r="4843" spans="1:3" x14ac:dyDescent="0.35">
      <c r="A4843" s="305">
        <v>41323</v>
      </c>
      <c r="B4843" s="306">
        <v>204.3126</v>
      </c>
      <c r="C4843" s="309">
        <v>2.3788716670040699</v>
      </c>
    </row>
    <row r="4844" spans="1:3" x14ac:dyDescent="0.35">
      <c r="A4844" s="302">
        <v>41322</v>
      </c>
      <c r="B4844" s="303">
        <v>204.29069999999999</v>
      </c>
      <c r="C4844" s="308">
        <v>2.3935519699752201</v>
      </c>
    </row>
    <row r="4845" spans="1:3" x14ac:dyDescent="0.35">
      <c r="A4845" s="305">
        <v>41321</v>
      </c>
      <c r="B4845" s="306">
        <v>204.2689</v>
      </c>
      <c r="C4845" s="309">
        <v>2.4083411082941302</v>
      </c>
    </row>
    <row r="4846" spans="1:3" x14ac:dyDescent="0.35">
      <c r="A4846" s="302">
        <v>41320</v>
      </c>
      <c r="B4846" s="303">
        <v>204.24700000000001</v>
      </c>
      <c r="C4846" s="308">
        <v>2.4230361692770499</v>
      </c>
    </row>
    <row r="4847" spans="1:3" x14ac:dyDescent="0.35">
      <c r="A4847" s="305">
        <v>41319</v>
      </c>
      <c r="B4847" s="306">
        <v>204.24100000000001</v>
      </c>
      <c r="C4847" s="309">
        <v>2.43384513225958</v>
      </c>
    </row>
    <row r="4848" spans="1:3" x14ac:dyDescent="0.35">
      <c r="A4848" s="302">
        <v>41318</v>
      </c>
      <c r="B4848" s="303">
        <v>204.23509999999999</v>
      </c>
      <c r="C4848" s="308">
        <v>2.4447585588369298</v>
      </c>
    </row>
    <row r="4849" spans="1:3" x14ac:dyDescent="0.35">
      <c r="A4849" s="305">
        <v>41317</v>
      </c>
      <c r="B4849" s="306">
        <v>204.22919999999999</v>
      </c>
      <c r="C4849" s="309">
        <v>2.45562354296275</v>
      </c>
    </row>
    <row r="4850" spans="1:3" x14ac:dyDescent="0.35">
      <c r="A4850" s="302">
        <v>41316</v>
      </c>
      <c r="B4850" s="303">
        <v>204.22329999999999</v>
      </c>
      <c r="C4850" s="308">
        <v>2.4665428712345201</v>
      </c>
    </row>
    <row r="4851" spans="1:3" x14ac:dyDescent="0.35">
      <c r="A4851" s="305">
        <v>41315</v>
      </c>
      <c r="B4851" s="306">
        <v>204.21729999999999</v>
      </c>
      <c r="C4851" s="309">
        <v>2.4773635540675301</v>
      </c>
    </row>
    <row r="4852" spans="1:3" x14ac:dyDescent="0.35">
      <c r="A4852" s="302">
        <v>41314</v>
      </c>
      <c r="B4852" s="303">
        <v>204.2114</v>
      </c>
      <c r="C4852" s="308">
        <v>2.48828878202329</v>
      </c>
    </row>
    <row r="4853" spans="1:3" x14ac:dyDescent="0.35">
      <c r="A4853" s="305">
        <v>41313</v>
      </c>
      <c r="B4853" s="306">
        <v>204.2055</v>
      </c>
      <c r="C4853" s="309">
        <v>2.4991655226588798</v>
      </c>
    </row>
    <row r="4854" spans="1:3" x14ac:dyDescent="0.35">
      <c r="A4854" s="302">
        <v>41312</v>
      </c>
      <c r="B4854" s="303">
        <v>204.1995</v>
      </c>
      <c r="C4854" s="308">
        <v>2.50999499998996</v>
      </c>
    </row>
    <row r="4855" spans="1:3" x14ac:dyDescent="0.35">
      <c r="A4855" s="305">
        <v>41311</v>
      </c>
      <c r="B4855" s="306">
        <v>204.1936</v>
      </c>
      <c r="C4855" s="309">
        <v>2.5209290836189302</v>
      </c>
    </row>
    <row r="4856" spans="1:3" x14ac:dyDescent="0.35">
      <c r="A4856" s="302">
        <v>41310</v>
      </c>
      <c r="B4856" s="303">
        <v>204.18770000000001</v>
      </c>
      <c r="C4856" s="308">
        <v>2.5318146462615099</v>
      </c>
    </row>
    <row r="4857" spans="1:3" x14ac:dyDescent="0.35">
      <c r="A4857" s="305">
        <v>41309</v>
      </c>
      <c r="B4857" s="306">
        <v>204.18180000000001</v>
      </c>
      <c r="C4857" s="309">
        <v>2.5427031500792499</v>
      </c>
    </row>
    <row r="4858" spans="1:3" x14ac:dyDescent="0.35">
      <c r="A4858" s="302">
        <v>41308</v>
      </c>
      <c r="B4858" s="303">
        <v>204.17580000000001</v>
      </c>
      <c r="C4858" s="308">
        <v>2.5535443682038301</v>
      </c>
    </row>
    <row r="4859" spans="1:3" x14ac:dyDescent="0.35">
      <c r="A4859" s="305">
        <v>41307</v>
      </c>
      <c r="B4859" s="306">
        <v>204.16990000000001</v>
      </c>
      <c r="C4859" s="309">
        <v>2.56443875116168</v>
      </c>
    </row>
    <row r="4860" spans="1:3" x14ac:dyDescent="0.35">
      <c r="A4860" s="302">
        <v>41306</v>
      </c>
      <c r="B4860" s="303">
        <v>204.16399999999999</v>
      </c>
      <c r="C4860" s="308">
        <v>2.5753876144253902</v>
      </c>
    </row>
    <row r="4861" spans="1:3" x14ac:dyDescent="0.35">
      <c r="A4861" s="305">
        <v>41305</v>
      </c>
      <c r="B4861" s="306">
        <v>204.15809999999999</v>
      </c>
      <c r="C4861" s="309">
        <v>2.5862879005241401</v>
      </c>
    </row>
    <row r="4862" spans="1:3" x14ac:dyDescent="0.35">
      <c r="A4862" s="302">
        <v>41304</v>
      </c>
      <c r="B4862" s="303">
        <v>204.15209999999999</v>
      </c>
      <c r="C4862" s="308">
        <v>2.5971408785220098</v>
      </c>
    </row>
    <row r="4863" spans="1:3" x14ac:dyDescent="0.35">
      <c r="A4863" s="305">
        <v>41303</v>
      </c>
      <c r="B4863" s="306">
        <v>204.14619999999999</v>
      </c>
      <c r="C4863" s="309">
        <v>2.6080470533124398</v>
      </c>
    </row>
    <row r="4864" spans="1:3" x14ac:dyDescent="0.35">
      <c r="A4864" s="302">
        <v>41302</v>
      </c>
      <c r="B4864" s="303">
        <v>204.1403</v>
      </c>
      <c r="C4864" s="308">
        <v>2.6189561776380099</v>
      </c>
    </row>
    <row r="4865" spans="1:3" x14ac:dyDescent="0.35">
      <c r="A4865" s="305">
        <v>41301</v>
      </c>
      <c r="B4865" s="306">
        <v>204.1344</v>
      </c>
      <c r="C4865" s="309">
        <v>2.6298682526953998</v>
      </c>
    </row>
    <row r="4866" spans="1:3" x14ac:dyDescent="0.35">
      <c r="A4866" s="302">
        <v>41300</v>
      </c>
      <c r="B4866" s="303">
        <v>204.1284</v>
      </c>
      <c r="C4866" s="308">
        <v>2.64073299724553</v>
      </c>
    </row>
    <row r="4867" spans="1:3" x14ac:dyDescent="0.35">
      <c r="A4867" s="305">
        <v>41299</v>
      </c>
      <c r="B4867" s="306">
        <v>204.1225</v>
      </c>
      <c r="C4867" s="309">
        <v>2.6515993478494799</v>
      </c>
    </row>
    <row r="4868" spans="1:3" x14ac:dyDescent="0.35">
      <c r="A4868" s="302">
        <v>41298</v>
      </c>
      <c r="B4868" s="303">
        <v>204.11660000000001</v>
      </c>
      <c r="C4868" s="308">
        <v>2.6625202630079299</v>
      </c>
    </row>
    <row r="4869" spans="1:3" x14ac:dyDescent="0.35">
      <c r="A4869" s="305">
        <v>41297</v>
      </c>
      <c r="B4869" s="306">
        <v>204.11070000000001</v>
      </c>
      <c r="C4869" s="309">
        <v>2.6734441336847801</v>
      </c>
    </row>
    <row r="4870" spans="1:3" x14ac:dyDescent="0.35">
      <c r="A4870" s="302">
        <v>41296</v>
      </c>
      <c r="B4870" s="303">
        <v>204.10480000000001</v>
      </c>
      <c r="C4870" s="308">
        <v>2.6843709610799702</v>
      </c>
    </row>
    <row r="4871" spans="1:3" x14ac:dyDescent="0.35">
      <c r="A4871" s="305">
        <v>41295</v>
      </c>
      <c r="B4871" s="306">
        <v>204.09880000000001</v>
      </c>
      <c r="C4871" s="309">
        <v>2.6951987573858198</v>
      </c>
    </row>
    <row r="4872" spans="1:3" x14ac:dyDescent="0.35">
      <c r="A4872" s="302">
        <v>41294</v>
      </c>
      <c r="B4872" s="303">
        <v>204.09289999999999</v>
      </c>
      <c r="C4872" s="308">
        <v>2.7061314825121801</v>
      </c>
    </row>
    <row r="4873" spans="1:3" x14ac:dyDescent="0.35">
      <c r="A4873" s="305">
        <v>41293</v>
      </c>
      <c r="B4873" s="306">
        <v>204.08699999999999</v>
      </c>
      <c r="C4873" s="309">
        <v>2.7170671679538598</v>
      </c>
    </row>
    <row r="4874" spans="1:3" x14ac:dyDescent="0.35">
      <c r="A4874" s="302">
        <v>41292</v>
      </c>
      <c r="B4874" s="303">
        <v>204.08109999999999</v>
      </c>
      <c r="C4874" s="308">
        <v>2.7279541048928899</v>
      </c>
    </row>
    <row r="4875" spans="1:3" x14ac:dyDescent="0.35">
      <c r="A4875" s="305">
        <v>41291</v>
      </c>
      <c r="B4875" s="306">
        <v>204.07509999999999</v>
      </c>
      <c r="C4875" s="309">
        <v>2.7388453584165502</v>
      </c>
    </row>
    <row r="4876" spans="1:3" x14ac:dyDescent="0.35">
      <c r="A4876" s="302">
        <v>41290</v>
      </c>
      <c r="B4876" s="303">
        <v>204.0692</v>
      </c>
      <c r="C4876" s="308">
        <v>2.7497381777169099</v>
      </c>
    </row>
    <row r="4877" spans="1:3" x14ac:dyDescent="0.35">
      <c r="A4877" s="305">
        <v>41289</v>
      </c>
      <c r="B4877" s="306">
        <v>204.0633</v>
      </c>
      <c r="C4877" s="309">
        <v>2.76068568458932</v>
      </c>
    </row>
    <row r="4878" spans="1:3" x14ac:dyDescent="0.35">
      <c r="A4878" s="302">
        <v>41288</v>
      </c>
      <c r="B4878" s="303">
        <v>204.07249999999999</v>
      </c>
      <c r="C4878" s="308">
        <v>2.7699244909408298</v>
      </c>
    </row>
    <row r="4879" spans="1:3" x14ac:dyDescent="0.35">
      <c r="A4879" s="305">
        <v>41287</v>
      </c>
      <c r="B4879" s="306">
        <v>204.08179999999999</v>
      </c>
      <c r="C4879" s="309">
        <v>2.7792662487308801</v>
      </c>
    </row>
    <row r="4880" spans="1:3" x14ac:dyDescent="0.35">
      <c r="A4880" s="302">
        <v>41286</v>
      </c>
      <c r="B4880" s="303">
        <v>204.09100000000001</v>
      </c>
      <c r="C4880" s="308">
        <v>2.7885584893192901</v>
      </c>
    </row>
    <row r="4881" spans="1:3" x14ac:dyDescent="0.35">
      <c r="A4881" s="305">
        <v>41285</v>
      </c>
      <c r="B4881" s="306">
        <v>204.1002</v>
      </c>
      <c r="C4881" s="309">
        <v>2.7977997968221899</v>
      </c>
    </row>
    <row r="4882" spans="1:3" x14ac:dyDescent="0.35">
      <c r="A4882" s="302">
        <v>41284</v>
      </c>
      <c r="B4882" s="303">
        <v>204.10939999999999</v>
      </c>
      <c r="C4882" s="308">
        <v>2.8070937153558302</v>
      </c>
    </row>
    <row r="4883" spans="1:3" x14ac:dyDescent="0.35">
      <c r="A4883" s="305">
        <v>41283</v>
      </c>
      <c r="B4883" s="306">
        <v>204.11869999999999</v>
      </c>
      <c r="C4883" s="309">
        <v>2.8163870579073702</v>
      </c>
    </row>
    <row r="4884" spans="1:3" x14ac:dyDescent="0.35">
      <c r="A4884" s="302">
        <v>41282</v>
      </c>
      <c r="B4884" s="303">
        <v>204.12790000000001</v>
      </c>
      <c r="C4884" s="308">
        <v>2.8256826571239699</v>
      </c>
    </row>
    <row r="4885" spans="1:3" x14ac:dyDescent="0.35">
      <c r="A4885" s="305">
        <v>41281</v>
      </c>
      <c r="B4885" s="306">
        <v>204.1371</v>
      </c>
      <c r="C4885" s="309">
        <v>2.83497909922654</v>
      </c>
    </row>
    <row r="4886" spans="1:3" x14ac:dyDescent="0.35">
      <c r="A4886" s="302">
        <v>41280</v>
      </c>
      <c r="B4886" s="303">
        <v>204.1463</v>
      </c>
      <c r="C4886" s="308">
        <v>2.8442245737416298</v>
      </c>
    </row>
    <row r="4887" spans="1:3" x14ac:dyDescent="0.35">
      <c r="A4887" s="305">
        <v>41279</v>
      </c>
      <c r="B4887" s="306">
        <v>204.15559999999999</v>
      </c>
      <c r="C4887" s="309">
        <v>2.8535730749175698</v>
      </c>
    </row>
    <row r="4888" spans="1:3" x14ac:dyDescent="0.35">
      <c r="A4888" s="302">
        <v>41278</v>
      </c>
      <c r="B4888" s="303">
        <v>204.16480000000001</v>
      </c>
      <c r="C4888" s="308">
        <v>2.86282021698627</v>
      </c>
    </row>
    <row r="4889" spans="1:3" x14ac:dyDescent="0.35">
      <c r="A4889" s="305">
        <v>41277</v>
      </c>
      <c r="B4889" s="306">
        <v>204.17400000000001</v>
      </c>
      <c r="C4889" s="309">
        <v>2.8721200199925798</v>
      </c>
    </row>
    <row r="4890" spans="1:3" x14ac:dyDescent="0.35">
      <c r="A4890" s="302">
        <v>41276</v>
      </c>
      <c r="B4890" s="303">
        <v>204.1832</v>
      </c>
      <c r="C4890" s="308">
        <v>2.8813688278066598</v>
      </c>
    </row>
    <row r="4891" spans="1:3" x14ac:dyDescent="0.35">
      <c r="A4891" s="305">
        <v>41275</v>
      </c>
      <c r="B4891" s="306">
        <v>204.1925</v>
      </c>
      <c r="C4891" s="309">
        <v>2.8907206998841599</v>
      </c>
    </row>
    <row r="4892" spans="1:3" x14ac:dyDescent="0.35">
      <c r="A4892" s="302">
        <v>41274</v>
      </c>
      <c r="B4892" s="303">
        <v>204.20169999999999</v>
      </c>
      <c r="C4892" s="308">
        <v>2.9000230288535902</v>
      </c>
    </row>
    <row r="4893" spans="1:3" x14ac:dyDescent="0.35">
      <c r="A4893" s="305">
        <v>41273</v>
      </c>
      <c r="B4893" s="306">
        <v>204.21090000000001</v>
      </c>
      <c r="C4893" s="309">
        <v>2.9092743418844602</v>
      </c>
    </row>
    <row r="4894" spans="1:3" x14ac:dyDescent="0.35">
      <c r="A4894" s="302">
        <v>41272</v>
      </c>
      <c r="B4894" s="303">
        <v>204.2201</v>
      </c>
      <c r="C4894" s="308">
        <v>2.9185783515296202</v>
      </c>
    </row>
    <row r="4895" spans="1:3" x14ac:dyDescent="0.35">
      <c r="A4895" s="305">
        <v>41271</v>
      </c>
      <c r="B4895" s="306">
        <v>204.2294</v>
      </c>
      <c r="C4895" s="309">
        <v>2.9278817296047399</v>
      </c>
    </row>
    <row r="4896" spans="1:3" x14ac:dyDescent="0.35">
      <c r="A4896" s="302">
        <v>41270</v>
      </c>
      <c r="B4896" s="303">
        <v>204.23859999999999</v>
      </c>
      <c r="C4896" s="308">
        <v>2.9371874226668</v>
      </c>
    </row>
    <row r="4897" spans="1:3" x14ac:dyDescent="0.35">
      <c r="A4897" s="305">
        <v>41269</v>
      </c>
      <c r="B4897" s="306">
        <v>204.24780000000001</v>
      </c>
      <c r="C4897" s="309">
        <v>2.9464420721565299</v>
      </c>
    </row>
    <row r="4898" spans="1:3" x14ac:dyDescent="0.35">
      <c r="A4898" s="302">
        <v>41268</v>
      </c>
      <c r="B4898" s="303">
        <v>204.25710000000001</v>
      </c>
      <c r="C4898" s="308">
        <v>2.9557998518092901</v>
      </c>
    </row>
    <row r="4899" spans="1:3" x14ac:dyDescent="0.35">
      <c r="A4899" s="305">
        <v>41267</v>
      </c>
      <c r="B4899" s="306">
        <v>204.2663</v>
      </c>
      <c r="C4899" s="309">
        <v>2.9650561713363102</v>
      </c>
    </row>
    <row r="4900" spans="1:3" x14ac:dyDescent="0.35">
      <c r="A4900" s="302">
        <v>41266</v>
      </c>
      <c r="B4900" s="303">
        <v>204.27549999999999</v>
      </c>
      <c r="C4900" s="308">
        <v>2.9743652303136798</v>
      </c>
    </row>
    <row r="4901" spans="1:3" x14ac:dyDescent="0.35">
      <c r="A4901" s="305">
        <v>41265</v>
      </c>
      <c r="B4901" s="306">
        <v>204.28479999999999</v>
      </c>
      <c r="C4901" s="309">
        <v>2.9836736298825102</v>
      </c>
    </row>
    <row r="4902" spans="1:3" x14ac:dyDescent="0.35">
      <c r="A4902" s="302">
        <v>41264</v>
      </c>
      <c r="B4902" s="303">
        <v>204.29400000000001</v>
      </c>
      <c r="C4902" s="308">
        <v>2.99298437364512</v>
      </c>
    </row>
    <row r="4903" spans="1:3" x14ac:dyDescent="0.35">
      <c r="A4903" s="305">
        <v>41263</v>
      </c>
      <c r="B4903" s="306">
        <v>204.3032</v>
      </c>
      <c r="C4903" s="309">
        <v>3.0022440323410899</v>
      </c>
    </row>
    <row r="4904" spans="1:3" x14ac:dyDescent="0.35">
      <c r="A4904" s="302">
        <v>41262</v>
      </c>
      <c r="B4904" s="303">
        <v>204.3125</v>
      </c>
      <c r="C4904" s="308">
        <v>3.0116068777090601</v>
      </c>
    </row>
    <row r="4905" spans="1:3" x14ac:dyDescent="0.35">
      <c r="A4905" s="305">
        <v>41261</v>
      </c>
      <c r="B4905" s="306">
        <v>204.32169999999999</v>
      </c>
      <c r="C4905" s="309">
        <v>3.0209201518880402</v>
      </c>
    </row>
    <row r="4906" spans="1:3" x14ac:dyDescent="0.35">
      <c r="A4906" s="302">
        <v>41260</v>
      </c>
      <c r="B4906" s="303">
        <v>204.33090000000001</v>
      </c>
      <c r="C4906" s="308">
        <v>3.0301823202135498</v>
      </c>
    </row>
    <row r="4907" spans="1:3" x14ac:dyDescent="0.35">
      <c r="A4907" s="305">
        <v>41259</v>
      </c>
      <c r="B4907" s="306">
        <v>204.34020000000001</v>
      </c>
      <c r="C4907" s="309">
        <v>3.0395477035223202</v>
      </c>
    </row>
    <row r="4908" spans="1:3" x14ac:dyDescent="0.35">
      <c r="A4908" s="302">
        <v>41258</v>
      </c>
      <c r="B4908" s="303">
        <v>204.3494</v>
      </c>
      <c r="C4908" s="308">
        <v>3.0488115439213099</v>
      </c>
    </row>
    <row r="4909" spans="1:3" x14ac:dyDescent="0.35">
      <c r="A4909" s="305">
        <v>41257</v>
      </c>
      <c r="B4909" s="306">
        <v>204.33850000000001</v>
      </c>
      <c r="C4909" s="309">
        <v>3.0498626008556098</v>
      </c>
    </row>
    <row r="4910" spans="1:3" x14ac:dyDescent="0.35">
      <c r="A4910" s="302">
        <v>41256</v>
      </c>
      <c r="B4910" s="303">
        <v>204.32769999999999</v>
      </c>
      <c r="C4910" s="308">
        <v>3.0509122526709902</v>
      </c>
    </row>
    <row r="4911" spans="1:3" x14ac:dyDescent="0.35">
      <c r="A4911" s="305">
        <v>41255</v>
      </c>
      <c r="B4911" s="306">
        <v>204.3168</v>
      </c>
      <c r="C4911" s="309">
        <v>3.0519635761689599</v>
      </c>
    </row>
    <row r="4912" spans="1:3" x14ac:dyDescent="0.35">
      <c r="A4912" s="302">
        <v>41254</v>
      </c>
      <c r="B4912" s="303">
        <v>204.30590000000001</v>
      </c>
      <c r="C4912" s="308">
        <v>3.0529630528218199</v>
      </c>
    </row>
    <row r="4913" spans="1:3" x14ac:dyDescent="0.35">
      <c r="A4913" s="305">
        <v>41253</v>
      </c>
      <c r="B4913" s="306">
        <v>204.29499999999999</v>
      </c>
      <c r="C4913" s="309">
        <v>3.0540146397788099</v>
      </c>
    </row>
    <row r="4914" spans="1:3" x14ac:dyDescent="0.35">
      <c r="A4914" s="302">
        <v>41252</v>
      </c>
      <c r="B4914" s="303">
        <v>204.2841</v>
      </c>
      <c r="C4914" s="308">
        <v>3.0550143723244201</v>
      </c>
    </row>
    <row r="4915" spans="1:3" x14ac:dyDescent="0.35">
      <c r="A4915" s="305">
        <v>41251</v>
      </c>
      <c r="B4915" s="306">
        <v>204.2732</v>
      </c>
      <c r="C4915" s="309">
        <v>3.0560142309615199</v>
      </c>
    </row>
    <row r="4916" spans="1:3" x14ac:dyDescent="0.35">
      <c r="A4916" s="302">
        <v>41250</v>
      </c>
      <c r="B4916" s="303">
        <v>204.26230000000001</v>
      </c>
      <c r="C4916" s="308">
        <v>3.0570662113761098</v>
      </c>
    </row>
    <row r="4917" spans="1:3" x14ac:dyDescent="0.35">
      <c r="A4917" s="305">
        <v>41249</v>
      </c>
      <c r="B4917" s="306">
        <v>204.25149999999999</v>
      </c>
      <c r="C4917" s="309">
        <v>3.0581167825315601</v>
      </c>
    </row>
    <row r="4918" spans="1:3" x14ac:dyDescent="0.35">
      <c r="A4918" s="302">
        <v>41248</v>
      </c>
      <c r="B4918" s="303">
        <v>204.2406</v>
      </c>
      <c r="C4918" s="308">
        <v>3.0591690298620402</v>
      </c>
    </row>
    <row r="4919" spans="1:3" x14ac:dyDescent="0.35">
      <c r="A4919" s="305">
        <v>41247</v>
      </c>
      <c r="B4919" s="306">
        <v>204.22970000000001</v>
      </c>
      <c r="C4919" s="309">
        <v>3.0601694038568801</v>
      </c>
    </row>
    <row r="4920" spans="1:3" x14ac:dyDescent="0.35">
      <c r="A4920" s="302">
        <v>41246</v>
      </c>
      <c r="B4920" s="303">
        <v>204.21879999999999</v>
      </c>
      <c r="C4920" s="308">
        <v>3.0611699040640299</v>
      </c>
    </row>
    <row r="4921" spans="1:3" x14ac:dyDescent="0.35">
      <c r="A4921" s="305">
        <v>41245</v>
      </c>
      <c r="B4921" s="306">
        <v>204.2079</v>
      </c>
      <c r="C4921" s="309">
        <v>3.0622225452255099</v>
      </c>
    </row>
    <row r="4922" spans="1:3" x14ac:dyDescent="0.35">
      <c r="A4922" s="302">
        <v>41244</v>
      </c>
      <c r="B4922" s="303">
        <v>204.197</v>
      </c>
      <c r="C4922" s="308">
        <v>3.06322330171571</v>
      </c>
    </row>
    <row r="4923" spans="1:3" x14ac:dyDescent="0.35">
      <c r="A4923" s="305">
        <v>41243</v>
      </c>
      <c r="B4923" s="306">
        <v>204.18620000000001</v>
      </c>
      <c r="C4923" s="309">
        <v>3.06432668249247</v>
      </c>
    </row>
    <row r="4924" spans="1:3" x14ac:dyDescent="0.35">
      <c r="A4924" s="302">
        <v>41242</v>
      </c>
      <c r="B4924" s="303">
        <v>204.17529999999999</v>
      </c>
      <c r="C4924" s="308">
        <v>3.0653276985484301</v>
      </c>
    </row>
    <row r="4925" spans="1:3" x14ac:dyDescent="0.35">
      <c r="A4925" s="305">
        <v>41241</v>
      </c>
      <c r="B4925" s="306">
        <v>204.1644</v>
      </c>
      <c r="C4925" s="309">
        <v>3.0663288409376901</v>
      </c>
    </row>
    <row r="4926" spans="1:3" x14ac:dyDescent="0.35">
      <c r="A4926" s="302">
        <v>41240</v>
      </c>
      <c r="B4926" s="303">
        <v>204.15350000000001</v>
      </c>
      <c r="C4926" s="308">
        <v>3.0673821434719799</v>
      </c>
    </row>
    <row r="4927" spans="1:3" x14ac:dyDescent="0.35">
      <c r="A4927" s="305">
        <v>41239</v>
      </c>
      <c r="B4927" s="306">
        <v>204.14259999999999</v>
      </c>
      <c r="C4927" s="309">
        <v>3.06838354238907</v>
      </c>
    </row>
    <row r="4928" spans="1:3" x14ac:dyDescent="0.35">
      <c r="A4928" s="302">
        <v>41238</v>
      </c>
      <c r="B4928" s="303">
        <v>204.1318</v>
      </c>
      <c r="C4928" s="308">
        <v>3.0694355593233502</v>
      </c>
    </row>
    <row r="4929" spans="1:3" x14ac:dyDescent="0.35">
      <c r="A4929" s="305">
        <v>41237</v>
      </c>
      <c r="B4929" s="306">
        <v>204.12090000000001</v>
      </c>
      <c r="C4929" s="309">
        <v>3.0704892594984599</v>
      </c>
    </row>
    <row r="4930" spans="1:3" x14ac:dyDescent="0.35">
      <c r="A4930" s="302">
        <v>41236</v>
      </c>
      <c r="B4930" s="303">
        <v>204.11</v>
      </c>
      <c r="C4930" s="308">
        <v>3.0714910446826602</v>
      </c>
    </row>
    <row r="4931" spans="1:3" x14ac:dyDescent="0.35">
      <c r="A4931" s="305">
        <v>41235</v>
      </c>
      <c r="B4931" s="306">
        <v>204.09909999999999</v>
      </c>
      <c r="C4931" s="309">
        <v>3.0724929563452501</v>
      </c>
    </row>
    <row r="4932" spans="1:3" x14ac:dyDescent="0.35">
      <c r="A4932" s="302">
        <v>41234</v>
      </c>
      <c r="B4932" s="303">
        <v>204.0882</v>
      </c>
      <c r="C4932" s="308">
        <v>3.0734949945101699</v>
      </c>
    </row>
    <row r="4933" spans="1:3" x14ac:dyDescent="0.35">
      <c r="A4933" s="305">
        <v>41233</v>
      </c>
      <c r="B4933" s="306">
        <v>204.07740000000001</v>
      </c>
      <c r="C4933" s="309">
        <v>3.07459972725895</v>
      </c>
    </row>
    <row r="4934" spans="1:3" x14ac:dyDescent="0.35">
      <c r="A4934" s="302">
        <v>41232</v>
      </c>
      <c r="B4934" s="303">
        <v>204.06649999999999</v>
      </c>
      <c r="C4934" s="308">
        <v>3.0756020254826901</v>
      </c>
    </row>
    <row r="4935" spans="1:3" x14ac:dyDescent="0.35">
      <c r="A4935" s="305">
        <v>41231</v>
      </c>
      <c r="B4935" s="306">
        <v>204.0556</v>
      </c>
      <c r="C4935" s="309">
        <v>3.0766044502816201</v>
      </c>
    </row>
    <row r="4936" spans="1:3" x14ac:dyDescent="0.35">
      <c r="A4936" s="302">
        <v>41230</v>
      </c>
      <c r="B4936" s="303">
        <v>204.04470000000001</v>
      </c>
      <c r="C4936" s="308">
        <v>3.0776590735954699</v>
      </c>
    </row>
    <row r="4937" spans="1:3" x14ac:dyDescent="0.35">
      <c r="A4937" s="305">
        <v>41229</v>
      </c>
      <c r="B4937" s="306">
        <v>204.03389999999999</v>
      </c>
      <c r="C4937" s="309">
        <v>3.0787122757968501</v>
      </c>
    </row>
    <row r="4938" spans="1:3" x14ac:dyDescent="0.35">
      <c r="A4938" s="302">
        <v>41228</v>
      </c>
      <c r="B4938" s="303">
        <v>204.023</v>
      </c>
      <c r="C4938" s="308">
        <v>3.0797150874512602</v>
      </c>
    </row>
    <row r="4939" spans="1:3" x14ac:dyDescent="0.35">
      <c r="A4939" s="305">
        <v>41227</v>
      </c>
      <c r="B4939" s="306">
        <v>204.00389999999999</v>
      </c>
      <c r="C4939" s="309">
        <v>3.0803769031608699</v>
      </c>
    </row>
    <row r="4940" spans="1:3" x14ac:dyDescent="0.35">
      <c r="A4940" s="302">
        <v>41226</v>
      </c>
      <c r="B4940" s="303">
        <v>203.98480000000001</v>
      </c>
      <c r="C4940" s="308">
        <v>3.0809867606862298</v>
      </c>
    </row>
    <row r="4941" spans="1:3" x14ac:dyDescent="0.35">
      <c r="A4941" s="305">
        <v>41225</v>
      </c>
      <c r="B4941" s="306">
        <v>203.9658</v>
      </c>
      <c r="C4941" s="309">
        <v>3.08169937448229</v>
      </c>
    </row>
    <row r="4942" spans="1:3" x14ac:dyDescent="0.35">
      <c r="A4942" s="302">
        <v>41224</v>
      </c>
      <c r="B4942" s="303">
        <v>203.94669999999999</v>
      </c>
      <c r="C4942" s="308">
        <v>3.0823615871351899</v>
      </c>
    </row>
    <row r="4943" spans="1:3" x14ac:dyDescent="0.35">
      <c r="A4943" s="305">
        <v>41223</v>
      </c>
      <c r="B4943" s="306">
        <v>203.92769999999999</v>
      </c>
      <c r="C4943" s="309">
        <v>3.0830223739135798</v>
      </c>
    </row>
    <row r="4944" spans="1:3" x14ac:dyDescent="0.35">
      <c r="A4944" s="302">
        <v>41222</v>
      </c>
      <c r="B4944" s="303">
        <v>203.90860000000001</v>
      </c>
      <c r="C4944" s="308">
        <v>3.0836848512300801</v>
      </c>
    </row>
    <row r="4945" spans="1:3" x14ac:dyDescent="0.35">
      <c r="A4945" s="305">
        <v>41221</v>
      </c>
      <c r="B4945" s="306">
        <v>203.8896</v>
      </c>
      <c r="C4945" s="309">
        <v>3.0843459017711301</v>
      </c>
    </row>
    <row r="4946" spans="1:3" x14ac:dyDescent="0.35">
      <c r="A4946" s="302">
        <v>41220</v>
      </c>
      <c r="B4946" s="303">
        <v>203.87049999999999</v>
      </c>
      <c r="C4946" s="308">
        <v>3.0850086439098501</v>
      </c>
    </row>
    <row r="4947" spans="1:3" x14ac:dyDescent="0.35">
      <c r="A4947" s="305">
        <v>41219</v>
      </c>
      <c r="B4947" s="306">
        <v>203.85149999999999</v>
      </c>
      <c r="C4947" s="309">
        <v>3.0856699583716001</v>
      </c>
    </row>
    <row r="4948" spans="1:3" x14ac:dyDescent="0.35">
      <c r="A4948" s="302">
        <v>41218</v>
      </c>
      <c r="B4948" s="303">
        <v>203.83250000000001</v>
      </c>
      <c r="C4948" s="308">
        <v>3.0863314046079999</v>
      </c>
    </row>
    <row r="4949" spans="1:3" x14ac:dyDescent="0.35">
      <c r="A4949" s="305">
        <v>41217</v>
      </c>
      <c r="B4949" s="306">
        <v>203.8134</v>
      </c>
      <c r="C4949" s="309">
        <v>3.08699454403189</v>
      </c>
    </row>
    <row r="4950" spans="1:3" x14ac:dyDescent="0.35">
      <c r="A4950" s="302">
        <v>41216</v>
      </c>
      <c r="B4950" s="303">
        <v>203.7944</v>
      </c>
      <c r="C4950" s="308">
        <v>3.0876562544261099</v>
      </c>
    </row>
    <row r="4951" spans="1:3" x14ac:dyDescent="0.35">
      <c r="A4951" s="305">
        <v>41215</v>
      </c>
      <c r="B4951" s="306">
        <v>203.77529999999999</v>
      </c>
      <c r="C4951" s="309">
        <v>3.0883196590691799</v>
      </c>
    </row>
    <row r="4952" spans="1:3" x14ac:dyDescent="0.35">
      <c r="A4952" s="302">
        <v>41214</v>
      </c>
      <c r="B4952" s="303">
        <v>203.75630000000001</v>
      </c>
      <c r="C4952" s="308">
        <v>3.0889816337795599</v>
      </c>
    </row>
    <row r="4953" spans="1:3" x14ac:dyDescent="0.35">
      <c r="A4953" s="305">
        <v>41213</v>
      </c>
      <c r="B4953" s="306">
        <v>203.7373</v>
      </c>
      <c r="C4953" s="309">
        <v>3.0896437404620301</v>
      </c>
    </row>
    <row r="4954" spans="1:3" x14ac:dyDescent="0.35">
      <c r="A4954" s="302">
        <v>41212</v>
      </c>
      <c r="B4954" s="303">
        <v>203.7182</v>
      </c>
      <c r="C4954" s="308">
        <v>3.09030754298588</v>
      </c>
    </row>
    <row r="4955" spans="1:3" x14ac:dyDescent="0.35">
      <c r="A4955" s="305">
        <v>41211</v>
      </c>
      <c r="B4955" s="306">
        <v>203.69919999999999</v>
      </c>
      <c r="C4955" s="309">
        <v>3.0909699142221099</v>
      </c>
    </row>
    <row r="4956" spans="1:3" x14ac:dyDescent="0.35">
      <c r="A4956" s="302">
        <v>41210</v>
      </c>
      <c r="B4956" s="303">
        <v>203.68020000000001</v>
      </c>
      <c r="C4956" s="308">
        <v>3.0916324175490502</v>
      </c>
    </row>
    <row r="4957" spans="1:3" x14ac:dyDescent="0.35">
      <c r="A4957" s="305">
        <v>41209</v>
      </c>
      <c r="B4957" s="306">
        <v>203.66120000000001</v>
      </c>
      <c r="C4957" s="309">
        <v>3.0922950530062199</v>
      </c>
    </row>
    <row r="4958" spans="1:3" x14ac:dyDescent="0.35">
      <c r="A4958" s="302">
        <v>41208</v>
      </c>
      <c r="B4958" s="303">
        <v>203.6421</v>
      </c>
      <c r="C4958" s="308">
        <v>3.0929593864300799</v>
      </c>
    </row>
    <row r="4959" spans="1:3" x14ac:dyDescent="0.35">
      <c r="A4959" s="305">
        <v>41207</v>
      </c>
      <c r="B4959" s="306">
        <v>203.62309999999999</v>
      </c>
      <c r="C4959" s="309">
        <v>3.0936222867581198</v>
      </c>
    </row>
    <row r="4960" spans="1:3" x14ac:dyDescent="0.35">
      <c r="A4960" s="302">
        <v>41206</v>
      </c>
      <c r="B4960" s="303">
        <v>203.60409999999999</v>
      </c>
      <c r="C4960" s="308">
        <v>3.09428531933521</v>
      </c>
    </row>
    <row r="4961" spans="1:3" x14ac:dyDescent="0.35">
      <c r="A4961" s="305">
        <v>41205</v>
      </c>
      <c r="B4961" s="306">
        <v>203.58510000000001</v>
      </c>
      <c r="C4961" s="309">
        <v>3.0949484842009101</v>
      </c>
    </row>
    <row r="4962" spans="1:3" x14ac:dyDescent="0.35">
      <c r="A4962" s="302">
        <v>41204</v>
      </c>
      <c r="B4962" s="303">
        <v>203.56610000000001</v>
      </c>
      <c r="C4962" s="308">
        <v>3.0956117813948301</v>
      </c>
    </row>
    <row r="4963" spans="1:3" x14ac:dyDescent="0.35">
      <c r="A4963" s="305">
        <v>41203</v>
      </c>
      <c r="B4963" s="306">
        <v>203.5471</v>
      </c>
      <c r="C4963" s="309">
        <v>3.0963274290788001</v>
      </c>
    </row>
    <row r="4964" spans="1:3" x14ac:dyDescent="0.35">
      <c r="A4964" s="302">
        <v>41202</v>
      </c>
      <c r="B4964" s="303">
        <v>203.52799999999999</v>
      </c>
      <c r="C4964" s="308">
        <v>3.0969403416775498</v>
      </c>
    </row>
    <row r="4965" spans="1:3" x14ac:dyDescent="0.35">
      <c r="A4965" s="305">
        <v>41201</v>
      </c>
      <c r="B4965" s="306">
        <v>203.50899999999999</v>
      </c>
      <c r="C4965" s="309">
        <v>3.0976040365866302</v>
      </c>
    </row>
    <row r="4966" spans="1:3" x14ac:dyDescent="0.35">
      <c r="A4966" s="302">
        <v>41200</v>
      </c>
      <c r="B4966" s="303">
        <v>203.49</v>
      </c>
      <c r="C4966" s="308">
        <v>3.09826786398264</v>
      </c>
    </row>
    <row r="4967" spans="1:3" x14ac:dyDescent="0.35">
      <c r="A4967" s="305">
        <v>41199</v>
      </c>
      <c r="B4967" s="306">
        <v>203.471</v>
      </c>
      <c r="C4967" s="309">
        <v>3.0989318239052301</v>
      </c>
    </row>
    <row r="4968" spans="1:3" x14ac:dyDescent="0.35">
      <c r="A4968" s="302">
        <v>41198</v>
      </c>
      <c r="B4968" s="303">
        <v>203.452</v>
      </c>
      <c r="C4968" s="308">
        <v>3.09959591639412</v>
      </c>
    </row>
    <row r="4969" spans="1:3" x14ac:dyDescent="0.35">
      <c r="A4969" s="305">
        <v>41197</v>
      </c>
      <c r="B4969" s="306">
        <v>203.43299999999999</v>
      </c>
      <c r="C4969" s="309">
        <v>3.1002601414889899</v>
      </c>
    </row>
    <row r="4970" spans="1:3" x14ac:dyDescent="0.35">
      <c r="A4970" s="302">
        <v>41196</v>
      </c>
      <c r="B4970" s="303">
        <v>203.43029999999999</v>
      </c>
      <c r="C4970" s="308">
        <v>3.0978467719824399</v>
      </c>
    </row>
    <row r="4971" spans="1:3" x14ac:dyDescent="0.35">
      <c r="A4971" s="305">
        <v>41195</v>
      </c>
      <c r="B4971" s="306">
        <v>203.42760000000001</v>
      </c>
      <c r="C4971" s="309">
        <v>3.0954856993425901</v>
      </c>
    </row>
    <row r="4972" spans="1:3" x14ac:dyDescent="0.35">
      <c r="A4972" s="302">
        <v>41194</v>
      </c>
      <c r="B4972" s="303">
        <v>203.42490000000001</v>
      </c>
      <c r="C4972" s="308">
        <v>3.09307242592803</v>
      </c>
    </row>
    <row r="4973" spans="1:3" x14ac:dyDescent="0.35">
      <c r="A4973" s="305">
        <v>41193</v>
      </c>
      <c r="B4973" s="306">
        <v>203.4222</v>
      </c>
      <c r="C4973" s="309">
        <v>3.0906592014335801</v>
      </c>
    </row>
    <row r="4974" spans="1:3" x14ac:dyDescent="0.35">
      <c r="A4974" s="302">
        <v>41192</v>
      </c>
      <c r="B4974" s="303">
        <v>203.4195</v>
      </c>
      <c r="C4974" s="308">
        <v>3.08824602585777</v>
      </c>
    </row>
    <row r="4975" spans="1:3" x14ac:dyDescent="0.35">
      <c r="A4975" s="305">
        <v>41191</v>
      </c>
      <c r="B4975" s="306">
        <v>203.41679999999999</v>
      </c>
      <c r="C4975" s="309">
        <v>3.0858851401857299</v>
      </c>
    </row>
    <row r="4976" spans="1:3" x14ac:dyDescent="0.35">
      <c r="A4976" s="302">
        <v>41190</v>
      </c>
      <c r="B4976" s="303">
        <v>203.41409999999999</v>
      </c>
      <c r="C4976" s="308">
        <v>3.0834720606903701</v>
      </c>
    </row>
    <row r="4977" spans="1:3" x14ac:dyDescent="0.35">
      <c r="A4977" s="305">
        <v>41189</v>
      </c>
      <c r="B4977" s="306">
        <v>203.41130000000001</v>
      </c>
      <c r="C4977" s="309">
        <v>3.08100835396275</v>
      </c>
    </row>
    <row r="4978" spans="1:3" x14ac:dyDescent="0.35">
      <c r="A4978" s="302">
        <v>41188</v>
      </c>
      <c r="B4978" s="303">
        <v>203.40860000000001</v>
      </c>
      <c r="C4978" s="308">
        <v>3.0786476085649999</v>
      </c>
    </row>
    <row r="4979" spans="1:3" x14ac:dyDescent="0.35">
      <c r="A4979" s="305">
        <v>41187</v>
      </c>
      <c r="B4979" s="306">
        <v>203.4059</v>
      </c>
      <c r="C4979" s="309">
        <v>3.0762346745692901</v>
      </c>
    </row>
    <row r="4980" spans="1:3" x14ac:dyDescent="0.35">
      <c r="A4980" s="302">
        <v>41186</v>
      </c>
      <c r="B4980" s="303">
        <v>203.4032</v>
      </c>
      <c r="C4980" s="308">
        <v>3.0738217894833899</v>
      </c>
    </row>
    <row r="4981" spans="1:3" x14ac:dyDescent="0.35">
      <c r="A4981" s="305">
        <v>41185</v>
      </c>
      <c r="B4981" s="306">
        <v>203.40049999999999</v>
      </c>
      <c r="C4981" s="309">
        <v>3.0714089533058302</v>
      </c>
    </row>
    <row r="4982" spans="1:3" x14ac:dyDescent="0.35">
      <c r="A4982" s="302">
        <v>41184</v>
      </c>
      <c r="B4982" s="303">
        <v>203.39779999999999</v>
      </c>
      <c r="C4982" s="308">
        <v>3.0690483948367602</v>
      </c>
    </row>
    <row r="4983" spans="1:3" x14ac:dyDescent="0.35">
      <c r="A4983" s="305">
        <v>41183</v>
      </c>
      <c r="B4983" s="306">
        <v>203.39510000000001</v>
      </c>
      <c r="C4983" s="309">
        <v>3.06663565471947</v>
      </c>
    </row>
    <row r="4984" spans="1:3" x14ac:dyDescent="0.35">
      <c r="A4984" s="302">
        <v>41182</v>
      </c>
      <c r="B4984" s="303">
        <v>203.39240000000001</v>
      </c>
      <c r="C4984" s="308">
        <v>3.0642229635060998</v>
      </c>
    </row>
    <row r="4985" spans="1:3" x14ac:dyDescent="0.35">
      <c r="A4985" s="305">
        <v>41181</v>
      </c>
      <c r="B4985" s="306">
        <v>203.3897</v>
      </c>
      <c r="C4985" s="309">
        <v>3.0618103211951699</v>
      </c>
    </row>
    <row r="4986" spans="1:3" x14ac:dyDescent="0.35">
      <c r="A4986" s="302">
        <v>41180</v>
      </c>
      <c r="B4986" s="303">
        <v>203.3869</v>
      </c>
      <c r="C4986" s="308">
        <v>3.05939927803102</v>
      </c>
    </row>
    <row r="4987" spans="1:3" x14ac:dyDescent="0.35">
      <c r="A4987" s="305">
        <v>41179</v>
      </c>
      <c r="B4987" s="306">
        <v>203.38419999999999</v>
      </c>
      <c r="C4987" s="309">
        <v>3.0569867322823501</v>
      </c>
    </row>
    <row r="4988" spans="1:3" x14ac:dyDescent="0.35">
      <c r="A4988" s="302">
        <v>41178</v>
      </c>
      <c r="B4988" s="303">
        <v>203.38149999999999</v>
      </c>
      <c r="C4988" s="308">
        <v>3.0545742354317</v>
      </c>
    </row>
    <row r="4989" spans="1:3" x14ac:dyDescent="0.35">
      <c r="A4989" s="305">
        <v>41177</v>
      </c>
      <c r="B4989" s="306">
        <v>203.37880000000001</v>
      </c>
      <c r="C4989" s="309">
        <v>3.0521617874775999</v>
      </c>
    </row>
    <row r="4990" spans="1:3" x14ac:dyDescent="0.35">
      <c r="A4990" s="302">
        <v>41176</v>
      </c>
      <c r="B4990" s="303">
        <v>203.37610000000001</v>
      </c>
      <c r="C4990" s="308">
        <v>3.04980160328663</v>
      </c>
    </row>
    <row r="4991" spans="1:3" x14ac:dyDescent="0.35">
      <c r="A4991" s="305">
        <v>41175</v>
      </c>
      <c r="B4991" s="306">
        <v>203.3734</v>
      </c>
      <c r="C4991" s="309">
        <v>3.0473892513697098</v>
      </c>
    </row>
    <row r="4992" spans="1:3" x14ac:dyDescent="0.35">
      <c r="A4992" s="302">
        <v>41174</v>
      </c>
      <c r="B4992" s="303">
        <v>203.3707</v>
      </c>
      <c r="C4992" s="308">
        <v>3.04497694834494</v>
      </c>
    </row>
    <row r="4993" spans="1:3" x14ac:dyDescent="0.35">
      <c r="A4993" s="305">
        <v>41173</v>
      </c>
      <c r="B4993" s="306">
        <v>203.36799999999999</v>
      </c>
      <c r="C4993" s="309">
        <v>3.04256469421082</v>
      </c>
    </row>
    <row r="4994" spans="1:3" x14ac:dyDescent="0.35">
      <c r="A4994" s="302">
        <v>41172</v>
      </c>
      <c r="B4994" s="303">
        <v>203.36529999999999</v>
      </c>
      <c r="C4994" s="308">
        <v>3.04020469688141</v>
      </c>
    </row>
    <row r="4995" spans="1:3" x14ac:dyDescent="0.35">
      <c r="A4995" s="305">
        <v>41171</v>
      </c>
      <c r="B4995" s="306">
        <v>203.36250000000001</v>
      </c>
      <c r="C4995" s="309">
        <v>3.0377418717414799</v>
      </c>
    </row>
    <row r="4996" spans="1:3" x14ac:dyDescent="0.35">
      <c r="A4996" s="302">
        <v>41170</v>
      </c>
      <c r="B4996" s="303">
        <v>203.35980000000001</v>
      </c>
      <c r="C4996" s="308">
        <v>3.0353297630327001</v>
      </c>
    </row>
    <row r="4997" spans="1:3" x14ac:dyDescent="0.35">
      <c r="A4997" s="305">
        <v>41169</v>
      </c>
      <c r="B4997" s="306">
        <v>203.3571</v>
      </c>
      <c r="C4997" s="309">
        <v>3.03291770320868</v>
      </c>
    </row>
    <row r="4998" spans="1:3" x14ac:dyDescent="0.35">
      <c r="A4998" s="302">
        <v>41168</v>
      </c>
      <c r="B4998" s="303">
        <v>203.3544</v>
      </c>
      <c r="C4998" s="308">
        <v>3.0305578932062098</v>
      </c>
    </row>
    <row r="4999" spans="1:3" x14ac:dyDescent="0.35">
      <c r="A4999" s="305">
        <v>41167</v>
      </c>
      <c r="B4999" s="306">
        <v>203.35169999999999</v>
      </c>
      <c r="C4999" s="309">
        <v>3.02814592939629</v>
      </c>
    </row>
    <row r="5000" spans="1:3" x14ac:dyDescent="0.35">
      <c r="A5000" s="302">
        <v>41166</v>
      </c>
      <c r="B5000" s="303">
        <v>203.35300000000001</v>
      </c>
      <c r="C5000" s="308">
        <v>3.0334505436599999</v>
      </c>
    </row>
    <row r="5001" spans="1:3" x14ac:dyDescent="0.35">
      <c r="A5001" s="305">
        <v>41165</v>
      </c>
      <c r="B5001" s="306">
        <v>203.35429999999999</v>
      </c>
      <c r="C5001" s="309">
        <v>3.0387556363566302</v>
      </c>
    </row>
    <row r="5002" spans="1:3" x14ac:dyDescent="0.35">
      <c r="A5002" s="302">
        <v>41164</v>
      </c>
      <c r="B5002" s="303">
        <v>203.35570000000001</v>
      </c>
      <c r="C5002" s="308">
        <v>3.04411187940909</v>
      </c>
    </row>
    <row r="5003" spans="1:3" x14ac:dyDescent="0.35">
      <c r="A5003" s="305">
        <v>41163</v>
      </c>
      <c r="B5003" s="306">
        <v>203.357</v>
      </c>
      <c r="C5003" s="309">
        <v>3.0494179314510599</v>
      </c>
    </row>
    <row r="5004" spans="1:3" x14ac:dyDescent="0.35">
      <c r="A5004" s="302">
        <v>41162</v>
      </c>
      <c r="B5004" s="303">
        <v>203.35830000000001</v>
      </c>
      <c r="C5004" s="308">
        <v>3.05472446212038</v>
      </c>
    </row>
    <row r="5005" spans="1:3" x14ac:dyDescent="0.35">
      <c r="A5005" s="305">
        <v>41161</v>
      </c>
      <c r="B5005" s="306">
        <v>203.3596</v>
      </c>
      <c r="C5005" s="309">
        <v>3.0600314714818202</v>
      </c>
    </row>
    <row r="5006" spans="1:3" x14ac:dyDescent="0.35">
      <c r="A5006" s="302">
        <v>41160</v>
      </c>
      <c r="B5006" s="303">
        <v>203.36089999999999</v>
      </c>
      <c r="C5006" s="308">
        <v>3.0653389596001501</v>
      </c>
    </row>
    <row r="5007" spans="1:3" x14ac:dyDescent="0.35">
      <c r="A5007" s="305">
        <v>41159</v>
      </c>
      <c r="B5007" s="306">
        <v>203.3622</v>
      </c>
      <c r="C5007" s="309">
        <v>3.0706469265401499</v>
      </c>
    </row>
    <row r="5008" spans="1:3" x14ac:dyDescent="0.35">
      <c r="A5008" s="302">
        <v>41158</v>
      </c>
      <c r="B5008" s="303">
        <v>203.36349999999999</v>
      </c>
      <c r="C5008" s="308">
        <v>3.07595537236663</v>
      </c>
    </row>
    <row r="5009" spans="1:3" x14ac:dyDescent="0.35">
      <c r="A5009" s="305">
        <v>41157</v>
      </c>
      <c r="B5009" s="306">
        <v>203.3648</v>
      </c>
      <c r="C5009" s="309">
        <v>3.0812642971444002</v>
      </c>
    </row>
    <row r="5010" spans="1:3" x14ac:dyDescent="0.35">
      <c r="A5010" s="302">
        <v>41156</v>
      </c>
      <c r="B5010" s="303">
        <v>203.36619999999999</v>
      </c>
      <c r="C5010" s="308">
        <v>3.0866243910846198</v>
      </c>
    </row>
    <row r="5011" spans="1:3" x14ac:dyDescent="0.35">
      <c r="A5011" s="305">
        <v>41155</v>
      </c>
      <c r="B5011" s="306">
        <v>203.36750000000001</v>
      </c>
      <c r="C5011" s="309">
        <v>3.0919342762463899</v>
      </c>
    </row>
    <row r="5012" spans="1:3" x14ac:dyDescent="0.35">
      <c r="A5012" s="302">
        <v>41154</v>
      </c>
      <c r="B5012" s="303">
        <v>203.36879999999999</v>
      </c>
      <c r="C5012" s="308">
        <v>3.0972446405541501</v>
      </c>
    </row>
    <row r="5013" spans="1:3" x14ac:dyDescent="0.35">
      <c r="A5013" s="305">
        <v>41153</v>
      </c>
      <c r="B5013" s="306">
        <v>203.37010000000001</v>
      </c>
      <c r="C5013" s="309">
        <v>3.10255548407277</v>
      </c>
    </row>
    <row r="5014" spans="1:3" x14ac:dyDescent="0.35">
      <c r="A5014" s="302">
        <v>41152</v>
      </c>
      <c r="B5014" s="303">
        <v>203.37139999999999</v>
      </c>
      <c r="C5014" s="308">
        <v>3.1078668068671198</v>
      </c>
    </row>
    <row r="5015" spans="1:3" x14ac:dyDescent="0.35">
      <c r="A5015" s="305">
        <v>41151</v>
      </c>
      <c r="B5015" s="306">
        <v>203.37270000000001</v>
      </c>
      <c r="C5015" s="309">
        <v>3.1131786090020701</v>
      </c>
    </row>
    <row r="5016" spans="1:3" x14ac:dyDescent="0.35">
      <c r="A5016" s="302">
        <v>41150</v>
      </c>
      <c r="B5016" s="303">
        <v>203.374</v>
      </c>
      <c r="C5016" s="308">
        <v>3.1184908905425099</v>
      </c>
    </row>
    <row r="5017" spans="1:3" x14ac:dyDescent="0.35">
      <c r="A5017" s="305">
        <v>41149</v>
      </c>
      <c r="B5017" s="306">
        <v>203.37530000000001</v>
      </c>
      <c r="C5017" s="309">
        <v>3.1238036515533598</v>
      </c>
    </row>
    <row r="5018" spans="1:3" x14ac:dyDescent="0.35">
      <c r="A5018" s="302">
        <v>41148</v>
      </c>
      <c r="B5018" s="303">
        <v>203.3767</v>
      </c>
      <c r="C5018" s="308">
        <v>3.12916760054725</v>
      </c>
    </row>
    <row r="5019" spans="1:3" x14ac:dyDescent="0.35">
      <c r="A5019" s="305">
        <v>41147</v>
      </c>
      <c r="B5019" s="306">
        <v>203.37799999999999</v>
      </c>
      <c r="C5019" s="309">
        <v>3.1344813229822601</v>
      </c>
    </row>
    <row r="5020" spans="1:3" x14ac:dyDescent="0.35">
      <c r="A5020" s="302">
        <v>41146</v>
      </c>
      <c r="B5020" s="303">
        <v>203.3793</v>
      </c>
      <c r="C5020" s="308">
        <v>3.1397955250826599</v>
      </c>
    </row>
    <row r="5021" spans="1:3" x14ac:dyDescent="0.35">
      <c r="A5021" s="305">
        <v>41145</v>
      </c>
      <c r="B5021" s="306">
        <v>203.38059999999999</v>
      </c>
      <c r="C5021" s="309">
        <v>3.1451102069134098</v>
      </c>
    </row>
    <row r="5022" spans="1:3" x14ac:dyDescent="0.35">
      <c r="A5022" s="302">
        <v>41144</v>
      </c>
      <c r="B5022" s="303">
        <v>203.3819</v>
      </c>
      <c r="C5022" s="308">
        <v>3.1504253685394601</v>
      </c>
    </row>
    <row r="5023" spans="1:3" x14ac:dyDescent="0.35">
      <c r="A5023" s="305">
        <v>41143</v>
      </c>
      <c r="B5023" s="306">
        <v>203.38319999999999</v>
      </c>
      <c r="C5023" s="309">
        <v>3.1557410100258001</v>
      </c>
    </row>
    <row r="5024" spans="1:3" x14ac:dyDescent="0.35">
      <c r="A5024" s="302">
        <v>41142</v>
      </c>
      <c r="B5024" s="303">
        <v>203.3845</v>
      </c>
      <c r="C5024" s="308">
        <v>3.1610571314374099</v>
      </c>
    </row>
    <row r="5025" spans="1:3" x14ac:dyDescent="0.35">
      <c r="A5025" s="305">
        <v>41141</v>
      </c>
      <c r="B5025" s="306">
        <v>203.38579999999999</v>
      </c>
      <c r="C5025" s="309">
        <v>3.16637373283928</v>
      </c>
    </row>
    <row r="5026" spans="1:3" x14ac:dyDescent="0.35">
      <c r="A5026" s="302">
        <v>41140</v>
      </c>
      <c r="B5026" s="303">
        <v>203.38720000000001</v>
      </c>
      <c r="C5026" s="308">
        <v>3.1717415410587502</v>
      </c>
    </row>
    <row r="5027" spans="1:3" x14ac:dyDescent="0.35">
      <c r="A5027" s="305">
        <v>41139</v>
      </c>
      <c r="B5027" s="306">
        <v>203.38849999999999</v>
      </c>
      <c r="C5027" s="309">
        <v>3.1770591049264501</v>
      </c>
    </row>
    <row r="5028" spans="1:3" x14ac:dyDescent="0.35">
      <c r="A5028" s="302">
        <v>41138</v>
      </c>
      <c r="B5028" s="303">
        <v>203.38980000000001</v>
      </c>
      <c r="C5028" s="308">
        <v>3.1823771489796902</v>
      </c>
    </row>
    <row r="5029" spans="1:3" x14ac:dyDescent="0.35">
      <c r="A5029" s="305">
        <v>41137</v>
      </c>
      <c r="B5029" s="306">
        <v>203.39109999999999</v>
      </c>
      <c r="C5029" s="309">
        <v>3.1876956732835202</v>
      </c>
    </row>
    <row r="5030" spans="1:3" x14ac:dyDescent="0.35">
      <c r="A5030" s="302">
        <v>41136</v>
      </c>
      <c r="B5030" s="303">
        <v>203.39240000000001</v>
      </c>
      <c r="C5030" s="308">
        <v>3.1930146779029802</v>
      </c>
    </row>
    <row r="5031" spans="1:3" x14ac:dyDescent="0.35">
      <c r="A5031" s="305">
        <v>41135</v>
      </c>
      <c r="B5031" s="306">
        <v>203.3871</v>
      </c>
      <c r="C5031" s="309">
        <v>3.2009547454899998</v>
      </c>
    </row>
    <row r="5032" spans="1:3" x14ac:dyDescent="0.35">
      <c r="A5032" s="302">
        <v>41134</v>
      </c>
      <c r="B5032" s="303">
        <v>203.3819</v>
      </c>
      <c r="C5032" s="308">
        <v>3.2089471953492001</v>
      </c>
    </row>
    <row r="5033" spans="1:3" x14ac:dyDescent="0.35">
      <c r="A5033" s="305">
        <v>41133</v>
      </c>
      <c r="B5033" s="306">
        <v>203.3766</v>
      </c>
      <c r="C5033" s="309">
        <v>3.2168905404589299</v>
      </c>
    </row>
    <row r="5034" spans="1:3" x14ac:dyDescent="0.35">
      <c r="A5034" s="302">
        <v>41132</v>
      </c>
      <c r="B5034" s="303">
        <v>203.37139999999999</v>
      </c>
      <c r="C5034" s="308">
        <v>3.2248862793108</v>
      </c>
    </row>
    <row r="5035" spans="1:3" x14ac:dyDescent="0.35">
      <c r="A5035" s="305">
        <v>41131</v>
      </c>
      <c r="B5035" s="306">
        <v>203.36619999999999</v>
      </c>
      <c r="C5035" s="309">
        <v>3.2328836660363698</v>
      </c>
    </row>
    <row r="5036" spans="1:3" x14ac:dyDescent="0.35">
      <c r="A5036" s="302">
        <v>41130</v>
      </c>
      <c r="B5036" s="303">
        <v>203.36089999999999</v>
      </c>
      <c r="C5036" s="308">
        <v>3.2408319338481801</v>
      </c>
    </row>
    <row r="5037" spans="1:3" x14ac:dyDescent="0.35">
      <c r="A5037" s="305">
        <v>41129</v>
      </c>
      <c r="B5037" s="306">
        <v>203.35570000000001</v>
      </c>
      <c r="C5037" s="309">
        <v>3.2488326126172802</v>
      </c>
    </row>
    <row r="5038" spans="1:3" x14ac:dyDescent="0.35">
      <c r="A5038" s="302">
        <v>41128</v>
      </c>
      <c r="B5038" s="303">
        <v>203.35040000000001</v>
      </c>
      <c r="C5038" s="308">
        <v>3.25678416302505</v>
      </c>
    </row>
    <row r="5039" spans="1:3" x14ac:dyDescent="0.35">
      <c r="A5039" s="305">
        <v>41127</v>
      </c>
      <c r="B5039" s="306">
        <v>203.34520000000001</v>
      </c>
      <c r="C5039" s="309">
        <v>3.2647881358729598</v>
      </c>
    </row>
    <row r="5040" spans="1:3" x14ac:dyDescent="0.35">
      <c r="A5040" s="302">
        <v>41126</v>
      </c>
      <c r="B5040" s="303">
        <v>203.3399</v>
      </c>
      <c r="C5040" s="308">
        <v>3.2727429709084999</v>
      </c>
    </row>
    <row r="5041" spans="1:3" x14ac:dyDescent="0.35">
      <c r="A5041" s="305">
        <v>41125</v>
      </c>
      <c r="B5041" s="306">
        <v>203.3347</v>
      </c>
      <c r="C5041" s="309">
        <v>3.2807502398721602</v>
      </c>
    </row>
    <row r="5042" spans="1:3" x14ac:dyDescent="0.35">
      <c r="A5042" s="302">
        <v>41124</v>
      </c>
      <c r="B5042" s="303">
        <v>203.32939999999999</v>
      </c>
      <c r="C5042" s="308">
        <v>3.2887083615689501</v>
      </c>
    </row>
    <row r="5043" spans="1:3" x14ac:dyDescent="0.35">
      <c r="A5043" s="305">
        <v>41123</v>
      </c>
      <c r="B5043" s="306">
        <v>203.32419999999999</v>
      </c>
      <c r="C5043" s="309">
        <v>3.2967189286870102</v>
      </c>
    </row>
    <row r="5044" spans="1:3" x14ac:dyDescent="0.35">
      <c r="A5044" s="302">
        <v>41122</v>
      </c>
      <c r="B5044" s="303">
        <v>203.31890000000001</v>
      </c>
      <c r="C5044" s="308">
        <v>3.30468033908019</v>
      </c>
    </row>
    <row r="5045" spans="1:3" x14ac:dyDescent="0.35">
      <c r="A5045" s="305">
        <v>41121</v>
      </c>
      <c r="B5045" s="306">
        <v>203.31370000000001</v>
      </c>
      <c r="C5045" s="309">
        <v>3.3126942063929601</v>
      </c>
    </row>
    <row r="5046" spans="1:3" x14ac:dyDescent="0.35">
      <c r="A5046" s="302">
        <v>41120</v>
      </c>
      <c r="B5046" s="303">
        <v>203.30850000000001</v>
      </c>
      <c r="C5046" s="308">
        <v>3.3206572199723201</v>
      </c>
    </row>
    <row r="5047" spans="1:3" x14ac:dyDescent="0.35">
      <c r="A5047" s="305">
        <v>41119</v>
      </c>
      <c r="B5047" s="306">
        <v>203.3032</v>
      </c>
      <c r="C5047" s="309">
        <v>3.3286235603850498</v>
      </c>
    </row>
    <row r="5048" spans="1:3" x14ac:dyDescent="0.35">
      <c r="A5048" s="302">
        <v>41118</v>
      </c>
      <c r="B5048" s="303">
        <v>203.298</v>
      </c>
      <c r="C5048" s="308">
        <v>3.33664237494644</v>
      </c>
    </row>
    <row r="5049" spans="1:3" x14ac:dyDescent="0.35">
      <c r="A5049" s="305">
        <v>41117</v>
      </c>
      <c r="B5049" s="306">
        <v>203.2927</v>
      </c>
      <c r="C5049" s="309">
        <v>3.3446120091462999</v>
      </c>
    </row>
    <row r="5050" spans="1:3" x14ac:dyDescent="0.35">
      <c r="A5050" s="302">
        <v>41116</v>
      </c>
      <c r="B5050" s="303">
        <v>203.28749999999999</v>
      </c>
      <c r="C5050" s="308">
        <v>3.3525815839083402</v>
      </c>
    </row>
    <row r="5051" spans="1:3" x14ac:dyDescent="0.35">
      <c r="A5051" s="305">
        <v>41115</v>
      </c>
      <c r="B5051" s="306">
        <v>203.28219999999999</v>
      </c>
      <c r="C5051" s="309">
        <v>3.3605545044589298</v>
      </c>
    </row>
    <row r="5052" spans="1:3" x14ac:dyDescent="0.35">
      <c r="A5052" s="302">
        <v>41114</v>
      </c>
      <c r="B5052" s="303">
        <v>203.27699999999999</v>
      </c>
      <c r="C5052" s="308">
        <v>3.36857992215714</v>
      </c>
    </row>
    <row r="5053" spans="1:3" x14ac:dyDescent="0.35">
      <c r="A5053" s="305">
        <v>41113</v>
      </c>
      <c r="B5053" s="306">
        <v>203.27170000000001</v>
      </c>
      <c r="C5053" s="309">
        <v>3.3765035670621901</v>
      </c>
    </row>
    <row r="5054" spans="1:3" x14ac:dyDescent="0.35">
      <c r="A5054" s="302">
        <v>41112</v>
      </c>
      <c r="B5054" s="303">
        <v>203.26650000000001</v>
      </c>
      <c r="C5054" s="308">
        <v>3.3845322846355801</v>
      </c>
    </row>
    <row r="5055" spans="1:3" x14ac:dyDescent="0.35">
      <c r="A5055" s="305">
        <v>41111</v>
      </c>
      <c r="B5055" s="306">
        <v>203.26130000000001</v>
      </c>
      <c r="C5055" s="309">
        <v>3.3925626602940699</v>
      </c>
    </row>
    <row r="5056" spans="1:3" x14ac:dyDescent="0.35">
      <c r="A5056" s="302">
        <v>41110</v>
      </c>
      <c r="B5056" s="303">
        <v>203.256</v>
      </c>
      <c r="C5056" s="308">
        <v>3.4004912205018401</v>
      </c>
    </row>
    <row r="5057" spans="1:3" x14ac:dyDescent="0.35">
      <c r="A5057" s="305">
        <v>41109</v>
      </c>
      <c r="B5057" s="306">
        <v>203.2508</v>
      </c>
      <c r="C5057" s="309">
        <v>3.40852489909759</v>
      </c>
    </row>
    <row r="5058" spans="1:3" x14ac:dyDescent="0.35">
      <c r="A5058" s="302">
        <v>41108</v>
      </c>
      <c r="B5058" s="303">
        <v>203.24549999999999</v>
      </c>
      <c r="C5058" s="308">
        <v>3.4164567338197398</v>
      </c>
    </row>
    <row r="5059" spans="1:3" x14ac:dyDescent="0.35">
      <c r="A5059" s="305">
        <v>41107</v>
      </c>
      <c r="B5059" s="306">
        <v>203.24029999999999</v>
      </c>
      <c r="C5059" s="309">
        <v>3.4244937173936498</v>
      </c>
    </row>
    <row r="5060" spans="1:3" x14ac:dyDescent="0.35">
      <c r="A5060" s="302">
        <v>41106</v>
      </c>
      <c r="B5060" s="303">
        <v>203.23500000000001</v>
      </c>
      <c r="C5060" s="308">
        <v>3.4324814685697298</v>
      </c>
    </row>
    <row r="5061" spans="1:3" x14ac:dyDescent="0.35">
      <c r="A5061" s="305">
        <v>41105</v>
      </c>
      <c r="B5061" s="306">
        <v>203.22980000000001</v>
      </c>
      <c r="C5061" s="309">
        <v>3.4404691192510999</v>
      </c>
    </row>
    <row r="5062" spans="1:3" x14ac:dyDescent="0.35">
      <c r="A5062" s="302">
        <v>41104</v>
      </c>
      <c r="B5062" s="303">
        <v>203.20949999999999</v>
      </c>
      <c r="C5062" s="308">
        <v>3.43977154724818</v>
      </c>
    </row>
    <row r="5063" spans="1:3" x14ac:dyDescent="0.35">
      <c r="A5063" s="305">
        <v>41103</v>
      </c>
      <c r="B5063" s="306">
        <v>203.1892</v>
      </c>
      <c r="C5063" s="309">
        <v>3.4390738452719698</v>
      </c>
    </row>
    <row r="5064" spans="1:3" x14ac:dyDescent="0.35">
      <c r="A5064" s="302">
        <v>41102</v>
      </c>
      <c r="B5064" s="303">
        <v>203.16890000000001</v>
      </c>
      <c r="C5064" s="308">
        <v>3.4383760132861299</v>
      </c>
    </row>
    <row r="5065" spans="1:3" x14ac:dyDescent="0.35">
      <c r="A5065" s="305">
        <v>41101</v>
      </c>
      <c r="B5065" s="306">
        <v>203.14859999999999</v>
      </c>
      <c r="C5065" s="309">
        <v>3.4377307189009998</v>
      </c>
    </row>
    <row r="5066" spans="1:3" x14ac:dyDescent="0.35">
      <c r="A5066" s="302">
        <v>41100</v>
      </c>
      <c r="B5066" s="303">
        <v>203.1283</v>
      </c>
      <c r="C5066" s="308">
        <v>3.43703263133935</v>
      </c>
    </row>
    <row r="5067" spans="1:3" x14ac:dyDescent="0.35">
      <c r="A5067" s="305">
        <v>41099</v>
      </c>
      <c r="B5067" s="306">
        <v>203.108</v>
      </c>
      <c r="C5067" s="309">
        <v>3.4363344136597802</v>
      </c>
    </row>
    <row r="5068" spans="1:3" x14ac:dyDescent="0.35">
      <c r="A5068" s="302">
        <v>41098</v>
      </c>
      <c r="B5068" s="303">
        <v>203.08779999999999</v>
      </c>
      <c r="C5068" s="308">
        <v>3.4356869973378101</v>
      </c>
    </row>
    <row r="5069" spans="1:3" x14ac:dyDescent="0.35">
      <c r="A5069" s="305">
        <v>41097</v>
      </c>
      <c r="B5069" s="306">
        <v>203.0675</v>
      </c>
      <c r="C5069" s="309">
        <v>3.4349885240607598</v>
      </c>
    </row>
    <row r="5070" spans="1:3" x14ac:dyDescent="0.35">
      <c r="A5070" s="302">
        <v>41096</v>
      </c>
      <c r="B5070" s="303">
        <v>203.0472</v>
      </c>
      <c r="C5070" s="308">
        <v>3.4342899205575002</v>
      </c>
    </row>
    <row r="5071" spans="1:3" x14ac:dyDescent="0.35">
      <c r="A5071" s="305">
        <v>41095</v>
      </c>
      <c r="B5071" s="306">
        <v>203.02690000000001</v>
      </c>
      <c r="C5071" s="309">
        <v>3.4335384917923899</v>
      </c>
    </row>
    <row r="5072" spans="1:3" x14ac:dyDescent="0.35">
      <c r="A5072" s="302">
        <v>41094</v>
      </c>
      <c r="B5072" s="303">
        <v>203.0067</v>
      </c>
      <c r="C5072" s="308">
        <v>3.4328905736514699</v>
      </c>
    </row>
    <row r="5073" spans="1:3" x14ac:dyDescent="0.35">
      <c r="A5073" s="305">
        <v>41093</v>
      </c>
      <c r="B5073" s="306">
        <v>202.9864</v>
      </c>
      <c r="C5073" s="309">
        <v>3.4321915794440501</v>
      </c>
    </row>
    <row r="5074" spans="1:3" x14ac:dyDescent="0.35">
      <c r="A5074" s="302">
        <v>41092</v>
      </c>
      <c r="B5074" s="303">
        <v>202.96610000000001</v>
      </c>
      <c r="C5074" s="308">
        <v>3.4314924548647401</v>
      </c>
    </row>
    <row r="5075" spans="1:3" x14ac:dyDescent="0.35">
      <c r="A5075" s="305">
        <v>41091</v>
      </c>
      <c r="B5075" s="306">
        <v>202.94589999999999</v>
      </c>
      <c r="C5075" s="309">
        <v>3.4308441646140602</v>
      </c>
    </row>
    <row r="5076" spans="1:3" x14ac:dyDescent="0.35">
      <c r="A5076" s="302">
        <v>41090</v>
      </c>
      <c r="B5076" s="303">
        <v>202.9256</v>
      </c>
      <c r="C5076" s="308">
        <v>3.4301447839352299</v>
      </c>
    </row>
    <row r="5077" spans="1:3" x14ac:dyDescent="0.35">
      <c r="A5077" s="305">
        <v>41089</v>
      </c>
      <c r="B5077" s="306">
        <v>202.90530000000001</v>
      </c>
      <c r="C5077" s="309">
        <v>3.4294452727759301</v>
      </c>
    </row>
    <row r="5078" spans="1:3" x14ac:dyDescent="0.35">
      <c r="A5078" s="302">
        <v>41088</v>
      </c>
      <c r="B5078" s="303">
        <v>202.88509999999999</v>
      </c>
      <c r="C5078" s="308">
        <v>3.42879661010037</v>
      </c>
    </row>
    <row r="5079" spans="1:3" x14ac:dyDescent="0.35">
      <c r="A5079" s="305">
        <v>41087</v>
      </c>
      <c r="B5079" s="306">
        <v>202.8648</v>
      </c>
      <c r="C5079" s="309">
        <v>3.4280968426269101</v>
      </c>
    </row>
    <row r="5080" spans="1:3" x14ac:dyDescent="0.35">
      <c r="A5080" s="302">
        <v>41086</v>
      </c>
      <c r="B5080" s="303">
        <v>202.84460000000001</v>
      </c>
      <c r="C5080" s="308">
        <v>3.4273951969863798</v>
      </c>
    </row>
    <row r="5081" spans="1:3" x14ac:dyDescent="0.35">
      <c r="A5081" s="305">
        <v>41085</v>
      </c>
      <c r="B5081" s="306">
        <v>202.82429999999999</v>
      </c>
      <c r="C5081" s="309">
        <v>3.4266951684918801</v>
      </c>
    </row>
    <row r="5082" spans="1:3" x14ac:dyDescent="0.35">
      <c r="A5082" s="302">
        <v>41084</v>
      </c>
      <c r="B5082" s="303">
        <v>202.80410000000001</v>
      </c>
      <c r="C5082" s="308">
        <v>3.4260460073406498</v>
      </c>
    </row>
    <row r="5083" spans="1:3" x14ac:dyDescent="0.35">
      <c r="A5083" s="305">
        <v>41083</v>
      </c>
      <c r="B5083" s="306">
        <v>202.78380000000001</v>
      </c>
      <c r="C5083" s="309">
        <v>3.4253457222450598</v>
      </c>
    </row>
    <row r="5084" spans="1:3" x14ac:dyDescent="0.35">
      <c r="A5084" s="302">
        <v>41082</v>
      </c>
      <c r="B5084" s="303">
        <v>202.7636</v>
      </c>
      <c r="C5084" s="308">
        <v>3.4246435595890001</v>
      </c>
    </row>
    <row r="5085" spans="1:3" x14ac:dyDescent="0.35">
      <c r="A5085" s="305">
        <v>41081</v>
      </c>
      <c r="B5085" s="306">
        <v>202.7433</v>
      </c>
      <c r="C5085" s="309">
        <v>3.4239430131820798</v>
      </c>
    </row>
    <row r="5086" spans="1:3" x14ac:dyDescent="0.35">
      <c r="A5086" s="302">
        <v>41080</v>
      </c>
      <c r="B5086" s="303">
        <v>202.72309999999999</v>
      </c>
      <c r="C5086" s="308">
        <v>3.4232933529918901</v>
      </c>
    </row>
    <row r="5087" spans="1:3" x14ac:dyDescent="0.35">
      <c r="A5087" s="305">
        <v>41079</v>
      </c>
      <c r="B5087" s="306">
        <v>202.7028</v>
      </c>
      <c r="C5087" s="309">
        <v>3.4225397816676799</v>
      </c>
    </row>
    <row r="5088" spans="1:3" x14ac:dyDescent="0.35">
      <c r="A5088" s="302">
        <v>41078</v>
      </c>
      <c r="B5088" s="303">
        <v>202.68260000000001</v>
      </c>
      <c r="C5088" s="308">
        <v>3.4218898694486302</v>
      </c>
    </row>
    <row r="5089" spans="1:3" x14ac:dyDescent="0.35">
      <c r="A5089" s="305">
        <v>41077</v>
      </c>
      <c r="B5089" s="306">
        <v>202.66239999999999</v>
      </c>
      <c r="C5089" s="309">
        <v>3.42123983584254</v>
      </c>
    </row>
    <row r="5090" spans="1:3" x14ac:dyDescent="0.35">
      <c r="A5090" s="302">
        <v>41076</v>
      </c>
      <c r="B5090" s="303">
        <v>202.6421</v>
      </c>
      <c r="C5090" s="308">
        <v>3.42048586301929</v>
      </c>
    </row>
    <row r="5091" spans="1:3" x14ac:dyDescent="0.35">
      <c r="A5091" s="305">
        <v>41075</v>
      </c>
      <c r="B5091" s="306">
        <v>202.62190000000001</v>
      </c>
      <c r="C5091" s="309">
        <v>3.4198355771719</v>
      </c>
    </row>
    <row r="5092" spans="1:3" x14ac:dyDescent="0.35">
      <c r="A5092" s="302">
        <v>41074</v>
      </c>
      <c r="B5092" s="303">
        <v>202.61269999999999</v>
      </c>
      <c r="C5092" s="308">
        <v>3.4191515567281798</v>
      </c>
    </row>
    <row r="5093" spans="1:3" x14ac:dyDescent="0.35">
      <c r="A5093" s="305">
        <v>41073</v>
      </c>
      <c r="B5093" s="306">
        <v>202.6036</v>
      </c>
      <c r="C5093" s="309">
        <v>3.4184657382650698</v>
      </c>
    </row>
    <row r="5094" spans="1:3" x14ac:dyDescent="0.35">
      <c r="A5094" s="302">
        <v>41072</v>
      </c>
      <c r="B5094" s="303">
        <v>202.59440000000001</v>
      </c>
      <c r="C5094" s="308">
        <v>3.4177816119530999</v>
      </c>
    </row>
    <row r="5095" spans="1:3" x14ac:dyDescent="0.35">
      <c r="A5095" s="305">
        <v>41071</v>
      </c>
      <c r="B5095" s="306">
        <v>202.58529999999999</v>
      </c>
      <c r="C5095" s="309">
        <v>3.4171484812503299</v>
      </c>
    </row>
    <row r="5096" spans="1:3" x14ac:dyDescent="0.35">
      <c r="A5096" s="302">
        <v>41070</v>
      </c>
      <c r="B5096" s="303">
        <v>202.5762</v>
      </c>
      <c r="C5096" s="308">
        <v>3.4165153014184901</v>
      </c>
    </row>
    <row r="5097" spans="1:3" x14ac:dyDescent="0.35">
      <c r="A5097" s="305">
        <v>41069</v>
      </c>
      <c r="B5097" s="306">
        <v>202.56700000000001</v>
      </c>
      <c r="C5097" s="309">
        <v>3.4157782232970502</v>
      </c>
    </row>
    <row r="5098" spans="1:3" x14ac:dyDescent="0.35">
      <c r="A5098" s="302">
        <v>41068</v>
      </c>
      <c r="B5098" s="303">
        <v>202.55789999999999</v>
      </c>
      <c r="C5098" s="308">
        <v>3.41514494148376</v>
      </c>
    </row>
    <row r="5099" spans="1:3" x14ac:dyDescent="0.35">
      <c r="A5099" s="305">
        <v>41067</v>
      </c>
      <c r="B5099" s="306">
        <v>202.5487</v>
      </c>
      <c r="C5099" s="309">
        <v>3.4144605539333699</v>
      </c>
    </row>
    <row r="5100" spans="1:3" x14ac:dyDescent="0.35">
      <c r="A5100" s="302">
        <v>41066</v>
      </c>
      <c r="B5100" s="303">
        <v>202.53960000000001</v>
      </c>
      <c r="C5100" s="308">
        <v>3.4138271718401798</v>
      </c>
    </row>
    <row r="5101" spans="1:3" x14ac:dyDescent="0.35">
      <c r="A5101" s="305">
        <v>41065</v>
      </c>
      <c r="B5101" s="306">
        <v>202.53049999999999</v>
      </c>
      <c r="C5101" s="309">
        <v>3.4131937405889001</v>
      </c>
    </row>
    <row r="5102" spans="1:3" x14ac:dyDescent="0.35">
      <c r="A5102" s="302">
        <v>41064</v>
      </c>
      <c r="B5102" s="303">
        <v>202.5213</v>
      </c>
      <c r="C5102" s="308">
        <v>3.4124563926175902</v>
      </c>
    </row>
    <row r="5103" spans="1:3" x14ac:dyDescent="0.35">
      <c r="A5103" s="305">
        <v>41063</v>
      </c>
      <c r="B5103" s="306">
        <v>202.51220000000001</v>
      </c>
      <c r="C5103" s="309">
        <v>3.4118228593255</v>
      </c>
    </row>
    <row r="5104" spans="1:3" x14ac:dyDescent="0.35">
      <c r="A5104" s="302">
        <v>41062</v>
      </c>
      <c r="B5104" s="303">
        <v>202.50299999999999</v>
      </c>
      <c r="C5104" s="308">
        <v>3.41113821038569</v>
      </c>
    </row>
    <row r="5105" spans="1:3" x14ac:dyDescent="0.35">
      <c r="A5105" s="305">
        <v>41061</v>
      </c>
      <c r="B5105" s="306">
        <v>202.4939</v>
      </c>
      <c r="C5105" s="309">
        <v>3.4105045767548701</v>
      </c>
    </row>
    <row r="5106" spans="1:3" x14ac:dyDescent="0.35">
      <c r="A5106" s="302">
        <v>41060</v>
      </c>
      <c r="B5106" s="303">
        <v>202.48480000000001</v>
      </c>
      <c r="C5106" s="308">
        <v>3.4098180820916002</v>
      </c>
    </row>
    <row r="5107" spans="1:3" x14ac:dyDescent="0.35">
      <c r="A5107" s="305">
        <v>41059</v>
      </c>
      <c r="B5107" s="306">
        <v>202.47559999999999</v>
      </c>
      <c r="C5107" s="309">
        <v>3.4091332759620099</v>
      </c>
    </row>
    <row r="5108" spans="1:3" x14ac:dyDescent="0.35">
      <c r="A5108" s="302">
        <v>41058</v>
      </c>
      <c r="B5108" s="303">
        <v>202.4665</v>
      </c>
      <c r="C5108" s="308">
        <v>3.40849949104385</v>
      </c>
    </row>
    <row r="5109" spans="1:3" x14ac:dyDescent="0.35">
      <c r="A5109" s="305">
        <v>41057</v>
      </c>
      <c r="B5109" s="306">
        <v>202.4573</v>
      </c>
      <c r="C5109" s="309">
        <v>3.4078145805635098</v>
      </c>
    </row>
    <row r="5110" spans="1:3" x14ac:dyDescent="0.35">
      <c r="A5110" s="302">
        <v>41056</v>
      </c>
      <c r="B5110" s="303">
        <v>202.44820000000001</v>
      </c>
      <c r="C5110" s="308">
        <v>3.4071278766029698</v>
      </c>
    </row>
    <row r="5111" spans="1:3" x14ac:dyDescent="0.35">
      <c r="A5111" s="305">
        <v>41055</v>
      </c>
      <c r="B5111" s="306">
        <v>202.4391</v>
      </c>
      <c r="C5111" s="309">
        <v>3.4064939403443399</v>
      </c>
    </row>
    <row r="5112" spans="1:3" x14ac:dyDescent="0.35">
      <c r="A5112" s="302">
        <v>41054</v>
      </c>
      <c r="B5112" s="303">
        <v>202.4299</v>
      </c>
      <c r="C5112" s="308">
        <v>3.4058088725834299</v>
      </c>
    </row>
    <row r="5113" spans="1:3" x14ac:dyDescent="0.35">
      <c r="A5113" s="305">
        <v>41053</v>
      </c>
      <c r="B5113" s="306">
        <v>202.42080000000001</v>
      </c>
      <c r="C5113" s="309">
        <v>3.4051748358917999</v>
      </c>
    </row>
    <row r="5114" spans="1:3" x14ac:dyDescent="0.35">
      <c r="A5114" s="302">
        <v>41052</v>
      </c>
      <c r="B5114" s="303">
        <v>202.4117</v>
      </c>
      <c r="C5114" s="308">
        <v>3.4044879244945698</v>
      </c>
    </row>
    <row r="5115" spans="1:3" x14ac:dyDescent="0.35">
      <c r="A5115" s="305">
        <v>41051</v>
      </c>
      <c r="B5115" s="306">
        <v>202.4025</v>
      </c>
      <c r="C5115" s="309">
        <v>3.4038026993985402</v>
      </c>
    </row>
    <row r="5116" spans="1:3" x14ac:dyDescent="0.35">
      <c r="A5116" s="302">
        <v>41050</v>
      </c>
      <c r="B5116" s="303">
        <v>202.39340000000001</v>
      </c>
      <c r="C5116" s="308">
        <v>3.4031685112779</v>
      </c>
    </row>
    <row r="5117" spans="1:3" x14ac:dyDescent="0.35">
      <c r="A5117" s="305">
        <v>41049</v>
      </c>
      <c r="B5117" s="306">
        <v>202.3843</v>
      </c>
      <c r="C5117" s="309">
        <v>3.4024814433326802</v>
      </c>
    </row>
    <row r="5118" spans="1:3" x14ac:dyDescent="0.35">
      <c r="A5118" s="302">
        <v>41048</v>
      </c>
      <c r="B5118" s="303">
        <v>202.3751</v>
      </c>
      <c r="C5118" s="308">
        <v>3.4017960608469799</v>
      </c>
    </row>
    <row r="5119" spans="1:3" x14ac:dyDescent="0.35">
      <c r="A5119" s="305">
        <v>41047</v>
      </c>
      <c r="B5119" s="306">
        <v>202.36600000000001</v>
      </c>
      <c r="C5119" s="309">
        <v>3.4011617212441299</v>
      </c>
    </row>
    <row r="5120" spans="1:3" x14ac:dyDescent="0.35">
      <c r="A5120" s="302">
        <v>41046</v>
      </c>
      <c r="B5120" s="303">
        <v>202.3569</v>
      </c>
      <c r="C5120" s="308">
        <v>3.4005273323726901</v>
      </c>
    </row>
    <row r="5121" spans="1:3" x14ac:dyDescent="0.35">
      <c r="A5121" s="305">
        <v>41045</v>
      </c>
      <c r="B5121" s="306">
        <v>202.3477</v>
      </c>
      <c r="C5121" s="309">
        <v>3.3997889567668</v>
      </c>
    </row>
    <row r="5122" spans="1:3" x14ac:dyDescent="0.35">
      <c r="A5122" s="302">
        <v>41044</v>
      </c>
      <c r="B5122" s="303">
        <v>202.33860000000001</v>
      </c>
      <c r="C5122" s="308">
        <v>3.3991544656285102</v>
      </c>
    </row>
    <row r="5123" spans="1:3" x14ac:dyDescent="0.35">
      <c r="A5123" s="305">
        <v>41043</v>
      </c>
      <c r="B5123" s="306">
        <v>202.3305</v>
      </c>
      <c r="C5123" s="309">
        <v>3.4043153422637098</v>
      </c>
    </row>
    <row r="5124" spans="1:3" x14ac:dyDescent="0.35">
      <c r="A5124" s="302">
        <v>41042</v>
      </c>
      <c r="B5124" s="303">
        <v>202.32239999999999</v>
      </c>
      <c r="C5124" s="308">
        <v>3.4094242935664298</v>
      </c>
    </row>
    <row r="5125" spans="1:3" x14ac:dyDescent="0.35">
      <c r="A5125" s="305">
        <v>41041</v>
      </c>
      <c r="B5125" s="306">
        <v>202.31440000000001</v>
      </c>
      <c r="C5125" s="309">
        <v>3.4146381358678601</v>
      </c>
    </row>
    <row r="5126" spans="1:3" x14ac:dyDescent="0.35">
      <c r="A5126" s="302">
        <v>41040</v>
      </c>
      <c r="B5126" s="303">
        <v>202.30629999999999</v>
      </c>
      <c r="C5126" s="308">
        <v>3.4198017959620999</v>
      </c>
    </row>
    <row r="5127" spans="1:3" x14ac:dyDescent="0.35">
      <c r="A5127" s="305">
        <v>41039</v>
      </c>
      <c r="B5127" s="306">
        <v>202.29820000000001</v>
      </c>
      <c r="C5127" s="309">
        <v>3.42496638530872</v>
      </c>
    </row>
    <row r="5128" spans="1:3" x14ac:dyDescent="0.35">
      <c r="A5128" s="302">
        <v>41038</v>
      </c>
      <c r="B5128" s="303">
        <v>202.2901</v>
      </c>
      <c r="C5128" s="308">
        <v>3.4301319041585798</v>
      </c>
    </row>
    <row r="5129" spans="1:3" x14ac:dyDescent="0.35">
      <c r="A5129" s="305">
        <v>41037</v>
      </c>
      <c r="B5129" s="306">
        <v>202.28200000000001</v>
      </c>
      <c r="C5129" s="309">
        <v>3.4352454619692101</v>
      </c>
    </row>
    <row r="5130" spans="1:3" x14ac:dyDescent="0.35">
      <c r="A5130" s="302">
        <v>41036</v>
      </c>
      <c r="B5130" s="303">
        <v>202.2739</v>
      </c>
      <c r="C5130" s="308">
        <v>3.4404128331755701</v>
      </c>
    </row>
    <row r="5131" spans="1:3" x14ac:dyDescent="0.35">
      <c r="A5131" s="305">
        <v>41035</v>
      </c>
      <c r="B5131" s="306">
        <v>202.26580000000001</v>
      </c>
      <c r="C5131" s="309">
        <v>3.4455811346365</v>
      </c>
    </row>
    <row r="5132" spans="1:3" x14ac:dyDescent="0.35">
      <c r="A5132" s="302">
        <v>41034</v>
      </c>
      <c r="B5132" s="303">
        <v>202.2577</v>
      </c>
      <c r="C5132" s="308">
        <v>3.4507503666032302</v>
      </c>
    </row>
    <row r="5133" spans="1:3" x14ac:dyDescent="0.35">
      <c r="A5133" s="305">
        <v>41033</v>
      </c>
      <c r="B5133" s="306">
        <v>202.24969999999999</v>
      </c>
      <c r="C5133" s="309">
        <v>3.4559187615349001</v>
      </c>
    </row>
    <row r="5134" spans="1:3" x14ac:dyDescent="0.35">
      <c r="A5134" s="302">
        <v>41032</v>
      </c>
      <c r="B5134" s="303">
        <v>202.24160000000001</v>
      </c>
      <c r="C5134" s="308">
        <v>3.4610898524627101</v>
      </c>
    </row>
    <row r="5135" spans="1:3" x14ac:dyDescent="0.35">
      <c r="A5135" s="305">
        <v>41031</v>
      </c>
      <c r="B5135" s="306">
        <v>202.23349999999999</v>
      </c>
      <c r="C5135" s="309">
        <v>3.4662618746495402</v>
      </c>
    </row>
    <row r="5136" spans="1:3" x14ac:dyDescent="0.35">
      <c r="A5136" s="302">
        <v>41030</v>
      </c>
      <c r="B5136" s="303">
        <v>202.22540000000001</v>
      </c>
      <c r="C5136" s="308">
        <v>3.4713818857772298</v>
      </c>
    </row>
    <row r="5137" spans="1:3" x14ac:dyDescent="0.35">
      <c r="A5137" s="305">
        <v>41029</v>
      </c>
      <c r="B5137" s="306">
        <v>202.21729999999999</v>
      </c>
      <c r="C5137" s="309">
        <v>3.47655576382141</v>
      </c>
    </row>
    <row r="5138" spans="1:3" x14ac:dyDescent="0.35">
      <c r="A5138" s="302">
        <v>41028</v>
      </c>
      <c r="B5138" s="303">
        <v>202.20920000000001</v>
      </c>
      <c r="C5138" s="308">
        <v>3.4817305738778299</v>
      </c>
    </row>
    <row r="5139" spans="1:3" x14ac:dyDescent="0.35">
      <c r="A5139" s="305">
        <v>41027</v>
      </c>
      <c r="B5139" s="306">
        <v>202.2012</v>
      </c>
      <c r="C5139" s="309">
        <v>3.4869045315940301</v>
      </c>
    </row>
    <row r="5140" spans="1:3" x14ac:dyDescent="0.35">
      <c r="A5140" s="302">
        <v>41026</v>
      </c>
      <c r="B5140" s="303">
        <v>202.19309999999999</v>
      </c>
      <c r="C5140" s="308">
        <v>3.4920812036202</v>
      </c>
    </row>
    <row r="5141" spans="1:3" x14ac:dyDescent="0.35">
      <c r="A5141" s="305">
        <v>41025</v>
      </c>
      <c r="B5141" s="306">
        <v>202.185</v>
      </c>
      <c r="C5141" s="309">
        <v>3.4972588084134899</v>
      </c>
    </row>
    <row r="5142" spans="1:3" x14ac:dyDescent="0.35">
      <c r="A5142" s="302">
        <v>41024</v>
      </c>
      <c r="B5142" s="303">
        <v>202.17689999999999</v>
      </c>
      <c r="C5142" s="308">
        <v>3.5023843592178601</v>
      </c>
    </row>
    <row r="5143" spans="1:3" x14ac:dyDescent="0.35">
      <c r="A5143" s="305">
        <v>41023</v>
      </c>
      <c r="B5143" s="306">
        <v>202.1688</v>
      </c>
      <c r="C5143" s="309">
        <v>3.5075638228754298</v>
      </c>
    </row>
    <row r="5144" spans="1:3" x14ac:dyDescent="0.35">
      <c r="A5144" s="302">
        <v>41022</v>
      </c>
      <c r="B5144" s="303">
        <v>202.16069999999999</v>
      </c>
      <c r="C5144" s="308">
        <v>3.5126912182463501</v>
      </c>
    </row>
    <row r="5145" spans="1:3" x14ac:dyDescent="0.35">
      <c r="A5145" s="305">
        <v>41021</v>
      </c>
      <c r="B5145" s="306">
        <v>202.15270000000001</v>
      </c>
      <c r="C5145" s="309">
        <v>3.5179237495570499</v>
      </c>
    </row>
    <row r="5146" spans="1:3" x14ac:dyDescent="0.35">
      <c r="A5146" s="302">
        <v>41020</v>
      </c>
      <c r="B5146" s="303">
        <v>202.1446</v>
      </c>
      <c r="C5146" s="308">
        <v>3.5230529950789999</v>
      </c>
    </row>
    <row r="5147" spans="1:3" x14ac:dyDescent="0.35">
      <c r="A5147" s="305">
        <v>41019</v>
      </c>
      <c r="B5147" s="306">
        <v>202.13650000000001</v>
      </c>
      <c r="C5147" s="309">
        <v>3.5282361840882102</v>
      </c>
    </row>
    <row r="5148" spans="1:3" x14ac:dyDescent="0.35">
      <c r="A5148" s="302">
        <v>41018</v>
      </c>
      <c r="B5148" s="303">
        <v>202.1284</v>
      </c>
      <c r="C5148" s="308">
        <v>3.53336727616936</v>
      </c>
    </row>
    <row r="5149" spans="1:3" x14ac:dyDescent="0.35">
      <c r="A5149" s="305">
        <v>41017</v>
      </c>
      <c r="B5149" s="306">
        <v>202.12029999999999</v>
      </c>
      <c r="C5149" s="309">
        <v>3.5385523270526602</v>
      </c>
    </row>
    <row r="5150" spans="1:3" x14ac:dyDescent="0.35">
      <c r="A5150" s="302">
        <v>41016</v>
      </c>
      <c r="B5150" s="303">
        <v>202.1123</v>
      </c>
      <c r="C5150" s="308">
        <v>3.5437364974837999</v>
      </c>
    </row>
    <row r="5151" spans="1:3" x14ac:dyDescent="0.35">
      <c r="A5151" s="305">
        <v>41015</v>
      </c>
      <c r="B5151" s="306">
        <v>202.10419999999999</v>
      </c>
      <c r="C5151" s="309">
        <v>3.5489234158650498</v>
      </c>
    </row>
    <row r="5152" spans="1:3" x14ac:dyDescent="0.35">
      <c r="A5152" s="302">
        <v>41014</v>
      </c>
      <c r="B5152" s="303">
        <v>202.09610000000001</v>
      </c>
      <c r="C5152" s="308">
        <v>3.5540582086493102</v>
      </c>
    </row>
    <row r="5153" spans="1:3" x14ac:dyDescent="0.35">
      <c r="A5153" s="305">
        <v>41013</v>
      </c>
      <c r="B5153" s="306">
        <v>202.0565</v>
      </c>
      <c r="C5153" s="309">
        <v>3.5537711476340701</v>
      </c>
    </row>
    <row r="5154" spans="1:3" x14ac:dyDescent="0.35">
      <c r="A5154" s="302">
        <v>41012</v>
      </c>
      <c r="B5154" s="303">
        <v>202.01679999999999</v>
      </c>
      <c r="C5154" s="308">
        <v>3.5533796345894899</v>
      </c>
    </row>
    <row r="5155" spans="1:3" x14ac:dyDescent="0.35">
      <c r="A5155" s="305">
        <v>41011</v>
      </c>
      <c r="B5155" s="306">
        <v>201.97720000000001</v>
      </c>
      <c r="C5155" s="309">
        <v>3.5530923315918699</v>
      </c>
    </row>
    <row r="5156" spans="1:3" x14ac:dyDescent="0.35">
      <c r="A5156" s="302">
        <v>41010</v>
      </c>
      <c r="B5156" s="303">
        <v>201.9376</v>
      </c>
      <c r="C5156" s="308">
        <v>3.5527518160663001</v>
      </c>
    </row>
    <row r="5157" spans="1:3" x14ac:dyDescent="0.35">
      <c r="A5157" s="305">
        <v>41009</v>
      </c>
      <c r="B5157" s="306">
        <v>201.898</v>
      </c>
      <c r="C5157" s="309">
        <v>3.55241116920498</v>
      </c>
    </row>
    <row r="5158" spans="1:3" x14ac:dyDescent="0.35">
      <c r="A5158" s="302">
        <v>41008</v>
      </c>
      <c r="B5158" s="303">
        <v>201.85839999999999</v>
      </c>
      <c r="C5158" s="308">
        <v>3.5521235125101298</v>
      </c>
    </row>
    <row r="5159" spans="1:3" x14ac:dyDescent="0.35">
      <c r="A5159" s="305">
        <v>41007</v>
      </c>
      <c r="B5159" s="306">
        <v>201.81880000000001</v>
      </c>
      <c r="C5159" s="309">
        <v>3.5517826128226999</v>
      </c>
    </row>
    <row r="5160" spans="1:3" x14ac:dyDescent="0.35">
      <c r="A5160" s="302">
        <v>41006</v>
      </c>
      <c r="B5160" s="303">
        <v>201.7792</v>
      </c>
      <c r="C5160" s="308">
        <v>3.5514415815751801</v>
      </c>
    </row>
    <row r="5161" spans="1:3" x14ac:dyDescent="0.35">
      <c r="A5161" s="305">
        <v>41005</v>
      </c>
      <c r="B5161" s="306">
        <v>201.7396</v>
      </c>
      <c r="C5161" s="309">
        <v>3.5511004186913899</v>
      </c>
    </row>
    <row r="5162" spans="1:3" x14ac:dyDescent="0.35">
      <c r="A5162" s="302">
        <v>41004</v>
      </c>
      <c r="B5162" s="303">
        <v>201.7</v>
      </c>
      <c r="C5162" s="308">
        <v>3.55075912409509</v>
      </c>
    </row>
    <row r="5163" spans="1:3" x14ac:dyDescent="0.35">
      <c r="A5163" s="305">
        <v>41003</v>
      </c>
      <c r="B5163" s="306">
        <v>201.66050000000001</v>
      </c>
      <c r="C5163" s="309">
        <v>3.5504158746101302</v>
      </c>
    </row>
    <row r="5164" spans="1:3" x14ac:dyDescent="0.35">
      <c r="A5164" s="302">
        <v>41002</v>
      </c>
      <c r="B5164" s="303">
        <v>201.62090000000001</v>
      </c>
      <c r="C5164" s="308">
        <v>3.55007431618326</v>
      </c>
    </row>
    <row r="5165" spans="1:3" x14ac:dyDescent="0.35">
      <c r="A5165" s="305">
        <v>41001</v>
      </c>
      <c r="B5165" s="306">
        <v>201.5814</v>
      </c>
      <c r="C5165" s="309">
        <v>3.5497839945343701</v>
      </c>
    </row>
    <row r="5166" spans="1:3" x14ac:dyDescent="0.35">
      <c r="A5166" s="302">
        <v>41000</v>
      </c>
      <c r="B5166" s="303">
        <v>201.54179999999999</v>
      </c>
      <c r="C5166" s="308">
        <v>3.5494421820715298</v>
      </c>
    </row>
    <row r="5167" spans="1:3" x14ac:dyDescent="0.35">
      <c r="A5167" s="305">
        <v>40999</v>
      </c>
      <c r="B5167" s="306">
        <v>201.50229999999999</v>
      </c>
      <c r="C5167" s="309">
        <v>3.5490984136870298</v>
      </c>
    </row>
    <row r="5168" spans="1:3" x14ac:dyDescent="0.35">
      <c r="A5168" s="302">
        <v>40998</v>
      </c>
      <c r="B5168" s="303">
        <v>201.46279999999999</v>
      </c>
      <c r="C5168" s="308">
        <v>3.5488077352649601</v>
      </c>
    </row>
    <row r="5169" spans="1:3" x14ac:dyDescent="0.35">
      <c r="A5169" s="305">
        <v>40997</v>
      </c>
      <c r="B5169" s="306">
        <v>201.42320000000001</v>
      </c>
      <c r="C5169" s="309">
        <v>3.5484123034657502</v>
      </c>
    </row>
    <row r="5170" spans="1:3" x14ac:dyDescent="0.35">
      <c r="A5170" s="302">
        <v>40996</v>
      </c>
      <c r="B5170" s="303">
        <v>201.3837</v>
      </c>
      <c r="C5170" s="308">
        <v>3.5480681374699001</v>
      </c>
    </row>
    <row r="5171" spans="1:3" x14ac:dyDescent="0.35">
      <c r="A5171" s="305">
        <v>40995</v>
      </c>
      <c r="B5171" s="306">
        <v>201.3442</v>
      </c>
      <c r="C5171" s="309">
        <v>3.5477770914964899</v>
      </c>
    </row>
    <row r="5172" spans="1:3" x14ac:dyDescent="0.35">
      <c r="A5172" s="302">
        <v>40994</v>
      </c>
      <c r="B5172" s="303">
        <v>201.3047</v>
      </c>
      <c r="C5172" s="308">
        <v>3.5474326700211201</v>
      </c>
    </row>
    <row r="5173" spans="1:3" x14ac:dyDescent="0.35">
      <c r="A5173" s="305">
        <v>40993</v>
      </c>
      <c r="B5173" s="306">
        <v>201.26519999999999</v>
      </c>
      <c r="C5173" s="309">
        <v>3.5470881156470599</v>
      </c>
    </row>
    <row r="5174" spans="1:3" x14ac:dyDescent="0.35">
      <c r="A5174" s="302">
        <v>40992</v>
      </c>
      <c r="B5174" s="303">
        <v>201.22579999999999</v>
      </c>
      <c r="C5174" s="308">
        <v>3.5467948863086698</v>
      </c>
    </row>
    <row r="5175" spans="1:3" x14ac:dyDescent="0.35">
      <c r="A5175" s="305">
        <v>40991</v>
      </c>
      <c r="B5175" s="306">
        <v>201.18629999999999</v>
      </c>
      <c r="C5175" s="309">
        <v>3.5464500758380102</v>
      </c>
    </row>
    <row r="5176" spans="1:3" x14ac:dyDescent="0.35">
      <c r="A5176" s="302">
        <v>40990</v>
      </c>
      <c r="B5176" s="303">
        <v>201.14680000000001</v>
      </c>
      <c r="C5176" s="308">
        <v>3.5461051322415198</v>
      </c>
    </row>
    <row r="5177" spans="1:3" x14ac:dyDescent="0.35">
      <c r="A5177" s="305">
        <v>40989</v>
      </c>
      <c r="B5177" s="306">
        <v>201.10740000000001</v>
      </c>
      <c r="C5177" s="309">
        <v>3.5458115432598101</v>
      </c>
    </row>
    <row r="5178" spans="1:3" x14ac:dyDescent="0.35">
      <c r="A5178" s="302">
        <v>40988</v>
      </c>
      <c r="B5178" s="303">
        <v>201.06790000000001</v>
      </c>
      <c r="C5178" s="308">
        <v>3.5454130195542</v>
      </c>
    </row>
    <row r="5179" spans="1:3" x14ac:dyDescent="0.35">
      <c r="A5179" s="305">
        <v>40987</v>
      </c>
      <c r="B5179" s="306">
        <v>201.02850000000001</v>
      </c>
      <c r="C5179" s="309">
        <v>3.54511918362385</v>
      </c>
    </row>
    <row r="5180" spans="1:3" x14ac:dyDescent="0.35">
      <c r="A5180" s="302">
        <v>40986</v>
      </c>
      <c r="B5180" s="303">
        <v>200.98910000000001</v>
      </c>
      <c r="C5180" s="308">
        <v>3.5448252341605202</v>
      </c>
    </row>
    <row r="5181" spans="1:3" x14ac:dyDescent="0.35">
      <c r="A5181" s="305">
        <v>40985</v>
      </c>
      <c r="B5181" s="306">
        <v>200.9496</v>
      </c>
      <c r="C5181" s="309">
        <v>3.5444262895673702</v>
      </c>
    </row>
    <row r="5182" spans="1:3" x14ac:dyDescent="0.35">
      <c r="A5182" s="302">
        <v>40984</v>
      </c>
      <c r="B5182" s="303">
        <v>200.9102</v>
      </c>
      <c r="C5182" s="308">
        <v>3.54413209272218</v>
      </c>
    </row>
    <row r="5183" spans="1:3" x14ac:dyDescent="0.35">
      <c r="A5183" s="305">
        <v>40983</v>
      </c>
      <c r="B5183" s="306">
        <v>200.8708</v>
      </c>
      <c r="C5183" s="309">
        <v>3.5437844079259402</v>
      </c>
    </row>
    <row r="5184" spans="1:3" x14ac:dyDescent="0.35">
      <c r="A5184" s="302">
        <v>40982</v>
      </c>
      <c r="B5184" s="303">
        <v>200.82050000000001</v>
      </c>
      <c r="C5184" s="308">
        <v>3.55132408926162</v>
      </c>
    </row>
    <row r="5185" spans="1:3" x14ac:dyDescent="0.35">
      <c r="A5185" s="305">
        <v>40981</v>
      </c>
      <c r="B5185" s="306">
        <v>200.77010000000001</v>
      </c>
      <c r="C5185" s="309">
        <v>3.5588170666413599</v>
      </c>
    </row>
    <row r="5186" spans="1:3" x14ac:dyDescent="0.35">
      <c r="A5186" s="302">
        <v>40980</v>
      </c>
      <c r="B5186" s="303">
        <v>200.71969999999999</v>
      </c>
      <c r="C5186" s="308">
        <v>3.5663683298608202</v>
      </c>
    </row>
    <row r="5187" spans="1:3" x14ac:dyDescent="0.35">
      <c r="A5187" s="305">
        <v>40979</v>
      </c>
      <c r="B5187" s="306">
        <v>200.6694</v>
      </c>
      <c r="C5187" s="309">
        <v>3.5738691848881898</v>
      </c>
    </row>
    <row r="5188" spans="1:3" x14ac:dyDescent="0.35">
      <c r="A5188" s="302">
        <v>40978</v>
      </c>
      <c r="B5188" s="303">
        <v>200.6191</v>
      </c>
      <c r="C5188" s="308">
        <v>3.5814283685929298</v>
      </c>
    </row>
    <row r="5189" spans="1:3" x14ac:dyDescent="0.35">
      <c r="A5189" s="305">
        <v>40977</v>
      </c>
      <c r="B5189" s="306">
        <v>200.56880000000001</v>
      </c>
      <c r="C5189" s="309">
        <v>3.5889924480864002</v>
      </c>
    </row>
    <row r="5190" spans="1:3" x14ac:dyDescent="0.35">
      <c r="A5190" s="302">
        <v>40976</v>
      </c>
      <c r="B5190" s="303">
        <v>200.51849999999999</v>
      </c>
      <c r="C5190" s="308">
        <v>3.5965079056733602</v>
      </c>
    </row>
    <row r="5191" spans="1:3" x14ac:dyDescent="0.35">
      <c r="A5191" s="305">
        <v>40975</v>
      </c>
      <c r="B5191" s="306">
        <v>200.4682</v>
      </c>
      <c r="C5191" s="309">
        <v>3.6040282261107</v>
      </c>
    </row>
    <row r="5192" spans="1:3" x14ac:dyDescent="0.35">
      <c r="A5192" s="302">
        <v>40974</v>
      </c>
      <c r="B5192" s="303">
        <v>200.4179</v>
      </c>
      <c r="C5192" s="308">
        <v>3.6115534141196899</v>
      </c>
    </row>
    <row r="5193" spans="1:3" x14ac:dyDescent="0.35">
      <c r="A5193" s="305">
        <v>40973</v>
      </c>
      <c r="B5193" s="306">
        <v>200.36770000000001</v>
      </c>
      <c r="C5193" s="309">
        <v>3.61913518891821</v>
      </c>
    </row>
    <row r="5194" spans="1:3" x14ac:dyDescent="0.35">
      <c r="A5194" s="302">
        <v>40972</v>
      </c>
      <c r="B5194" s="303">
        <v>200.31739999999999</v>
      </c>
      <c r="C5194" s="308">
        <v>3.6266165356746201</v>
      </c>
    </row>
    <row r="5195" spans="1:3" x14ac:dyDescent="0.35">
      <c r="A5195" s="305">
        <v>40971</v>
      </c>
      <c r="B5195" s="306">
        <v>200.2672</v>
      </c>
      <c r="C5195" s="309">
        <v>3.6342080982466198</v>
      </c>
    </row>
    <row r="5196" spans="1:3" x14ac:dyDescent="0.35">
      <c r="A5196" s="302">
        <v>40970</v>
      </c>
      <c r="B5196" s="303">
        <v>200.21700000000001</v>
      </c>
      <c r="C5196" s="308">
        <v>3.6417509309883198</v>
      </c>
    </row>
    <row r="5197" spans="1:3" x14ac:dyDescent="0.35">
      <c r="A5197" s="305">
        <v>40969</v>
      </c>
      <c r="B5197" s="306">
        <v>200.16669999999999</v>
      </c>
      <c r="C5197" s="309">
        <v>3.6492468645029299</v>
      </c>
    </row>
    <row r="5198" spans="1:3" x14ac:dyDescent="0.35">
      <c r="A5198" s="302">
        <v>40968</v>
      </c>
      <c r="B5198" s="303">
        <v>200.1165</v>
      </c>
      <c r="C5198" s="308">
        <v>3.6567457573388999</v>
      </c>
    </row>
    <row r="5199" spans="1:3" x14ac:dyDescent="0.35">
      <c r="A5199" s="305">
        <v>40967</v>
      </c>
      <c r="B5199" s="306">
        <v>200.06639999999999</v>
      </c>
      <c r="C5199" s="309">
        <v>3.6307948589250101</v>
      </c>
    </row>
    <row r="5200" spans="1:3" x14ac:dyDescent="0.35">
      <c r="A5200" s="302">
        <v>40966</v>
      </c>
      <c r="B5200" s="303">
        <v>200.0162</v>
      </c>
      <c r="C5200" s="308">
        <v>3.63834391049688</v>
      </c>
    </row>
    <row r="5201" spans="1:3" x14ac:dyDescent="0.35">
      <c r="A5201" s="305">
        <v>40965</v>
      </c>
      <c r="B5201" s="306">
        <v>199.96600000000001</v>
      </c>
      <c r="C5201" s="309">
        <v>3.6458441316111401</v>
      </c>
    </row>
    <row r="5202" spans="1:3" x14ac:dyDescent="0.35">
      <c r="A5202" s="302">
        <v>40964</v>
      </c>
      <c r="B5202" s="303">
        <v>199.91589999999999</v>
      </c>
      <c r="C5202" s="308">
        <v>3.6534010543911499</v>
      </c>
    </row>
    <row r="5203" spans="1:3" x14ac:dyDescent="0.35">
      <c r="A5203" s="305">
        <v>40963</v>
      </c>
      <c r="B5203" s="306">
        <v>199.8657</v>
      </c>
      <c r="C5203" s="309">
        <v>3.6609110033235299</v>
      </c>
    </row>
    <row r="5204" spans="1:3" x14ac:dyDescent="0.35">
      <c r="A5204" s="302">
        <v>40962</v>
      </c>
      <c r="B5204" s="303">
        <v>199.81559999999999</v>
      </c>
      <c r="C5204" s="308">
        <v>3.6684776969339801</v>
      </c>
    </row>
    <row r="5205" spans="1:3" x14ac:dyDescent="0.35">
      <c r="A5205" s="305">
        <v>40961</v>
      </c>
      <c r="B5205" s="306">
        <v>199.7655</v>
      </c>
      <c r="C5205" s="309">
        <v>3.67599548480012</v>
      </c>
    </row>
    <row r="5206" spans="1:3" x14ac:dyDescent="0.35">
      <c r="A5206" s="302">
        <v>40960</v>
      </c>
      <c r="B5206" s="303">
        <v>199.71539999999999</v>
      </c>
      <c r="C5206" s="308">
        <v>3.68357196367357</v>
      </c>
    </row>
    <row r="5207" spans="1:3" x14ac:dyDescent="0.35">
      <c r="A5207" s="305">
        <v>40959</v>
      </c>
      <c r="B5207" s="306">
        <v>199.6653</v>
      </c>
      <c r="C5207" s="309">
        <v>3.6910995036295602</v>
      </c>
    </row>
    <row r="5208" spans="1:3" x14ac:dyDescent="0.35">
      <c r="A5208" s="302">
        <v>40958</v>
      </c>
      <c r="B5208" s="303">
        <v>199.61529999999999</v>
      </c>
      <c r="C5208" s="308">
        <v>3.6986299946596199</v>
      </c>
    </row>
    <row r="5209" spans="1:3" x14ac:dyDescent="0.35">
      <c r="A5209" s="305">
        <v>40957</v>
      </c>
      <c r="B5209" s="306">
        <v>199.5652</v>
      </c>
      <c r="C5209" s="309">
        <v>3.7061672797795402</v>
      </c>
    </row>
    <row r="5210" spans="1:3" x14ac:dyDescent="0.35">
      <c r="A5210" s="302">
        <v>40956</v>
      </c>
      <c r="B5210" s="303">
        <v>199.51519999999999</v>
      </c>
      <c r="C5210" s="308">
        <v>3.71376142973733</v>
      </c>
    </row>
    <row r="5211" spans="1:3" x14ac:dyDescent="0.35">
      <c r="A5211" s="305">
        <v>40955</v>
      </c>
      <c r="B5211" s="306">
        <v>199.46510000000001</v>
      </c>
      <c r="C5211" s="309">
        <v>3.7212545655736999</v>
      </c>
    </row>
    <row r="5212" spans="1:3" x14ac:dyDescent="0.35">
      <c r="A5212" s="302">
        <v>40954</v>
      </c>
      <c r="B5212" s="303">
        <v>199.4151</v>
      </c>
      <c r="C5212" s="308">
        <v>3.72880456663473</v>
      </c>
    </row>
    <row r="5213" spans="1:3" x14ac:dyDescent="0.35">
      <c r="A5213" s="305">
        <v>40953</v>
      </c>
      <c r="B5213" s="306">
        <v>199.38820000000001</v>
      </c>
      <c r="C5213" s="309">
        <v>3.7364501200531701</v>
      </c>
    </row>
    <row r="5214" spans="1:3" x14ac:dyDescent="0.35">
      <c r="A5214" s="302">
        <v>40952</v>
      </c>
      <c r="B5214" s="303">
        <v>199.3612</v>
      </c>
      <c r="C5214" s="308">
        <v>3.7441008126815198</v>
      </c>
    </row>
    <row r="5215" spans="1:3" x14ac:dyDescent="0.35">
      <c r="A5215" s="305">
        <v>40951</v>
      </c>
      <c r="B5215" s="306">
        <v>199.33430000000001</v>
      </c>
      <c r="C5215" s="309">
        <v>3.7518067560836301</v>
      </c>
    </row>
    <row r="5216" spans="1:3" x14ac:dyDescent="0.35">
      <c r="A5216" s="302">
        <v>40950</v>
      </c>
      <c r="B5216" s="303">
        <v>199.3073</v>
      </c>
      <c r="C5216" s="308">
        <v>3.7594098476724001</v>
      </c>
    </row>
    <row r="5217" spans="1:3" x14ac:dyDescent="0.35">
      <c r="A5217" s="305">
        <v>40949</v>
      </c>
      <c r="B5217" s="306">
        <v>199.28039999999999</v>
      </c>
      <c r="C5217" s="309">
        <v>3.76712221772098</v>
      </c>
    </row>
    <row r="5218" spans="1:3" x14ac:dyDescent="0.35">
      <c r="A5218" s="302">
        <v>40948</v>
      </c>
      <c r="B5218" s="303">
        <v>199.2534</v>
      </c>
      <c r="C5218" s="308">
        <v>3.7747316876530199</v>
      </c>
    </row>
    <row r="5219" spans="1:3" x14ac:dyDescent="0.35">
      <c r="A5219" s="305">
        <v>40947</v>
      </c>
      <c r="B5219" s="306">
        <v>199.22649999999999</v>
      </c>
      <c r="C5219" s="309">
        <v>3.7823964293602601</v>
      </c>
    </row>
    <row r="5220" spans="1:3" x14ac:dyDescent="0.35">
      <c r="A5220" s="302">
        <v>40946</v>
      </c>
      <c r="B5220" s="303">
        <v>199.1996</v>
      </c>
      <c r="C5220" s="308">
        <v>3.7900643739367599</v>
      </c>
    </row>
    <row r="5221" spans="1:3" x14ac:dyDescent="0.35">
      <c r="A5221" s="305">
        <v>40945</v>
      </c>
      <c r="B5221" s="306">
        <v>199.17259999999999</v>
      </c>
      <c r="C5221" s="309">
        <v>3.79768340895138</v>
      </c>
    </row>
    <row r="5222" spans="1:3" x14ac:dyDescent="0.35">
      <c r="A5222" s="302">
        <v>40944</v>
      </c>
      <c r="B5222" s="303">
        <v>199.14570000000001</v>
      </c>
      <c r="C5222" s="308">
        <v>3.8053577543989898</v>
      </c>
    </row>
    <row r="5223" spans="1:3" x14ac:dyDescent="0.35">
      <c r="A5223" s="305">
        <v>40943</v>
      </c>
      <c r="B5223" s="306">
        <v>199.11879999999999</v>
      </c>
      <c r="C5223" s="309">
        <v>3.8130353087403299</v>
      </c>
    </row>
    <row r="5224" spans="1:3" x14ac:dyDescent="0.35">
      <c r="A5224" s="302">
        <v>40942</v>
      </c>
      <c r="B5224" s="303">
        <v>199.09190000000001</v>
      </c>
      <c r="C5224" s="308">
        <v>3.8207160739884398</v>
      </c>
    </row>
    <row r="5225" spans="1:3" x14ac:dyDescent="0.35">
      <c r="A5225" s="305">
        <v>40941</v>
      </c>
      <c r="B5225" s="306">
        <v>199.065</v>
      </c>
      <c r="C5225" s="309">
        <v>3.8284000521580399</v>
      </c>
    </row>
    <row r="5226" spans="1:3" x14ac:dyDescent="0.35">
      <c r="A5226" s="302">
        <v>40940</v>
      </c>
      <c r="B5226" s="303">
        <v>199.03800000000001</v>
      </c>
      <c r="C5226" s="308">
        <v>3.8360350763153499</v>
      </c>
    </row>
    <row r="5227" spans="1:3" x14ac:dyDescent="0.35">
      <c r="A5227" s="305">
        <v>40939</v>
      </c>
      <c r="B5227" s="306">
        <v>199.0111</v>
      </c>
      <c r="C5227" s="309">
        <v>3.8436712899743202</v>
      </c>
    </row>
    <row r="5228" spans="1:3" x14ac:dyDescent="0.35">
      <c r="A5228" s="302">
        <v>40938</v>
      </c>
      <c r="B5228" s="303">
        <v>198.98419999999999</v>
      </c>
      <c r="C5228" s="308">
        <v>3.8513648927375499</v>
      </c>
    </row>
    <row r="5229" spans="1:3" x14ac:dyDescent="0.35">
      <c r="A5229" s="305">
        <v>40937</v>
      </c>
      <c r="B5229" s="306">
        <v>198.9573</v>
      </c>
      <c r="C5229" s="309">
        <v>3.8590075003340898</v>
      </c>
    </row>
    <row r="5230" spans="1:3" x14ac:dyDescent="0.35">
      <c r="A5230" s="302">
        <v>40936</v>
      </c>
      <c r="B5230" s="303">
        <v>198.93039999999999</v>
      </c>
      <c r="C5230" s="308">
        <v>3.86665330025146</v>
      </c>
    </row>
    <row r="5231" spans="1:3" x14ac:dyDescent="0.35">
      <c r="A5231" s="305">
        <v>40935</v>
      </c>
      <c r="B5231" s="306">
        <v>198.90350000000001</v>
      </c>
      <c r="C5231" s="309">
        <v>3.8743565412797998</v>
      </c>
    </row>
    <row r="5232" spans="1:3" x14ac:dyDescent="0.35">
      <c r="A5232" s="302">
        <v>40934</v>
      </c>
      <c r="B5232" s="303">
        <v>198.8766</v>
      </c>
      <c r="C5232" s="308">
        <v>3.8820087471734701</v>
      </c>
    </row>
    <row r="5233" spans="1:3" x14ac:dyDescent="0.35">
      <c r="A5233" s="305">
        <v>40933</v>
      </c>
      <c r="B5233" s="306">
        <v>198.84979999999999</v>
      </c>
      <c r="C5233" s="309">
        <v>3.8897163967238</v>
      </c>
    </row>
    <row r="5234" spans="1:3" x14ac:dyDescent="0.35">
      <c r="A5234" s="302">
        <v>40932</v>
      </c>
      <c r="B5234" s="303">
        <v>198.8229</v>
      </c>
      <c r="C5234" s="308">
        <v>3.8973750122149</v>
      </c>
    </row>
    <row r="5235" spans="1:3" x14ac:dyDescent="0.35">
      <c r="A5235" s="305">
        <v>40931</v>
      </c>
      <c r="B5235" s="306">
        <v>198.79599999999999</v>
      </c>
      <c r="C5235" s="309">
        <v>3.9050368300590601</v>
      </c>
    </row>
    <row r="5236" spans="1:3" x14ac:dyDescent="0.35">
      <c r="A5236" s="302">
        <v>40930</v>
      </c>
      <c r="B5236" s="303">
        <v>198.76910000000001</v>
      </c>
      <c r="C5236" s="308">
        <v>3.9127018522652399</v>
      </c>
    </row>
    <row r="5237" spans="1:3" x14ac:dyDescent="0.35">
      <c r="A5237" s="305">
        <v>40929</v>
      </c>
      <c r="B5237" s="306">
        <v>198.7423</v>
      </c>
      <c r="C5237" s="309">
        <v>3.92036803092163</v>
      </c>
    </row>
    <row r="5238" spans="1:3" x14ac:dyDescent="0.35">
      <c r="A5238" s="302">
        <v>40928</v>
      </c>
      <c r="B5238" s="303">
        <v>198.71539999999999</v>
      </c>
      <c r="C5238" s="308">
        <v>3.92803946344443</v>
      </c>
    </row>
    <row r="5239" spans="1:3" x14ac:dyDescent="0.35">
      <c r="A5239" s="305">
        <v>40927</v>
      </c>
      <c r="B5239" s="306">
        <v>198.6885</v>
      </c>
      <c r="C5239" s="309">
        <v>3.9357141063626799</v>
      </c>
    </row>
    <row r="5240" spans="1:3" x14ac:dyDescent="0.35">
      <c r="A5240" s="302">
        <v>40926</v>
      </c>
      <c r="B5240" s="303">
        <v>198.6617</v>
      </c>
      <c r="C5240" s="308">
        <v>3.9433898984381401</v>
      </c>
    </row>
    <row r="5241" spans="1:3" x14ac:dyDescent="0.35">
      <c r="A5241" s="305">
        <v>40925</v>
      </c>
      <c r="B5241" s="306">
        <v>198.63480000000001</v>
      </c>
      <c r="C5241" s="309">
        <v>3.95101656330952</v>
      </c>
    </row>
    <row r="5242" spans="1:3" x14ac:dyDescent="0.35">
      <c r="A5242" s="302">
        <v>40924</v>
      </c>
      <c r="B5242" s="303">
        <v>198.608</v>
      </c>
      <c r="C5242" s="308">
        <v>3.9587531733361199</v>
      </c>
    </row>
    <row r="5243" spans="1:3" x14ac:dyDescent="0.35">
      <c r="A5243" s="305">
        <v>40923</v>
      </c>
      <c r="B5243" s="306">
        <v>198.58109999999999</v>
      </c>
      <c r="C5243" s="309">
        <v>3.9663862378543802</v>
      </c>
    </row>
    <row r="5244" spans="1:3" x14ac:dyDescent="0.35">
      <c r="A5244" s="302">
        <v>40922</v>
      </c>
      <c r="B5244" s="303">
        <v>198.57220000000001</v>
      </c>
      <c r="C5244" s="308">
        <v>3.9680952326101302</v>
      </c>
    </row>
    <row r="5245" spans="1:3" x14ac:dyDescent="0.35">
      <c r="A5245" s="305">
        <v>40921</v>
      </c>
      <c r="B5245" s="306">
        <v>198.56319999999999</v>
      </c>
      <c r="C5245" s="309">
        <v>3.96975207572244</v>
      </c>
    </row>
    <row r="5246" spans="1:3" x14ac:dyDescent="0.35">
      <c r="A5246" s="302">
        <v>40920</v>
      </c>
      <c r="B5246" s="303">
        <v>198.55420000000001</v>
      </c>
      <c r="C5246" s="308">
        <v>3.9714091218515999</v>
      </c>
    </row>
    <row r="5247" spans="1:3" x14ac:dyDescent="0.35">
      <c r="A5247" s="305">
        <v>40919</v>
      </c>
      <c r="B5247" s="306">
        <v>198.5453</v>
      </c>
      <c r="C5247" s="309">
        <v>3.9731187384889801</v>
      </c>
    </row>
    <row r="5248" spans="1:3" x14ac:dyDescent="0.35">
      <c r="A5248" s="302">
        <v>40918</v>
      </c>
      <c r="B5248" s="303">
        <v>198.53630000000001</v>
      </c>
      <c r="C5248" s="308">
        <v>3.9747217417216398</v>
      </c>
    </row>
    <row r="5249" spans="1:3" x14ac:dyDescent="0.35">
      <c r="A5249" s="305">
        <v>40917</v>
      </c>
      <c r="B5249" s="306">
        <v>198.5274</v>
      </c>
      <c r="C5249" s="309">
        <v>3.9764317699740701</v>
      </c>
    </row>
    <row r="5250" spans="1:3" x14ac:dyDescent="0.35">
      <c r="A5250" s="302">
        <v>40916</v>
      </c>
      <c r="B5250" s="303">
        <v>198.51840000000001</v>
      </c>
      <c r="C5250" s="308">
        <v>3.9780896307574798</v>
      </c>
    </row>
    <row r="5251" spans="1:3" x14ac:dyDescent="0.35">
      <c r="A5251" s="305">
        <v>40915</v>
      </c>
      <c r="B5251" s="306">
        <v>198.5094</v>
      </c>
      <c r="C5251" s="309">
        <v>3.9797476947445798</v>
      </c>
    </row>
    <row r="5252" spans="1:3" x14ac:dyDescent="0.35">
      <c r="A5252" s="302">
        <v>40914</v>
      </c>
      <c r="B5252" s="303">
        <v>198.50049999999999</v>
      </c>
      <c r="C5252" s="308">
        <v>3.98145834544701</v>
      </c>
    </row>
    <row r="5253" spans="1:3" x14ac:dyDescent="0.35">
      <c r="A5253" s="305">
        <v>40913</v>
      </c>
      <c r="B5253" s="306">
        <v>198.4915</v>
      </c>
      <c r="C5253" s="309">
        <v>3.98311681916431</v>
      </c>
    </row>
    <row r="5254" spans="1:3" x14ac:dyDescent="0.35">
      <c r="A5254" s="302">
        <v>40912</v>
      </c>
      <c r="B5254" s="303">
        <v>198.48259999999999</v>
      </c>
      <c r="C5254" s="308">
        <v>3.9848278860938899</v>
      </c>
    </row>
    <row r="5255" spans="1:3" x14ac:dyDescent="0.35">
      <c r="A5255" s="305">
        <v>40911</v>
      </c>
      <c r="B5255" s="306">
        <v>198.4736</v>
      </c>
      <c r="C5255" s="309">
        <v>3.98648676969247</v>
      </c>
    </row>
    <row r="5256" spans="1:3" x14ac:dyDescent="0.35">
      <c r="A5256" s="302">
        <v>40910</v>
      </c>
      <c r="B5256" s="303">
        <v>198.46469999999999</v>
      </c>
      <c r="C5256" s="308">
        <v>3.98819825300192</v>
      </c>
    </row>
    <row r="5257" spans="1:3" x14ac:dyDescent="0.35">
      <c r="A5257" s="305">
        <v>40909</v>
      </c>
      <c r="B5257" s="306">
        <v>198.45570000000001</v>
      </c>
      <c r="C5257" s="309">
        <v>3.98980305646309</v>
      </c>
    </row>
    <row r="5258" spans="1:3" x14ac:dyDescent="0.35">
      <c r="A5258" s="302">
        <v>40908</v>
      </c>
      <c r="B5258" s="303">
        <v>198.44669999999999</v>
      </c>
      <c r="C5258" s="308">
        <v>3.9914625493502598</v>
      </c>
    </row>
    <row r="5259" spans="1:3" x14ac:dyDescent="0.35">
      <c r="A5259" s="305">
        <v>40907</v>
      </c>
      <c r="B5259" s="306">
        <v>198.43780000000001</v>
      </c>
      <c r="C5259" s="309">
        <v>3.9931746516708801</v>
      </c>
    </row>
    <row r="5260" spans="1:3" x14ac:dyDescent="0.35">
      <c r="A5260" s="302">
        <v>40906</v>
      </c>
      <c r="B5260" s="303">
        <v>198.4288</v>
      </c>
      <c r="C5260" s="308">
        <v>3.9948345548157702</v>
      </c>
    </row>
    <row r="5261" spans="1:3" x14ac:dyDescent="0.35">
      <c r="A5261" s="305">
        <v>40905</v>
      </c>
      <c r="B5261" s="306">
        <v>198.41990000000001</v>
      </c>
      <c r="C5261" s="309">
        <v>3.9965470738967102</v>
      </c>
    </row>
    <row r="5262" spans="1:3" x14ac:dyDescent="0.35">
      <c r="A5262" s="302">
        <v>40904</v>
      </c>
      <c r="B5262" s="303">
        <v>198.4109</v>
      </c>
      <c r="C5262" s="308">
        <v>3.9982073874506598</v>
      </c>
    </row>
    <row r="5263" spans="1:3" x14ac:dyDescent="0.35">
      <c r="A5263" s="305">
        <v>40903</v>
      </c>
      <c r="B5263" s="306">
        <v>198.40199999999999</v>
      </c>
      <c r="C5263" s="309">
        <v>3.99986580797751</v>
      </c>
    </row>
    <row r="5264" spans="1:3" x14ac:dyDescent="0.35">
      <c r="A5264" s="302">
        <v>40902</v>
      </c>
      <c r="B5264" s="303">
        <v>198.393</v>
      </c>
      <c r="C5264" s="308">
        <v>4.0015265278777399</v>
      </c>
    </row>
    <row r="5265" spans="1:3" x14ac:dyDescent="0.35">
      <c r="A5265" s="305">
        <v>40901</v>
      </c>
      <c r="B5265" s="306">
        <v>198.38409999999999</v>
      </c>
      <c r="C5265" s="309">
        <v>4.0032398766959503</v>
      </c>
    </row>
    <row r="5266" spans="1:3" x14ac:dyDescent="0.35">
      <c r="A5266" s="302">
        <v>40900</v>
      </c>
      <c r="B5266" s="303">
        <v>198.3751</v>
      </c>
      <c r="C5266" s="308">
        <v>4.00490100730695</v>
      </c>
    </row>
    <row r="5267" spans="1:3" x14ac:dyDescent="0.35">
      <c r="A5267" s="305">
        <v>40899</v>
      </c>
      <c r="B5267" s="306">
        <v>198.36619999999999</v>
      </c>
      <c r="C5267" s="309">
        <v>4.0066147733433404</v>
      </c>
    </row>
    <row r="5268" spans="1:3" x14ac:dyDescent="0.35">
      <c r="A5268" s="302">
        <v>40898</v>
      </c>
      <c r="B5268" s="303">
        <v>198.35720000000001</v>
      </c>
      <c r="C5268" s="308">
        <v>4.0082217782741596</v>
      </c>
    </row>
    <row r="5269" spans="1:3" x14ac:dyDescent="0.35">
      <c r="A5269" s="305">
        <v>40897</v>
      </c>
      <c r="B5269" s="306">
        <v>198.34829999999999</v>
      </c>
      <c r="C5269" s="309">
        <v>4.0099359574370999</v>
      </c>
    </row>
    <row r="5270" spans="1:3" x14ac:dyDescent="0.35">
      <c r="A5270" s="302">
        <v>40896</v>
      </c>
      <c r="B5270" s="303">
        <v>198.33930000000001</v>
      </c>
      <c r="C5270" s="308">
        <v>4.0115979057064504</v>
      </c>
    </row>
    <row r="5271" spans="1:3" x14ac:dyDescent="0.35">
      <c r="A5271" s="305">
        <v>40895</v>
      </c>
      <c r="B5271" s="306">
        <v>198.33029999999999</v>
      </c>
      <c r="C5271" s="309">
        <v>4.0132600579301503</v>
      </c>
    </row>
    <row r="5272" spans="1:3" x14ac:dyDescent="0.35">
      <c r="A5272" s="302">
        <v>40894</v>
      </c>
      <c r="B5272" s="303">
        <v>198.32140000000001</v>
      </c>
      <c r="C5272" s="308">
        <v>4.0149748618265804</v>
      </c>
    </row>
    <row r="5273" spans="1:3" x14ac:dyDescent="0.35">
      <c r="A5273" s="305">
        <v>40893</v>
      </c>
      <c r="B5273" s="306">
        <v>198.3124</v>
      </c>
      <c r="C5273" s="309">
        <v>4.0165828676570099</v>
      </c>
    </row>
    <row r="5274" spans="1:3" x14ac:dyDescent="0.35">
      <c r="A5274" s="302">
        <v>40892</v>
      </c>
      <c r="B5274" s="303">
        <v>198.30350000000001</v>
      </c>
      <c r="C5274" s="308">
        <v>4.0182980850585004</v>
      </c>
    </row>
    <row r="5275" spans="1:3" x14ac:dyDescent="0.35">
      <c r="A5275" s="305">
        <v>40891</v>
      </c>
      <c r="B5275" s="306">
        <v>198.29089999999999</v>
      </c>
      <c r="C5275" s="309">
        <v>4.00857913459632</v>
      </c>
    </row>
    <row r="5276" spans="1:3" x14ac:dyDescent="0.35">
      <c r="A5276" s="302">
        <v>40890</v>
      </c>
      <c r="B5276" s="303">
        <v>198.2784</v>
      </c>
      <c r="C5276" s="308">
        <v>3.9989132162243402</v>
      </c>
    </row>
    <row r="5277" spans="1:3" x14ac:dyDescent="0.35">
      <c r="A5277" s="305">
        <v>40889</v>
      </c>
      <c r="B5277" s="306">
        <v>198.26580000000001</v>
      </c>
      <c r="C5277" s="309">
        <v>3.9891954264135099</v>
      </c>
    </row>
    <row r="5278" spans="1:3" x14ac:dyDescent="0.35">
      <c r="A5278" s="302">
        <v>40888</v>
      </c>
      <c r="B5278" s="303">
        <v>198.2533</v>
      </c>
      <c r="C5278" s="308">
        <v>3.9794761304859101</v>
      </c>
    </row>
    <row r="5279" spans="1:3" x14ac:dyDescent="0.35">
      <c r="A5279" s="305">
        <v>40887</v>
      </c>
      <c r="B5279" s="306">
        <v>198.2407</v>
      </c>
      <c r="C5279" s="309">
        <v>3.9697595078446399</v>
      </c>
    </row>
    <row r="5280" spans="1:3" x14ac:dyDescent="0.35">
      <c r="A5280" s="302">
        <v>40886</v>
      </c>
      <c r="B5280" s="303">
        <v>198.22819999999999</v>
      </c>
      <c r="C5280" s="308">
        <v>3.9600959107853502</v>
      </c>
    </row>
    <row r="5281" spans="1:3" x14ac:dyDescent="0.35">
      <c r="A5281" s="305">
        <v>40885</v>
      </c>
      <c r="B5281" s="306">
        <v>198.2157</v>
      </c>
      <c r="C5281" s="309">
        <v>3.9504328914653599</v>
      </c>
    </row>
    <row r="5282" spans="1:3" x14ac:dyDescent="0.35">
      <c r="A5282" s="302">
        <v>40884</v>
      </c>
      <c r="B5282" s="303">
        <v>198.20310000000001</v>
      </c>
      <c r="C5282" s="308">
        <v>3.9407180083130302</v>
      </c>
    </row>
    <row r="5283" spans="1:3" x14ac:dyDescent="0.35">
      <c r="A5283" s="305">
        <v>40883</v>
      </c>
      <c r="B5283" s="306">
        <v>198.19059999999999</v>
      </c>
      <c r="C5283" s="309">
        <v>3.9310016445160398</v>
      </c>
    </row>
    <row r="5284" spans="1:3" x14ac:dyDescent="0.35">
      <c r="A5284" s="302">
        <v>40882</v>
      </c>
      <c r="B5284" s="303">
        <v>198.178</v>
      </c>
      <c r="C5284" s="308">
        <v>3.9212879280084301</v>
      </c>
    </row>
    <row r="5285" spans="1:3" x14ac:dyDescent="0.35">
      <c r="A5285" s="305">
        <v>40881</v>
      </c>
      <c r="B5285" s="306">
        <v>198.16550000000001</v>
      </c>
      <c r="C5285" s="309">
        <v>3.9116272289568501</v>
      </c>
    </row>
    <row r="5286" spans="1:3" x14ac:dyDescent="0.35">
      <c r="A5286" s="302">
        <v>40880</v>
      </c>
      <c r="B5286" s="303">
        <v>198.15299999999999</v>
      </c>
      <c r="C5286" s="308">
        <v>3.90196710738471</v>
      </c>
    </row>
    <row r="5287" spans="1:3" x14ac:dyDescent="0.35">
      <c r="A5287" s="305">
        <v>40879</v>
      </c>
      <c r="B5287" s="306">
        <v>198.1404</v>
      </c>
      <c r="C5287" s="309">
        <v>3.89220065510575</v>
      </c>
    </row>
    <row r="5288" spans="1:3" x14ac:dyDescent="0.35">
      <c r="A5288" s="302">
        <v>40878</v>
      </c>
      <c r="B5288" s="303">
        <v>198.12790000000001</v>
      </c>
      <c r="C5288" s="308">
        <v>3.88254169659663</v>
      </c>
    </row>
    <row r="5289" spans="1:3" x14ac:dyDescent="0.35">
      <c r="A5289" s="305">
        <v>40877</v>
      </c>
      <c r="B5289" s="306">
        <v>198.11529999999999</v>
      </c>
      <c r="C5289" s="309">
        <v>3.87283088491664</v>
      </c>
    </row>
    <row r="5290" spans="1:3" x14ac:dyDescent="0.35">
      <c r="A5290" s="302">
        <v>40876</v>
      </c>
      <c r="B5290" s="303">
        <v>198.1028</v>
      </c>
      <c r="C5290" s="308">
        <v>3.8631730825692698</v>
      </c>
    </row>
    <row r="5291" spans="1:3" x14ac:dyDescent="0.35">
      <c r="A5291" s="305">
        <v>40875</v>
      </c>
      <c r="B5291" s="306">
        <v>198.09030000000001</v>
      </c>
      <c r="C5291" s="309">
        <v>3.8534614098129301</v>
      </c>
    </row>
    <row r="5292" spans="1:3" x14ac:dyDescent="0.35">
      <c r="A5292" s="302">
        <v>40874</v>
      </c>
      <c r="B5292" s="303">
        <v>198.07769999999999</v>
      </c>
      <c r="C5292" s="308">
        <v>3.84375234277644</v>
      </c>
    </row>
    <row r="5293" spans="1:3" x14ac:dyDescent="0.35">
      <c r="A5293" s="305">
        <v>40873</v>
      </c>
      <c r="B5293" s="306">
        <v>198.0652</v>
      </c>
      <c r="C5293" s="309">
        <v>3.8340962801884801</v>
      </c>
    </row>
    <row r="5294" spans="1:3" x14ac:dyDescent="0.35">
      <c r="A5294" s="302">
        <v>40872</v>
      </c>
      <c r="B5294" s="303">
        <v>198.05269999999999</v>
      </c>
      <c r="C5294" s="308">
        <v>3.8244407946642101</v>
      </c>
    </row>
    <row r="5295" spans="1:3" x14ac:dyDescent="0.35">
      <c r="A5295" s="305">
        <v>40871</v>
      </c>
      <c r="B5295" s="306">
        <v>198.0401</v>
      </c>
      <c r="C5295" s="309">
        <v>3.81467904432251</v>
      </c>
    </row>
    <row r="5296" spans="1:3" x14ac:dyDescent="0.35">
      <c r="A5296" s="302">
        <v>40870</v>
      </c>
      <c r="B5296" s="303">
        <v>198.02760000000001</v>
      </c>
      <c r="C5296" s="308">
        <v>3.8050247210235599</v>
      </c>
    </row>
    <row r="5297" spans="1:3" x14ac:dyDescent="0.35">
      <c r="A5297" s="305">
        <v>40869</v>
      </c>
      <c r="B5297" s="306">
        <v>198.01509999999999</v>
      </c>
      <c r="C5297" s="309">
        <v>3.7953709746323501</v>
      </c>
    </row>
    <row r="5298" spans="1:3" x14ac:dyDescent="0.35">
      <c r="A5298" s="302">
        <v>40868</v>
      </c>
      <c r="B5298" s="303">
        <v>198.0026</v>
      </c>
      <c r="C5298" s="308">
        <v>3.7857178050971698</v>
      </c>
    </row>
    <row r="5299" spans="1:3" x14ac:dyDescent="0.35">
      <c r="A5299" s="305">
        <v>40867</v>
      </c>
      <c r="B5299" s="306">
        <v>197.99</v>
      </c>
      <c r="C5299" s="309">
        <v>3.7759584036564502</v>
      </c>
    </row>
    <row r="5300" spans="1:3" x14ac:dyDescent="0.35">
      <c r="A5300" s="302">
        <v>40866</v>
      </c>
      <c r="B5300" s="303">
        <v>197.97749999999999</v>
      </c>
      <c r="C5300" s="308">
        <v>3.7663063959281202</v>
      </c>
    </row>
    <row r="5301" spans="1:3" x14ac:dyDescent="0.35">
      <c r="A5301" s="305">
        <v>40865</v>
      </c>
      <c r="B5301" s="306">
        <v>197.965</v>
      </c>
      <c r="C5301" s="309">
        <v>3.7566549648999401</v>
      </c>
    </row>
    <row r="5302" spans="1:3" x14ac:dyDescent="0.35">
      <c r="A5302" s="302">
        <v>40864</v>
      </c>
      <c r="B5302" s="303">
        <v>197.95240000000001</v>
      </c>
      <c r="C5302" s="308">
        <v>3.7469517004702801</v>
      </c>
    </row>
    <row r="5303" spans="1:3" x14ac:dyDescent="0.35">
      <c r="A5303" s="305">
        <v>40863</v>
      </c>
      <c r="B5303" s="306">
        <v>197.93989999999999</v>
      </c>
      <c r="C5303" s="309">
        <v>3.7372470571341299</v>
      </c>
    </row>
    <row r="5304" spans="1:3" x14ac:dyDescent="0.35">
      <c r="A5304" s="302">
        <v>40862</v>
      </c>
      <c r="B5304" s="303">
        <v>197.92740000000001</v>
      </c>
      <c r="C5304" s="308">
        <v>3.727597364143</v>
      </c>
    </row>
    <row r="5305" spans="1:3" x14ac:dyDescent="0.35">
      <c r="A5305" s="305">
        <v>40861</v>
      </c>
      <c r="B5305" s="306">
        <v>197.9076</v>
      </c>
      <c r="C5305" s="309">
        <v>3.7125464828175998</v>
      </c>
    </row>
    <row r="5306" spans="1:3" x14ac:dyDescent="0.35">
      <c r="A5306" s="302">
        <v>40860</v>
      </c>
      <c r="B5306" s="303">
        <v>197.8879</v>
      </c>
      <c r="C5306" s="308">
        <v>3.69754936022193</v>
      </c>
    </row>
    <row r="5307" spans="1:3" x14ac:dyDescent="0.35">
      <c r="A5307" s="305">
        <v>40859</v>
      </c>
      <c r="B5307" s="306">
        <v>197.8681</v>
      </c>
      <c r="C5307" s="309">
        <v>3.6824468600742502</v>
      </c>
    </row>
    <row r="5308" spans="1:3" x14ac:dyDescent="0.35">
      <c r="A5308" s="302">
        <v>40858</v>
      </c>
      <c r="B5308" s="303">
        <v>197.84829999999999</v>
      </c>
      <c r="C5308" s="308">
        <v>3.6674000558556501</v>
      </c>
    </row>
    <row r="5309" spans="1:3" x14ac:dyDescent="0.35">
      <c r="A5309" s="305">
        <v>40857</v>
      </c>
      <c r="B5309" s="306">
        <v>197.82859999999999</v>
      </c>
      <c r="C5309" s="309">
        <v>3.65240700270411</v>
      </c>
    </row>
    <row r="5310" spans="1:3" x14ac:dyDescent="0.35">
      <c r="A5310" s="302">
        <v>40856</v>
      </c>
      <c r="B5310" s="303">
        <v>197.80879999999999</v>
      </c>
      <c r="C5310" s="308">
        <v>3.63736290796228</v>
      </c>
    </row>
    <row r="5311" spans="1:3" x14ac:dyDescent="0.35">
      <c r="A5311" s="305">
        <v>40855</v>
      </c>
      <c r="B5311" s="306">
        <v>197.78909999999999</v>
      </c>
      <c r="C5311" s="309">
        <v>3.6223182711198398</v>
      </c>
    </row>
    <row r="5312" spans="1:3" x14ac:dyDescent="0.35">
      <c r="A5312" s="302">
        <v>40854</v>
      </c>
      <c r="B5312" s="303">
        <v>197.76929999999999</v>
      </c>
      <c r="C5312" s="308">
        <v>3.6072768954483299</v>
      </c>
    </row>
    <row r="5313" spans="1:3" x14ac:dyDescent="0.35">
      <c r="A5313" s="305">
        <v>40853</v>
      </c>
      <c r="B5313" s="306">
        <v>197.74959999999999</v>
      </c>
      <c r="C5313" s="309">
        <v>3.5922892606403001</v>
      </c>
    </row>
    <row r="5314" spans="1:3" x14ac:dyDescent="0.35">
      <c r="A5314" s="302">
        <v>40852</v>
      </c>
      <c r="B5314" s="303">
        <v>197.72989999999999</v>
      </c>
      <c r="C5314" s="308">
        <v>3.57730297620544</v>
      </c>
    </row>
    <row r="5315" spans="1:3" x14ac:dyDescent="0.35">
      <c r="A5315" s="305">
        <v>40851</v>
      </c>
      <c r="B5315" s="306">
        <v>197.71010000000001</v>
      </c>
      <c r="C5315" s="309">
        <v>3.5622114143088699</v>
      </c>
    </row>
    <row r="5316" spans="1:3" x14ac:dyDescent="0.35">
      <c r="A5316" s="302">
        <v>40850</v>
      </c>
      <c r="B5316" s="303">
        <v>197.69040000000001</v>
      </c>
      <c r="C5316" s="308">
        <v>3.5472278427241801</v>
      </c>
    </row>
    <row r="5317" spans="1:3" x14ac:dyDescent="0.35">
      <c r="A5317" s="305">
        <v>40849</v>
      </c>
      <c r="B5317" s="306">
        <v>197.67060000000001</v>
      </c>
      <c r="C5317" s="309">
        <v>3.53219324484213</v>
      </c>
    </row>
    <row r="5318" spans="1:3" x14ac:dyDescent="0.35">
      <c r="A5318" s="302">
        <v>40848</v>
      </c>
      <c r="B5318" s="303">
        <v>197.65090000000001</v>
      </c>
      <c r="C5318" s="308">
        <v>3.5171581592517702</v>
      </c>
    </row>
    <row r="5319" spans="1:3" x14ac:dyDescent="0.35">
      <c r="A5319" s="305">
        <v>40847</v>
      </c>
      <c r="B5319" s="306">
        <v>197.63120000000001</v>
      </c>
      <c r="C5319" s="309">
        <v>3.5021786492374698</v>
      </c>
    </row>
    <row r="5320" spans="1:3" x14ac:dyDescent="0.35">
      <c r="A5320" s="302">
        <v>40846</v>
      </c>
      <c r="B5320" s="303">
        <v>197.6114</v>
      </c>
      <c r="C5320" s="308">
        <v>3.4871481194809602</v>
      </c>
    </row>
    <row r="5321" spans="1:3" x14ac:dyDescent="0.35">
      <c r="A5321" s="305">
        <v>40845</v>
      </c>
      <c r="B5321" s="306">
        <v>197.5917</v>
      </c>
      <c r="C5321" s="309">
        <v>3.4721713101928602</v>
      </c>
    </row>
    <row r="5322" spans="1:3" x14ac:dyDescent="0.35">
      <c r="A5322" s="302">
        <v>40844</v>
      </c>
      <c r="B5322" s="303">
        <v>197.572</v>
      </c>
      <c r="C5322" s="308">
        <v>3.4571416752064099</v>
      </c>
    </row>
    <row r="5323" spans="1:3" x14ac:dyDescent="0.35">
      <c r="A5323" s="305">
        <v>40843</v>
      </c>
      <c r="B5323" s="306">
        <v>197.5523</v>
      </c>
      <c r="C5323" s="309">
        <v>3.44216757383685</v>
      </c>
    </row>
    <row r="5324" spans="1:3" x14ac:dyDescent="0.35">
      <c r="A5324" s="302">
        <v>40842</v>
      </c>
      <c r="B5324" s="303">
        <v>197.5325</v>
      </c>
      <c r="C5324" s="308">
        <v>3.4271424614542001</v>
      </c>
    </row>
    <row r="5325" spans="1:3" x14ac:dyDescent="0.35">
      <c r="A5325" s="305">
        <v>40841</v>
      </c>
      <c r="B5325" s="306">
        <v>197.5128</v>
      </c>
      <c r="C5325" s="309">
        <v>3.4121169156599298</v>
      </c>
    </row>
    <row r="5326" spans="1:3" x14ac:dyDescent="0.35">
      <c r="A5326" s="302">
        <v>40840</v>
      </c>
      <c r="B5326" s="303">
        <v>197.4931</v>
      </c>
      <c r="C5326" s="308">
        <v>3.3971468720092299</v>
      </c>
    </row>
    <row r="5327" spans="1:3" x14ac:dyDescent="0.35">
      <c r="A5327" s="305">
        <v>40839</v>
      </c>
      <c r="B5327" s="306">
        <v>197.4734</v>
      </c>
      <c r="C5327" s="309">
        <v>3.3821781763544898</v>
      </c>
    </row>
    <row r="5328" spans="1:3" x14ac:dyDescent="0.35">
      <c r="A5328" s="302">
        <v>40838</v>
      </c>
      <c r="B5328" s="303">
        <v>197.4537</v>
      </c>
      <c r="C5328" s="308">
        <v>3.36715671570298</v>
      </c>
    </row>
    <row r="5329" spans="1:3" x14ac:dyDescent="0.35">
      <c r="A5329" s="305">
        <v>40837</v>
      </c>
      <c r="B5329" s="306">
        <v>197.43389999999999</v>
      </c>
      <c r="C5329" s="309">
        <v>3.3521383780478802</v>
      </c>
    </row>
    <row r="5330" spans="1:3" x14ac:dyDescent="0.35">
      <c r="A5330" s="302">
        <v>40836</v>
      </c>
      <c r="B5330" s="303">
        <v>197.41419999999999</v>
      </c>
      <c r="C5330" s="308">
        <v>3.3371737379141102</v>
      </c>
    </row>
    <row r="5331" spans="1:3" x14ac:dyDescent="0.35">
      <c r="A5331" s="305">
        <v>40835</v>
      </c>
      <c r="B5331" s="306">
        <v>197.39449999999999</v>
      </c>
      <c r="C5331" s="309">
        <v>3.3221563631262598</v>
      </c>
    </row>
    <row r="5332" spans="1:3" x14ac:dyDescent="0.35">
      <c r="A5332" s="302">
        <v>40834</v>
      </c>
      <c r="B5332" s="303">
        <v>197.37479999999999</v>
      </c>
      <c r="C5332" s="308">
        <v>3.3071944276082101</v>
      </c>
    </row>
    <row r="5333" spans="1:3" x14ac:dyDescent="0.35">
      <c r="A5333" s="305">
        <v>40833</v>
      </c>
      <c r="B5333" s="306">
        <v>197.35509999999999</v>
      </c>
      <c r="C5333" s="309">
        <v>3.2922338389907502</v>
      </c>
    </row>
    <row r="5334" spans="1:3" x14ac:dyDescent="0.35">
      <c r="A5334" s="302">
        <v>40832</v>
      </c>
      <c r="B5334" s="303">
        <v>197.33539999999999</v>
      </c>
      <c r="C5334" s="308">
        <v>3.2772205460202501</v>
      </c>
    </row>
    <row r="5335" spans="1:3" x14ac:dyDescent="0.35">
      <c r="A5335" s="305">
        <v>40831</v>
      </c>
      <c r="B5335" s="306">
        <v>197.31569999999999</v>
      </c>
      <c r="C5335" s="309">
        <v>3.2622626609190499</v>
      </c>
    </row>
    <row r="5336" spans="1:3" x14ac:dyDescent="0.35">
      <c r="A5336" s="302">
        <v>40830</v>
      </c>
      <c r="B5336" s="303">
        <v>197.3177</v>
      </c>
      <c r="C5336" s="308">
        <v>3.2670923631598301</v>
      </c>
    </row>
    <row r="5337" spans="1:3" x14ac:dyDescent="0.35">
      <c r="A5337" s="305">
        <v>40829</v>
      </c>
      <c r="B5337" s="306">
        <v>197.31960000000001</v>
      </c>
      <c r="C5337" s="309">
        <v>3.2718700819236699</v>
      </c>
    </row>
    <row r="5338" spans="1:3" x14ac:dyDescent="0.35">
      <c r="A5338" s="302">
        <v>40828</v>
      </c>
      <c r="B5338" s="303">
        <v>197.32159999999999</v>
      </c>
      <c r="C5338" s="308">
        <v>3.2767004900526602</v>
      </c>
    </row>
    <row r="5339" spans="1:3" x14ac:dyDescent="0.35">
      <c r="A5339" s="305">
        <v>40827</v>
      </c>
      <c r="B5339" s="306">
        <v>197.3236</v>
      </c>
      <c r="C5339" s="309">
        <v>3.2815312521427198</v>
      </c>
    </row>
    <row r="5340" spans="1:3" x14ac:dyDescent="0.35">
      <c r="A5340" s="302">
        <v>40826</v>
      </c>
      <c r="B5340" s="303">
        <v>197.32560000000001</v>
      </c>
      <c r="C5340" s="308">
        <v>3.2863623682327598</v>
      </c>
    </row>
    <row r="5341" spans="1:3" x14ac:dyDescent="0.35">
      <c r="A5341" s="305">
        <v>40825</v>
      </c>
      <c r="B5341" s="306">
        <v>197.32749999999999</v>
      </c>
      <c r="C5341" s="309">
        <v>3.29119556113903</v>
      </c>
    </row>
    <row r="5342" spans="1:3" x14ac:dyDescent="0.35">
      <c r="A5342" s="302">
        <v>40824</v>
      </c>
      <c r="B5342" s="303">
        <v>197.3295</v>
      </c>
      <c r="C5342" s="308">
        <v>3.29602738793821</v>
      </c>
    </row>
    <row r="5343" spans="1:3" x14ac:dyDescent="0.35">
      <c r="A5343" s="305">
        <v>40823</v>
      </c>
      <c r="B5343" s="306">
        <v>197.33150000000001</v>
      </c>
      <c r="C5343" s="309">
        <v>3.3008595688544999</v>
      </c>
    </row>
    <row r="5344" spans="1:3" x14ac:dyDescent="0.35">
      <c r="A5344" s="302">
        <v>40822</v>
      </c>
      <c r="B5344" s="303">
        <v>197.33340000000001</v>
      </c>
      <c r="C5344" s="308">
        <v>3.3056397531135602</v>
      </c>
    </row>
    <row r="5345" spans="1:3" x14ac:dyDescent="0.35">
      <c r="A5345" s="305">
        <v>40821</v>
      </c>
      <c r="B5345" s="306">
        <v>197.33539999999999</v>
      </c>
      <c r="C5345" s="309">
        <v>3.3104726404623799</v>
      </c>
    </row>
    <row r="5346" spans="1:3" x14ac:dyDescent="0.35">
      <c r="A5346" s="302">
        <v>40820</v>
      </c>
      <c r="B5346" s="303">
        <v>197.3374</v>
      </c>
      <c r="C5346" s="308">
        <v>3.3153058820449699</v>
      </c>
    </row>
    <row r="5347" spans="1:3" x14ac:dyDescent="0.35">
      <c r="A5347" s="305">
        <v>40819</v>
      </c>
      <c r="B5347" s="306">
        <v>197.33940000000001</v>
      </c>
      <c r="C5347" s="309">
        <v>3.3201394779002902</v>
      </c>
    </row>
    <row r="5348" spans="1:3" x14ac:dyDescent="0.35">
      <c r="A5348" s="302">
        <v>40818</v>
      </c>
      <c r="B5348" s="303">
        <v>197.34129999999999</v>
      </c>
      <c r="C5348" s="308">
        <v>3.3249210695791902</v>
      </c>
    </row>
    <row r="5349" spans="1:3" x14ac:dyDescent="0.35">
      <c r="A5349" s="305">
        <v>40817</v>
      </c>
      <c r="B5349" s="306">
        <v>197.3433</v>
      </c>
      <c r="C5349" s="309">
        <v>3.32975537217777</v>
      </c>
    </row>
    <row r="5350" spans="1:3" x14ac:dyDescent="0.35">
      <c r="A5350" s="302">
        <v>40816</v>
      </c>
      <c r="B5350" s="303">
        <v>197.34530000000001</v>
      </c>
      <c r="C5350" s="308">
        <v>3.3345359207988801</v>
      </c>
    </row>
    <row r="5351" spans="1:3" x14ac:dyDescent="0.35">
      <c r="A5351" s="305">
        <v>40815</v>
      </c>
      <c r="B5351" s="306">
        <v>197.34729999999999</v>
      </c>
      <c r="C5351" s="309">
        <v>3.3393709277001999</v>
      </c>
    </row>
    <row r="5352" spans="1:3" x14ac:dyDescent="0.35">
      <c r="A5352" s="302">
        <v>40814</v>
      </c>
      <c r="B5352" s="303">
        <v>197.3492</v>
      </c>
      <c r="C5352" s="308">
        <v>3.3441539229306598</v>
      </c>
    </row>
    <row r="5353" spans="1:3" x14ac:dyDescent="0.35">
      <c r="A5353" s="305">
        <v>40813</v>
      </c>
      <c r="B5353" s="306">
        <v>197.35120000000001</v>
      </c>
      <c r="C5353" s="309">
        <v>3.34898963688513</v>
      </c>
    </row>
    <row r="5354" spans="1:3" x14ac:dyDescent="0.35">
      <c r="A5354" s="302">
        <v>40812</v>
      </c>
      <c r="B5354" s="303">
        <v>197.35319999999999</v>
      </c>
      <c r="C5354" s="308">
        <v>3.3538257053843101</v>
      </c>
    </row>
    <row r="5355" spans="1:3" x14ac:dyDescent="0.35">
      <c r="A5355" s="305">
        <v>40811</v>
      </c>
      <c r="B5355" s="306">
        <v>197.3552</v>
      </c>
      <c r="C5355" s="309">
        <v>3.3586621284672198</v>
      </c>
    </row>
    <row r="5356" spans="1:3" x14ac:dyDescent="0.35">
      <c r="A5356" s="302">
        <v>40810</v>
      </c>
      <c r="B5356" s="303">
        <v>197.3571</v>
      </c>
      <c r="C5356" s="308">
        <v>3.3634465323557601</v>
      </c>
    </row>
    <row r="5357" spans="1:3" x14ac:dyDescent="0.35">
      <c r="A5357" s="305">
        <v>40809</v>
      </c>
      <c r="B5357" s="306">
        <v>197.35910000000001</v>
      </c>
      <c r="C5357" s="309">
        <v>3.3682836628029098</v>
      </c>
    </row>
    <row r="5358" spans="1:3" x14ac:dyDescent="0.35">
      <c r="A5358" s="302">
        <v>40808</v>
      </c>
      <c r="B5358" s="303">
        <v>197.36109999999999</v>
      </c>
      <c r="C5358" s="308">
        <v>3.3731211479506502</v>
      </c>
    </row>
    <row r="5359" spans="1:3" x14ac:dyDescent="0.35">
      <c r="A5359" s="305">
        <v>40807</v>
      </c>
      <c r="B5359" s="306">
        <v>197.3631</v>
      </c>
      <c r="C5359" s="309">
        <v>3.3779589878379901</v>
      </c>
    </row>
    <row r="5360" spans="1:3" x14ac:dyDescent="0.35">
      <c r="A5360" s="302">
        <v>40806</v>
      </c>
      <c r="B5360" s="303">
        <v>197.36500000000001</v>
      </c>
      <c r="C5360" s="308">
        <v>3.3827448010053098</v>
      </c>
    </row>
    <row r="5361" spans="1:3" x14ac:dyDescent="0.35">
      <c r="A5361" s="305">
        <v>40805</v>
      </c>
      <c r="B5361" s="306">
        <v>197.36699999999999</v>
      </c>
      <c r="C5361" s="309">
        <v>3.3875833485681799</v>
      </c>
    </row>
    <row r="5362" spans="1:3" x14ac:dyDescent="0.35">
      <c r="A5362" s="302">
        <v>40804</v>
      </c>
      <c r="B5362" s="303">
        <v>197.369</v>
      </c>
      <c r="C5362" s="308">
        <v>3.3924222509875901</v>
      </c>
    </row>
    <row r="5363" spans="1:3" x14ac:dyDescent="0.35">
      <c r="A5363" s="305">
        <v>40803</v>
      </c>
      <c r="B5363" s="306">
        <v>197.37100000000001</v>
      </c>
      <c r="C5363" s="309">
        <v>3.3972615083025999</v>
      </c>
    </row>
    <row r="5364" spans="1:3" x14ac:dyDescent="0.35">
      <c r="A5364" s="302">
        <v>40802</v>
      </c>
      <c r="B5364" s="303">
        <v>197.37289999999999</v>
      </c>
      <c r="C5364" s="308">
        <v>3.4020487313697498</v>
      </c>
    </row>
    <row r="5365" spans="1:3" x14ac:dyDescent="0.35">
      <c r="A5365" s="305">
        <v>40801</v>
      </c>
      <c r="B5365" s="306">
        <v>197.3749</v>
      </c>
      <c r="C5365" s="309">
        <v>3.40688869667175</v>
      </c>
    </row>
    <row r="5366" spans="1:3" x14ac:dyDescent="0.35">
      <c r="A5366" s="302">
        <v>40800</v>
      </c>
      <c r="B5366" s="303">
        <v>197.36600000000001</v>
      </c>
      <c r="C5366" s="308">
        <v>3.4008715669869098</v>
      </c>
    </row>
    <row r="5367" spans="1:3" x14ac:dyDescent="0.35">
      <c r="A5367" s="305">
        <v>40799</v>
      </c>
      <c r="B5367" s="306">
        <v>197.3571</v>
      </c>
      <c r="C5367" s="309">
        <v>3.3949087632349602</v>
      </c>
    </row>
    <row r="5368" spans="1:3" x14ac:dyDescent="0.35">
      <c r="A5368" s="302">
        <v>40798</v>
      </c>
      <c r="B5368" s="303">
        <v>197.34819999999999</v>
      </c>
      <c r="C5368" s="308">
        <v>3.3888919449181301</v>
      </c>
    </row>
    <row r="5369" spans="1:3" x14ac:dyDescent="0.35">
      <c r="A5369" s="305">
        <v>40797</v>
      </c>
      <c r="B5369" s="306">
        <v>197.33930000000001</v>
      </c>
      <c r="C5369" s="309">
        <v>3.382875284207</v>
      </c>
    </row>
    <row r="5370" spans="1:3" x14ac:dyDescent="0.35">
      <c r="A5370" s="302">
        <v>40796</v>
      </c>
      <c r="B5370" s="303">
        <v>197.3304</v>
      </c>
      <c r="C5370" s="308">
        <v>3.3769129378828202</v>
      </c>
    </row>
    <row r="5371" spans="1:3" x14ac:dyDescent="0.35">
      <c r="A5371" s="305">
        <v>40795</v>
      </c>
      <c r="B5371" s="306">
        <v>197.32149999999999</v>
      </c>
      <c r="C5371" s="309">
        <v>3.3708965885034501</v>
      </c>
    </row>
    <row r="5372" spans="1:3" x14ac:dyDescent="0.35">
      <c r="A5372" s="302">
        <v>40794</v>
      </c>
      <c r="B5372" s="303">
        <v>197.3126</v>
      </c>
      <c r="C5372" s="308">
        <v>3.3648803967113898</v>
      </c>
    </row>
    <row r="5373" spans="1:3" x14ac:dyDescent="0.35">
      <c r="A5373" s="305">
        <v>40793</v>
      </c>
      <c r="B5373" s="306">
        <v>197.30369999999999</v>
      </c>
      <c r="C5373" s="309">
        <v>3.3589185077619899</v>
      </c>
    </row>
    <row r="5374" spans="1:3" x14ac:dyDescent="0.35">
      <c r="A5374" s="302">
        <v>40792</v>
      </c>
      <c r="B5374" s="303">
        <v>197.29480000000001</v>
      </c>
      <c r="C5374" s="308">
        <v>3.3529026272654598</v>
      </c>
    </row>
    <row r="5375" spans="1:3" x14ac:dyDescent="0.35">
      <c r="A5375" s="305">
        <v>40791</v>
      </c>
      <c r="B5375" s="306">
        <v>197.2859</v>
      </c>
      <c r="C5375" s="309">
        <v>3.3468869043378402</v>
      </c>
    </row>
    <row r="5376" spans="1:3" x14ac:dyDescent="0.35">
      <c r="A5376" s="302">
        <v>40790</v>
      </c>
      <c r="B5376" s="303">
        <v>197.27699999999999</v>
      </c>
      <c r="C5376" s="308">
        <v>3.34092547271021</v>
      </c>
    </row>
    <row r="5377" spans="1:3" x14ac:dyDescent="0.35">
      <c r="A5377" s="305">
        <v>40789</v>
      </c>
      <c r="B5377" s="306">
        <v>197.2681</v>
      </c>
      <c r="C5377" s="309">
        <v>3.33491006104189</v>
      </c>
    </row>
    <row r="5378" spans="1:3" x14ac:dyDescent="0.35">
      <c r="A5378" s="302">
        <v>40788</v>
      </c>
      <c r="B5378" s="303">
        <v>197.25919999999999</v>
      </c>
      <c r="C5378" s="308">
        <v>3.3289489329983</v>
      </c>
    </row>
    <row r="5379" spans="1:3" x14ac:dyDescent="0.35">
      <c r="A5379" s="305">
        <v>40787</v>
      </c>
      <c r="B5379" s="306">
        <v>197.25030000000001</v>
      </c>
      <c r="C5379" s="309">
        <v>3.3229338325652402</v>
      </c>
    </row>
    <row r="5380" spans="1:3" x14ac:dyDescent="0.35">
      <c r="A5380" s="302">
        <v>40786</v>
      </c>
      <c r="B5380" s="303">
        <v>197.2414</v>
      </c>
      <c r="C5380" s="308">
        <v>3.3169188896705299</v>
      </c>
    </row>
    <row r="5381" spans="1:3" x14ac:dyDescent="0.35">
      <c r="A5381" s="305">
        <v>40785</v>
      </c>
      <c r="B5381" s="306">
        <v>197.23249999999999</v>
      </c>
      <c r="C5381" s="309">
        <v>3.31095821886057</v>
      </c>
    </row>
    <row r="5382" spans="1:3" x14ac:dyDescent="0.35">
      <c r="A5382" s="302">
        <v>40784</v>
      </c>
      <c r="B5382" s="303">
        <v>197.2236</v>
      </c>
      <c r="C5382" s="308">
        <v>3.3049435871649</v>
      </c>
    </row>
    <row r="5383" spans="1:3" x14ac:dyDescent="0.35">
      <c r="A5383" s="305">
        <v>40783</v>
      </c>
      <c r="B5383" s="306">
        <v>197.21469999999999</v>
      </c>
      <c r="C5383" s="309">
        <v>3.2989291129891898</v>
      </c>
    </row>
    <row r="5384" spans="1:3" x14ac:dyDescent="0.35">
      <c r="A5384" s="302">
        <v>40782</v>
      </c>
      <c r="B5384" s="303">
        <v>197.20580000000001</v>
      </c>
      <c r="C5384" s="308">
        <v>3.2929688993598898</v>
      </c>
    </row>
    <row r="5385" spans="1:3" x14ac:dyDescent="0.35">
      <c r="A5385" s="305">
        <v>40781</v>
      </c>
      <c r="B5385" s="306">
        <v>197.1969</v>
      </c>
      <c r="C5385" s="309">
        <v>3.286954736347</v>
      </c>
    </row>
    <row r="5386" spans="1:3" x14ac:dyDescent="0.35">
      <c r="A5386" s="302">
        <v>40780</v>
      </c>
      <c r="B5386" s="303">
        <v>197.18799999999999</v>
      </c>
      <c r="C5386" s="308">
        <v>3.2809407308356899</v>
      </c>
    </row>
    <row r="5387" spans="1:3" x14ac:dyDescent="0.35">
      <c r="A5387" s="305">
        <v>40779</v>
      </c>
      <c r="B5387" s="306">
        <v>197.17910000000001</v>
      </c>
      <c r="C5387" s="309">
        <v>3.2749809743340799</v>
      </c>
    </row>
    <row r="5388" spans="1:3" x14ac:dyDescent="0.35">
      <c r="A5388" s="302">
        <v>40778</v>
      </c>
      <c r="B5388" s="303">
        <v>197.17019999999999</v>
      </c>
      <c r="C5388" s="308">
        <v>3.2689672799493801</v>
      </c>
    </row>
    <row r="5389" spans="1:3" x14ac:dyDescent="0.35">
      <c r="A5389" s="305">
        <v>40777</v>
      </c>
      <c r="B5389" s="306">
        <v>197.16130000000001</v>
      </c>
      <c r="C5389" s="309">
        <v>3.2629537430478899</v>
      </c>
    </row>
    <row r="5390" spans="1:3" x14ac:dyDescent="0.35">
      <c r="A5390" s="302">
        <v>40776</v>
      </c>
      <c r="B5390" s="303">
        <v>197.1524</v>
      </c>
      <c r="C5390" s="308">
        <v>3.2569944436210099</v>
      </c>
    </row>
    <row r="5391" spans="1:3" x14ac:dyDescent="0.35">
      <c r="A5391" s="305">
        <v>40775</v>
      </c>
      <c r="B5391" s="306">
        <v>197.14349999999999</v>
      </c>
      <c r="C5391" s="309">
        <v>3.25098121780993</v>
      </c>
    </row>
    <row r="5392" spans="1:3" x14ac:dyDescent="0.35">
      <c r="A5392" s="302">
        <v>40774</v>
      </c>
      <c r="B5392" s="303">
        <v>197.13460000000001</v>
      </c>
      <c r="C5392" s="308">
        <v>3.2450222218032398</v>
      </c>
    </row>
    <row r="5393" spans="1:3" x14ac:dyDescent="0.35">
      <c r="A5393" s="305">
        <v>40773</v>
      </c>
      <c r="B5393" s="306">
        <v>197.12569999999999</v>
      </c>
      <c r="C5393" s="309">
        <v>3.2390093070585602</v>
      </c>
    </row>
    <row r="5394" spans="1:3" x14ac:dyDescent="0.35">
      <c r="A5394" s="302">
        <v>40772</v>
      </c>
      <c r="B5394" s="303">
        <v>197.11680000000001</v>
      </c>
      <c r="C5394" s="308">
        <v>3.2329965497665301</v>
      </c>
    </row>
    <row r="5395" spans="1:3" x14ac:dyDescent="0.35">
      <c r="A5395" s="305">
        <v>40771</v>
      </c>
      <c r="B5395" s="306">
        <v>197.1079</v>
      </c>
      <c r="C5395" s="309">
        <v>3.2270380107464902</v>
      </c>
    </row>
    <row r="5396" spans="1:3" x14ac:dyDescent="0.35">
      <c r="A5396" s="302">
        <v>40770</v>
      </c>
      <c r="B5396" s="303">
        <v>197.09899999999999</v>
      </c>
      <c r="C5396" s="308">
        <v>3.2210255644846599</v>
      </c>
    </row>
    <row r="5397" spans="1:3" x14ac:dyDescent="0.35">
      <c r="A5397" s="305">
        <v>40769</v>
      </c>
      <c r="B5397" s="306">
        <v>197.0787</v>
      </c>
      <c r="C5397" s="309">
        <v>3.2140700538436602</v>
      </c>
    </row>
    <row r="5398" spans="1:3" x14ac:dyDescent="0.35">
      <c r="A5398" s="302">
        <v>40768</v>
      </c>
      <c r="B5398" s="303">
        <v>197.05840000000001</v>
      </c>
      <c r="C5398" s="308">
        <v>3.2070599942388802</v>
      </c>
    </row>
    <row r="5399" spans="1:3" x14ac:dyDescent="0.35">
      <c r="A5399" s="305">
        <v>40767</v>
      </c>
      <c r="B5399" s="306">
        <v>197.03809999999999</v>
      </c>
      <c r="C5399" s="309">
        <v>3.2001034944026099</v>
      </c>
    </row>
    <row r="5400" spans="1:3" x14ac:dyDescent="0.35">
      <c r="A5400" s="302">
        <v>40766</v>
      </c>
      <c r="B5400" s="303">
        <v>197.01779999999999</v>
      </c>
      <c r="C5400" s="308">
        <v>3.1931464990304899</v>
      </c>
    </row>
    <row r="5401" spans="1:3" x14ac:dyDescent="0.35">
      <c r="A5401" s="305">
        <v>40765</v>
      </c>
      <c r="B5401" s="306">
        <v>196.9975</v>
      </c>
      <c r="C5401" s="309">
        <v>3.1861349597490398</v>
      </c>
    </row>
    <row r="5402" spans="1:3" x14ac:dyDescent="0.35">
      <c r="A5402" s="302">
        <v>40764</v>
      </c>
      <c r="B5402" s="303">
        <v>196.97720000000001</v>
      </c>
      <c r="C5402" s="308">
        <v>3.1791769748658898</v>
      </c>
    </row>
    <row r="5403" spans="1:3" x14ac:dyDescent="0.35">
      <c r="A5403" s="305">
        <v>40763</v>
      </c>
      <c r="B5403" s="306">
        <v>196.95689999999999</v>
      </c>
      <c r="C5403" s="309">
        <v>3.1722184942884</v>
      </c>
    </row>
    <row r="5404" spans="1:3" x14ac:dyDescent="0.35">
      <c r="A5404" s="302">
        <v>40762</v>
      </c>
      <c r="B5404" s="303">
        <v>196.9366</v>
      </c>
      <c r="C5404" s="308">
        <v>3.16525951796361</v>
      </c>
    </row>
    <row r="5405" spans="1:3" x14ac:dyDescent="0.35">
      <c r="A5405" s="305">
        <v>40761</v>
      </c>
      <c r="B5405" s="306">
        <v>196.91630000000001</v>
      </c>
      <c r="C5405" s="309">
        <v>3.15824600445498</v>
      </c>
    </row>
    <row r="5406" spans="1:3" x14ac:dyDescent="0.35">
      <c r="A5406" s="302">
        <v>40760</v>
      </c>
      <c r="B5406" s="303">
        <v>196.89599999999999</v>
      </c>
      <c r="C5406" s="308">
        <v>3.15128603819766</v>
      </c>
    </row>
    <row r="5407" spans="1:3" x14ac:dyDescent="0.35">
      <c r="A5407" s="305">
        <v>40759</v>
      </c>
      <c r="B5407" s="306">
        <v>196.87569999999999</v>
      </c>
      <c r="C5407" s="309">
        <v>3.1443255760344502</v>
      </c>
    </row>
    <row r="5408" spans="1:3" x14ac:dyDescent="0.35">
      <c r="A5408" s="302">
        <v>40758</v>
      </c>
      <c r="B5408" s="303">
        <v>196.8554</v>
      </c>
      <c r="C5408" s="308">
        <v>3.13731058174973</v>
      </c>
    </row>
    <row r="5409" spans="1:3" x14ac:dyDescent="0.35">
      <c r="A5409" s="305">
        <v>40757</v>
      </c>
      <c r="B5409" s="306">
        <v>196.83510000000001</v>
      </c>
      <c r="C5409" s="309">
        <v>3.1303491293379202</v>
      </c>
    </row>
    <row r="5410" spans="1:3" x14ac:dyDescent="0.35">
      <c r="A5410" s="302">
        <v>40756</v>
      </c>
      <c r="B5410" s="303">
        <v>196.81479999999999</v>
      </c>
      <c r="C5410" s="308">
        <v>3.1233871808615699</v>
      </c>
    </row>
    <row r="5411" spans="1:3" x14ac:dyDescent="0.35">
      <c r="A5411" s="305">
        <v>40755</v>
      </c>
      <c r="B5411" s="306">
        <v>196.7945</v>
      </c>
      <c r="C5411" s="309">
        <v>3.1163707053294001</v>
      </c>
    </row>
    <row r="5412" spans="1:3" x14ac:dyDescent="0.35">
      <c r="A5412" s="302">
        <v>40754</v>
      </c>
      <c r="B5412" s="303">
        <v>196.77430000000001</v>
      </c>
      <c r="C5412" s="308">
        <v>3.1094601661494798</v>
      </c>
    </row>
    <row r="5413" spans="1:3" x14ac:dyDescent="0.35">
      <c r="A5413" s="305">
        <v>40753</v>
      </c>
      <c r="B5413" s="306">
        <v>196.75399999999999</v>
      </c>
      <c r="C5413" s="309">
        <v>3.1024967327522299</v>
      </c>
    </row>
    <row r="5414" spans="1:3" x14ac:dyDescent="0.35">
      <c r="A5414" s="302">
        <v>40752</v>
      </c>
      <c r="B5414" s="303">
        <v>196.7337</v>
      </c>
      <c r="C5414" s="308">
        <v>3.0954787773409098</v>
      </c>
    </row>
    <row r="5415" spans="1:3" x14ac:dyDescent="0.35">
      <c r="A5415" s="305">
        <v>40751</v>
      </c>
      <c r="B5415" s="306">
        <v>196.71340000000001</v>
      </c>
      <c r="C5415" s="309">
        <v>3.0885143530627599</v>
      </c>
    </row>
    <row r="5416" spans="1:3" x14ac:dyDescent="0.35">
      <c r="A5416" s="302">
        <v>40750</v>
      </c>
      <c r="B5416" s="303">
        <v>196.69319999999999</v>
      </c>
      <c r="C5416" s="308">
        <v>3.0816018397059701</v>
      </c>
    </row>
    <row r="5417" spans="1:3" x14ac:dyDescent="0.35">
      <c r="A5417" s="305">
        <v>40749</v>
      </c>
      <c r="B5417" s="306">
        <v>196.6729</v>
      </c>
      <c r="C5417" s="309">
        <v>3.07458240394452</v>
      </c>
    </row>
    <row r="5418" spans="1:3" x14ac:dyDescent="0.35">
      <c r="A5418" s="302">
        <v>40748</v>
      </c>
      <c r="B5418" s="303">
        <v>196.65260000000001</v>
      </c>
      <c r="C5418" s="308">
        <v>3.06761649395491</v>
      </c>
    </row>
    <row r="5419" spans="1:3" x14ac:dyDescent="0.35">
      <c r="A5419" s="305">
        <v>40747</v>
      </c>
      <c r="B5419" s="306">
        <v>196.63239999999999</v>
      </c>
      <c r="C5419" s="309">
        <v>3.0607025003039898</v>
      </c>
    </row>
    <row r="5420" spans="1:3" x14ac:dyDescent="0.35">
      <c r="A5420" s="302">
        <v>40746</v>
      </c>
      <c r="B5420" s="303">
        <v>196.6121</v>
      </c>
      <c r="C5420" s="308">
        <v>3.0536815837212501</v>
      </c>
    </row>
    <row r="5421" spans="1:3" x14ac:dyDescent="0.35">
      <c r="A5421" s="305">
        <v>40745</v>
      </c>
      <c r="B5421" s="306">
        <v>196.59180000000001</v>
      </c>
      <c r="C5421" s="309">
        <v>3.0467141875455002</v>
      </c>
    </row>
    <row r="5422" spans="1:3" x14ac:dyDescent="0.35">
      <c r="A5422" s="302">
        <v>40744</v>
      </c>
      <c r="B5422" s="303">
        <v>196.57159999999999</v>
      </c>
      <c r="C5422" s="308">
        <v>3.0397987131268902</v>
      </c>
    </row>
    <row r="5423" spans="1:3" x14ac:dyDescent="0.35">
      <c r="A5423" s="305">
        <v>40743</v>
      </c>
      <c r="B5423" s="306">
        <v>196.5513</v>
      </c>
      <c r="C5423" s="309">
        <v>3.0327763152514802</v>
      </c>
    </row>
    <row r="5424" spans="1:3" x14ac:dyDescent="0.35">
      <c r="A5424" s="302">
        <v>40742</v>
      </c>
      <c r="B5424" s="303">
        <v>196.53110000000001</v>
      </c>
      <c r="C5424" s="308">
        <v>3.0258598545809101</v>
      </c>
    </row>
    <row r="5425" spans="1:3" x14ac:dyDescent="0.35">
      <c r="A5425" s="305">
        <v>40741</v>
      </c>
      <c r="B5425" s="306">
        <v>196.51079999999999</v>
      </c>
      <c r="C5425" s="309">
        <v>3.01889047675466</v>
      </c>
    </row>
    <row r="5426" spans="1:3" x14ac:dyDescent="0.35">
      <c r="A5426" s="302">
        <v>40740</v>
      </c>
      <c r="B5426" s="303">
        <v>196.4905</v>
      </c>
      <c r="C5426" s="308">
        <v>3.011866597115</v>
      </c>
    </row>
    <row r="5427" spans="1:3" x14ac:dyDescent="0.35">
      <c r="A5427" s="305">
        <v>40739</v>
      </c>
      <c r="B5427" s="306">
        <v>196.47030000000001</v>
      </c>
      <c r="C5427" s="309">
        <v>3.0049486548875501</v>
      </c>
    </row>
    <row r="5428" spans="1:3" x14ac:dyDescent="0.35">
      <c r="A5428" s="302">
        <v>40738</v>
      </c>
      <c r="B5428" s="303">
        <v>196.452</v>
      </c>
      <c r="C5428" s="308">
        <v>2.9987563728029398</v>
      </c>
    </row>
    <row r="5429" spans="1:3" x14ac:dyDescent="0.35">
      <c r="A5429" s="305">
        <v>40737</v>
      </c>
      <c r="B5429" s="306">
        <v>196.43369999999999</v>
      </c>
      <c r="C5429" s="309">
        <v>2.9926176819101702</v>
      </c>
    </row>
    <row r="5430" spans="1:3" x14ac:dyDescent="0.35">
      <c r="A5430" s="302">
        <v>40736</v>
      </c>
      <c r="B5430" s="303">
        <v>196.41540000000001</v>
      </c>
      <c r="C5430" s="308">
        <v>2.9864245801561098</v>
      </c>
    </row>
    <row r="5431" spans="1:3" x14ac:dyDescent="0.35">
      <c r="A5431" s="305">
        <v>40735</v>
      </c>
      <c r="B5431" s="306">
        <v>196.39699999999999</v>
      </c>
      <c r="C5431" s="309">
        <v>2.9802326319139798</v>
      </c>
    </row>
    <row r="5432" spans="1:3" x14ac:dyDescent="0.35">
      <c r="A5432" s="302">
        <v>40734</v>
      </c>
      <c r="B5432" s="303">
        <v>196.37870000000001</v>
      </c>
      <c r="C5432" s="308">
        <v>2.9740387085948599</v>
      </c>
    </row>
    <row r="5433" spans="1:3" x14ac:dyDescent="0.35">
      <c r="A5433" s="305">
        <v>40733</v>
      </c>
      <c r="B5433" s="306">
        <v>196.3604</v>
      </c>
      <c r="C5433" s="309">
        <v>2.9678983705347499</v>
      </c>
    </row>
    <row r="5434" spans="1:3" x14ac:dyDescent="0.35">
      <c r="A5434" s="302">
        <v>40732</v>
      </c>
      <c r="B5434" s="303">
        <v>196.34209999999999</v>
      </c>
      <c r="C5434" s="308">
        <v>2.9617036272190602</v>
      </c>
    </row>
    <row r="5435" spans="1:3" x14ac:dyDescent="0.35">
      <c r="A5435" s="305">
        <v>40731</v>
      </c>
      <c r="B5435" s="306">
        <v>196.32380000000001</v>
      </c>
      <c r="C5435" s="309">
        <v>2.9555624662078701</v>
      </c>
    </row>
    <row r="5436" spans="1:3" x14ac:dyDescent="0.35">
      <c r="A5436" s="302">
        <v>40730</v>
      </c>
      <c r="B5436" s="303">
        <v>196.30549999999999</v>
      </c>
      <c r="C5436" s="308">
        <v>2.9493669027320899</v>
      </c>
    </row>
    <row r="5437" spans="1:3" x14ac:dyDescent="0.35">
      <c r="A5437" s="305">
        <v>40729</v>
      </c>
      <c r="B5437" s="306">
        <v>196.28729999999999</v>
      </c>
      <c r="C5437" s="309">
        <v>2.94327736381029</v>
      </c>
    </row>
    <row r="5438" spans="1:3" x14ac:dyDescent="0.35">
      <c r="A5438" s="302">
        <v>40728</v>
      </c>
      <c r="B5438" s="303">
        <v>196.26900000000001</v>
      </c>
      <c r="C5438" s="308">
        <v>2.9370809817437502</v>
      </c>
    </row>
    <row r="5439" spans="1:3" x14ac:dyDescent="0.35">
      <c r="A5439" s="305">
        <v>40727</v>
      </c>
      <c r="B5439" s="306">
        <v>196.25069999999999</v>
      </c>
      <c r="C5439" s="309">
        <v>2.9309381760965101</v>
      </c>
    </row>
    <row r="5440" spans="1:3" x14ac:dyDescent="0.35">
      <c r="A5440" s="302">
        <v>40726</v>
      </c>
      <c r="B5440" s="303">
        <v>196.23240000000001</v>
      </c>
      <c r="C5440" s="308">
        <v>2.9247409735429502</v>
      </c>
    </row>
    <row r="5441" spans="1:3" x14ac:dyDescent="0.35">
      <c r="A5441" s="305">
        <v>40725</v>
      </c>
      <c r="B5441" s="306">
        <v>196.2141</v>
      </c>
      <c r="C5441" s="309">
        <v>2.9185973444503999</v>
      </c>
    </row>
    <row r="5442" spans="1:3" x14ac:dyDescent="0.35">
      <c r="A5442" s="302">
        <v>40724</v>
      </c>
      <c r="B5442" s="303">
        <v>196.19579999999999</v>
      </c>
      <c r="C5442" s="308">
        <v>2.9123993212462</v>
      </c>
    </row>
    <row r="5443" spans="1:3" x14ac:dyDescent="0.35">
      <c r="A5443" s="305">
        <v>40723</v>
      </c>
      <c r="B5443" s="306">
        <v>196.17750000000001</v>
      </c>
      <c r="C5443" s="309">
        <v>2.9062548685434302</v>
      </c>
    </row>
    <row r="5444" spans="1:3" x14ac:dyDescent="0.35">
      <c r="A5444" s="302">
        <v>40722</v>
      </c>
      <c r="B5444" s="303">
        <v>196.1592</v>
      </c>
      <c r="C5444" s="308">
        <v>2.9001100032681002</v>
      </c>
    </row>
    <row r="5445" spans="1:3" x14ac:dyDescent="0.35">
      <c r="A5445" s="305">
        <v>40721</v>
      </c>
      <c r="B5445" s="306">
        <v>196.14089999999999</v>
      </c>
      <c r="C5445" s="309">
        <v>2.8939107480469399</v>
      </c>
    </row>
    <row r="5446" spans="1:3" x14ac:dyDescent="0.35">
      <c r="A5446" s="302">
        <v>40720</v>
      </c>
      <c r="B5446" s="303">
        <v>196.12270000000001</v>
      </c>
      <c r="C5446" s="308">
        <v>2.8878175198564699</v>
      </c>
    </row>
    <row r="5447" spans="1:3" x14ac:dyDescent="0.35">
      <c r="A5447" s="305">
        <v>40719</v>
      </c>
      <c r="B5447" s="306">
        <v>196.1044</v>
      </c>
      <c r="C5447" s="309">
        <v>2.88161744530897</v>
      </c>
    </row>
    <row r="5448" spans="1:3" x14ac:dyDescent="0.35">
      <c r="A5448" s="302">
        <v>40718</v>
      </c>
      <c r="B5448" s="303">
        <v>196.08609999999999</v>
      </c>
      <c r="C5448" s="308">
        <v>2.8754709339142202</v>
      </c>
    </row>
    <row r="5449" spans="1:3" x14ac:dyDescent="0.35">
      <c r="A5449" s="305">
        <v>40717</v>
      </c>
      <c r="B5449" s="306">
        <v>196.06780000000001</v>
      </c>
      <c r="C5449" s="309">
        <v>2.8692700381429099</v>
      </c>
    </row>
    <row r="5450" spans="1:3" x14ac:dyDescent="0.35">
      <c r="A5450" s="302">
        <v>40716</v>
      </c>
      <c r="B5450" s="303">
        <v>196.0496</v>
      </c>
      <c r="C5450" s="308">
        <v>2.8631751704945501</v>
      </c>
    </row>
    <row r="5451" spans="1:3" x14ac:dyDescent="0.35">
      <c r="A5451" s="305">
        <v>40715</v>
      </c>
      <c r="B5451" s="306">
        <v>196.03129999999999</v>
      </c>
      <c r="C5451" s="309">
        <v>2.8569734550699599</v>
      </c>
    </row>
    <row r="5452" spans="1:3" x14ac:dyDescent="0.35">
      <c r="A5452" s="302">
        <v>40714</v>
      </c>
      <c r="B5452" s="303">
        <v>196.01300000000001</v>
      </c>
      <c r="C5452" s="308">
        <v>2.85082529689647</v>
      </c>
    </row>
    <row r="5453" spans="1:3" x14ac:dyDescent="0.35">
      <c r="A5453" s="305">
        <v>40713</v>
      </c>
      <c r="B5453" s="306">
        <v>195.9948</v>
      </c>
      <c r="C5453" s="309">
        <v>2.8446752330858001</v>
      </c>
    </row>
    <row r="5454" spans="1:3" x14ac:dyDescent="0.35">
      <c r="A5454" s="302">
        <v>40712</v>
      </c>
      <c r="B5454" s="303">
        <v>195.97649999999999</v>
      </c>
      <c r="C5454" s="308">
        <v>2.8385262521567198</v>
      </c>
    </row>
    <row r="5455" spans="1:3" x14ac:dyDescent="0.35">
      <c r="A5455" s="305">
        <v>40711</v>
      </c>
      <c r="B5455" s="306">
        <v>195.95820000000001</v>
      </c>
      <c r="C5455" s="309">
        <v>2.8323228952004298</v>
      </c>
    </row>
    <row r="5456" spans="1:3" x14ac:dyDescent="0.35">
      <c r="A5456" s="302">
        <v>40710</v>
      </c>
      <c r="B5456" s="303">
        <v>195.94</v>
      </c>
      <c r="C5456" s="308">
        <v>2.8262255680133501</v>
      </c>
    </row>
    <row r="5457" spans="1:3" x14ac:dyDescent="0.35">
      <c r="A5457" s="305">
        <v>40709</v>
      </c>
      <c r="B5457" s="306">
        <v>195.92169999999999</v>
      </c>
      <c r="C5457" s="309">
        <v>2.8200213909131699</v>
      </c>
    </row>
    <row r="5458" spans="1:3" x14ac:dyDescent="0.35">
      <c r="A5458" s="302">
        <v>40708</v>
      </c>
      <c r="B5458" s="303">
        <v>195.91409999999999</v>
      </c>
      <c r="C5458" s="308">
        <v>2.8312513121981899</v>
      </c>
    </row>
    <row r="5459" spans="1:3" x14ac:dyDescent="0.35">
      <c r="A5459" s="305">
        <v>40707</v>
      </c>
      <c r="B5459" s="306">
        <v>195.9066</v>
      </c>
      <c r="C5459" s="309">
        <v>2.8425370540884201</v>
      </c>
    </row>
    <row r="5460" spans="1:3" x14ac:dyDescent="0.35">
      <c r="A5460" s="302">
        <v>40706</v>
      </c>
      <c r="B5460" s="303">
        <v>195.899</v>
      </c>
      <c r="C5460" s="308">
        <v>2.85377363443724</v>
      </c>
    </row>
    <row r="5461" spans="1:3" x14ac:dyDescent="0.35">
      <c r="A5461" s="305">
        <v>40705</v>
      </c>
      <c r="B5461" s="306">
        <v>195.8914</v>
      </c>
      <c r="C5461" s="309">
        <v>2.8650135426501602</v>
      </c>
    </row>
    <row r="5462" spans="1:3" x14ac:dyDescent="0.35">
      <c r="A5462" s="302">
        <v>40704</v>
      </c>
      <c r="B5462" s="303">
        <v>195.88380000000001</v>
      </c>
      <c r="C5462" s="308">
        <v>2.8762567802057899</v>
      </c>
    </row>
    <row r="5463" spans="1:3" x14ac:dyDescent="0.35">
      <c r="A5463" s="305">
        <v>40703</v>
      </c>
      <c r="B5463" s="306">
        <v>195.87629999999999</v>
      </c>
      <c r="C5463" s="309">
        <v>2.88755587538542</v>
      </c>
    </row>
    <row r="5464" spans="1:3" x14ac:dyDescent="0.35">
      <c r="A5464" s="302">
        <v>40702</v>
      </c>
      <c r="B5464" s="303">
        <v>195.86869999999999</v>
      </c>
      <c r="C5464" s="308">
        <v>2.8988057838475099</v>
      </c>
    </row>
    <row r="5465" spans="1:3" x14ac:dyDescent="0.35">
      <c r="A5465" s="305">
        <v>40701</v>
      </c>
      <c r="B5465" s="306">
        <v>195.86109999999999</v>
      </c>
      <c r="C5465" s="309">
        <v>2.9100049547426599</v>
      </c>
    </row>
    <row r="5466" spans="1:3" x14ac:dyDescent="0.35">
      <c r="A5466" s="302">
        <v>40700</v>
      </c>
      <c r="B5466" s="303">
        <v>195.8535</v>
      </c>
      <c r="C5466" s="308">
        <v>2.9212615183307999</v>
      </c>
    </row>
    <row r="5467" spans="1:3" x14ac:dyDescent="0.35">
      <c r="A5467" s="305">
        <v>40699</v>
      </c>
      <c r="B5467" s="306">
        <v>195.8459</v>
      </c>
      <c r="C5467" s="309">
        <v>2.9325214186642601</v>
      </c>
    </row>
    <row r="5468" spans="1:3" x14ac:dyDescent="0.35">
      <c r="A5468" s="302">
        <v>40698</v>
      </c>
      <c r="B5468" s="303">
        <v>195.83840000000001</v>
      </c>
      <c r="C5468" s="308">
        <v>2.9437831098065499</v>
      </c>
    </row>
    <row r="5469" spans="1:3" x14ac:dyDescent="0.35">
      <c r="A5469" s="305">
        <v>40697</v>
      </c>
      <c r="B5469" s="306">
        <v>195.83080000000001</v>
      </c>
      <c r="C5469" s="309">
        <v>2.9550496819304999</v>
      </c>
    </row>
    <row r="5470" spans="1:3" x14ac:dyDescent="0.35">
      <c r="A5470" s="302">
        <v>40696</v>
      </c>
      <c r="B5470" s="303">
        <v>195.82320000000001</v>
      </c>
      <c r="C5470" s="308">
        <v>2.96631959525044</v>
      </c>
    </row>
    <row r="5471" spans="1:3" x14ac:dyDescent="0.35">
      <c r="A5471" s="305">
        <v>40695</v>
      </c>
      <c r="B5471" s="306">
        <v>195.81559999999999</v>
      </c>
      <c r="C5471" s="309">
        <v>2.9775386963282902</v>
      </c>
    </row>
    <row r="5472" spans="1:3" x14ac:dyDescent="0.35">
      <c r="A5472" s="302">
        <v>40694</v>
      </c>
      <c r="B5472" s="303">
        <v>195.8081</v>
      </c>
      <c r="C5472" s="308">
        <v>2.9888678793744101</v>
      </c>
    </row>
    <row r="5473" spans="1:3" x14ac:dyDescent="0.35">
      <c r="A5473" s="305">
        <v>40693</v>
      </c>
      <c r="B5473" s="306">
        <v>195.8005</v>
      </c>
      <c r="C5473" s="309">
        <v>3.00009363620965</v>
      </c>
    </row>
    <row r="5474" spans="1:3" x14ac:dyDescent="0.35">
      <c r="A5474" s="302">
        <v>40692</v>
      </c>
      <c r="B5474" s="303">
        <v>195.7929</v>
      </c>
      <c r="C5474" s="308">
        <v>3.0113769090415499</v>
      </c>
    </row>
    <row r="5475" spans="1:3" x14ac:dyDescent="0.35">
      <c r="A5475" s="305">
        <v>40691</v>
      </c>
      <c r="B5475" s="306">
        <v>195.78530000000001</v>
      </c>
      <c r="C5475" s="309">
        <v>3.0226093197734598</v>
      </c>
    </row>
    <row r="5476" spans="1:3" x14ac:dyDescent="0.35">
      <c r="A5476" s="302">
        <v>40690</v>
      </c>
      <c r="B5476" s="303">
        <v>195.77780000000001</v>
      </c>
      <c r="C5476" s="308">
        <v>3.0338976806850102</v>
      </c>
    </row>
    <row r="5477" spans="1:3" x14ac:dyDescent="0.35">
      <c r="A5477" s="305">
        <v>40689</v>
      </c>
      <c r="B5477" s="306">
        <v>195.77019999999999</v>
      </c>
      <c r="C5477" s="309">
        <v>3.0451909836997499</v>
      </c>
    </row>
    <row r="5478" spans="1:3" x14ac:dyDescent="0.35">
      <c r="A5478" s="302">
        <v>40688</v>
      </c>
      <c r="B5478" s="303">
        <v>195.76259999999999</v>
      </c>
      <c r="C5478" s="308">
        <v>3.0564333871877101</v>
      </c>
    </row>
    <row r="5479" spans="1:3" x14ac:dyDescent="0.35">
      <c r="A5479" s="305">
        <v>40687</v>
      </c>
      <c r="B5479" s="306">
        <v>195.755</v>
      </c>
      <c r="C5479" s="309">
        <v>3.0676791173104001</v>
      </c>
    </row>
    <row r="5480" spans="1:3" x14ac:dyDescent="0.35">
      <c r="A5480" s="302">
        <v>40686</v>
      </c>
      <c r="B5480" s="303">
        <v>195.7475</v>
      </c>
      <c r="C5480" s="308">
        <v>3.0789808347002801</v>
      </c>
    </row>
    <row r="5481" spans="1:3" x14ac:dyDescent="0.35">
      <c r="A5481" s="305">
        <v>40685</v>
      </c>
      <c r="B5481" s="306">
        <v>195.73990000000001</v>
      </c>
      <c r="C5481" s="309">
        <v>3.0902332303167799</v>
      </c>
    </row>
    <row r="5482" spans="1:3" x14ac:dyDescent="0.35">
      <c r="A5482" s="302">
        <v>40684</v>
      </c>
      <c r="B5482" s="303">
        <v>195.73230000000001</v>
      </c>
      <c r="C5482" s="308">
        <v>3.1014889570031898</v>
      </c>
    </row>
    <row r="5483" spans="1:3" x14ac:dyDescent="0.35">
      <c r="A5483" s="305">
        <v>40683</v>
      </c>
      <c r="B5483" s="306">
        <v>195.72479999999999</v>
      </c>
      <c r="C5483" s="309">
        <v>3.11280069878124</v>
      </c>
    </row>
    <row r="5484" spans="1:3" x14ac:dyDescent="0.35">
      <c r="A5484" s="302">
        <v>40682</v>
      </c>
      <c r="B5484" s="303">
        <v>195.71719999999999</v>
      </c>
      <c r="C5484" s="308">
        <v>3.1240630998466199</v>
      </c>
    </row>
    <row r="5485" spans="1:3" x14ac:dyDescent="0.35">
      <c r="A5485" s="305">
        <v>40681</v>
      </c>
      <c r="B5485" s="306">
        <v>195.70959999999999</v>
      </c>
      <c r="C5485" s="309">
        <v>3.1353288364249599</v>
      </c>
    </row>
    <row r="5486" spans="1:3" x14ac:dyDescent="0.35">
      <c r="A5486" s="302">
        <v>40680</v>
      </c>
      <c r="B5486" s="303">
        <v>195.702</v>
      </c>
      <c r="C5486" s="308">
        <v>3.1465979099982699</v>
      </c>
    </row>
    <row r="5487" spans="1:3" x14ac:dyDescent="0.35">
      <c r="A5487" s="305">
        <v>40679</v>
      </c>
      <c r="B5487" s="306">
        <v>195.69450000000001</v>
      </c>
      <c r="C5487" s="309">
        <v>3.1579230358063501</v>
      </c>
    </row>
    <row r="5488" spans="1:3" x14ac:dyDescent="0.35">
      <c r="A5488" s="302">
        <v>40678</v>
      </c>
      <c r="B5488" s="303">
        <v>195.68690000000001</v>
      </c>
      <c r="C5488" s="308">
        <v>3.1691987956285401</v>
      </c>
    </row>
    <row r="5489" spans="1:3" x14ac:dyDescent="0.35">
      <c r="A5489" s="305">
        <v>40677</v>
      </c>
      <c r="B5489" s="306">
        <v>195.66929999999999</v>
      </c>
      <c r="C5489" s="309">
        <v>3.1685137448664702</v>
      </c>
    </row>
    <row r="5490" spans="1:3" x14ac:dyDescent="0.35">
      <c r="A5490" s="302">
        <v>40676</v>
      </c>
      <c r="B5490" s="303">
        <v>195.65180000000001</v>
      </c>
      <c r="C5490" s="308">
        <v>3.16788131030704</v>
      </c>
    </row>
    <row r="5491" spans="1:3" x14ac:dyDescent="0.35">
      <c r="A5491" s="305">
        <v>40675</v>
      </c>
      <c r="B5491" s="306">
        <v>195.63419999999999</v>
      </c>
      <c r="C5491" s="309">
        <v>3.1671416306840099</v>
      </c>
    </row>
    <row r="5492" spans="1:3" x14ac:dyDescent="0.35">
      <c r="A5492" s="302">
        <v>40674</v>
      </c>
      <c r="B5492" s="303">
        <v>195.61660000000001</v>
      </c>
      <c r="C5492" s="308">
        <v>3.1664562376129002</v>
      </c>
    </row>
    <row r="5493" spans="1:3" x14ac:dyDescent="0.35">
      <c r="A5493" s="305">
        <v>40673</v>
      </c>
      <c r="B5493" s="306">
        <v>195.59899999999999</v>
      </c>
      <c r="C5493" s="309">
        <v>3.1657707303076799</v>
      </c>
    </row>
    <row r="5494" spans="1:3" x14ac:dyDescent="0.35">
      <c r="A5494" s="302">
        <v>40672</v>
      </c>
      <c r="B5494" s="303">
        <v>195.5814</v>
      </c>
      <c r="C5494" s="308">
        <v>3.1650851087398002</v>
      </c>
    </row>
    <row r="5495" spans="1:3" x14ac:dyDescent="0.35">
      <c r="A5495" s="305">
        <v>40671</v>
      </c>
      <c r="B5495" s="306">
        <v>195.56389999999999</v>
      </c>
      <c r="C5495" s="309">
        <v>3.16445212517909</v>
      </c>
    </row>
    <row r="5496" spans="1:3" x14ac:dyDescent="0.35">
      <c r="A5496" s="302">
        <v>40670</v>
      </c>
      <c r="B5496" s="303">
        <v>195.5463</v>
      </c>
      <c r="C5496" s="308">
        <v>3.1637118536319</v>
      </c>
    </row>
    <row r="5497" spans="1:3" x14ac:dyDescent="0.35">
      <c r="A5497" s="305">
        <v>40669</v>
      </c>
      <c r="B5497" s="306">
        <v>195.52869999999999</v>
      </c>
      <c r="C5497" s="309">
        <v>3.1630258893273302</v>
      </c>
    </row>
    <row r="5498" spans="1:3" x14ac:dyDescent="0.35">
      <c r="A5498" s="302">
        <v>40668</v>
      </c>
      <c r="B5498" s="303">
        <v>195.5111</v>
      </c>
      <c r="C5498" s="308">
        <v>3.1623398106458498</v>
      </c>
    </row>
    <row r="5499" spans="1:3" x14ac:dyDescent="0.35">
      <c r="A5499" s="305">
        <v>40667</v>
      </c>
      <c r="B5499" s="306">
        <v>195.49359999999999</v>
      </c>
      <c r="C5499" s="309">
        <v>3.1617063874226199</v>
      </c>
    </row>
    <row r="5500" spans="1:3" x14ac:dyDescent="0.35">
      <c r="A5500" s="302">
        <v>40666</v>
      </c>
      <c r="B5500" s="303">
        <v>195.476</v>
      </c>
      <c r="C5500" s="308">
        <v>3.1609656418613699</v>
      </c>
    </row>
    <row r="5501" spans="1:3" x14ac:dyDescent="0.35">
      <c r="A5501" s="305">
        <v>40665</v>
      </c>
      <c r="B5501" s="306">
        <v>195.45840000000001</v>
      </c>
      <c r="C5501" s="309">
        <v>3.16027922010064</v>
      </c>
    </row>
    <row r="5502" spans="1:3" x14ac:dyDescent="0.35">
      <c r="A5502" s="302">
        <v>40664</v>
      </c>
      <c r="B5502" s="303">
        <v>195.4409</v>
      </c>
      <c r="C5502" s="308">
        <v>3.1596454668870901</v>
      </c>
    </row>
    <row r="5503" spans="1:3" x14ac:dyDescent="0.35">
      <c r="A5503" s="305">
        <v>40663</v>
      </c>
      <c r="B5503" s="306">
        <v>195.42330000000001</v>
      </c>
      <c r="C5503" s="309">
        <v>3.1589043655718401</v>
      </c>
    </row>
    <row r="5504" spans="1:3" x14ac:dyDescent="0.35">
      <c r="A5504" s="302">
        <v>40662</v>
      </c>
      <c r="B5504" s="303">
        <v>195.4057</v>
      </c>
      <c r="C5504" s="308">
        <v>3.1582176004746998</v>
      </c>
    </row>
    <row r="5505" spans="1:3" x14ac:dyDescent="0.35">
      <c r="A5505" s="305">
        <v>40661</v>
      </c>
      <c r="B5505" s="306">
        <v>195.38820000000001</v>
      </c>
      <c r="C5505" s="309">
        <v>3.1575835170201798</v>
      </c>
    </row>
    <row r="5506" spans="1:3" x14ac:dyDescent="0.35">
      <c r="A5506" s="302">
        <v>40660</v>
      </c>
      <c r="B5506" s="303">
        <v>195.3706</v>
      </c>
      <c r="C5506" s="308">
        <v>3.1568420596879099</v>
      </c>
    </row>
    <row r="5507" spans="1:3" x14ac:dyDescent="0.35">
      <c r="A5507" s="305">
        <v>40659</v>
      </c>
      <c r="B5507" s="306">
        <v>195.35300000000001</v>
      </c>
      <c r="C5507" s="309">
        <v>3.1561549509969602</v>
      </c>
    </row>
    <row r="5508" spans="1:3" x14ac:dyDescent="0.35">
      <c r="A5508" s="302">
        <v>40658</v>
      </c>
      <c r="B5508" s="303">
        <v>195.3355</v>
      </c>
      <c r="C5508" s="308">
        <v>3.1555205370505499</v>
      </c>
    </row>
    <row r="5509" spans="1:3" x14ac:dyDescent="0.35">
      <c r="A5509" s="305">
        <v>40657</v>
      </c>
      <c r="B5509" s="306">
        <v>195.31790000000001</v>
      </c>
      <c r="C5509" s="309">
        <v>3.1547787234379698</v>
      </c>
    </row>
    <row r="5510" spans="1:3" x14ac:dyDescent="0.35">
      <c r="A5510" s="302">
        <v>40656</v>
      </c>
      <c r="B5510" s="303">
        <v>195.3004</v>
      </c>
      <c r="C5510" s="308">
        <v>3.1541440890894998</v>
      </c>
    </row>
    <row r="5511" spans="1:3" x14ac:dyDescent="0.35">
      <c r="A5511" s="305">
        <v>40655</v>
      </c>
      <c r="B5511" s="306">
        <v>195.28280000000001</v>
      </c>
      <c r="C5511" s="309">
        <v>3.1534020378949101</v>
      </c>
    </row>
    <row r="5512" spans="1:3" x14ac:dyDescent="0.35">
      <c r="A5512" s="302">
        <v>40654</v>
      </c>
      <c r="B5512" s="303">
        <v>195.2653</v>
      </c>
      <c r="C5512" s="308">
        <v>3.1527671830328199</v>
      </c>
    </row>
    <row r="5513" spans="1:3" x14ac:dyDescent="0.35">
      <c r="A5513" s="305">
        <v>40653</v>
      </c>
      <c r="B5513" s="306">
        <v>195.24770000000001</v>
      </c>
      <c r="C5513" s="309">
        <v>3.1520248941391502</v>
      </c>
    </row>
    <row r="5514" spans="1:3" x14ac:dyDescent="0.35">
      <c r="A5514" s="302">
        <v>40652</v>
      </c>
      <c r="B5514" s="303">
        <v>195.2302</v>
      </c>
      <c r="C5514" s="308">
        <v>3.1513898186517699</v>
      </c>
    </row>
    <row r="5515" spans="1:3" x14ac:dyDescent="0.35">
      <c r="A5515" s="305">
        <v>40651</v>
      </c>
      <c r="B5515" s="306">
        <v>195.21260000000001</v>
      </c>
      <c r="C5515" s="309">
        <v>3.1507017969362199</v>
      </c>
    </row>
    <row r="5516" spans="1:3" x14ac:dyDescent="0.35">
      <c r="A5516" s="302">
        <v>40650</v>
      </c>
      <c r="B5516" s="303">
        <v>195.1951</v>
      </c>
      <c r="C5516" s="308">
        <v>3.1500119957174801</v>
      </c>
    </row>
    <row r="5517" spans="1:3" x14ac:dyDescent="0.35">
      <c r="A5517" s="305">
        <v>40649</v>
      </c>
      <c r="B5517" s="306">
        <v>195.17750000000001</v>
      </c>
      <c r="C5517" s="309">
        <v>3.1493237444138602</v>
      </c>
    </row>
    <row r="5518" spans="1:3" x14ac:dyDescent="0.35">
      <c r="A5518" s="302">
        <v>40648</v>
      </c>
      <c r="B5518" s="303">
        <v>195.16</v>
      </c>
      <c r="C5518" s="308">
        <v>3.1486337140009102</v>
      </c>
    </row>
    <row r="5519" spans="1:3" x14ac:dyDescent="0.35">
      <c r="A5519" s="305">
        <v>40647</v>
      </c>
      <c r="B5519" s="306">
        <v>195.1223</v>
      </c>
      <c r="C5519" s="309">
        <v>3.1562413759924501</v>
      </c>
    </row>
    <row r="5520" spans="1:3" x14ac:dyDescent="0.35">
      <c r="A5520" s="302">
        <v>40646</v>
      </c>
      <c r="B5520" s="303">
        <v>195.0847</v>
      </c>
      <c r="C5520" s="308">
        <v>3.1638514281725501</v>
      </c>
    </row>
    <row r="5521" spans="1:3" x14ac:dyDescent="0.35">
      <c r="A5521" s="305">
        <v>40645</v>
      </c>
      <c r="B5521" s="306">
        <v>195.047</v>
      </c>
      <c r="C5521" s="309">
        <v>3.17141264227612</v>
      </c>
    </row>
    <row r="5522" spans="1:3" x14ac:dyDescent="0.35">
      <c r="A5522" s="302">
        <v>40644</v>
      </c>
      <c r="B5522" s="303">
        <v>195.0094</v>
      </c>
      <c r="C5522" s="308">
        <v>3.17903079877884</v>
      </c>
    </row>
    <row r="5523" spans="1:3" x14ac:dyDescent="0.35">
      <c r="A5523" s="305">
        <v>40643</v>
      </c>
      <c r="B5523" s="306">
        <v>194.9718</v>
      </c>
      <c r="C5523" s="309">
        <v>3.18665301936062</v>
      </c>
    </row>
    <row r="5524" spans="1:3" x14ac:dyDescent="0.35">
      <c r="A5524" s="302">
        <v>40642</v>
      </c>
      <c r="B5524" s="303">
        <v>194.9341</v>
      </c>
      <c r="C5524" s="308">
        <v>3.19422636926801</v>
      </c>
    </row>
    <row r="5525" spans="1:3" x14ac:dyDescent="0.35">
      <c r="A5525" s="305">
        <v>40641</v>
      </c>
      <c r="B5525" s="306">
        <v>194.8965</v>
      </c>
      <c r="C5525" s="309">
        <v>3.20185671364227</v>
      </c>
    </row>
    <row r="5526" spans="1:3" x14ac:dyDescent="0.35">
      <c r="A5526" s="302">
        <v>40640</v>
      </c>
      <c r="B5526" s="303">
        <v>194.85890000000001</v>
      </c>
      <c r="C5526" s="308">
        <v>3.2094364656686101</v>
      </c>
    </row>
    <row r="5527" spans="1:3" x14ac:dyDescent="0.35">
      <c r="A5527" s="305">
        <v>40639</v>
      </c>
      <c r="B5527" s="306">
        <v>194.82130000000001</v>
      </c>
      <c r="C5527" s="309">
        <v>3.2170202575692999</v>
      </c>
    </row>
    <row r="5528" spans="1:3" x14ac:dyDescent="0.35">
      <c r="A5528" s="302">
        <v>40638</v>
      </c>
      <c r="B5528" s="303">
        <v>194.78370000000001</v>
      </c>
      <c r="C5528" s="308">
        <v>3.2246627959478298</v>
      </c>
    </row>
    <row r="5529" spans="1:3" x14ac:dyDescent="0.35">
      <c r="A5529" s="305">
        <v>40637</v>
      </c>
      <c r="B5529" s="306">
        <v>194.74619999999999</v>
      </c>
      <c r="C5529" s="309">
        <v>3.23230770454045</v>
      </c>
    </row>
    <row r="5530" spans="1:3" x14ac:dyDescent="0.35">
      <c r="A5530" s="302">
        <v>40636</v>
      </c>
      <c r="B5530" s="303">
        <v>194.70859999999999</v>
      </c>
      <c r="C5530" s="308">
        <v>3.23990366822165</v>
      </c>
    </row>
    <row r="5531" spans="1:3" x14ac:dyDescent="0.35">
      <c r="A5531" s="305">
        <v>40635</v>
      </c>
      <c r="B5531" s="306">
        <v>194.67099999999999</v>
      </c>
      <c r="C5531" s="309">
        <v>3.2474489254725598</v>
      </c>
    </row>
    <row r="5532" spans="1:3" x14ac:dyDescent="0.35">
      <c r="A5532" s="302">
        <v>40634</v>
      </c>
      <c r="B5532" s="303">
        <v>194.63339999999999</v>
      </c>
      <c r="C5532" s="308">
        <v>3.2550529794262699</v>
      </c>
    </row>
    <row r="5533" spans="1:3" x14ac:dyDescent="0.35">
      <c r="A5533" s="305">
        <v>40633</v>
      </c>
      <c r="B5533" s="306">
        <v>194.5959</v>
      </c>
      <c r="C5533" s="309">
        <v>3.2627141579029502</v>
      </c>
    </row>
    <row r="5534" spans="1:3" x14ac:dyDescent="0.35">
      <c r="A5534" s="302">
        <v>40632</v>
      </c>
      <c r="B5534" s="303">
        <v>194.5583</v>
      </c>
      <c r="C5534" s="308">
        <v>3.2702715326979401</v>
      </c>
    </row>
    <row r="5535" spans="1:3" x14ac:dyDescent="0.35">
      <c r="A5535" s="305">
        <v>40631</v>
      </c>
      <c r="B5535" s="306">
        <v>194.52080000000001</v>
      </c>
      <c r="C5535" s="309">
        <v>3.2778860295093599</v>
      </c>
    </row>
    <row r="5536" spans="1:3" x14ac:dyDescent="0.35">
      <c r="A5536" s="302">
        <v>40630</v>
      </c>
      <c r="B5536" s="303">
        <v>194.48330000000001</v>
      </c>
      <c r="C5536" s="308">
        <v>3.2855045863763999</v>
      </c>
    </row>
    <row r="5537" spans="1:3" x14ac:dyDescent="0.35">
      <c r="A5537" s="305">
        <v>40629</v>
      </c>
      <c r="B5537" s="306">
        <v>194.44569999999999</v>
      </c>
      <c r="C5537" s="309">
        <v>3.29307408473779</v>
      </c>
    </row>
    <row r="5538" spans="1:3" x14ac:dyDescent="0.35">
      <c r="A5538" s="302">
        <v>40628</v>
      </c>
      <c r="B5538" s="303">
        <v>194.40819999999999</v>
      </c>
      <c r="C5538" s="308">
        <v>3.3007007572939799</v>
      </c>
    </row>
    <row r="5539" spans="1:3" x14ac:dyDescent="0.35">
      <c r="A5539" s="305">
        <v>40627</v>
      </c>
      <c r="B5539" s="306">
        <v>194.3707</v>
      </c>
      <c r="C5539" s="309">
        <v>3.3083314996529301</v>
      </c>
    </row>
    <row r="5540" spans="1:3" x14ac:dyDescent="0.35">
      <c r="A5540" s="302">
        <v>40626</v>
      </c>
      <c r="B5540" s="303">
        <v>194.33320000000001</v>
      </c>
      <c r="C5540" s="308">
        <v>3.3159663150731502</v>
      </c>
    </row>
    <row r="5541" spans="1:3" x14ac:dyDescent="0.35">
      <c r="A5541" s="305">
        <v>40625</v>
      </c>
      <c r="B5541" s="306">
        <v>194.29570000000001</v>
      </c>
      <c r="C5541" s="309">
        <v>3.3235502608671599</v>
      </c>
    </row>
    <row r="5542" spans="1:3" x14ac:dyDescent="0.35">
      <c r="A5542" s="302">
        <v>40624</v>
      </c>
      <c r="B5542" s="303">
        <v>194.25819999999999</v>
      </c>
      <c r="C5542" s="308">
        <v>3.33113824883322</v>
      </c>
    </row>
    <row r="5543" spans="1:3" x14ac:dyDescent="0.35">
      <c r="A5543" s="305">
        <v>40623</v>
      </c>
      <c r="B5543" s="306">
        <v>194.22069999999999</v>
      </c>
      <c r="C5543" s="309">
        <v>3.3387852655236401</v>
      </c>
    </row>
    <row r="5544" spans="1:3" x14ac:dyDescent="0.35">
      <c r="A5544" s="302">
        <v>40622</v>
      </c>
      <c r="B5544" s="303">
        <v>194.1833</v>
      </c>
      <c r="C5544" s="308">
        <v>3.3464345873105001</v>
      </c>
    </row>
    <row r="5545" spans="1:3" x14ac:dyDescent="0.35">
      <c r="A5545" s="305">
        <v>40621</v>
      </c>
      <c r="B5545" s="306">
        <v>194.14580000000001</v>
      </c>
      <c r="C5545" s="309">
        <v>3.35403475411163</v>
      </c>
    </row>
    <row r="5546" spans="1:3" x14ac:dyDescent="0.35">
      <c r="A5546" s="302">
        <v>40620</v>
      </c>
      <c r="B5546" s="303">
        <v>194.10830000000001</v>
      </c>
      <c r="C5546" s="308">
        <v>3.3615839365607498</v>
      </c>
    </row>
    <row r="5547" spans="1:3" x14ac:dyDescent="0.35">
      <c r="A5547" s="305">
        <v>40619</v>
      </c>
      <c r="B5547" s="306">
        <v>194.07089999999999</v>
      </c>
      <c r="C5547" s="309">
        <v>3.3692454618038399</v>
      </c>
    </row>
    <row r="5548" spans="1:3" x14ac:dyDescent="0.35">
      <c r="A5548" s="302">
        <v>40618</v>
      </c>
      <c r="B5548" s="303">
        <v>194.0334</v>
      </c>
      <c r="C5548" s="308">
        <v>3.37685779924047</v>
      </c>
    </row>
    <row r="5549" spans="1:3" x14ac:dyDescent="0.35">
      <c r="A5549" s="305">
        <v>40617</v>
      </c>
      <c r="B5549" s="306">
        <v>193.99600000000001</v>
      </c>
      <c r="C5549" s="309">
        <v>3.3844723979083899</v>
      </c>
    </row>
    <row r="5550" spans="1:3" x14ac:dyDescent="0.35">
      <c r="A5550" s="302">
        <v>40616</v>
      </c>
      <c r="B5550" s="303">
        <v>193.9333</v>
      </c>
      <c r="C5550" s="308">
        <v>3.3764554307563301</v>
      </c>
    </row>
    <row r="5551" spans="1:3" x14ac:dyDescent="0.35">
      <c r="A5551" s="305">
        <v>40615</v>
      </c>
      <c r="B5551" s="306">
        <v>193.8706</v>
      </c>
      <c r="C5551" s="309">
        <v>3.3684345225082999</v>
      </c>
    </row>
    <row r="5552" spans="1:3" x14ac:dyDescent="0.35">
      <c r="A5552" s="302">
        <v>40614</v>
      </c>
      <c r="B5552" s="303">
        <v>193.80779999999999</v>
      </c>
      <c r="C5552" s="308">
        <v>3.3603012154212899</v>
      </c>
    </row>
    <row r="5553" spans="1:3" x14ac:dyDescent="0.35">
      <c r="A5553" s="305">
        <v>40613</v>
      </c>
      <c r="B5553" s="306">
        <v>193.74520000000001</v>
      </c>
      <c r="C5553" s="309">
        <v>3.3523257383273002</v>
      </c>
    </row>
    <row r="5554" spans="1:3" x14ac:dyDescent="0.35">
      <c r="A5554" s="302">
        <v>40612</v>
      </c>
      <c r="B5554" s="303">
        <v>193.6825</v>
      </c>
      <c r="C5554" s="308">
        <v>3.3442378380801099</v>
      </c>
    </row>
    <row r="5555" spans="1:3" x14ac:dyDescent="0.35">
      <c r="A5555" s="305">
        <v>40611</v>
      </c>
      <c r="B5555" s="306">
        <v>193.6198</v>
      </c>
      <c r="C5555" s="309">
        <v>3.3361459665931799</v>
      </c>
    </row>
    <row r="5556" spans="1:3" x14ac:dyDescent="0.35">
      <c r="A5556" s="302">
        <v>40610</v>
      </c>
      <c r="B5556" s="303">
        <v>193.55719999999999</v>
      </c>
      <c r="C5556" s="308">
        <v>3.32810350469697</v>
      </c>
    </row>
    <row r="5557" spans="1:3" x14ac:dyDescent="0.35">
      <c r="A5557" s="305">
        <v>40609</v>
      </c>
      <c r="B5557" s="306">
        <v>193.49459999999999</v>
      </c>
      <c r="C5557" s="309">
        <v>3.32005709193179</v>
      </c>
    </row>
    <row r="5558" spans="1:3" x14ac:dyDescent="0.35">
      <c r="A5558" s="302">
        <v>40608</v>
      </c>
      <c r="B5558" s="303">
        <v>193.43199999999999</v>
      </c>
      <c r="C5558" s="308">
        <v>3.31200672538561</v>
      </c>
    </row>
    <row r="5559" spans="1:3" x14ac:dyDescent="0.35">
      <c r="A5559" s="305">
        <v>40607</v>
      </c>
      <c r="B5559" s="306">
        <v>193.36940000000001</v>
      </c>
      <c r="C5559" s="309">
        <v>3.3039524021435498</v>
      </c>
    </row>
    <row r="5560" spans="1:3" x14ac:dyDescent="0.35">
      <c r="A5560" s="302">
        <v>40606</v>
      </c>
      <c r="B5560" s="303">
        <v>193.30690000000001</v>
      </c>
      <c r="C5560" s="308">
        <v>3.2958923580867698</v>
      </c>
    </row>
    <row r="5561" spans="1:3" x14ac:dyDescent="0.35">
      <c r="A5561" s="305">
        <v>40605</v>
      </c>
      <c r="B5561" s="306">
        <v>193.24430000000001</v>
      </c>
      <c r="C5561" s="309">
        <v>3.2878301165730401</v>
      </c>
    </row>
    <row r="5562" spans="1:3" x14ac:dyDescent="0.35">
      <c r="A5562" s="302">
        <v>40604</v>
      </c>
      <c r="B5562" s="303">
        <v>193.18180000000001</v>
      </c>
      <c r="C5562" s="308">
        <v>3.2797621561628101</v>
      </c>
    </row>
    <row r="5563" spans="1:3" x14ac:dyDescent="0.35">
      <c r="A5563" s="305">
        <v>40603</v>
      </c>
      <c r="B5563" s="306">
        <v>193.11930000000001</v>
      </c>
      <c r="C5563" s="309">
        <v>3.2717454603208198</v>
      </c>
    </row>
    <row r="5564" spans="1:3" x14ac:dyDescent="0.35">
      <c r="A5564" s="302">
        <v>40602</v>
      </c>
      <c r="B5564" s="303">
        <v>193.05690000000001</v>
      </c>
      <c r="C5564" s="308">
        <v>3.26372307376313</v>
      </c>
    </row>
    <row r="5565" spans="1:3" x14ac:dyDescent="0.35">
      <c r="A5565" s="305">
        <v>40601</v>
      </c>
      <c r="B5565" s="306">
        <v>192.99440000000001</v>
      </c>
      <c r="C5565" s="309">
        <v>3.2556432451461799</v>
      </c>
    </row>
    <row r="5566" spans="1:3" x14ac:dyDescent="0.35">
      <c r="A5566" s="302">
        <v>40600</v>
      </c>
      <c r="B5566" s="303">
        <v>192.93199999999999</v>
      </c>
      <c r="C5566" s="308">
        <v>3.2476129621959098</v>
      </c>
    </row>
    <row r="5567" spans="1:3" x14ac:dyDescent="0.35">
      <c r="A5567" s="305">
        <v>40599</v>
      </c>
      <c r="B5567" s="306">
        <v>192.86959999999999</v>
      </c>
      <c r="C5567" s="309">
        <v>3.23957873325572</v>
      </c>
    </row>
    <row r="5568" spans="1:3" x14ac:dyDescent="0.35">
      <c r="A5568" s="302">
        <v>40598</v>
      </c>
      <c r="B5568" s="303">
        <v>192.80719999999999</v>
      </c>
      <c r="C5568" s="308">
        <v>3.23148528390543</v>
      </c>
    </row>
    <row r="5569" spans="1:3" x14ac:dyDescent="0.35">
      <c r="A5569" s="305">
        <v>40597</v>
      </c>
      <c r="B5569" s="306">
        <v>192.7448</v>
      </c>
      <c r="C5569" s="309">
        <v>3.2234431449751502</v>
      </c>
    </row>
    <row r="5570" spans="1:3" x14ac:dyDescent="0.35">
      <c r="A5570" s="302">
        <v>40596</v>
      </c>
      <c r="B5570" s="303">
        <v>192.6825</v>
      </c>
      <c r="C5570" s="308">
        <v>3.2154506189471901</v>
      </c>
    </row>
    <row r="5571" spans="1:3" x14ac:dyDescent="0.35">
      <c r="A5571" s="305">
        <v>40595</v>
      </c>
      <c r="B5571" s="306">
        <v>192.62010000000001</v>
      </c>
      <c r="C5571" s="309">
        <v>3.2073452814892902</v>
      </c>
    </row>
    <row r="5572" spans="1:3" x14ac:dyDescent="0.35">
      <c r="A5572" s="302">
        <v>40594</v>
      </c>
      <c r="B5572" s="303">
        <v>192.55779999999999</v>
      </c>
      <c r="C5572" s="308">
        <v>3.1992895588844501</v>
      </c>
    </row>
    <row r="5573" spans="1:3" x14ac:dyDescent="0.35">
      <c r="A5573" s="305">
        <v>40593</v>
      </c>
      <c r="B5573" s="306">
        <v>192.4956</v>
      </c>
      <c r="C5573" s="309">
        <v>3.1912834876770702</v>
      </c>
    </row>
    <row r="5574" spans="1:3" x14ac:dyDescent="0.35">
      <c r="A5574" s="302">
        <v>40592</v>
      </c>
      <c r="B5574" s="303">
        <v>192.4333</v>
      </c>
      <c r="C5574" s="308">
        <v>3.1832198639439699</v>
      </c>
    </row>
    <row r="5575" spans="1:3" x14ac:dyDescent="0.35">
      <c r="A5575" s="305">
        <v>40591</v>
      </c>
      <c r="B5575" s="306">
        <v>192.37100000000001</v>
      </c>
      <c r="C5575" s="309">
        <v>3.1751522786964301</v>
      </c>
    </row>
    <row r="5576" spans="1:3" x14ac:dyDescent="0.35">
      <c r="A5576" s="302">
        <v>40590</v>
      </c>
      <c r="B5576" s="303">
        <v>192.30879999999999</v>
      </c>
      <c r="C5576" s="308">
        <v>3.1671343756152601</v>
      </c>
    </row>
    <row r="5577" spans="1:3" x14ac:dyDescent="0.35">
      <c r="A5577" s="305">
        <v>40589</v>
      </c>
      <c r="B5577" s="306">
        <v>192.2466</v>
      </c>
      <c r="C5577" s="309">
        <v>3.15911253154525</v>
      </c>
    </row>
    <row r="5578" spans="1:3" x14ac:dyDescent="0.35">
      <c r="A5578" s="302">
        <v>40588</v>
      </c>
      <c r="B5578" s="303">
        <v>192.20650000000001</v>
      </c>
      <c r="C5578" s="308">
        <v>3.1402515098910899</v>
      </c>
    </row>
    <row r="5579" spans="1:3" x14ac:dyDescent="0.35">
      <c r="A5579" s="305">
        <v>40587</v>
      </c>
      <c r="B5579" s="306">
        <v>192.16630000000001</v>
      </c>
      <c r="C5579" s="309">
        <v>3.1213358540421599</v>
      </c>
    </row>
    <row r="5580" spans="1:3" x14ac:dyDescent="0.35">
      <c r="A5580" s="302">
        <v>40586</v>
      </c>
      <c r="B5580" s="303">
        <v>192.12610000000001</v>
      </c>
      <c r="C5580" s="308">
        <v>3.1024745525499</v>
      </c>
    </row>
    <row r="5581" spans="1:3" x14ac:dyDescent="0.35">
      <c r="A5581" s="305">
        <v>40585</v>
      </c>
      <c r="B5581" s="306">
        <v>192.08600000000001</v>
      </c>
      <c r="C5581" s="309">
        <v>3.0836106042717599</v>
      </c>
    </row>
    <row r="5582" spans="1:3" x14ac:dyDescent="0.35">
      <c r="A5582" s="302">
        <v>40584</v>
      </c>
      <c r="B5582" s="303">
        <v>192.04580000000001</v>
      </c>
      <c r="C5582" s="308">
        <v>3.0646920173966099</v>
      </c>
    </row>
    <row r="5583" spans="1:3" x14ac:dyDescent="0.35">
      <c r="A5583" s="305">
        <v>40583</v>
      </c>
      <c r="B5583" s="306">
        <v>192.00569999999999</v>
      </c>
      <c r="C5583" s="309">
        <v>3.04582612391751</v>
      </c>
    </row>
    <row r="5584" spans="1:3" x14ac:dyDescent="0.35">
      <c r="A5584" s="302">
        <v>40582</v>
      </c>
      <c r="B5584" s="303">
        <v>191.96559999999999</v>
      </c>
      <c r="C5584" s="308">
        <v>3.0269592584164502</v>
      </c>
    </row>
    <row r="5585" spans="1:3" x14ac:dyDescent="0.35">
      <c r="A5585" s="305">
        <v>40581</v>
      </c>
      <c r="B5585" s="306">
        <v>191.9255</v>
      </c>
      <c r="C5585" s="309">
        <v>3.0080914208182898</v>
      </c>
    </row>
    <row r="5586" spans="1:3" x14ac:dyDescent="0.35">
      <c r="A5586" s="302">
        <v>40580</v>
      </c>
      <c r="B5586" s="303">
        <v>191.8854</v>
      </c>
      <c r="C5586" s="308">
        <v>2.9892226110479001</v>
      </c>
    </row>
    <row r="5587" spans="1:3" x14ac:dyDescent="0.35">
      <c r="A5587" s="305">
        <v>40579</v>
      </c>
      <c r="B5587" s="306">
        <v>191.84530000000001</v>
      </c>
      <c r="C5587" s="309">
        <v>2.9703528290301402</v>
      </c>
    </row>
    <row r="5588" spans="1:3" x14ac:dyDescent="0.35">
      <c r="A5588" s="302">
        <v>40578</v>
      </c>
      <c r="B5588" s="303">
        <v>191.80520000000001</v>
      </c>
      <c r="C5588" s="308">
        <v>2.9514820746898698</v>
      </c>
    </row>
    <row r="5589" spans="1:3" x14ac:dyDescent="0.35">
      <c r="A5589" s="305">
        <v>40577</v>
      </c>
      <c r="B5589" s="306">
        <v>191.76509999999999</v>
      </c>
      <c r="C5589" s="309">
        <v>2.9326103479519201</v>
      </c>
    </row>
    <row r="5590" spans="1:3" x14ac:dyDescent="0.35">
      <c r="A5590" s="302">
        <v>40576</v>
      </c>
      <c r="B5590" s="303">
        <v>191.72499999999999</v>
      </c>
      <c r="C5590" s="308">
        <v>2.9137376487411499</v>
      </c>
    </row>
    <row r="5591" spans="1:3" x14ac:dyDescent="0.35">
      <c r="A5591" s="305">
        <v>40575</v>
      </c>
      <c r="B5591" s="306">
        <v>191.6849</v>
      </c>
      <c r="C5591" s="309">
        <v>2.8948639769823701</v>
      </c>
    </row>
    <row r="5592" spans="1:3" x14ac:dyDescent="0.35">
      <c r="A5592" s="302">
        <v>40574</v>
      </c>
      <c r="B5592" s="303">
        <v>191.64490000000001</v>
      </c>
      <c r="C5592" s="308">
        <v>2.8760430131538799</v>
      </c>
    </row>
    <row r="5593" spans="1:3" x14ac:dyDescent="0.35">
      <c r="A5593" s="305">
        <v>40573</v>
      </c>
      <c r="B5593" s="306">
        <v>191.60480000000001</v>
      </c>
      <c r="C5593" s="309">
        <v>2.85716739745676</v>
      </c>
    </row>
    <row r="5594" spans="1:3" x14ac:dyDescent="0.35">
      <c r="A5594" s="302">
        <v>40572</v>
      </c>
      <c r="B5594" s="303">
        <v>191.56479999999999</v>
      </c>
      <c r="C5594" s="308">
        <v>2.8383444923061099</v>
      </c>
    </row>
    <row r="5595" spans="1:3" x14ac:dyDescent="0.35">
      <c r="A5595" s="305">
        <v>40571</v>
      </c>
      <c r="B5595" s="306">
        <v>191.5248</v>
      </c>
      <c r="C5595" s="309">
        <v>2.8195206170734499</v>
      </c>
    </row>
    <row r="5596" spans="1:3" x14ac:dyDescent="0.35">
      <c r="A5596" s="302">
        <v>40570</v>
      </c>
      <c r="B5596" s="303">
        <v>191.4847</v>
      </c>
      <c r="C5596" s="308">
        <v>2.8006420855970999</v>
      </c>
    </row>
    <row r="5597" spans="1:3" x14ac:dyDescent="0.35">
      <c r="A5597" s="305">
        <v>40569</v>
      </c>
      <c r="B5597" s="306">
        <v>191.44470000000001</v>
      </c>
      <c r="C5597" s="309">
        <v>2.7818714495785799</v>
      </c>
    </row>
    <row r="5598" spans="1:3" x14ac:dyDescent="0.35">
      <c r="A5598" s="302">
        <v>40568</v>
      </c>
      <c r="B5598" s="303">
        <v>191.40469999999999</v>
      </c>
      <c r="C5598" s="308">
        <v>2.7630446535805402</v>
      </c>
    </row>
    <row r="5599" spans="1:3" x14ac:dyDescent="0.35">
      <c r="A5599" s="305">
        <v>40567</v>
      </c>
      <c r="B5599" s="306">
        <v>191.3647</v>
      </c>
      <c r="C5599" s="309">
        <v>2.7442168871994399</v>
      </c>
    </row>
    <row r="5600" spans="1:3" x14ac:dyDescent="0.35">
      <c r="A5600" s="302">
        <v>40566</v>
      </c>
      <c r="B5600" s="303">
        <v>191.32470000000001</v>
      </c>
      <c r="C5600" s="308">
        <v>2.72538815036024</v>
      </c>
    </row>
    <row r="5601" spans="1:3" x14ac:dyDescent="0.35">
      <c r="A5601" s="305">
        <v>40565</v>
      </c>
      <c r="B5601" s="306">
        <v>191.28469999999999</v>
      </c>
      <c r="C5601" s="309">
        <v>2.7065584429879301</v>
      </c>
    </row>
    <row r="5602" spans="1:3" x14ac:dyDescent="0.35">
      <c r="A5602" s="302">
        <v>40564</v>
      </c>
      <c r="B5602" s="303">
        <v>191.2448</v>
      </c>
      <c r="C5602" s="308">
        <v>2.6877814594250098</v>
      </c>
    </row>
    <row r="5603" spans="1:3" x14ac:dyDescent="0.35">
      <c r="A5603" s="305">
        <v>40563</v>
      </c>
      <c r="B5603" s="306">
        <v>191.20480000000001</v>
      </c>
      <c r="C5603" s="309">
        <v>2.66894981214524</v>
      </c>
    </row>
    <row r="5604" spans="1:3" x14ac:dyDescent="0.35">
      <c r="A5604" s="302">
        <v>40562</v>
      </c>
      <c r="B5604" s="303">
        <v>191.16480000000001</v>
      </c>
      <c r="C5604" s="308">
        <v>2.6501171941072701</v>
      </c>
    </row>
    <row r="5605" spans="1:3" x14ac:dyDescent="0.35">
      <c r="A5605" s="305">
        <v>40561</v>
      </c>
      <c r="B5605" s="306">
        <v>191.1249</v>
      </c>
      <c r="C5605" s="309">
        <v>2.6313373038055601</v>
      </c>
    </row>
    <row r="5606" spans="1:3" x14ac:dyDescent="0.35">
      <c r="A5606" s="302">
        <v>40560</v>
      </c>
      <c r="B5606" s="303">
        <v>191.08500000000001</v>
      </c>
      <c r="C5606" s="308">
        <v>2.6125564453637899</v>
      </c>
    </row>
    <row r="5607" spans="1:3" x14ac:dyDescent="0.35">
      <c r="A5607" s="305">
        <v>40559</v>
      </c>
      <c r="B5607" s="306">
        <v>191.04499999999999</v>
      </c>
      <c r="C5607" s="309">
        <v>2.5937209173692102</v>
      </c>
    </row>
    <row r="5608" spans="1:3" x14ac:dyDescent="0.35">
      <c r="A5608" s="302">
        <v>40558</v>
      </c>
      <c r="B5608" s="303">
        <v>191.0051</v>
      </c>
      <c r="C5608" s="308">
        <v>2.5749381210384201</v>
      </c>
    </row>
    <row r="5609" spans="1:3" x14ac:dyDescent="0.35">
      <c r="A5609" s="305">
        <v>40557</v>
      </c>
      <c r="B5609" s="306">
        <v>190.99340000000001</v>
      </c>
      <c r="C5609" s="309">
        <v>2.56634150401822</v>
      </c>
    </row>
    <row r="5610" spans="1:3" x14ac:dyDescent="0.35">
      <c r="A5610" s="302">
        <v>40556</v>
      </c>
      <c r="B5610" s="303">
        <v>190.98169999999999</v>
      </c>
      <c r="C5610" s="308">
        <v>2.55774527477638</v>
      </c>
    </row>
    <row r="5611" spans="1:3" x14ac:dyDescent="0.35">
      <c r="A5611" s="305">
        <v>40555</v>
      </c>
      <c r="B5611" s="306">
        <v>190.97</v>
      </c>
      <c r="C5611" s="309">
        <v>2.54914943328667</v>
      </c>
    </row>
    <row r="5612" spans="1:3" x14ac:dyDescent="0.35">
      <c r="A5612" s="302">
        <v>40554</v>
      </c>
      <c r="B5612" s="303">
        <v>190.95830000000001</v>
      </c>
      <c r="C5612" s="308">
        <v>2.54055397952285</v>
      </c>
    </row>
    <row r="5613" spans="1:3" x14ac:dyDescent="0.35">
      <c r="A5613" s="305">
        <v>40553</v>
      </c>
      <c r="B5613" s="306">
        <v>190.94669999999999</v>
      </c>
      <c r="C5613" s="309">
        <v>2.5320126101251499</v>
      </c>
    </row>
    <row r="5614" spans="1:3" x14ac:dyDescent="0.35">
      <c r="A5614" s="302">
        <v>40552</v>
      </c>
      <c r="B5614" s="303">
        <v>190.935</v>
      </c>
      <c r="C5614" s="308">
        <v>2.5234179305234501</v>
      </c>
    </row>
    <row r="5615" spans="1:3" x14ac:dyDescent="0.35">
      <c r="A5615" s="305">
        <v>40551</v>
      </c>
      <c r="B5615" s="306">
        <v>190.92330000000001</v>
      </c>
      <c r="C5615" s="309">
        <v>2.5148236385690099</v>
      </c>
    </row>
    <row r="5616" spans="1:3" x14ac:dyDescent="0.35">
      <c r="A5616" s="302">
        <v>40550</v>
      </c>
      <c r="B5616" s="303">
        <v>190.91159999999999</v>
      </c>
      <c r="C5616" s="308">
        <v>2.5062297342355899</v>
      </c>
    </row>
    <row r="5617" spans="1:3" x14ac:dyDescent="0.35">
      <c r="A5617" s="305">
        <v>40549</v>
      </c>
      <c r="B5617" s="306">
        <v>190.8999</v>
      </c>
      <c r="C5617" s="309">
        <v>2.4976362174969799</v>
      </c>
    </row>
    <row r="5618" spans="1:3" x14ac:dyDescent="0.35">
      <c r="A5618" s="302">
        <v>40548</v>
      </c>
      <c r="B5618" s="303">
        <v>190.88820000000001</v>
      </c>
      <c r="C5618" s="308">
        <v>2.4890430883269601</v>
      </c>
    </row>
    <row r="5619" spans="1:3" x14ac:dyDescent="0.35">
      <c r="A5619" s="305">
        <v>40547</v>
      </c>
      <c r="B5619" s="306">
        <v>190.87649999999999</v>
      </c>
      <c r="C5619" s="309">
        <v>2.48045034669931</v>
      </c>
    </row>
    <row r="5620" spans="1:3" x14ac:dyDescent="0.35">
      <c r="A5620" s="302">
        <v>40546</v>
      </c>
      <c r="B5620" s="303">
        <v>190.8648</v>
      </c>
      <c r="C5620" s="308">
        <v>2.4718579925878101</v>
      </c>
    </row>
    <row r="5621" spans="1:3" x14ac:dyDescent="0.35">
      <c r="A5621" s="305">
        <v>40545</v>
      </c>
      <c r="B5621" s="306">
        <v>190.85310000000001</v>
      </c>
      <c r="C5621" s="309">
        <v>2.4632110165624201</v>
      </c>
    </row>
    <row r="5622" spans="1:3" x14ac:dyDescent="0.35">
      <c r="A5622" s="302">
        <v>40544</v>
      </c>
      <c r="B5622" s="303">
        <v>190.8415</v>
      </c>
      <c r="C5622" s="308">
        <v>2.45467312899825</v>
      </c>
    </row>
    <row r="5623" spans="1:3" x14ac:dyDescent="0.35">
      <c r="A5623" s="305">
        <v>40543</v>
      </c>
      <c r="B5623" s="306">
        <v>190.82980000000001</v>
      </c>
      <c r="C5623" s="309">
        <v>2.4460819419197799</v>
      </c>
    </row>
    <row r="5624" spans="1:3" x14ac:dyDescent="0.35">
      <c r="A5624" s="302">
        <v>40542</v>
      </c>
      <c r="B5624" s="303">
        <v>190.81809999999999</v>
      </c>
      <c r="C5624" s="308">
        <v>2.4374911422522101</v>
      </c>
    </row>
    <row r="5625" spans="1:3" x14ac:dyDescent="0.35">
      <c r="A5625" s="305">
        <v>40541</v>
      </c>
      <c r="B5625" s="306">
        <v>190.8064</v>
      </c>
      <c r="C5625" s="309">
        <v>2.4289007299693299</v>
      </c>
    </row>
    <row r="5626" spans="1:3" x14ac:dyDescent="0.35">
      <c r="A5626" s="302">
        <v>40540</v>
      </c>
      <c r="B5626" s="303">
        <v>190.79470000000001</v>
      </c>
      <c r="C5626" s="308">
        <v>2.4203107050449302</v>
      </c>
    </row>
    <row r="5627" spans="1:3" x14ac:dyDescent="0.35">
      <c r="A5627" s="305">
        <v>40539</v>
      </c>
      <c r="B5627" s="306">
        <v>190.78299999999999</v>
      </c>
      <c r="C5627" s="309">
        <v>2.4117210674528202</v>
      </c>
    </row>
    <row r="5628" spans="1:3" x14ac:dyDescent="0.35">
      <c r="A5628" s="302">
        <v>40538</v>
      </c>
      <c r="B5628" s="303">
        <v>190.7714</v>
      </c>
      <c r="C5628" s="308">
        <v>2.4031854956455998</v>
      </c>
    </row>
    <row r="5629" spans="1:3" x14ac:dyDescent="0.35">
      <c r="A5629" s="305">
        <v>40537</v>
      </c>
      <c r="B5629" s="306">
        <v>190.75970000000001</v>
      </c>
      <c r="C5629" s="309">
        <v>2.3945966314293301</v>
      </c>
    </row>
    <row r="5630" spans="1:3" x14ac:dyDescent="0.35">
      <c r="A5630" s="302">
        <v>40536</v>
      </c>
      <c r="B5630" s="303">
        <v>190.74799999999999</v>
      </c>
      <c r="C5630" s="308">
        <v>2.3860081544668099</v>
      </c>
    </row>
    <row r="5631" spans="1:3" x14ac:dyDescent="0.35">
      <c r="A5631" s="305">
        <v>40535</v>
      </c>
      <c r="B5631" s="306">
        <v>190.7363</v>
      </c>
      <c r="C5631" s="309">
        <v>2.37742006473187</v>
      </c>
    </row>
    <row r="5632" spans="1:3" x14ac:dyDescent="0.35">
      <c r="A5632" s="302">
        <v>40534</v>
      </c>
      <c r="B5632" s="303">
        <v>190.72460000000001</v>
      </c>
      <c r="C5632" s="308">
        <v>2.3688323621983001</v>
      </c>
    </row>
    <row r="5633" spans="1:3" x14ac:dyDescent="0.35">
      <c r="A5633" s="305">
        <v>40533</v>
      </c>
      <c r="B5633" s="306">
        <v>190.71299999999999</v>
      </c>
      <c r="C5633" s="309">
        <v>2.3602987192685099</v>
      </c>
    </row>
    <row r="5634" spans="1:3" x14ac:dyDescent="0.35">
      <c r="A5634" s="302">
        <v>40532</v>
      </c>
      <c r="B5634" s="303">
        <v>190.7013</v>
      </c>
      <c r="C5634" s="308">
        <v>2.3516568564676699</v>
      </c>
    </row>
    <row r="5635" spans="1:3" x14ac:dyDescent="0.35">
      <c r="A5635" s="305">
        <v>40531</v>
      </c>
      <c r="B5635" s="306">
        <v>190.68960000000001</v>
      </c>
      <c r="C5635" s="309">
        <v>2.3430703200179899</v>
      </c>
    </row>
    <row r="5636" spans="1:3" x14ac:dyDescent="0.35">
      <c r="A5636" s="302">
        <v>40530</v>
      </c>
      <c r="B5636" s="303">
        <v>190.67789999999999</v>
      </c>
      <c r="C5636" s="308">
        <v>2.3344841706645401</v>
      </c>
    </row>
    <row r="5637" spans="1:3" x14ac:dyDescent="0.35">
      <c r="A5637" s="305">
        <v>40529</v>
      </c>
      <c r="B5637" s="306">
        <v>190.6662</v>
      </c>
      <c r="C5637" s="309">
        <v>2.32589840838116</v>
      </c>
    </row>
    <row r="5638" spans="1:3" x14ac:dyDescent="0.35">
      <c r="A5638" s="302">
        <v>40528</v>
      </c>
      <c r="B5638" s="303">
        <v>190.65459999999999</v>
      </c>
      <c r="C5638" s="308">
        <v>2.3173666994925801</v>
      </c>
    </row>
    <row r="5639" spans="1:3" x14ac:dyDescent="0.35">
      <c r="A5639" s="305">
        <v>40527</v>
      </c>
      <c r="B5639" s="306">
        <v>190.6429</v>
      </c>
      <c r="C5639" s="309">
        <v>2.30878171006119</v>
      </c>
    </row>
    <row r="5640" spans="1:3" x14ac:dyDescent="0.35">
      <c r="A5640" s="302">
        <v>40526</v>
      </c>
      <c r="B5640" s="303">
        <v>190.64859999999999</v>
      </c>
      <c r="C5640" s="308">
        <v>2.3073934471271098</v>
      </c>
    </row>
    <row r="5641" spans="1:3" x14ac:dyDescent="0.35">
      <c r="A5641" s="305">
        <v>40525</v>
      </c>
      <c r="B5641" s="306">
        <v>190.65430000000001</v>
      </c>
      <c r="C5641" s="309">
        <v>2.30600530487468</v>
      </c>
    </row>
    <row r="5642" spans="1:3" x14ac:dyDescent="0.35">
      <c r="A5642" s="302">
        <v>40524</v>
      </c>
      <c r="B5642" s="303">
        <v>190.66</v>
      </c>
      <c r="C5642" s="308">
        <v>2.3046172832881702</v>
      </c>
    </row>
    <row r="5643" spans="1:3" x14ac:dyDescent="0.35">
      <c r="A5643" s="305">
        <v>40523</v>
      </c>
      <c r="B5643" s="306">
        <v>190.66579999999999</v>
      </c>
      <c r="C5643" s="309">
        <v>2.3032830381637699</v>
      </c>
    </row>
    <row r="5644" spans="1:3" x14ac:dyDescent="0.35">
      <c r="A5644" s="302">
        <v>40522</v>
      </c>
      <c r="B5644" s="303">
        <v>190.67150000000001</v>
      </c>
      <c r="C5644" s="308">
        <v>2.3019501440864998</v>
      </c>
    </row>
    <row r="5645" spans="1:3" x14ac:dyDescent="0.35">
      <c r="A5645" s="305">
        <v>40521</v>
      </c>
      <c r="B5645" s="306">
        <v>190.6772</v>
      </c>
      <c r="C5645" s="309">
        <v>2.3005624789419099</v>
      </c>
    </row>
    <row r="5646" spans="1:3" x14ac:dyDescent="0.35">
      <c r="A5646" s="302">
        <v>40520</v>
      </c>
      <c r="B5646" s="303">
        <v>190.68289999999999</v>
      </c>
      <c r="C5646" s="308">
        <v>2.2991749344008698</v>
      </c>
    </row>
    <row r="5647" spans="1:3" x14ac:dyDescent="0.35">
      <c r="A5647" s="305">
        <v>40519</v>
      </c>
      <c r="B5647" s="306">
        <v>190.68860000000001</v>
      </c>
      <c r="C5647" s="309">
        <v>2.2977875104476602</v>
      </c>
    </row>
    <row r="5648" spans="1:3" x14ac:dyDescent="0.35">
      <c r="A5648" s="302">
        <v>40518</v>
      </c>
      <c r="B5648" s="303">
        <v>190.6944</v>
      </c>
      <c r="C5648" s="308">
        <v>2.2964538512500399</v>
      </c>
    </row>
    <row r="5649" spans="1:3" x14ac:dyDescent="0.35">
      <c r="A5649" s="305">
        <v>40517</v>
      </c>
      <c r="B5649" s="306">
        <v>190.70009999999999</v>
      </c>
      <c r="C5649" s="309">
        <v>2.2950666660944901</v>
      </c>
    </row>
    <row r="5650" spans="1:3" x14ac:dyDescent="0.35">
      <c r="A5650" s="302">
        <v>40516</v>
      </c>
      <c r="B5650" s="303">
        <v>190.70580000000001</v>
      </c>
      <c r="C5650" s="308">
        <v>2.29373447135004</v>
      </c>
    </row>
    <row r="5651" spans="1:3" x14ac:dyDescent="0.35">
      <c r="A5651" s="305">
        <v>40515</v>
      </c>
      <c r="B5651" s="306">
        <v>190.7115</v>
      </c>
      <c r="C5651" s="309">
        <v>2.29234752413273</v>
      </c>
    </row>
    <row r="5652" spans="1:3" x14ac:dyDescent="0.35">
      <c r="A5652" s="302">
        <v>40514</v>
      </c>
      <c r="B5652" s="303">
        <v>190.71729999999999</v>
      </c>
      <c r="C5652" s="308">
        <v>2.2910143323153398</v>
      </c>
    </row>
    <row r="5653" spans="1:3" x14ac:dyDescent="0.35">
      <c r="A5653" s="305">
        <v>40513</v>
      </c>
      <c r="B5653" s="306">
        <v>190.72300000000001</v>
      </c>
      <c r="C5653" s="309">
        <v>2.2896276237718798</v>
      </c>
    </row>
    <row r="5654" spans="1:3" x14ac:dyDescent="0.35">
      <c r="A5654" s="302">
        <v>40512</v>
      </c>
      <c r="B5654" s="303">
        <v>190.7287</v>
      </c>
      <c r="C5654" s="308">
        <v>2.28824103570701</v>
      </c>
    </row>
    <row r="5655" spans="1:3" x14ac:dyDescent="0.35">
      <c r="A5655" s="305">
        <v>40511</v>
      </c>
      <c r="B5655" s="306">
        <v>190.73439999999999</v>
      </c>
      <c r="C5655" s="309">
        <v>2.2868545681050199</v>
      </c>
    </row>
    <row r="5656" spans="1:3" x14ac:dyDescent="0.35">
      <c r="A5656" s="302">
        <v>40510</v>
      </c>
      <c r="B5656" s="303">
        <v>190.74019999999999</v>
      </c>
      <c r="C5656" s="308">
        <v>2.2855218465214699</v>
      </c>
    </row>
    <row r="5657" spans="1:3" x14ac:dyDescent="0.35">
      <c r="A5657" s="305">
        <v>40509</v>
      </c>
      <c r="B5657" s="306">
        <v>190.74590000000001</v>
      </c>
      <c r="C5657" s="309">
        <v>2.2841904655679599</v>
      </c>
    </row>
    <row r="5658" spans="1:3" x14ac:dyDescent="0.35">
      <c r="A5658" s="302">
        <v>40508</v>
      </c>
      <c r="B5658" s="303">
        <v>190.7516</v>
      </c>
      <c r="C5658" s="308">
        <v>2.2828043538059899</v>
      </c>
    </row>
    <row r="5659" spans="1:3" x14ac:dyDescent="0.35">
      <c r="A5659" s="305">
        <v>40507</v>
      </c>
      <c r="B5659" s="306">
        <v>190.75729999999999</v>
      </c>
      <c r="C5659" s="309">
        <v>2.2814183624446698</v>
      </c>
    </row>
    <row r="5660" spans="1:3" x14ac:dyDescent="0.35">
      <c r="A5660" s="302">
        <v>40506</v>
      </c>
      <c r="B5660" s="303">
        <v>190.76310000000001</v>
      </c>
      <c r="C5660" s="308">
        <v>2.2800861077526502</v>
      </c>
    </row>
    <row r="5661" spans="1:3" x14ac:dyDescent="0.35">
      <c r="A5661" s="305">
        <v>40505</v>
      </c>
      <c r="B5661" s="306">
        <v>190.7688</v>
      </c>
      <c r="C5661" s="309">
        <v>2.2787003548171598</v>
      </c>
    </row>
    <row r="5662" spans="1:3" x14ac:dyDescent="0.35">
      <c r="A5662" s="302">
        <v>40504</v>
      </c>
      <c r="B5662" s="303">
        <v>190.77449999999999</v>
      </c>
      <c r="C5662" s="308">
        <v>2.2773147222354799</v>
      </c>
    </row>
    <row r="5663" spans="1:3" x14ac:dyDescent="0.35">
      <c r="A5663" s="305">
        <v>40503</v>
      </c>
      <c r="B5663" s="306">
        <v>190.78020000000001</v>
      </c>
      <c r="C5663" s="309">
        <v>2.2759292099919199</v>
      </c>
    </row>
    <row r="5664" spans="1:3" x14ac:dyDescent="0.35">
      <c r="A5664" s="302">
        <v>40502</v>
      </c>
      <c r="B5664" s="303">
        <v>190.786</v>
      </c>
      <c r="C5664" s="308">
        <v>2.2745974250427099</v>
      </c>
    </row>
    <row r="5665" spans="1:3" x14ac:dyDescent="0.35">
      <c r="A5665" s="305">
        <v>40501</v>
      </c>
      <c r="B5665" s="306">
        <v>190.79169999999999</v>
      </c>
      <c r="C5665" s="309">
        <v>2.27326697432175</v>
      </c>
    </row>
    <row r="5666" spans="1:3" x14ac:dyDescent="0.35">
      <c r="A5666" s="302">
        <v>40500</v>
      </c>
      <c r="B5666" s="303">
        <v>190.79740000000001</v>
      </c>
      <c r="C5666" s="308">
        <v>2.2718818175483402</v>
      </c>
    </row>
    <row r="5667" spans="1:3" x14ac:dyDescent="0.35">
      <c r="A5667" s="305">
        <v>40499</v>
      </c>
      <c r="B5667" s="306">
        <v>190.8031</v>
      </c>
      <c r="C5667" s="309">
        <v>2.2704967810508898</v>
      </c>
    </row>
    <row r="5668" spans="1:3" x14ac:dyDescent="0.35">
      <c r="A5668" s="302">
        <v>40498</v>
      </c>
      <c r="B5668" s="303">
        <v>190.80889999999999</v>
      </c>
      <c r="C5668" s="308">
        <v>2.2691654625052</v>
      </c>
    </row>
    <row r="5669" spans="1:3" x14ac:dyDescent="0.35">
      <c r="A5669" s="305">
        <v>40497</v>
      </c>
      <c r="B5669" s="306">
        <v>190.81460000000001</v>
      </c>
      <c r="C5669" s="309">
        <v>2.2677806641859202</v>
      </c>
    </row>
    <row r="5670" spans="1:3" x14ac:dyDescent="0.35">
      <c r="A5670" s="302">
        <v>40496</v>
      </c>
      <c r="B5670" s="303">
        <v>190.82320000000001</v>
      </c>
      <c r="C5670" s="308">
        <v>2.2687175089768998</v>
      </c>
    </row>
    <row r="5671" spans="1:3" x14ac:dyDescent="0.35">
      <c r="A5671" s="305">
        <v>40495</v>
      </c>
      <c r="B5671" s="306">
        <v>190.83179999999999</v>
      </c>
      <c r="C5671" s="309">
        <v>2.2697090943779301</v>
      </c>
    </row>
    <row r="5672" spans="1:3" x14ac:dyDescent="0.35">
      <c r="A5672" s="302">
        <v>40494</v>
      </c>
      <c r="B5672" s="303">
        <v>190.84049999999999</v>
      </c>
      <c r="C5672" s="308">
        <v>2.2707541992848999</v>
      </c>
    </row>
    <row r="5673" spans="1:3" x14ac:dyDescent="0.35">
      <c r="A5673" s="305">
        <v>40493</v>
      </c>
      <c r="B5673" s="306">
        <v>190.84909999999999</v>
      </c>
      <c r="C5673" s="309">
        <v>2.2717456425118101</v>
      </c>
    </row>
    <row r="5674" spans="1:3" x14ac:dyDescent="0.35">
      <c r="A5674" s="302">
        <v>40492</v>
      </c>
      <c r="B5674" s="303">
        <v>190.85769999999999</v>
      </c>
      <c r="C5674" s="308">
        <v>2.27268221191588</v>
      </c>
    </row>
    <row r="5675" spans="1:3" x14ac:dyDescent="0.35">
      <c r="A5675" s="305">
        <v>40491</v>
      </c>
      <c r="B5675" s="306">
        <v>190.8663</v>
      </c>
      <c r="C5675" s="309">
        <v>2.2736735163010402</v>
      </c>
    </row>
    <row r="5676" spans="1:3" x14ac:dyDescent="0.35">
      <c r="A5676" s="302">
        <v>40490</v>
      </c>
      <c r="B5676" s="303">
        <v>190.875</v>
      </c>
      <c r="C5676" s="308">
        <v>2.2747183326126499</v>
      </c>
    </row>
    <row r="5677" spans="1:3" x14ac:dyDescent="0.35">
      <c r="A5677" s="305">
        <v>40489</v>
      </c>
      <c r="B5677" s="306">
        <v>190.8836</v>
      </c>
      <c r="C5677" s="309">
        <v>2.2757094948839001</v>
      </c>
    </row>
    <row r="5678" spans="1:3" x14ac:dyDescent="0.35">
      <c r="A5678" s="302">
        <v>40488</v>
      </c>
      <c r="B5678" s="303">
        <v>190.8922</v>
      </c>
      <c r="C5678" s="308">
        <v>2.2766457890196801</v>
      </c>
    </row>
    <row r="5679" spans="1:3" x14ac:dyDescent="0.35">
      <c r="A5679" s="305">
        <v>40487</v>
      </c>
      <c r="B5679" s="306">
        <v>190.9008</v>
      </c>
      <c r="C5679" s="309">
        <v>2.27763681250857</v>
      </c>
    </row>
    <row r="5680" spans="1:3" x14ac:dyDescent="0.35">
      <c r="A5680" s="302">
        <v>40486</v>
      </c>
      <c r="B5680" s="303">
        <v>190.90950000000001</v>
      </c>
      <c r="C5680" s="308">
        <v>2.27868134034658</v>
      </c>
    </row>
    <row r="5681" spans="1:3" x14ac:dyDescent="0.35">
      <c r="A5681" s="305">
        <v>40485</v>
      </c>
      <c r="B5681" s="306">
        <v>190.91810000000001</v>
      </c>
      <c r="C5681" s="309">
        <v>2.2796722217817398</v>
      </c>
    </row>
    <row r="5682" spans="1:3" x14ac:dyDescent="0.35">
      <c r="A5682" s="302">
        <v>40484</v>
      </c>
      <c r="B5682" s="303">
        <v>190.92670000000001</v>
      </c>
      <c r="C5682" s="308">
        <v>2.2806082407677701</v>
      </c>
    </row>
    <row r="5683" spans="1:3" x14ac:dyDescent="0.35">
      <c r="A5683" s="305">
        <v>40483</v>
      </c>
      <c r="B5683" s="306">
        <v>190.93539999999999</v>
      </c>
      <c r="C5683" s="309">
        <v>2.28165255220138</v>
      </c>
    </row>
    <row r="5684" spans="1:3" x14ac:dyDescent="0.35">
      <c r="A5684" s="302">
        <v>40482</v>
      </c>
      <c r="B5684" s="303">
        <v>190.94399999999999</v>
      </c>
      <c r="C5684" s="308">
        <v>2.2826432229660298</v>
      </c>
    </row>
    <row r="5685" spans="1:3" x14ac:dyDescent="0.35">
      <c r="A5685" s="305">
        <v>40481</v>
      </c>
      <c r="B5685" s="306">
        <v>190.95259999999999</v>
      </c>
      <c r="C5685" s="309">
        <v>2.2835790355531702</v>
      </c>
    </row>
    <row r="5686" spans="1:3" x14ac:dyDescent="0.35">
      <c r="A5686" s="302">
        <v>40480</v>
      </c>
      <c r="B5686" s="303">
        <v>190.96119999999999</v>
      </c>
      <c r="C5686" s="308">
        <v>2.28456956763937</v>
      </c>
    </row>
    <row r="5687" spans="1:3" x14ac:dyDescent="0.35">
      <c r="A5687" s="305">
        <v>40479</v>
      </c>
      <c r="B5687" s="306">
        <v>190.9699</v>
      </c>
      <c r="C5687" s="309">
        <v>2.2856135908123401</v>
      </c>
    </row>
    <row r="5688" spans="1:3" x14ac:dyDescent="0.35">
      <c r="A5688" s="302">
        <v>40478</v>
      </c>
      <c r="B5688" s="303">
        <v>190.9785</v>
      </c>
      <c r="C5688" s="308">
        <v>2.28660398095005</v>
      </c>
    </row>
    <row r="5689" spans="1:3" x14ac:dyDescent="0.35">
      <c r="A5689" s="305">
        <v>40477</v>
      </c>
      <c r="B5689" s="306">
        <v>190.9871</v>
      </c>
      <c r="C5689" s="309">
        <v>2.28753951859483</v>
      </c>
    </row>
    <row r="5690" spans="1:3" x14ac:dyDescent="0.35">
      <c r="A5690" s="302">
        <v>40476</v>
      </c>
      <c r="B5690" s="303">
        <v>190.9958</v>
      </c>
      <c r="C5690" s="308">
        <v>2.2885833255231698</v>
      </c>
    </row>
    <row r="5691" spans="1:3" x14ac:dyDescent="0.35">
      <c r="A5691" s="305">
        <v>40475</v>
      </c>
      <c r="B5691" s="306">
        <v>191.0044</v>
      </c>
      <c r="C5691" s="309">
        <v>2.2895735051472998</v>
      </c>
    </row>
    <row r="5692" spans="1:3" x14ac:dyDescent="0.35">
      <c r="A5692" s="302">
        <v>40474</v>
      </c>
      <c r="B5692" s="303">
        <v>191.01300000000001</v>
      </c>
      <c r="C5692" s="308">
        <v>2.2905088365487498</v>
      </c>
    </row>
    <row r="5693" spans="1:3" x14ac:dyDescent="0.35">
      <c r="A5693" s="305">
        <v>40473</v>
      </c>
      <c r="B5693" s="306">
        <v>191.02170000000001</v>
      </c>
      <c r="C5693" s="309">
        <v>2.2915524273009198</v>
      </c>
    </row>
    <row r="5694" spans="1:3" x14ac:dyDescent="0.35">
      <c r="A5694" s="302">
        <v>40472</v>
      </c>
      <c r="B5694" s="303">
        <v>191.03030000000001</v>
      </c>
      <c r="C5694" s="308">
        <v>2.2925423964787002</v>
      </c>
    </row>
    <row r="5695" spans="1:3" x14ac:dyDescent="0.35">
      <c r="A5695" s="305">
        <v>40471</v>
      </c>
      <c r="B5695" s="306">
        <v>191.03890000000001</v>
      </c>
      <c r="C5695" s="309">
        <v>2.2935322956848401</v>
      </c>
    </row>
    <row r="5696" spans="1:3" x14ac:dyDescent="0.35">
      <c r="A5696" s="302">
        <v>40470</v>
      </c>
      <c r="B5696" s="303">
        <v>191.04759999999999</v>
      </c>
      <c r="C5696" s="308">
        <v>2.2945208963479198</v>
      </c>
    </row>
    <row r="5697" spans="1:3" x14ac:dyDescent="0.35">
      <c r="A5697" s="305">
        <v>40469</v>
      </c>
      <c r="B5697" s="306">
        <v>191.05619999999999</v>
      </c>
      <c r="C5697" s="309">
        <v>2.2955106551465501</v>
      </c>
    </row>
    <row r="5698" spans="1:3" x14ac:dyDescent="0.35">
      <c r="A5698" s="302">
        <v>40468</v>
      </c>
      <c r="B5698" s="303">
        <v>191.06479999999999</v>
      </c>
      <c r="C5698" s="308">
        <v>2.29650034399587</v>
      </c>
    </row>
    <row r="5699" spans="1:3" x14ac:dyDescent="0.35">
      <c r="A5699" s="305">
        <v>40467</v>
      </c>
      <c r="B5699" s="306">
        <v>191.0735</v>
      </c>
      <c r="C5699" s="309">
        <v>2.2974887328664102</v>
      </c>
    </row>
    <row r="5700" spans="1:3" x14ac:dyDescent="0.35">
      <c r="A5700" s="302">
        <v>40466</v>
      </c>
      <c r="B5700" s="303">
        <v>191.0821</v>
      </c>
      <c r="C5700" s="308">
        <v>2.2984782813530602</v>
      </c>
    </row>
    <row r="5701" spans="1:3" x14ac:dyDescent="0.35">
      <c r="A5701" s="305">
        <v>40465</v>
      </c>
      <c r="B5701" s="306">
        <v>191.07509999999999</v>
      </c>
      <c r="C5701" s="309">
        <v>2.2960998745625298</v>
      </c>
    </row>
    <row r="5702" spans="1:3" x14ac:dyDescent="0.35">
      <c r="A5702" s="302">
        <v>40464</v>
      </c>
      <c r="B5702" s="303">
        <v>191.06809999999999</v>
      </c>
      <c r="C5702" s="308">
        <v>2.2937214041046401</v>
      </c>
    </row>
    <row r="5703" spans="1:3" x14ac:dyDescent="0.35">
      <c r="A5703" s="305">
        <v>40463</v>
      </c>
      <c r="B5703" s="306">
        <v>191.06110000000001</v>
      </c>
      <c r="C5703" s="309">
        <v>2.2913428699768099</v>
      </c>
    </row>
    <row r="5704" spans="1:3" x14ac:dyDescent="0.35">
      <c r="A5704" s="302">
        <v>40462</v>
      </c>
      <c r="B5704" s="303">
        <v>191.05410000000001</v>
      </c>
      <c r="C5704" s="308">
        <v>2.2889642721765</v>
      </c>
    </row>
    <row r="5705" spans="1:3" x14ac:dyDescent="0.35">
      <c r="A5705" s="305">
        <v>40461</v>
      </c>
      <c r="B5705" s="306">
        <v>191.0471</v>
      </c>
      <c r="C5705" s="309">
        <v>2.28658561070114</v>
      </c>
    </row>
    <row r="5706" spans="1:3" x14ac:dyDescent="0.35">
      <c r="A5706" s="302">
        <v>40460</v>
      </c>
      <c r="B5706" s="303">
        <v>191.04</v>
      </c>
      <c r="C5706" s="308">
        <v>2.2841533448481499</v>
      </c>
    </row>
    <row r="5707" spans="1:3" x14ac:dyDescent="0.35">
      <c r="A5707" s="305">
        <v>40459</v>
      </c>
      <c r="B5707" s="306">
        <v>191.03299999999999</v>
      </c>
      <c r="C5707" s="309">
        <v>2.2817197922165802</v>
      </c>
    </row>
    <row r="5708" spans="1:3" x14ac:dyDescent="0.35">
      <c r="A5708" s="302">
        <v>40458</v>
      </c>
      <c r="B5708" s="303">
        <v>191.02600000000001</v>
      </c>
      <c r="C5708" s="308">
        <v>2.2793409395247299</v>
      </c>
    </row>
    <row r="5709" spans="1:3" x14ac:dyDescent="0.35">
      <c r="A5709" s="305">
        <v>40457</v>
      </c>
      <c r="B5709" s="306">
        <v>191.01900000000001</v>
      </c>
      <c r="C5709" s="309">
        <v>2.2769620231476302</v>
      </c>
    </row>
    <row r="5710" spans="1:3" x14ac:dyDescent="0.35">
      <c r="A5710" s="302">
        <v>40456</v>
      </c>
      <c r="B5710" s="303">
        <v>191.012</v>
      </c>
      <c r="C5710" s="308">
        <v>2.2745830430827398</v>
      </c>
    </row>
    <row r="5711" spans="1:3" x14ac:dyDescent="0.35">
      <c r="A5711" s="305">
        <v>40455</v>
      </c>
      <c r="B5711" s="306">
        <v>191.005</v>
      </c>
      <c r="C5711" s="309">
        <v>2.2722039993274801</v>
      </c>
    </row>
    <row r="5712" spans="1:3" x14ac:dyDescent="0.35">
      <c r="A5712" s="302">
        <v>40454</v>
      </c>
      <c r="B5712" s="303">
        <v>190.99799999999999</v>
      </c>
      <c r="C5712" s="308">
        <v>2.26982489187932</v>
      </c>
    </row>
    <row r="5713" spans="1:3" x14ac:dyDescent="0.35">
      <c r="A5713" s="305">
        <v>40453</v>
      </c>
      <c r="B5713" s="306">
        <v>190.99100000000001</v>
      </c>
      <c r="C5713" s="309">
        <v>2.2674457207356702</v>
      </c>
    </row>
    <row r="5714" spans="1:3" x14ac:dyDescent="0.35">
      <c r="A5714" s="302">
        <v>40452</v>
      </c>
      <c r="B5714" s="303">
        <v>190.98400000000001</v>
      </c>
      <c r="C5714" s="308">
        <v>2.2650664858940002</v>
      </c>
    </row>
    <row r="5715" spans="1:3" x14ac:dyDescent="0.35">
      <c r="A5715" s="305">
        <v>40451</v>
      </c>
      <c r="B5715" s="306">
        <v>190.97710000000001</v>
      </c>
      <c r="C5715" s="309">
        <v>2.26274073447374</v>
      </c>
    </row>
    <row r="5716" spans="1:3" x14ac:dyDescent="0.35">
      <c r="A5716" s="302">
        <v>40450</v>
      </c>
      <c r="B5716" s="303">
        <v>190.9701</v>
      </c>
      <c r="C5716" s="308">
        <v>2.2603613729451699</v>
      </c>
    </row>
    <row r="5717" spans="1:3" x14ac:dyDescent="0.35">
      <c r="A5717" s="305">
        <v>40449</v>
      </c>
      <c r="B5717" s="306">
        <v>190.9631</v>
      </c>
      <c r="C5717" s="309">
        <v>2.2579271900678202</v>
      </c>
    </row>
    <row r="5718" spans="1:3" x14ac:dyDescent="0.35">
      <c r="A5718" s="302">
        <v>40448</v>
      </c>
      <c r="B5718" s="303">
        <v>190.95609999999999</v>
      </c>
      <c r="C5718" s="308">
        <v>2.2555477016664498</v>
      </c>
    </row>
    <row r="5719" spans="1:3" x14ac:dyDescent="0.35">
      <c r="A5719" s="305">
        <v>40447</v>
      </c>
      <c r="B5719" s="306">
        <v>190.94909999999999</v>
      </c>
      <c r="C5719" s="309">
        <v>2.2531681495543299</v>
      </c>
    </row>
    <row r="5720" spans="1:3" x14ac:dyDescent="0.35">
      <c r="A5720" s="302">
        <v>40446</v>
      </c>
      <c r="B5720" s="303">
        <v>190.94210000000001</v>
      </c>
      <c r="C5720" s="308">
        <v>2.25078853372889</v>
      </c>
    </row>
    <row r="5721" spans="1:3" x14ac:dyDescent="0.35">
      <c r="A5721" s="305">
        <v>40445</v>
      </c>
      <c r="B5721" s="306">
        <v>190.93510000000001</v>
      </c>
      <c r="C5721" s="309">
        <v>2.24840885418759</v>
      </c>
    </row>
    <row r="5722" spans="1:3" x14ac:dyDescent="0.35">
      <c r="A5722" s="302">
        <v>40444</v>
      </c>
      <c r="B5722" s="303">
        <v>190.9281</v>
      </c>
      <c r="C5722" s="308">
        <v>2.2460291109278399</v>
      </c>
    </row>
    <row r="5723" spans="1:3" x14ac:dyDescent="0.35">
      <c r="A5723" s="305">
        <v>40443</v>
      </c>
      <c r="B5723" s="306">
        <v>190.9211</v>
      </c>
      <c r="C5723" s="309">
        <v>2.2436493039471102</v>
      </c>
    </row>
    <row r="5724" spans="1:3" x14ac:dyDescent="0.35">
      <c r="A5724" s="302">
        <v>40442</v>
      </c>
      <c r="B5724" s="303">
        <v>190.91409999999999</v>
      </c>
      <c r="C5724" s="308">
        <v>2.24126943324283</v>
      </c>
    </row>
    <row r="5725" spans="1:3" x14ac:dyDescent="0.35">
      <c r="A5725" s="305">
        <v>40441</v>
      </c>
      <c r="B5725" s="306">
        <v>190.90710000000001</v>
      </c>
      <c r="C5725" s="309">
        <v>2.2388894988124299</v>
      </c>
    </row>
    <row r="5726" spans="1:3" x14ac:dyDescent="0.35">
      <c r="A5726" s="302">
        <v>40440</v>
      </c>
      <c r="B5726" s="303">
        <v>190.90010000000001</v>
      </c>
      <c r="C5726" s="308">
        <v>2.2364547479409498</v>
      </c>
    </row>
    <row r="5727" spans="1:3" x14ac:dyDescent="0.35">
      <c r="A5727" s="305">
        <v>40439</v>
      </c>
      <c r="B5727" s="306">
        <v>190.8931</v>
      </c>
      <c r="C5727" s="309">
        <v>2.2340746865922299</v>
      </c>
    </row>
    <row r="5728" spans="1:3" x14ac:dyDescent="0.35">
      <c r="A5728" s="302">
        <v>40438</v>
      </c>
      <c r="B5728" s="303">
        <v>190.8861</v>
      </c>
      <c r="C5728" s="308">
        <v>2.2316945615097801</v>
      </c>
    </row>
    <row r="5729" spans="1:3" x14ac:dyDescent="0.35">
      <c r="A5729" s="305">
        <v>40437</v>
      </c>
      <c r="B5729" s="306">
        <v>190.87909999999999</v>
      </c>
      <c r="C5729" s="309">
        <v>2.2293143726910198</v>
      </c>
    </row>
    <row r="5730" spans="1:3" x14ac:dyDescent="0.35">
      <c r="A5730" s="302">
        <v>40436</v>
      </c>
      <c r="B5730" s="303">
        <v>190.87209999999999</v>
      </c>
      <c r="C5730" s="308">
        <v>2.2269341201334001</v>
      </c>
    </row>
    <row r="5731" spans="1:3" x14ac:dyDescent="0.35">
      <c r="A5731" s="305">
        <v>40435</v>
      </c>
      <c r="B5731" s="306">
        <v>190.87459999999999</v>
      </c>
      <c r="C5731" s="309">
        <v>2.2269590528957002</v>
      </c>
    </row>
    <row r="5732" spans="1:3" x14ac:dyDescent="0.35">
      <c r="A5732" s="302">
        <v>40434</v>
      </c>
      <c r="B5732" s="303">
        <v>190.87700000000001</v>
      </c>
      <c r="C5732" s="308">
        <v>2.22693042857472</v>
      </c>
    </row>
    <row r="5733" spans="1:3" x14ac:dyDescent="0.35">
      <c r="A5733" s="305">
        <v>40433</v>
      </c>
      <c r="B5733" s="306">
        <v>190.87950000000001</v>
      </c>
      <c r="C5733" s="309">
        <v>2.22695536074353</v>
      </c>
    </row>
    <row r="5734" spans="1:3" x14ac:dyDescent="0.35">
      <c r="A5734" s="302">
        <v>40432</v>
      </c>
      <c r="B5734" s="303">
        <v>190.88200000000001</v>
      </c>
      <c r="C5734" s="308">
        <v>2.2269802922714099</v>
      </c>
    </row>
    <row r="5735" spans="1:3" x14ac:dyDescent="0.35">
      <c r="A5735" s="305">
        <v>40431</v>
      </c>
      <c r="B5735" s="306">
        <v>190.8844</v>
      </c>
      <c r="C5735" s="309">
        <v>2.2269516687811701</v>
      </c>
    </row>
    <row r="5736" spans="1:3" x14ac:dyDescent="0.35">
      <c r="A5736" s="302">
        <v>40430</v>
      </c>
      <c r="B5736" s="303">
        <v>190.8869</v>
      </c>
      <c r="C5736" s="308">
        <v>2.2269765997156301</v>
      </c>
    </row>
    <row r="5737" spans="1:3" x14ac:dyDescent="0.35">
      <c r="A5737" s="305">
        <v>40429</v>
      </c>
      <c r="B5737" s="306">
        <v>190.88939999999999</v>
      </c>
      <c r="C5737" s="309">
        <v>2.2269467844117998</v>
      </c>
    </row>
    <row r="5738" spans="1:3" x14ac:dyDescent="0.35">
      <c r="A5738" s="302">
        <v>40428</v>
      </c>
      <c r="B5738" s="303">
        <v>190.89179999999999</v>
      </c>
      <c r="C5738" s="308">
        <v>2.2269181624712</v>
      </c>
    </row>
    <row r="5739" spans="1:3" x14ac:dyDescent="0.35">
      <c r="A5739" s="305">
        <v>40427</v>
      </c>
      <c r="B5739" s="306">
        <v>190.89429999999999</v>
      </c>
      <c r="C5739" s="309">
        <v>2.22694309286168</v>
      </c>
    </row>
    <row r="5740" spans="1:3" x14ac:dyDescent="0.35">
      <c r="A5740" s="302">
        <v>40426</v>
      </c>
      <c r="B5740" s="303">
        <v>190.89680000000001</v>
      </c>
      <c r="C5740" s="308">
        <v>2.2269680226113402</v>
      </c>
    </row>
    <row r="5741" spans="1:3" x14ac:dyDescent="0.35">
      <c r="A5741" s="305">
        <v>40425</v>
      </c>
      <c r="B5741" s="306">
        <v>190.89920000000001</v>
      </c>
      <c r="C5741" s="309">
        <v>2.2269394015013302</v>
      </c>
    </row>
    <row r="5742" spans="1:3" x14ac:dyDescent="0.35">
      <c r="A5742" s="302">
        <v>40424</v>
      </c>
      <c r="B5742" s="303">
        <v>190.90170000000001</v>
      </c>
      <c r="C5742" s="308">
        <v>2.2269643306576401</v>
      </c>
    </row>
    <row r="5743" spans="1:3" x14ac:dyDescent="0.35">
      <c r="A5743" s="305">
        <v>40423</v>
      </c>
      <c r="B5743" s="306">
        <v>190.9041</v>
      </c>
      <c r="C5743" s="309">
        <v>2.2269357103307499</v>
      </c>
    </row>
    <row r="5744" spans="1:3" x14ac:dyDescent="0.35">
      <c r="A5744" s="302">
        <v>40422</v>
      </c>
      <c r="B5744" s="303">
        <v>190.9066</v>
      </c>
      <c r="C5744" s="308">
        <v>2.2269606388937402</v>
      </c>
    </row>
    <row r="5745" spans="1:3" x14ac:dyDescent="0.35">
      <c r="A5745" s="305">
        <v>40421</v>
      </c>
      <c r="B5745" s="306">
        <v>190.9091</v>
      </c>
      <c r="C5745" s="309">
        <v>2.2269855668159901</v>
      </c>
    </row>
    <row r="5746" spans="1:3" x14ac:dyDescent="0.35">
      <c r="A5746" s="302">
        <v>40420</v>
      </c>
      <c r="B5746" s="303">
        <v>190.91149999999999</v>
      </c>
      <c r="C5746" s="308">
        <v>2.2269569473196098</v>
      </c>
    </row>
    <row r="5747" spans="1:3" x14ac:dyDescent="0.35">
      <c r="A5747" s="305">
        <v>40419</v>
      </c>
      <c r="B5747" s="306">
        <v>190.91399999999999</v>
      </c>
      <c r="C5747" s="309">
        <v>2.2269271361263998</v>
      </c>
    </row>
    <row r="5748" spans="1:3" x14ac:dyDescent="0.35">
      <c r="A5748" s="302">
        <v>40418</v>
      </c>
      <c r="B5748" s="303">
        <v>190.91650000000001</v>
      </c>
      <c r="C5748" s="308">
        <v>2.2269520635048101</v>
      </c>
    </row>
    <row r="5749" spans="1:3" x14ac:dyDescent="0.35">
      <c r="A5749" s="305">
        <v>40417</v>
      </c>
      <c r="B5749" s="306">
        <v>190.91890000000001</v>
      </c>
      <c r="C5749" s="309">
        <v>2.2269234455576399</v>
      </c>
    </row>
    <row r="5750" spans="1:3" x14ac:dyDescent="0.35">
      <c r="A5750" s="302">
        <v>40416</v>
      </c>
      <c r="B5750" s="303">
        <v>190.92140000000001</v>
      </c>
      <c r="C5750" s="308">
        <v>2.2269483723428101</v>
      </c>
    </row>
    <row r="5751" spans="1:3" x14ac:dyDescent="0.35">
      <c r="A5751" s="305">
        <v>40415</v>
      </c>
      <c r="B5751" s="306">
        <v>190.9239</v>
      </c>
      <c r="C5751" s="309">
        <v>2.22697329848735</v>
      </c>
    </row>
    <row r="5752" spans="1:3" x14ac:dyDescent="0.35">
      <c r="A5752" s="302">
        <v>40414</v>
      </c>
      <c r="B5752" s="303">
        <v>190.9263</v>
      </c>
      <c r="C5752" s="308">
        <v>2.22694468137054</v>
      </c>
    </row>
    <row r="5753" spans="1:3" x14ac:dyDescent="0.35">
      <c r="A5753" s="305">
        <v>40413</v>
      </c>
      <c r="B5753" s="306">
        <v>190.9288</v>
      </c>
      <c r="C5753" s="309">
        <v>2.2269696069218998</v>
      </c>
    </row>
    <row r="5754" spans="1:3" x14ac:dyDescent="0.35">
      <c r="A5754" s="302">
        <v>40412</v>
      </c>
      <c r="B5754" s="303">
        <v>190.93129999999999</v>
      </c>
      <c r="C5754" s="308">
        <v>2.22699453183268</v>
      </c>
    </row>
    <row r="5755" spans="1:3" x14ac:dyDescent="0.35">
      <c r="A5755" s="305">
        <v>40411</v>
      </c>
      <c r="B5755" s="306">
        <v>190.93369999999999</v>
      </c>
      <c r="C5755" s="309">
        <v>2.2269659155462</v>
      </c>
    </row>
    <row r="5756" spans="1:3" x14ac:dyDescent="0.35">
      <c r="A5756" s="302">
        <v>40410</v>
      </c>
      <c r="B5756" s="303">
        <v>190.93620000000001</v>
      </c>
      <c r="C5756" s="308">
        <v>2.22699083986386</v>
      </c>
    </row>
    <row r="5757" spans="1:3" x14ac:dyDescent="0.35">
      <c r="A5757" s="305">
        <v>40409</v>
      </c>
      <c r="B5757" s="306">
        <v>190.93860000000001</v>
      </c>
      <c r="C5757" s="309">
        <v>2.2269074929114199</v>
      </c>
    </row>
    <row r="5758" spans="1:3" x14ac:dyDescent="0.35">
      <c r="A5758" s="302">
        <v>40408</v>
      </c>
      <c r="B5758" s="303">
        <v>190.94110000000001</v>
      </c>
      <c r="C5758" s="308">
        <v>2.2269324173259002</v>
      </c>
    </row>
    <row r="5759" spans="1:3" x14ac:dyDescent="0.35">
      <c r="A5759" s="305">
        <v>40407</v>
      </c>
      <c r="B5759" s="306">
        <v>190.9436</v>
      </c>
      <c r="C5759" s="309">
        <v>2.22695734109988</v>
      </c>
    </row>
    <row r="5760" spans="1:3" x14ac:dyDescent="0.35">
      <c r="A5760" s="302">
        <v>40406</v>
      </c>
      <c r="B5760" s="303">
        <v>190.946</v>
      </c>
      <c r="C5760" s="308">
        <v>2.2269287271450202</v>
      </c>
    </row>
    <row r="5761" spans="1:3" x14ac:dyDescent="0.35">
      <c r="A5761" s="305">
        <v>40405</v>
      </c>
      <c r="B5761" s="306">
        <v>190.9485</v>
      </c>
      <c r="C5761" s="309">
        <v>2.22695365032593</v>
      </c>
    </row>
    <row r="5762" spans="1:3" x14ac:dyDescent="0.35">
      <c r="A5762" s="302">
        <v>40404</v>
      </c>
      <c r="B5762" s="303">
        <v>190.9417</v>
      </c>
      <c r="C5762" s="308">
        <v>2.2213430525010698</v>
      </c>
    </row>
    <row r="5763" spans="1:3" x14ac:dyDescent="0.35">
      <c r="A5763" s="305">
        <v>40403</v>
      </c>
      <c r="B5763" s="306">
        <v>190.935</v>
      </c>
      <c r="C5763" s="309">
        <v>2.2157862052720598</v>
      </c>
    </row>
    <row r="5764" spans="1:3" x14ac:dyDescent="0.35">
      <c r="A5764" s="302">
        <v>40402</v>
      </c>
      <c r="B5764" s="303">
        <v>190.9282</v>
      </c>
      <c r="C5764" s="308">
        <v>2.2101760389208498</v>
      </c>
    </row>
    <row r="5765" spans="1:3" x14ac:dyDescent="0.35">
      <c r="A5765" s="305">
        <v>40401</v>
      </c>
      <c r="B5765" s="306">
        <v>190.92140000000001</v>
      </c>
      <c r="C5765" s="309">
        <v>2.2045660888036198</v>
      </c>
    </row>
    <row r="5766" spans="1:3" x14ac:dyDescent="0.35">
      <c r="A5766" s="302">
        <v>40400</v>
      </c>
      <c r="B5766" s="303">
        <v>190.91470000000001</v>
      </c>
      <c r="C5766" s="308">
        <v>2.1990098861497498</v>
      </c>
    </row>
    <row r="5767" spans="1:3" x14ac:dyDescent="0.35">
      <c r="A5767" s="305">
        <v>40399</v>
      </c>
      <c r="B5767" s="306">
        <v>190.90790000000001</v>
      </c>
      <c r="C5767" s="309">
        <v>2.1933456631185102</v>
      </c>
    </row>
    <row r="5768" spans="1:3" x14ac:dyDescent="0.35">
      <c r="A5768" s="302">
        <v>40398</v>
      </c>
      <c r="B5768" s="303">
        <v>190.90110000000001</v>
      </c>
      <c r="C5768" s="308">
        <v>2.18773636465342</v>
      </c>
    </row>
    <row r="5769" spans="1:3" x14ac:dyDescent="0.35">
      <c r="A5769" s="305">
        <v>40397</v>
      </c>
      <c r="B5769" s="306">
        <v>190.89429999999999</v>
      </c>
      <c r="C5769" s="309">
        <v>2.1821272823720701</v>
      </c>
    </row>
    <row r="5770" spans="1:3" x14ac:dyDescent="0.35">
      <c r="A5770" s="302">
        <v>40396</v>
      </c>
      <c r="B5770" s="303">
        <v>190.88759999999999</v>
      </c>
      <c r="C5770" s="308">
        <v>2.17657194334907</v>
      </c>
    </row>
    <row r="5771" spans="1:3" x14ac:dyDescent="0.35">
      <c r="A5771" s="305">
        <v>40395</v>
      </c>
      <c r="B5771" s="306">
        <v>190.88079999999999</v>
      </c>
      <c r="C5771" s="309">
        <v>2.1709632923662698</v>
      </c>
    </row>
    <row r="5772" spans="1:3" x14ac:dyDescent="0.35">
      <c r="A5772" s="302">
        <v>40394</v>
      </c>
      <c r="B5772" s="303">
        <v>190.874</v>
      </c>
      <c r="C5772" s="308">
        <v>2.1653548575297701</v>
      </c>
    </row>
    <row r="5773" spans="1:3" x14ac:dyDescent="0.35">
      <c r="A5773" s="305">
        <v>40393</v>
      </c>
      <c r="B5773" s="306">
        <v>190.8673</v>
      </c>
      <c r="C5773" s="309">
        <v>2.1597454828450302</v>
      </c>
    </row>
    <row r="5774" spans="1:3" x14ac:dyDescent="0.35">
      <c r="A5774" s="302">
        <v>40392</v>
      </c>
      <c r="B5774" s="303">
        <v>190.8605</v>
      </c>
      <c r="C5774" s="308">
        <v>2.1541374832874598</v>
      </c>
    </row>
    <row r="5775" spans="1:3" x14ac:dyDescent="0.35">
      <c r="A5775" s="305">
        <v>40391</v>
      </c>
      <c r="B5775" s="306">
        <v>190.8537</v>
      </c>
      <c r="C5775" s="309">
        <v>2.1485296998384702</v>
      </c>
    </row>
    <row r="5776" spans="1:3" x14ac:dyDescent="0.35">
      <c r="A5776" s="302">
        <v>40390</v>
      </c>
      <c r="B5776" s="303">
        <v>190.84700000000001</v>
      </c>
      <c r="C5776" s="308">
        <v>2.14297565335603</v>
      </c>
    </row>
    <row r="5777" spans="1:3" x14ac:dyDescent="0.35">
      <c r="A5777" s="305">
        <v>40389</v>
      </c>
      <c r="B5777" s="306">
        <v>190.84020000000001</v>
      </c>
      <c r="C5777" s="309">
        <v>2.13736830105552</v>
      </c>
    </row>
    <row r="5778" spans="1:3" x14ac:dyDescent="0.35">
      <c r="A5778" s="302">
        <v>40388</v>
      </c>
      <c r="B5778" s="303">
        <v>190.83340000000001</v>
      </c>
      <c r="C5778" s="308">
        <v>2.1317611648261501</v>
      </c>
    </row>
    <row r="5779" spans="1:3" x14ac:dyDescent="0.35">
      <c r="A5779" s="305">
        <v>40387</v>
      </c>
      <c r="B5779" s="306">
        <v>190.82669999999999</v>
      </c>
      <c r="C5779" s="309">
        <v>2.1261531067855701</v>
      </c>
    </row>
    <row r="5780" spans="1:3" x14ac:dyDescent="0.35">
      <c r="A5780" s="302">
        <v>40386</v>
      </c>
      <c r="B5780" s="303">
        <v>190.81989999999999</v>
      </c>
      <c r="C5780" s="308">
        <v>2.1205464056834802</v>
      </c>
    </row>
    <row r="5781" spans="1:3" x14ac:dyDescent="0.35">
      <c r="A5781" s="305">
        <v>40385</v>
      </c>
      <c r="B5781" s="306">
        <v>190.81309999999999</v>
      </c>
      <c r="C5781" s="309">
        <v>2.1149399206148298</v>
      </c>
    </row>
    <row r="5782" spans="1:3" x14ac:dyDescent="0.35">
      <c r="A5782" s="302">
        <v>40384</v>
      </c>
      <c r="B5782" s="303">
        <v>190.8064</v>
      </c>
      <c r="C5782" s="308">
        <v>2.10938716622241</v>
      </c>
    </row>
    <row r="5783" spans="1:3" x14ac:dyDescent="0.35">
      <c r="A5783" s="305">
        <v>40383</v>
      </c>
      <c r="B5783" s="306">
        <v>190.7996</v>
      </c>
      <c r="C5783" s="309">
        <v>2.1037811121522498</v>
      </c>
    </row>
    <row r="5784" spans="1:3" x14ac:dyDescent="0.35">
      <c r="A5784" s="302">
        <v>40382</v>
      </c>
      <c r="B5784" s="303">
        <v>190.7928</v>
      </c>
      <c r="C5784" s="308">
        <v>2.0981206387259701</v>
      </c>
    </row>
    <row r="5785" spans="1:3" x14ac:dyDescent="0.35">
      <c r="A5785" s="305">
        <v>40381</v>
      </c>
      <c r="B5785" s="306">
        <v>190.7861</v>
      </c>
      <c r="C5785" s="309">
        <v>2.0925685322214398</v>
      </c>
    </row>
    <row r="5786" spans="1:3" x14ac:dyDescent="0.35">
      <c r="A5786" s="302">
        <v>40380</v>
      </c>
      <c r="B5786" s="303">
        <v>190.77930000000001</v>
      </c>
      <c r="C5786" s="308">
        <v>2.0869631291229802</v>
      </c>
    </row>
    <row r="5787" spans="1:3" x14ac:dyDescent="0.35">
      <c r="A5787" s="305">
        <v>40379</v>
      </c>
      <c r="B5787" s="306">
        <v>190.77250000000001</v>
      </c>
      <c r="C5787" s="309">
        <v>2.08135794198289</v>
      </c>
    </row>
    <row r="5788" spans="1:3" x14ac:dyDescent="0.35">
      <c r="A5788" s="302">
        <v>40378</v>
      </c>
      <c r="B5788" s="303">
        <v>190.76580000000001</v>
      </c>
      <c r="C5788" s="308">
        <v>2.07580647923016</v>
      </c>
    </row>
    <row r="5789" spans="1:3" x14ac:dyDescent="0.35">
      <c r="A5789" s="305">
        <v>40377</v>
      </c>
      <c r="B5789" s="306">
        <v>190.75899999999999</v>
      </c>
      <c r="C5789" s="309">
        <v>2.0702017229386298</v>
      </c>
    </row>
    <row r="5790" spans="1:3" x14ac:dyDescent="0.35">
      <c r="A5790" s="302">
        <v>40376</v>
      </c>
      <c r="B5790" s="303">
        <v>190.75219999999999</v>
      </c>
      <c r="C5790" s="308">
        <v>2.06454257152595</v>
      </c>
    </row>
    <row r="5791" spans="1:3" x14ac:dyDescent="0.35">
      <c r="A5791" s="305">
        <v>40375</v>
      </c>
      <c r="B5791" s="306">
        <v>190.74549999999999</v>
      </c>
      <c r="C5791" s="309">
        <v>2.05899175643522</v>
      </c>
    </row>
    <row r="5792" spans="1:3" x14ac:dyDescent="0.35">
      <c r="A5792" s="302">
        <v>40374</v>
      </c>
      <c r="B5792" s="303">
        <v>190.73869999999999</v>
      </c>
      <c r="C5792" s="308">
        <v>2.0533876508887898</v>
      </c>
    </row>
    <row r="5793" spans="1:3" x14ac:dyDescent="0.35">
      <c r="A5793" s="305">
        <v>40373</v>
      </c>
      <c r="B5793" s="306">
        <v>190.73240000000001</v>
      </c>
      <c r="C5793" s="309">
        <v>2.0503444884786202</v>
      </c>
    </row>
    <row r="5794" spans="1:3" x14ac:dyDescent="0.35">
      <c r="A5794" s="302">
        <v>40372</v>
      </c>
      <c r="B5794" s="303">
        <v>190.726</v>
      </c>
      <c r="C5794" s="308">
        <v>2.0473024019313</v>
      </c>
    </row>
    <row r="5795" spans="1:3" x14ac:dyDescent="0.35">
      <c r="A5795" s="305">
        <v>40371</v>
      </c>
      <c r="B5795" s="306">
        <v>190.71969999999999</v>
      </c>
      <c r="C5795" s="309">
        <v>2.0442591988186098</v>
      </c>
    </row>
    <row r="5796" spans="1:3" x14ac:dyDescent="0.35">
      <c r="A5796" s="302">
        <v>40370</v>
      </c>
      <c r="B5796" s="303">
        <v>190.7133</v>
      </c>
      <c r="C5796" s="308">
        <v>2.0411624711608001</v>
      </c>
    </row>
    <row r="5797" spans="1:3" x14ac:dyDescent="0.35">
      <c r="A5797" s="305">
        <v>40369</v>
      </c>
      <c r="B5797" s="306">
        <v>190.70699999999999</v>
      </c>
      <c r="C5797" s="309">
        <v>2.0381192287977701</v>
      </c>
    </row>
    <row r="5798" spans="1:3" x14ac:dyDescent="0.35">
      <c r="A5798" s="302">
        <v>40368</v>
      </c>
      <c r="B5798" s="303">
        <v>190.70060000000001</v>
      </c>
      <c r="C5798" s="308">
        <v>2.0350224615457102</v>
      </c>
    </row>
    <row r="5799" spans="1:3" x14ac:dyDescent="0.35">
      <c r="A5799" s="305">
        <v>40367</v>
      </c>
      <c r="B5799" s="306">
        <v>190.6943</v>
      </c>
      <c r="C5799" s="309">
        <v>2.0320337727030702</v>
      </c>
    </row>
    <row r="5800" spans="1:3" x14ac:dyDescent="0.35">
      <c r="A5800" s="302">
        <v>40366</v>
      </c>
      <c r="B5800" s="303">
        <v>190.68790000000001</v>
      </c>
      <c r="C5800" s="308">
        <v>2.0289369643742901</v>
      </c>
    </row>
    <row r="5801" spans="1:3" x14ac:dyDescent="0.35">
      <c r="A5801" s="305">
        <v>40365</v>
      </c>
      <c r="B5801" s="306">
        <v>190.6816</v>
      </c>
      <c r="C5801" s="309">
        <v>2.0258936420552001</v>
      </c>
    </row>
    <row r="5802" spans="1:3" x14ac:dyDescent="0.35">
      <c r="A5802" s="302">
        <v>40364</v>
      </c>
      <c r="B5802" s="303">
        <v>190.67519999999999</v>
      </c>
      <c r="C5802" s="308">
        <v>2.0227967941306</v>
      </c>
    </row>
    <row r="5803" spans="1:3" x14ac:dyDescent="0.35">
      <c r="A5803" s="305">
        <v>40363</v>
      </c>
      <c r="B5803" s="306">
        <v>190.66890000000001</v>
      </c>
      <c r="C5803" s="309">
        <v>2.0198080195190902</v>
      </c>
    </row>
    <row r="5804" spans="1:3" x14ac:dyDescent="0.35">
      <c r="A5804" s="302">
        <v>40362</v>
      </c>
      <c r="B5804" s="303">
        <v>190.66249999999999</v>
      </c>
      <c r="C5804" s="308">
        <v>2.0167111305161098</v>
      </c>
    </row>
    <row r="5805" spans="1:3" x14ac:dyDescent="0.35">
      <c r="A5805" s="305">
        <v>40361</v>
      </c>
      <c r="B5805" s="306">
        <v>190.65620000000001</v>
      </c>
      <c r="C5805" s="309">
        <v>2.0136677282377899</v>
      </c>
    </row>
    <row r="5806" spans="1:3" x14ac:dyDescent="0.35">
      <c r="A5806" s="302">
        <v>40360</v>
      </c>
      <c r="B5806" s="303">
        <v>190.6498</v>
      </c>
      <c r="C5806" s="308">
        <v>2.0105707996374398</v>
      </c>
    </row>
    <row r="5807" spans="1:3" x14ac:dyDescent="0.35">
      <c r="A5807" s="305">
        <v>40359</v>
      </c>
      <c r="B5807" s="306">
        <v>190.64349999999999</v>
      </c>
      <c r="C5807" s="309">
        <v>2.0075819392535199</v>
      </c>
    </row>
    <row r="5808" spans="1:3" x14ac:dyDescent="0.35">
      <c r="A5808" s="302">
        <v>40358</v>
      </c>
      <c r="B5808" s="303">
        <v>190.6371</v>
      </c>
      <c r="C5808" s="308">
        <v>2.0044849695731601</v>
      </c>
    </row>
    <row r="5809" spans="1:3" x14ac:dyDescent="0.35">
      <c r="A5809" s="305">
        <v>40357</v>
      </c>
      <c r="B5809" s="306">
        <v>190.63069999999999</v>
      </c>
      <c r="C5809" s="309">
        <v>2.0013879800075198</v>
      </c>
    </row>
    <row r="5810" spans="1:3" x14ac:dyDescent="0.35">
      <c r="A5810" s="302">
        <v>40356</v>
      </c>
      <c r="B5810" s="303">
        <v>190.62440000000001</v>
      </c>
      <c r="C5810" s="308">
        <v>1.9983444780530999</v>
      </c>
    </row>
    <row r="5811" spans="1:3" x14ac:dyDescent="0.35">
      <c r="A5811" s="305">
        <v>40355</v>
      </c>
      <c r="B5811" s="306">
        <v>190.61799999999999</v>
      </c>
      <c r="C5811" s="309">
        <v>1.99524744888814</v>
      </c>
    </row>
    <row r="5812" spans="1:3" x14ac:dyDescent="0.35">
      <c r="A5812" s="302">
        <v>40354</v>
      </c>
      <c r="B5812" s="303">
        <v>190.61170000000001</v>
      </c>
      <c r="C5812" s="308">
        <v>1.9922584815322899</v>
      </c>
    </row>
    <row r="5813" spans="1:3" x14ac:dyDescent="0.35">
      <c r="A5813" s="305">
        <v>40353</v>
      </c>
      <c r="B5813" s="306">
        <v>190.6053</v>
      </c>
      <c r="C5813" s="309">
        <v>1.98916141128527</v>
      </c>
    </row>
    <row r="5814" spans="1:3" x14ac:dyDescent="0.35">
      <c r="A5814" s="302">
        <v>40352</v>
      </c>
      <c r="B5814" s="303">
        <v>190.59899999999999</v>
      </c>
      <c r="C5814" s="308">
        <v>1.9861178293644499</v>
      </c>
    </row>
    <row r="5815" spans="1:3" x14ac:dyDescent="0.35">
      <c r="A5815" s="305">
        <v>40351</v>
      </c>
      <c r="B5815" s="306">
        <v>190.5926</v>
      </c>
      <c r="C5815" s="309">
        <v>1.9830207195165399</v>
      </c>
    </row>
    <row r="5816" spans="1:3" x14ac:dyDescent="0.35">
      <c r="A5816" s="302">
        <v>40350</v>
      </c>
      <c r="B5816" s="303">
        <v>190.58629999999999</v>
      </c>
      <c r="C5816" s="308">
        <v>1.9800316663804001</v>
      </c>
    </row>
    <row r="5817" spans="1:3" x14ac:dyDescent="0.35">
      <c r="A5817" s="305">
        <v>40349</v>
      </c>
      <c r="B5817" s="306">
        <v>190.57990000000001</v>
      </c>
      <c r="C5817" s="309">
        <v>1.9769345154487801</v>
      </c>
    </row>
    <row r="5818" spans="1:3" x14ac:dyDescent="0.35">
      <c r="A5818" s="302">
        <v>40348</v>
      </c>
      <c r="B5818" s="303">
        <v>190.5736</v>
      </c>
      <c r="C5818" s="308">
        <v>1.9738908535583699</v>
      </c>
    </row>
    <row r="5819" spans="1:3" x14ac:dyDescent="0.35">
      <c r="A5819" s="305">
        <v>40347</v>
      </c>
      <c r="B5819" s="306">
        <v>190.56720000000001</v>
      </c>
      <c r="C5819" s="309">
        <v>1.9707936630242999</v>
      </c>
    </row>
    <row r="5820" spans="1:3" x14ac:dyDescent="0.35">
      <c r="A5820" s="302">
        <v>40346</v>
      </c>
      <c r="B5820" s="303">
        <v>190.5609</v>
      </c>
      <c r="C5820" s="308">
        <v>1.96780452410433</v>
      </c>
    </row>
    <row r="5821" spans="1:3" x14ac:dyDescent="0.35">
      <c r="A5821" s="305">
        <v>40345</v>
      </c>
      <c r="B5821" s="306">
        <v>190.55449999999999</v>
      </c>
      <c r="C5821" s="309">
        <v>1.96470729248492</v>
      </c>
    </row>
    <row r="5822" spans="1:3" x14ac:dyDescent="0.35">
      <c r="A5822" s="302">
        <v>40344</v>
      </c>
      <c r="B5822" s="303">
        <v>190.54820000000001</v>
      </c>
      <c r="C5822" s="308">
        <v>1.9616635506217299</v>
      </c>
    </row>
    <row r="5823" spans="1:3" x14ac:dyDescent="0.35">
      <c r="A5823" s="305">
        <v>40343</v>
      </c>
      <c r="B5823" s="306">
        <v>190.52</v>
      </c>
      <c r="C5823" s="309">
        <v>1.9570487469429501</v>
      </c>
    </row>
    <row r="5824" spans="1:3" x14ac:dyDescent="0.35">
      <c r="A5824" s="302">
        <v>40342</v>
      </c>
      <c r="B5824" s="303">
        <v>190.49180000000001</v>
      </c>
      <c r="C5824" s="308">
        <v>1.9524875604582901</v>
      </c>
    </row>
    <row r="5825" spans="1:3" x14ac:dyDescent="0.35">
      <c r="A5825" s="305">
        <v>40341</v>
      </c>
      <c r="B5825" s="306">
        <v>190.46360000000001</v>
      </c>
      <c r="C5825" s="309">
        <v>1.94792543158174</v>
      </c>
    </row>
    <row r="5826" spans="1:3" x14ac:dyDescent="0.35">
      <c r="A5826" s="302">
        <v>40340</v>
      </c>
      <c r="B5826" s="303">
        <v>190.43539999999999</v>
      </c>
      <c r="C5826" s="308">
        <v>1.9433077880059</v>
      </c>
    </row>
    <row r="5827" spans="1:3" x14ac:dyDescent="0.35">
      <c r="A5827" s="305">
        <v>40339</v>
      </c>
      <c r="B5827" s="306">
        <v>190.40719999999999</v>
      </c>
      <c r="C5827" s="309">
        <v>1.9387437702738799</v>
      </c>
    </row>
    <row r="5828" spans="1:3" x14ac:dyDescent="0.35">
      <c r="A5828" s="302">
        <v>40338</v>
      </c>
      <c r="B5828" s="303">
        <v>190.37899999999999</v>
      </c>
      <c r="C5828" s="308">
        <v>1.93412423092553</v>
      </c>
    </row>
    <row r="5829" spans="1:3" x14ac:dyDescent="0.35">
      <c r="A5829" s="305">
        <v>40337</v>
      </c>
      <c r="B5829" s="306">
        <v>190.35079999999999</v>
      </c>
      <c r="C5829" s="309">
        <v>1.92955832316809</v>
      </c>
    </row>
    <row r="5830" spans="1:3" x14ac:dyDescent="0.35">
      <c r="A5830" s="302">
        <v>40336</v>
      </c>
      <c r="B5830" s="303">
        <v>190.3227</v>
      </c>
      <c r="C5830" s="308">
        <v>1.92499044065117</v>
      </c>
    </row>
    <row r="5831" spans="1:3" x14ac:dyDescent="0.35">
      <c r="A5831" s="305">
        <v>40335</v>
      </c>
      <c r="B5831" s="306">
        <v>190.2945</v>
      </c>
      <c r="C5831" s="309">
        <v>1.92036805938653</v>
      </c>
    </row>
    <row r="5832" spans="1:3" x14ac:dyDescent="0.35">
      <c r="A5832" s="302">
        <v>40334</v>
      </c>
      <c r="B5832" s="303">
        <v>190.2663</v>
      </c>
      <c r="C5832" s="308">
        <v>1.91579931833411</v>
      </c>
    </row>
    <row r="5833" spans="1:3" x14ac:dyDescent="0.35">
      <c r="A5833" s="305">
        <v>40333</v>
      </c>
      <c r="B5833" s="306">
        <v>190.23820000000001</v>
      </c>
      <c r="C5833" s="309">
        <v>1.91122860869821</v>
      </c>
    </row>
    <row r="5834" spans="1:3" x14ac:dyDescent="0.35">
      <c r="A5834" s="302">
        <v>40332</v>
      </c>
      <c r="B5834" s="303">
        <v>190.21</v>
      </c>
      <c r="C5834" s="308">
        <v>1.90665798023265</v>
      </c>
    </row>
    <row r="5835" spans="1:3" x14ac:dyDescent="0.35">
      <c r="A5835" s="305">
        <v>40331</v>
      </c>
      <c r="B5835" s="306">
        <v>190.18180000000001</v>
      </c>
      <c r="C5835" s="309">
        <v>1.90203180590681</v>
      </c>
    </row>
    <row r="5836" spans="1:3" x14ac:dyDescent="0.35">
      <c r="A5836" s="302">
        <v>40330</v>
      </c>
      <c r="B5836" s="303">
        <v>190.15369999999999</v>
      </c>
      <c r="C5836" s="308">
        <v>1.8974582665283399</v>
      </c>
    </row>
    <row r="5837" spans="1:3" x14ac:dyDescent="0.35">
      <c r="A5837" s="305">
        <v>40329</v>
      </c>
      <c r="B5837" s="306">
        <v>190.12549999999999</v>
      </c>
      <c r="C5837" s="309">
        <v>1.8928848003815799</v>
      </c>
    </row>
    <row r="5838" spans="1:3" x14ac:dyDescent="0.35">
      <c r="A5838" s="302">
        <v>40328</v>
      </c>
      <c r="B5838" s="303">
        <v>190.09739999999999</v>
      </c>
      <c r="C5838" s="308">
        <v>1.8883093759429901</v>
      </c>
    </row>
    <row r="5839" spans="1:3" x14ac:dyDescent="0.35">
      <c r="A5839" s="305">
        <v>40327</v>
      </c>
      <c r="B5839" s="306">
        <v>190.0692</v>
      </c>
      <c r="C5839" s="309">
        <v>1.8836794062451301</v>
      </c>
    </row>
    <row r="5840" spans="1:3" x14ac:dyDescent="0.35">
      <c r="A5840" s="302">
        <v>40326</v>
      </c>
      <c r="B5840" s="303">
        <v>190.0411</v>
      </c>
      <c r="C5840" s="308">
        <v>1.8791020924122399</v>
      </c>
    </row>
    <row r="5841" spans="1:3" x14ac:dyDescent="0.35">
      <c r="A5841" s="305">
        <v>40325</v>
      </c>
      <c r="B5841" s="306">
        <v>190.01300000000001</v>
      </c>
      <c r="C5841" s="309">
        <v>1.87457845575139</v>
      </c>
    </row>
    <row r="5842" spans="1:3" x14ac:dyDescent="0.35">
      <c r="A5842" s="302">
        <v>40324</v>
      </c>
      <c r="B5842" s="303">
        <v>189.98480000000001</v>
      </c>
      <c r="C5842" s="308">
        <v>1.86994563999284</v>
      </c>
    </row>
    <row r="5843" spans="1:3" x14ac:dyDescent="0.35">
      <c r="A5843" s="305">
        <v>40323</v>
      </c>
      <c r="B5843" s="306">
        <v>189.95670000000001</v>
      </c>
      <c r="C5843" s="309">
        <v>1.86536549580594</v>
      </c>
    </row>
    <row r="5844" spans="1:3" x14ac:dyDescent="0.35">
      <c r="A5844" s="302">
        <v>40322</v>
      </c>
      <c r="B5844" s="303">
        <v>189.92859999999999</v>
      </c>
      <c r="C5844" s="308">
        <v>1.8607844083686</v>
      </c>
    </row>
    <row r="5845" spans="1:3" x14ac:dyDescent="0.35">
      <c r="A5845" s="305">
        <v>40321</v>
      </c>
      <c r="B5845" s="306">
        <v>189.90049999999999</v>
      </c>
      <c r="C5845" s="309">
        <v>1.8562023773893801</v>
      </c>
    </row>
    <row r="5846" spans="1:3" x14ac:dyDescent="0.35">
      <c r="A5846" s="302">
        <v>40320</v>
      </c>
      <c r="B5846" s="303">
        <v>189.8724</v>
      </c>
      <c r="C5846" s="308">
        <v>1.8516740379947501</v>
      </c>
    </row>
    <row r="5847" spans="1:3" x14ac:dyDescent="0.35">
      <c r="A5847" s="305">
        <v>40319</v>
      </c>
      <c r="B5847" s="306">
        <v>189.8443</v>
      </c>
      <c r="C5847" s="309">
        <v>1.84709012222554</v>
      </c>
    </row>
    <row r="5848" spans="1:3" x14ac:dyDescent="0.35">
      <c r="A5848" s="302">
        <v>40318</v>
      </c>
      <c r="B5848" s="303">
        <v>189.81620000000001</v>
      </c>
      <c r="C5848" s="308">
        <v>1.84250526203965</v>
      </c>
    </row>
    <row r="5849" spans="1:3" x14ac:dyDescent="0.35">
      <c r="A5849" s="305">
        <v>40317</v>
      </c>
      <c r="B5849" s="306">
        <v>189.78809999999999</v>
      </c>
      <c r="C5849" s="309">
        <v>1.83791945714517</v>
      </c>
    </row>
    <row r="5850" spans="1:3" x14ac:dyDescent="0.35">
      <c r="A5850" s="302">
        <v>40316</v>
      </c>
      <c r="B5850" s="303">
        <v>189.76</v>
      </c>
      <c r="C5850" s="308">
        <v>1.8333327072501</v>
      </c>
    </row>
    <row r="5851" spans="1:3" x14ac:dyDescent="0.35">
      <c r="A5851" s="305">
        <v>40315</v>
      </c>
      <c r="B5851" s="306">
        <v>189.7319</v>
      </c>
      <c r="C5851" s="309">
        <v>1.8287450120622899</v>
      </c>
    </row>
    <row r="5852" spans="1:3" x14ac:dyDescent="0.35">
      <c r="A5852" s="302">
        <v>40314</v>
      </c>
      <c r="B5852" s="303">
        <v>189.7038</v>
      </c>
      <c r="C5852" s="308">
        <v>1.8241563712894899</v>
      </c>
    </row>
    <row r="5853" spans="1:3" x14ac:dyDescent="0.35">
      <c r="A5853" s="305">
        <v>40313</v>
      </c>
      <c r="B5853" s="306">
        <v>189.67570000000001</v>
      </c>
      <c r="C5853" s="309">
        <v>1.81956678463933</v>
      </c>
    </row>
    <row r="5854" spans="1:3" x14ac:dyDescent="0.35">
      <c r="A5854" s="302">
        <v>40312</v>
      </c>
      <c r="B5854" s="303">
        <v>189.65989999999999</v>
      </c>
      <c r="C5854" s="308">
        <v>1.8280304807761001</v>
      </c>
    </row>
    <row r="5855" spans="1:3" x14ac:dyDescent="0.35">
      <c r="A5855" s="305">
        <v>40311</v>
      </c>
      <c r="B5855" s="306">
        <v>189.64410000000001</v>
      </c>
      <c r="C5855" s="309">
        <v>1.8364423098609099</v>
      </c>
    </row>
    <row r="5856" spans="1:3" x14ac:dyDescent="0.35">
      <c r="A5856" s="302">
        <v>40310</v>
      </c>
      <c r="B5856" s="303">
        <v>189.6284</v>
      </c>
      <c r="C5856" s="308">
        <v>1.8449653370799799</v>
      </c>
    </row>
    <row r="5857" spans="1:3" x14ac:dyDescent="0.35">
      <c r="A5857" s="305">
        <v>40309</v>
      </c>
      <c r="B5857" s="306">
        <v>189.61259999999999</v>
      </c>
      <c r="C5857" s="309">
        <v>1.85338277406328</v>
      </c>
    </row>
    <row r="5858" spans="1:3" x14ac:dyDescent="0.35">
      <c r="A5858" s="302">
        <v>40308</v>
      </c>
      <c r="B5858" s="303">
        <v>189.5968</v>
      </c>
      <c r="C5858" s="308">
        <v>1.8618577316120399</v>
      </c>
    </row>
    <row r="5859" spans="1:3" x14ac:dyDescent="0.35">
      <c r="A5859" s="305">
        <v>40307</v>
      </c>
      <c r="B5859" s="306">
        <v>189.58099999999999</v>
      </c>
      <c r="C5859" s="309">
        <v>1.8702807731740501</v>
      </c>
    </row>
    <row r="5860" spans="1:3" x14ac:dyDescent="0.35">
      <c r="A5860" s="302">
        <v>40306</v>
      </c>
      <c r="B5860" s="303">
        <v>189.5652</v>
      </c>
      <c r="C5860" s="308">
        <v>1.87876136538302</v>
      </c>
    </row>
    <row r="5861" spans="1:3" x14ac:dyDescent="0.35">
      <c r="A5861" s="305">
        <v>40305</v>
      </c>
      <c r="B5861" s="306">
        <v>189.54949999999999</v>
      </c>
      <c r="C5861" s="309">
        <v>1.8872437694348201</v>
      </c>
    </row>
    <row r="5862" spans="1:3" x14ac:dyDescent="0.35">
      <c r="A5862" s="302">
        <v>40304</v>
      </c>
      <c r="B5862" s="303">
        <v>189.53370000000001</v>
      </c>
      <c r="C5862" s="308">
        <v>1.89567523047445</v>
      </c>
    </row>
    <row r="5863" spans="1:3" x14ac:dyDescent="0.35">
      <c r="A5863" s="305">
        <v>40303</v>
      </c>
      <c r="B5863" s="306">
        <v>189.5179</v>
      </c>
      <c r="C5863" s="309">
        <v>1.9041094932859901</v>
      </c>
    </row>
    <row r="5864" spans="1:3" x14ac:dyDescent="0.35">
      <c r="A5864" s="302">
        <v>40302</v>
      </c>
      <c r="B5864" s="303">
        <v>189.50210000000001</v>
      </c>
      <c r="C5864" s="308">
        <v>1.9126013669582</v>
      </c>
    </row>
    <row r="5865" spans="1:3" x14ac:dyDescent="0.35">
      <c r="A5865" s="305">
        <v>40301</v>
      </c>
      <c r="B5865" s="306">
        <v>189.4864</v>
      </c>
      <c r="C5865" s="309">
        <v>1.9210950392330299</v>
      </c>
    </row>
    <row r="5866" spans="1:3" x14ac:dyDescent="0.35">
      <c r="A5866" s="302">
        <v>40300</v>
      </c>
      <c r="B5866" s="303">
        <v>189.47059999999999</v>
      </c>
      <c r="C5866" s="308">
        <v>1.92953773834098</v>
      </c>
    </row>
    <row r="5867" spans="1:3" x14ac:dyDescent="0.35">
      <c r="A5867" s="305">
        <v>40299</v>
      </c>
      <c r="B5867" s="306">
        <v>189.45480000000001</v>
      </c>
      <c r="C5867" s="309">
        <v>1.93798324482252</v>
      </c>
    </row>
    <row r="5868" spans="1:3" x14ac:dyDescent="0.35">
      <c r="A5868" s="302">
        <v>40298</v>
      </c>
      <c r="B5868" s="303">
        <v>189.4391</v>
      </c>
      <c r="C5868" s="308">
        <v>1.9464853749903801</v>
      </c>
    </row>
    <row r="5869" spans="1:3" x14ac:dyDescent="0.35">
      <c r="A5869" s="305">
        <v>40297</v>
      </c>
      <c r="B5869" s="306">
        <v>189.42330000000001</v>
      </c>
      <c r="C5869" s="309">
        <v>1.9549365093718101</v>
      </c>
    </row>
    <row r="5870" spans="1:3" x14ac:dyDescent="0.35">
      <c r="A5870" s="302">
        <v>40296</v>
      </c>
      <c r="B5870" s="303">
        <v>189.4075</v>
      </c>
      <c r="C5870" s="308">
        <v>1.9633904553341099</v>
      </c>
    </row>
    <row r="5871" spans="1:3" x14ac:dyDescent="0.35">
      <c r="A5871" s="305">
        <v>40295</v>
      </c>
      <c r="B5871" s="306">
        <v>189.39179999999999</v>
      </c>
      <c r="C5871" s="309">
        <v>1.9718461526036499</v>
      </c>
    </row>
    <row r="5872" spans="1:3" x14ac:dyDescent="0.35">
      <c r="A5872" s="302">
        <v>40294</v>
      </c>
      <c r="B5872" s="303">
        <v>189.376</v>
      </c>
      <c r="C5872" s="308">
        <v>1.9803057212063</v>
      </c>
    </row>
    <row r="5873" spans="1:3" x14ac:dyDescent="0.35">
      <c r="A5873" s="305">
        <v>40293</v>
      </c>
      <c r="B5873" s="306">
        <v>189.36019999999999</v>
      </c>
      <c r="C5873" s="309">
        <v>1.98876810559941</v>
      </c>
    </row>
    <row r="5874" spans="1:3" x14ac:dyDescent="0.35">
      <c r="A5874" s="302">
        <v>40292</v>
      </c>
      <c r="B5874" s="303">
        <v>189.34450000000001</v>
      </c>
      <c r="C5874" s="308">
        <v>1.99723223130746</v>
      </c>
    </row>
    <row r="5875" spans="1:3" x14ac:dyDescent="0.35">
      <c r="A5875" s="305">
        <v>40291</v>
      </c>
      <c r="B5875" s="306">
        <v>189.3287</v>
      </c>
      <c r="C5875" s="309">
        <v>2.0057002467592602</v>
      </c>
    </row>
    <row r="5876" spans="1:3" x14ac:dyDescent="0.35">
      <c r="A5876" s="302">
        <v>40290</v>
      </c>
      <c r="B5876" s="303">
        <v>189.31299999999999</v>
      </c>
      <c r="C5876" s="308">
        <v>2.0142249687592799</v>
      </c>
    </row>
    <row r="5877" spans="1:3" x14ac:dyDescent="0.35">
      <c r="A5877" s="305">
        <v>40289</v>
      </c>
      <c r="B5877" s="306">
        <v>189.2972</v>
      </c>
      <c r="C5877" s="309">
        <v>2.0226436489830202</v>
      </c>
    </row>
    <row r="5878" spans="1:3" x14ac:dyDescent="0.35">
      <c r="A5878" s="302">
        <v>40288</v>
      </c>
      <c r="B5878" s="303">
        <v>189.28149999999999</v>
      </c>
      <c r="C5878" s="308">
        <v>2.0311740283990298</v>
      </c>
    </row>
    <row r="5879" spans="1:3" x14ac:dyDescent="0.35">
      <c r="A5879" s="305">
        <v>40287</v>
      </c>
      <c r="B5879" s="306">
        <v>189.26570000000001</v>
      </c>
      <c r="C5879" s="309">
        <v>2.03959832350851</v>
      </c>
    </row>
    <row r="5880" spans="1:3" x14ac:dyDescent="0.35">
      <c r="A5880" s="302">
        <v>40286</v>
      </c>
      <c r="B5880" s="303">
        <v>189.2499</v>
      </c>
      <c r="C5880" s="308">
        <v>2.0480254168468601</v>
      </c>
    </row>
    <row r="5881" spans="1:3" x14ac:dyDescent="0.35">
      <c r="A5881" s="305">
        <v>40285</v>
      </c>
      <c r="B5881" s="306">
        <v>189.23419999999999</v>
      </c>
      <c r="C5881" s="309">
        <v>2.0565642815885399</v>
      </c>
    </row>
    <row r="5882" spans="1:3" x14ac:dyDescent="0.35">
      <c r="A5882" s="302">
        <v>40284</v>
      </c>
      <c r="B5882" s="303">
        <v>189.2184</v>
      </c>
      <c r="C5882" s="308">
        <v>2.0649969982215901</v>
      </c>
    </row>
    <row r="5883" spans="1:3" x14ac:dyDescent="0.35">
      <c r="A5883" s="305">
        <v>40283</v>
      </c>
      <c r="B5883" s="306">
        <v>189.20269999999999</v>
      </c>
      <c r="C5883" s="309">
        <v>2.0734864665544199</v>
      </c>
    </row>
    <row r="5884" spans="1:3" x14ac:dyDescent="0.35">
      <c r="A5884" s="302">
        <v>40282</v>
      </c>
      <c r="B5884" s="303">
        <v>189.15219999999999</v>
      </c>
      <c r="C5884" s="308">
        <v>2.0737761137730302</v>
      </c>
    </row>
    <row r="5885" spans="1:3" x14ac:dyDescent="0.35">
      <c r="A5885" s="305">
        <v>40281</v>
      </c>
      <c r="B5885" s="306">
        <v>189.1018</v>
      </c>
      <c r="C5885" s="309">
        <v>2.07411989573533</v>
      </c>
    </row>
    <row r="5886" spans="1:3" x14ac:dyDescent="0.35">
      <c r="A5886" s="302">
        <v>40280</v>
      </c>
      <c r="B5886" s="303">
        <v>189.0514</v>
      </c>
      <c r="C5886" s="308">
        <v>2.07440875031181</v>
      </c>
    </row>
    <row r="5887" spans="1:3" x14ac:dyDescent="0.35">
      <c r="A5887" s="305">
        <v>40279</v>
      </c>
      <c r="B5887" s="306">
        <v>189.001</v>
      </c>
      <c r="C5887" s="309">
        <v>2.0747528885922102</v>
      </c>
    </row>
    <row r="5888" spans="1:3" x14ac:dyDescent="0.35">
      <c r="A5888" s="302">
        <v>40278</v>
      </c>
      <c r="B5888" s="303">
        <v>188.95060000000001</v>
      </c>
      <c r="C5888" s="308">
        <v>2.0750972127833598</v>
      </c>
    </row>
    <row r="5889" spans="1:3" x14ac:dyDescent="0.35">
      <c r="A5889" s="305">
        <v>40277</v>
      </c>
      <c r="B5889" s="306">
        <v>188.90020000000001</v>
      </c>
      <c r="C5889" s="309">
        <v>2.0753865648615699</v>
      </c>
    </row>
    <row r="5890" spans="1:3" x14ac:dyDescent="0.35">
      <c r="A5890" s="302">
        <v>40276</v>
      </c>
      <c r="B5890" s="303">
        <v>188.84979999999999</v>
      </c>
      <c r="C5890" s="308">
        <v>2.0756760730254</v>
      </c>
    </row>
    <row r="5891" spans="1:3" x14ac:dyDescent="0.35">
      <c r="A5891" s="305">
        <v>40275</v>
      </c>
      <c r="B5891" s="306">
        <v>188.79949999999999</v>
      </c>
      <c r="C5891" s="309">
        <v>2.0760749915116601</v>
      </c>
    </row>
    <row r="5892" spans="1:3" x14ac:dyDescent="0.35">
      <c r="A5892" s="302">
        <v>40274</v>
      </c>
      <c r="B5892" s="303">
        <v>188.7492</v>
      </c>
      <c r="C5892" s="308">
        <v>2.0764189223172198</v>
      </c>
    </row>
    <row r="5893" spans="1:3" x14ac:dyDescent="0.35">
      <c r="A5893" s="305">
        <v>40273</v>
      </c>
      <c r="B5893" s="306">
        <v>188.69880000000001</v>
      </c>
      <c r="C5893" s="309">
        <v>2.0766537253347002</v>
      </c>
    </row>
    <row r="5894" spans="1:3" x14ac:dyDescent="0.35">
      <c r="A5894" s="302">
        <v>40272</v>
      </c>
      <c r="B5894" s="303">
        <v>188.64850000000001</v>
      </c>
      <c r="C5894" s="308">
        <v>2.0769979979438302</v>
      </c>
    </row>
    <row r="5895" spans="1:3" x14ac:dyDescent="0.35">
      <c r="A5895" s="305">
        <v>40271</v>
      </c>
      <c r="B5895" s="306">
        <v>188.59819999999999</v>
      </c>
      <c r="C5895" s="309">
        <v>2.0773424565152299</v>
      </c>
    </row>
    <row r="5896" spans="1:3" x14ac:dyDescent="0.35">
      <c r="A5896" s="302">
        <v>40270</v>
      </c>
      <c r="B5896" s="303">
        <v>188.548</v>
      </c>
      <c r="C5896" s="308">
        <v>2.0776859763640698</v>
      </c>
    </row>
    <row r="5897" spans="1:3" x14ac:dyDescent="0.35">
      <c r="A5897" s="305">
        <v>40269</v>
      </c>
      <c r="B5897" s="306">
        <v>188.49770000000001</v>
      </c>
      <c r="C5897" s="309">
        <v>2.0780308068215998</v>
      </c>
    </row>
    <row r="5898" spans="1:3" x14ac:dyDescent="0.35">
      <c r="A5898" s="302">
        <v>40268</v>
      </c>
      <c r="B5898" s="303">
        <v>188.44739999999999</v>
      </c>
      <c r="C5898" s="308">
        <v>2.0783205298070602</v>
      </c>
    </row>
    <row r="5899" spans="1:3" x14ac:dyDescent="0.35">
      <c r="A5899" s="305">
        <v>40267</v>
      </c>
      <c r="B5899" s="306">
        <v>188.3972</v>
      </c>
      <c r="C5899" s="309">
        <v>2.0786645918309801</v>
      </c>
    </row>
    <row r="5900" spans="1:3" x14ac:dyDescent="0.35">
      <c r="A5900" s="302">
        <v>40266</v>
      </c>
      <c r="B5900" s="303">
        <v>188.34700000000001</v>
      </c>
      <c r="C5900" s="308">
        <v>2.0790088395813799</v>
      </c>
    </row>
    <row r="5901" spans="1:3" x14ac:dyDescent="0.35">
      <c r="A5901" s="305">
        <v>40265</v>
      </c>
      <c r="B5901" s="306">
        <v>188.29679999999999</v>
      </c>
      <c r="C5901" s="309">
        <v>2.0793532732086701</v>
      </c>
    </row>
    <row r="5902" spans="1:3" x14ac:dyDescent="0.35">
      <c r="A5902" s="302">
        <v>40264</v>
      </c>
      <c r="B5902" s="303">
        <v>188.2466</v>
      </c>
      <c r="C5902" s="308">
        <v>2.0796425385618602</v>
      </c>
    </row>
    <row r="5903" spans="1:3" x14ac:dyDescent="0.35">
      <c r="A5903" s="305">
        <v>40263</v>
      </c>
      <c r="B5903" s="306">
        <v>188.19640000000001</v>
      </c>
      <c r="C5903" s="309">
        <v>2.0799873292554798</v>
      </c>
    </row>
    <row r="5904" spans="1:3" x14ac:dyDescent="0.35">
      <c r="A5904" s="302">
        <v>40262</v>
      </c>
      <c r="B5904" s="303">
        <v>188.14619999999999</v>
      </c>
      <c r="C5904" s="308">
        <v>2.0802769217414001</v>
      </c>
    </row>
    <row r="5905" spans="1:3" x14ac:dyDescent="0.35">
      <c r="A5905" s="305">
        <v>40261</v>
      </c>
      <c r="B5905" s="306">
        <v>188.096</v>
      </c>
      <c r="C5905" s="309">
        <v>2.08062207007189</v>
      </c>
    </row>
    <row r="5906" spans="1:3" x14ac:dyDescent="0.35">
      <c r="A5906" s="302">
        <v>40260</v>
      </c>
      <c r="B5906" s="303">
        <v>188.04589999999999</v>
      </c>
      <c r="C5906" s="308">
        <v>2.08096627536134</v>
      </c>
    </row>
    <row r="5907" spans="1:3" x14ac:dyDescent="0.35">
      <c r="A5907" s="305">
        <v>40259</v>
      </c>
      <c r="B5907" s="306">
        <v>187.9958</v>
      </c>
      <c r="C5907" s="309">
        <v>2.0813106664320902</v>
      </c>
    </row>
    <row r="5908" spans="1:3" x14ac:dyDescent="0.35">
      <c r="A5908" s="302">
        <v>40258</v>
      </c>
      <c r="B5908" s="303">
        <v>187.94560000000001</v>
      </c>
      <c r="C5908" s="308">
        <v>2.0816009289941899</v>
      </c>
    </row>
    <row r="5909" spans="1:3" x14ac:dyDescent="0.35">
      <c r="A5909" s="305">
        <v>40257</v>
      </c>
      <c r="B5909" s="306">
        <v>187.8955</v>
      </c>
      <c r="C5909" s="309">
        <v>2.0818902172348102</v>
      </c>
    </row>
    <row r="5910" spans="1:3" x14ac:dyDescent="0.35">
      <c r="A5910" s="302">
        <v>40256</v>
      </c>
      <c r="B5910" s="303">
        <v>187.84540000000001</v>
      </c>
      <c r="C5910" s="308">
        <v>2.08223513671257</v>
      </c>
    </row>
    <row r="5911" spans="1:3" x14ac:dyDescent="0.35">
      <c r="A5911" s="305">
        <v>40255</v>
      </c>
      <c r="B5911" s="306">
        <v>187.7954</v>
      </c>
      <c r="C5911" s="309">
        <v>2.0825791105008502</v>
      </c>
    </row>
    <row r="5912" spans="1:3" x14ac:dyDescent="0.35">
      <c r="A5912" s="302">
        <v>40254</v>
      </c>
      <c r="B5912" s="303">
        <v>187.74529999999999</v>
      </c>
      <c r="C5912" s="308">
        <v>2.0829244023717499</v>
      </c>
    </row>
    <row r="5913" spans="1:3" x14ac:dyDescent="0.35">
      <c r="A5913" s="305">
        <v>40253</v>
      </c>
      <c r="B5913" s="306">
        <v>187.6952</v>
      </c>
      <c r="C5913" s="309">
        <v>2.0832143601089701</v>
      </c>
    </row>
    <row r="5914" spans="1:3" x14ac:dyDescent="0.35">
      <c r="A5914" s="302">
        <v>40252</v>
      </c>
      <c r="B5914" s="303">
        <v>187.64519999999999</v>
      </c>
      <c r="C5914" s="308">
        <v>2.08355887676379</v>
      </c>
    </row>
    <row r="5915" spans="1:3" x14ac:dyDescent="0.35">
      <c r="A5915" s="305">
        <v>40251</v>
      </c>
      <c r="B5915" s="306">
        <v>187.59909999999999</v>
      </c>
      <c r="C5915" s="309">
        <v>2.07991546262393</v>
      </c>
    </row>
    <row r="5916" spans="1:3" x14ac:dyDescent="0.35">
      <c r="A5916" s="302">
        <v>40250</v>
      </c>
      <c r="B5916" s="303">
        <v>187.553</v>
      </c>
      <c r="C5916" s="308">
        <v>2.0762705176552898</v>
      </c>
    </row>
    <row r="5917" spans="1:3" x14ac:dyDescent="0.35">
      <c r="A5917" s="305">
        <v>40249</v>
      </c>
      <c r="B5917" s="306">
        <v>187.50700000000001</v>
      </c>
      <c r="C5917" s="309">
        <v>2.0726784776224201</v>
      </c>
    </row>
    <row r="5918" spans="1:3" x14ac:dyDescent="0.35">
      <c r="A5918" s="302">
        <v>40248</v>
      </c>
      <c r="B5918" s="303">
        <v>187.46090000000001</v>
      </c>
      <c r="C5918" s="308">
        <v>2.0690304795413699</v>
      </c>
    </row>
    <row r="5919" spans="1:3" x14ac:dyDescent="0.35">
      <c r="A5919" s="305">
        <v>40247</v>
      </c>
      <c r="B5919" s="306">
        <v>187.41489999999999</v>
      </c>
      <c r="C5919" s="309">
        <v>2.0653798229409901</v>
      </c>
    </row>
    <row r="5920" spans="1:3" x14ac:dyDescent="0.35">
      <c r="A5920" s="302">
        <v>40246</v>
      </c>
      <c r="B5920" s="303">
        <v>187.3689</v>
      </c>
      <c r="C5920" s="308">
        <v>2.0617832292391798</v>
      </c>
    </row>
    <row r="5921" spans="1:3" x14ac:dyDescent="0.35">
      <c r="A5921" s="305">
        <v>40245</v>
      </c>
      <c r="B5921" s="306">
        <v>187.3229</v>
      </c>
      <c r="C5921" s="309">
        <v>2.05818512279264</v>
      </c>
    </row>
    <row r="5922" spans="1:3" x14ac:dyDescent="0.35">
      <c r="A5922" s="302">
        <v>40244</v>
      </c>
      <c r="B5922" s="303">
        <v>187.27690000000001</v>
      </c>
      <c r="C5922" s="308">
        <v>2.0545298890994199</v>
      </c>
    </row>
    <row r="5923" spans="1:3" x14ac:dyDescent="0.35">
      <c r="A5923" s="305">
        <v>40243</v>
      </c>
      <c r="B5923" s="306">
        <v>187.23089999999999</v>
      </c>
      <c r="C5923" s="309">
        <v>2.0509287445610398</v>
      </c>
    </row>
    <row r="5924" spans="1:3" x14ac:dyDescent="0.35">
      <c r="A5924" s="302">
        <v>40242</v>
      </c>
      <c r="B5924" s="303">
        <v>187.1849</v>
      </c>
      <c r="C5924" s="308">
        <v>2.0472704514429498</v>
      </c>
    </row>
    <row r="5925" spans="1:3" x14ac:dyDescent="0.35">
      <c r="A5925" s="305">
        <v>40241</v>
      </c>
      <c r="B5925" s="306">
        <v>187.13900000000001</v>
      </c>
      <c r="C5925" s="309">
        <v>2.0437207932777501</v>
      </c>
    </row>
    <row r="5926" spans="1:3" x14ac:dyDescent="0.35">
      <c r="A5926" s="302">
        <v>40240</v>
      </c>
      <c r="B5926" s="303">
        <v>187.09299999999999</v>
      </c>
      <c r="C5926" s="308">
        <v>2.0400594483304002</v>
      </c>
    </row>
    <row r="5927" spans="1:3" x14ac:dyDescent="0.35">
      <c r="A5927" s="305">
        <v>40239</v>
      </c>
      <c r="B5927" s="306">
        <v>187.0471</v>
      </c>
      <c r="C5927" s="309">
        <v>2.0364511166632102</v>
      </c>
    </row>
    <row r="5928" spans="1:3" x14ac:dyDescent="0.35">
      <c r="A5928" s="302">
        <v>40238</v>
      </c>
      <c r="B5928" s="303">
        <v>187.00110000000001</v>
      </c>
      <c r="C5928" s="308">
        <v>2.0327867063519101</v>
      </c>
    </row>
    <row r="5929" spans="1:3" x14ac:dyDescent="0.35">
      <c r="A5929" s="305">
        <v>40237</v>
      </c>
      <c r="B5929" s="306">
        <v>186.95519999999999</v>
      </c>
      <c r="C5929" s="309">
        <v>2.02917533030993</v>
      </c>
    </row>
    <row r="5930" spans="1:3" x14ac:dyDescent="0.35">
      <c r="A5930" s="302">
        <v>40236</v>
      </c>
      <c r="B5930" s="303">
        <v>186.9093</v>
      </c>
      <c r="C5930" s="308">
        <v>2.0255624363736602</v>
      </c>
    </row>
    <row r="5931" spans="1:3" x14ac:dyDescent="0.35">
      <c r="A5931" s="305">
        <v>40235</v>
      </c>
      <c r="B5931" s="306">
        <v>186.86340000000001</v>
      </c>
      <c r="C5931" s="309">
        <v>2.0219480235859399</v>
      </c>
    </row>
    <row r="5932" spans="1:3" x14ac:dyDescent="0.35">
      <c r="A5932" s="302">
        <v>40234</v>
      </c>
      <c r="B5932" s="303">
        <v>186.8175</v>
      </c>
      <c r="C5932" s="308">
        <v>2.0183320909887699</v>
      </c>
    </row>
    <row r="5933" spans="1:3" x14ac:dyDescent="0.35">
      <c r="A5933" s="305">
        <v>40233</v>
      </c>
      <c r="B5933" s="306">
        <v>186.77170000000001</v>
      </c>
      <c r="C5933" s="309">
        <v>2.01471353718612</v>
      </c>
    </row>
    <row r="5934" spans="1:3" x14ac:dyDescent="0.35">
      <c r="A5934" s="302">
        <v>40232</v>
      </c>
      <c r="B5934" s="303">
        <v>186.72579999999999</v>
      </c>
      <c r="C5934" s="308">
        <v>2.0110945638385398</v>
      </c>
    </row>
    <row r="5935" spans="1:3" x14ac:dyDescent="0.35">
      <c r="A5935" s="305">
        <v>40231</v>
      </c>
      <c r="B5935" s="306">
        <v>186.6799</v>
      </c>
      <c r="C5935" s="309">
        <v>2.0074740678043002</v>
      </c>
    </row>
    <row r="5936" spans="1:3" x14ac:dyDescent="0.35">
      <c r="A5936" s="302">
        <v>40230</v>
      </c>
      <c r="B5936" s="303">
        <v>186.63409999999999</v>
      </c>
      <c r="C5936" s="308">
        <v>2.0038509529277602</v>
      </c>
    </row>
    <row r="5937" spans="1:3" x14ac:dyDescent="0.35">
      <c r="A5937" s="305">
        <v>40229</v>
      </c>
      <c r="B5937" s="306">
        <v>186.5883</v>
      </c>
      <c r="C5937" s="309">
        <v>2.00022631694321</v>
      </c>
    </row>
    <row r="5938" spans="1:3" x14ac:dyDescent="0.35">
      <c r="A5938" s="302">
        <v>40228</v>
      </c>
      <c r="B5938" s="303">
        <v>186.54249999999999</v>
      </c>
      <c r="C5938" s="308">
        <v>1.9966559280182501</v>
      </c>
    </row>
    <row r="5939" spans="1:3" x14ac:dyDescent="0.35">
      <c r="A5939" s="305">
        <v>40227</v>
      </c>
      <c r="B5939" s="306">
        <v>186.4967</v>
      </c>
      <c r="C5939" s="309">
        <v>1.9930282566704101</v>
      </c>
    </row>
    <row r="5940" spans="1:3" x14ac:dyDescent="0.35">
      <c r="A5940" s="302">
        <v>40226</v>
      </c>
      <c r="B5940" s="303">
        <v>186.45089999999999</v>
      </c>
      <c r="C5940" s="308">
        <v>1.9893990613410399</v>
      </c>
    </row>
    <row r="5941" spans="1:3" x14ac:dyDescent="0.35">
      <c r="A5941" s="305">
        <v>40225</v>
      </c>
      <c r="B5941" s="306">
        <v>186.4051</v>
      </c>
      <c r="C5941" s="309">
        <v>1.9857683410696001</v>
      </c>
    </row>
    <row r="5942" spans="1:3" x14ac:dyDescent="0.35">
      <c r="A5942" s="302">
        <v>40224</v>
      </c>
      <c r="B5942" s="303">
        <v>186.35929999999999</v>
      </c>
      <c r="C5942" s="308">
        <v>1.98213609489475</v>
      </c>
    </row>
    <row r="5943" spans="1:3" x14ac:dyDescent="0.35">
      <c r="A5943" s="305">
        <v>40223</v>
      </c>
      <c r="B5943" s="306">
        <v>186.3545</v>
      </c>
      <c r="C5943" s="309">
        <v>1.9939653431397</v>
      </c>
    </row>
    <row r="5944" spans="1:3" x14ac:dyDescent="0.35">
      <c r="A5944" s="302">
        <v>40222</v>
      </c>
      <c r="B5944" s="303">
        <v>186.34970000000001</v>
      </c>
      <c r="C5944" s="308">
        <v>2.0057421087059502</v>
      </c>
    </row>
    <row r="5945" spans="1:3" x14ac:dyDescent="0.35">
      <c r="A5945" s="305">
        <v>40221</v>
      </c>
      <c r="B5945" s="306">
        <v>186.34479999999999</v>
      </c>
      <c r="C5945" s="309">
        <v>2.0175233056461299</v>
      </c>
    </row>
    <row r="5946" spans="1:3" x14ac:dyDescent="0.35">
      <c r="A5946" s="302">
        <v>40220</v>
      </c>
      <c r="B5946" s="303">
        <v>186.34</v>
      </c>
      <c r="C5946" s="308">
        <v>2.0293625984689601</v>
      </c>
    </row>
    <row r="5947" spans="1:3" x14ac:dyDescent="0.35">
      <c r="A5947" s="305">
        <v>40219</v>
      </c>
      <c r="B5947" s="306">
        <v>186.33519999999999</v>
      </c>
      <c r="C5947" s="309">
        <v>2.0411493697698702</v>
      </c>
    </row>
    <row r="5948" spans="1:3" x14ac:dyDescent="0.35">
      <c r="A5948" s="302">
        <v>40218</v>
      </c>
      <c r="B5948" s="303">
        <v>186.3304</v>
      </c>
      <c r="C5948" s="308">
        <v>2.0529953664654799</v>
      </c>
    </row>
    <row r="5949" spans="1:3" x14ac:dyDescent="0.35">
      <c r="A5949" s="305">
        <v>40217</v>
      </c>
      <c r="B5949" s="306">
        <v>186.32560000000001</v>
      </c>
      <c r="C5949" s="309">
        <v>2.0647888157181198</v>
      </c>
    </row>
    <row r="5950" spans="1:3" x14ac:dyDescent="0.35">
      <c r="A5950" s="302">
        <v>40216</v>
      </c>
      <c r="B5950" s="303">
        <v>186.32079999999999</v>
      </c>
      <c r="C5950" s="308">
        <v>2.0766415219829302</v>
      </c>
    </row>
    <row r="5951" spans="1:3" x14ac:dyDescent="0.35">
      <c r="A5951" s="305">
        <v>40215</v>
      </c>
      <c r="B5951" s="306">
        <v>186.316</v>
      </c>
      <c r="C5951" s="309">
        <v>2.0884975923868101</v>
      </c>
    </row>
    <row r="5952" spans="1:3" x14ac:dyDescent="0.35">
      <c r="A5952" s="302">
        <v>40214</v>
      </c>
      <c r="B5952" s="303">
        <v>186.31120000000001</v>
      </c>
      <c r="C5952" s="308">
        <v>2.1003010764001901</v>
      </c>
    </row>
    <row r="5953" spans="1:3" x14ac:dyDescent="0.35">
      <c r="A5953" s="305">
        <v>40213</v>
      </c>
      <c r="B5953" s="306">
        <v>186.3064</v>
      </c>
      <c r="C5953" s="309">
        <v>2.11210789859076</v>
      </c>
    </row>
    <row r="5954" spans="1:3" x14ac:dyDescent="0.35">
      <c r="A5954" s="302">
        <v>40212</v>
      </c>
      <c r="B5954" s="303">
        <v>186.30160000000001</v>
      </c>
      <c r="C5954" s="308">
        <v>2.12397404110907</v>
      </c>
    </row>
    <row r="5955" spans="1:3" x14ac:dyDescent="0.35">
      <c r="A5955" s="305">
        <v>40211</v>
      </c>
      <c r="B5955" s="306">
        <v>186.29679999999999</v>
      </c>
      <c r="C5955" s="309">
        <v>2.1357875582987198</v>
      </c>
    </row>
    <row r="5956" spans="1:3" x14ac:dyDescent="0.35">
      <c r="A5956" s="302">
        <v>40210</v>
      </c>
      <c r="B5956" s="303">
        <v>186.292</v>
      </c>
      <c r="C5956" s="308">
        <v>2.1476044179228202</v>
      </c>
    </row>
    <row r="5957" spans="1:3" x14ac:dyDescent="0.35">
      <c r="A5957" s="305">
        <v>40209</v>
      </c>
      <c r="B5957" s="306">
        <v>186.28720000000001</v>
      </c>
      <c r="C5957" s="309">
        <v>2.1594806453983399</v>
      </c>
    </row>
    <row r="5958" spans="1:3" x14ac:dyDescent="0.35">
      <c r="A5958" s="302">
        <v>40208</v>
      </c>
      <c r="B5958" s="303">
        <v>186.2824</v>
      </c>
      <c r="C5958" s="308">
        <v>2.1713042085610401</v>
      </c>
    </row>
    <row r="5959" spans="1:3" x14ac:dyDescent="0.35">
      <c r="A5959" s="305">
        <v>40207</v>
      </c>
      <c r="B5959" s="306">
        <v>186.27760000000001</v>
      </c>
      <c r="C5959" s="309">
        <v>2.1831311184227098</v>
      </c>
    </row>
    <row r="5960" spans="1:3" x14ac:dyDescent="0.35">
      <c r="A5960" s="302">
        <v>40206</v>
      </c>
      <c r="B5960" s="303">
        <v>186.27279999999999</v>
      </c>
      <c r="C5960" s="308">
        <v>2.19496137640449</v>
      </c>
    </row>
    <row r="5961" spans="1:3" x14ac:dyDescent="0.35">
      <c r="A5961" s="305">
        <v>40205</v>
      </c>
      <c r="B5961" s="306">
        <v>186.268</v>
      </c>
      <c r="C5961" s="309">
        <v>2.2067949839283298</v>
      </c>
    </row>
    <row r="5962" spans="1:3" x14ac:dyDescent="0.35">
      <c r="A5962" s="302">
        <v>40204</v>
      </c>
      <c r="B5962" s="303">
        <v>186.26310000000001</v>
      </c>
      <c r="C5962" s="308">
        <v>2.2185770638194202</v>
      </c>
    </row>
    <row r="5963" spans="1:3" x14ac:dyDescent="0.35">
      <c r="A5963" s="305">
        <v>40203</v>
      </c>
      <c r="B5963" s="306">
        <v>186.25829999999999</v>
      </c>
      <c r="C5963" s="309">
        <v>2.2304734775199</v>
      </c>
    </row>
    <row r="5964" spans="1:3" x14ac:dyDescent="0.35">
      <c r="A5964" s="302">
        <v>40202</v>
      </c>
      <c r="B5964" s="303">
        <v>186.2535</v>
      </c>
      <c r="C5964" s="308">
        <v>2.2423171488845202</v>
      </c>
    </row>
    <row r="5965" spans="1:3" x14ac:dyDescent="0.35">
      <c r="A5965" s="305">
        <v>40201</v>
      </c>
      <c r="B5965" s="306">
        <v>186.24870000000001</v>
      </c>
      <c r="C5965" s="309">
        <v>2.25416417549078</v>
      </c>
    </row>
    <row r="5966" spans="1:3" x14ac:dyDescent="0.35">
      <c r="A5966" s="302">
        <v>40200</v>
      </c>
      <c r="B5966" s="303">
        <v>186.2439</v>
      </c>
      <c r="C5966" s="308">
        <v>2.2659584048074501</v>
      </c>
    </row>
    <row r="5967" spans="1:3" x14ac:dyDescent="0.35">
      <c r="A5967" s="305">
        <v>40199</v>
      </c>
      <c r="B5967" s="306">
        <v>186.23910000000001</v>
      </c>
      <c r="C5967" s="309">
        <v>2.27781213170968</v>
      </c>
    </row>
    <row r="5968" spans="1:3" x14ac:dyDescent="0.35">
      <c r="A5968" s="302">
        <v>40198</v>
      </c>
      <c r="B5968" s="303">
        <v>186.23429999999999</v>
      </c>
      <c r="C5968" s="308">
        <v>2.2896692181279699</v>
      </c>
    </row>
    <row r="5969" spans="1:3" x14ac:dyDescent="0.35">
      <c r="A5969" s="305">
        <v>40197</v>
      </c>
      <c r="B5969" s="306">
        <v>186.2295</v>
      </c>
      <c r="C5969" s="309">
        <v>2.30152966549073</v>
      </c>
    </row>
    <row r="5970" spans="1:3" x14ac:dyDescent="0.35">
      <c r="A5970" s="302">
        <v>40196</v>
      </c>
      <c r="B5970" s="303">
        <v>186.22470000000001</v>
      </c>
      <c r="C5970" s="308">
        <v>2.3133934752271799</v>
      </c>
    </row>
    <row r="5971" spans="1:3" x14ac:dyDescent="0.35">
      <c r="A5971" s="305">
        <v>40195</v>
      </c>
      <c r="B5971" s="306">
        <v>186.2199</v>
      </c>
      <c r="C5971" s="309">
        <v>2.32526064876734</v>
      </c>
    </row>
    <row r="5972" spans="1:3" x14ac:dyDescent="0.35">
      <c r="A5972" s="302">
        <v>40194</v>
      </c>
      <c r="B5972" s="303">
        <v>186.21510000000001</v>
      </c>
      <c r="C5972" s="308">
        <v>2.3370749467610099</v>
      </c>
    </row>
    <row r="5973" spans="1:3" x14ac:dyDescent="0.35">
      <c r="A5973" s="305">
        <v>40193</v>
      </c>
      <c r="B5973" s="306">
        <v>186.21029999999999</v>
      </c>
      <c r="C5973" s="309">
        <v>2.3489488377001502</v>
      </c>
    </row>
    <row r="5974" spans="1:3" x14ac:dyDescent="0.35">
      <c r="A5974" s="302">
        <v>40192</v>
      </c>
      <c r="B5974" s="303">
        <v>186.21449999999999</v>
      </c>
      <c r="C5974" s="308">
        <v>2.3604842340299599</v>
      </c>
    </row>
    <row r="5975" spans="1:3" x14ac:dyDescent="0.35">
      <c r="A5975" s="305">
        <v>40191</v>
      </c>
      <c r="B5975" s="306">
        <v>186.21870000000001</v>
      </c>
      <c r="C5975" s="309">
        <v>2.3720217103646499</v>
      </c>
    </row>
    <row r="5976" spans="1:3" x14ac:dyDescent="0.35">
      <c r="A5976" s="302">
        <v>40190</v>
      </c>
      <c r="B5976" s="303">
        <v>186.22290000000001</v>
      </c>
      <c r="C5976" s="308">
        <v>2.3835612672668498</v>
      </c>
    </row>
    <row r="5977" spans="1:3" x14ac:dyDescent="0.35">
      <c r="A5977" s="305">
        <v>40189</v>
      </c>
      <c r="B5977" s="306">
        <v>186.22710000000001</v>
      </c>
      <c r="C5977" s="309">
        <v>2.3951029052994102</v>
      </c>
    </row>
    <row r="5978" spans="1:3" x14ac:dyDescent="0.35">
      <c r="A5978" s="302">
        <v>40188</v>
      </c>
      <c r="B5978" s="303">
        <v>186.2313</v>
      </c>
      <c r="C5978" s="308">
        <v>2.4066466250253602</v>
      </c>
    </row>
    <row r="5979" spans="1:3" x14ac:dyDescent="0.35">
      <c r="A5979" s="305">
        <v>40187</v>
      </c>
      <c r="B5979" s="306">
        <v>186.2355</v>
      </c>
      <c r="C5979" s="309">
        <v>2.4181924270079498</v>
      </c>
    </row>
    <row r="5980" spans="1:3" x14ac:dyDescent="0.35">
      <c r="A5980" s="302">
        <v>40186</v>
      </c>
      <c r="B5980" s="303">
        <v>186.2397</v>
      </c>
      <c r="C5980" s="308">
        <v>2.4297403118106198</v>
      </c>
    </row>
    <row r="5981" spans="1:3" x14ac:dyDescent="0.35">
      <c r="A5981" s="305">
        <v>40185</v>
      </c>
      <c r="B5981" s="306">
        <v>186.2439</v>
      </c>
      <c r="C5981" s="309">
        <v>2.44129027999703</v>
      </c>
    </row>
    <row r="5982" spans="1:3" x14ac:dyDescent="0.35">
      <c r="A5982" s="302">
        <v>40184</v>
      </c>
      <c r="B5982" s="303">
        <v>186.24809999999999</v>
      </c>
      <c r="C5982" s="308">
        <v>2.45284233213102</v>
      </c>
    </row>
    <row r="5983" spans="1:3" x14ac:dyDescent="0.35">
      <c r="A5983" s="305">
        <v>40183</v>
      </c>
      <c r="B5983" s="306">
        <v>186.25229999999999</v>
      </c>
      <c r="C5983" s="309">
        <v>2.46439646877666</v>
      </c>
    </row>
    <row r="5984" spans="1:3" x14ac:dyDescent="0.35">
      <c r="A5984" s="302">
        <v>40182</v>
      </c>
      <c r="B5984" s="303">
        <v>186.25649999999999</v>
      </c>
      <c r="C5984" s="308">
        <v>2.4759526904982101</v>
      </c>
    </row>
    <row r="5985" spans="1:3" x14ac:dyDescent="0.35">
      <c r="A5985" s="305">
        <v>40181</v>
      </c>
      <c r="B5985" s="306">
        <v>186.26070000000001</v>
      </c>
      <c r="C5985" s="309">
        <v>2.48751099786013</v>
      </c>
    </row>
    <row r="5986" spans="1:3" x14ac:dyDescent="0.35">
      <c r="A5986" s="302">
        <v>40180</v>
      </c>
      <c r="B5986" s="303">
        <v>186.26499999999999</v>
      </c>
      <c r="C5986" s="308">
        <v>2.4991264200832601</v>
      </c>
    </row>
    <row r="5987" spans="1:3" x14ac:dyDescent="0.35">
      <c r="A5987" s="305">
        <v>40179</v>
      </c>
      <c r="B5987" s="306">
        <v>186.26920000000001</v>
      </c>
      <c r="C5987" s="309">
        <v>2.51068890538675</v>
      </c>
    </row>
    <row r="5988" spans="1:3" x14ac:dyDescent="0.35">
      <c r="A5988" s="302">
        <v>40178</v>
      </c>
      <c r="B5988" s="303">
        <v>186.27340000000001</v>
      </c>
      <c r="C5988" s="308">
        <v>2.5222534780261201</v>
      </c>
    </row>
    <row r="5989" spans="1:3" x14ac:dyDescent="0.35">
      <c r="A5989" s="305">
        <v>40177</v>
      </c>
      <c r="B5989" s="306">
        <v>186.27760000000001</v>
      </c>
      <c r="C5989" s="309">
        <v>2.5338201385666501</v>
      </c>
    </row>
    <row r="5990" spans="1:3" x14ac:dyDescent="0.35">
      <c r="A5990" s="302">
        <v>40176</v>
      </c>
      <c r="B5990" s="303">
        <v>186.2818</v>
      </c>
      <c r="C5990" s="308">
        <v>2.5453888875738402</v>
      </c>
    </row>
    <row r="5991" spans="1:3" x14ac:dyDescent="0.35">
      <c r="A5991" s="305">
        <v>40175</v>
      </c>
      <c r="B5991" s="306">
        <v>186.286</v>
      </c>
      <c r="C5991" s="309">
        <v>2.5569032644504301</v>
      </c>
    </row>
    <row r="5992" spans="1:3" x14ac:dyDescent="0.35">
      <c r="A5992" s="302">
        <v>40174</v>
      </c>
      <c r="B5992" s="303">
        <v>186.2902</v>
      </c>
      <c r="C5992" s="308">
        <v>2.5684761806181098</v>
      </c>
    </row>
    <row r="5993" spans="1:3" x14ac:dyDescent="0.35">
      <c r="A5993" s="305">
        <v>40173</v>
      </c>
      <c r="B5993" s="306">
        <v>186.2944</v>
      </c>
      <c r="C5993" s="309">
        <v>2.5800511869468901</v>
      </c>
    </row>
    <row r="5994" spans="1:3" x14ac:dyDescent="0.35">
      <c r="A5994" s="302">
        <v>40172</v>
      </c>
      <c r="B5994" s="303">
        <v>186.29859999999999</v>
      </c>
      <c r="C5994" s="308">
        <v>2.5916282840030802</v>
      </c>
    </row>
    <row r="5995" spans="1:3" x14ac:dyDescent="0.35">
      <c r="A5995" s="305">
        <v>40171</v>
      </c>
      <c r="B5995" s="306">
        <v>186.30279999999999</v>
      </c>
      <c r="C5995" s="309">
        <v>2.6032074723531702</v>
      </c>
    </row>
    <row r="5996" spans="1:3" x14ac:dyDescent="0.35">
      <c r="A5996" s="302">
        <v>40170</v>
      </c>
      <c r="B5996" s="303">
        <v>186.30699999999999</v>
      </c>
      <c r="C5996" s="308">
        <v>2.6147322340805799</v>
      </c>
    </row>
    <row r="5997" spans="1:3" x14ac:dyDescent="0.35">
      <c r="A5997" s="305">
        <v>40169</v>
      </c>
      <c r="B5997" s="306">
        <v>186.31120000000001</v>
      </c>
      <c r="C5997" s="309">
        <v>2.6263155952326498</v>
      </c>
    </row>
    <row r="5998" spans="1:3" x14ac:dyDescent="0.35">
      <c r="A5998" s="302">
        <v>40168</v>
      </c>
      <c r="B5998" s="303">
        <v>186.31540000000001</v>
      </c>
      <c r="C5998" s="308">
        <v>2.6379010493761501</v>
      </c>
    </row>
    <row r="5999" spans="1:3" x14ac:dyDescent="0.35">
      <c r="A5999" s="305">
        <v>40167</v>
      </c>
      <c r="B5999" s="306">
        <v>186.31970000000001</v>
      </c>
      <c r="C5999" s="309">
        <v>2.6495436903099301</v>
      </c>
    </row>
    <row r="6000" spans="1:3" x14ac:dyDescent="0.35">
      <c r="A6000" s="302">
        <v>40166</v>
      </c>
      <c r="B6000" s="303">
        <v>186.32390000000001</v>
      </c>
      <c r="C6000" s="308">
        <v>2.6610767727012798</v>
      </c>
    </row>
    <row r="6001" spans="1:3" x14ac:dyDescent="0.35">
      <c r="A6001" s="305">
        <v>40165</v>
      </c>
      <c r="B6001" s="306">
        <v>186.32810000000001</v>
      </c>
      <c r="C6001" s="309">
        <v>2.6726685027039099</v>
      </c>
    </row>
    <row r="6002" spans="1:3" x14ac:dyDescent="0.35">
      <c r="A6002" s="302">
        <v>40164</v>
      </c>
      <c r="B6002" s="303">
        <v>186.3323</v>
      </c>
      <c r="C6002" s="308">
        <v>2.6842623279661701</v>
      </c>
    </row>
    <row r="6003" spans="1:3" x14ac:dyDescent="0.35">
      <c r="A6003" s="305">
        <v>40163</v>
      </c>
      <c r="B6003" s="306">
        <v>186.3365</v>
      </c>
      <c r="C6003" s="309">
        <v>2.6958016501961199</v>
      </c>
    </row>
    <row r="6004" spans="1:3" x14ac:dyDescent="0.35">
      <c r="A6004" s="302">
        <v>40162</v>
      </c>
      <c r="B6004" s="303">
        <v>186.3407</v>
      </c>
      <c r="C6004" s="308">
        <v>2.7073996561734699</v>
      </c>
    </row>
    <row r="6005" spans="1:3" x14ac:dyDescent="0.35">
      <c r="A6005" s="305">
        <v>40161</v>
      </c>
      <c r="B6005" s="306">
        <v>186.34880000000001</v>
      </c>
      <c r="C6005" s="309">
        <v>2.7238109097965002</v>
      </c>
    </row>
    <row r="6006" spans="1:3" x14ac:dyDescent="0.35">
      <c r="A6006" s="302">
        <v>40160</v>
      </c>
      <c r="B6006" s="303">
        <v>186.3569</v>
      </c>
      <c r="C6006" s="308">
        <v>2.7402826231735098</v>
      </c>
    </row>
    <row r="6007" spans="1:3" x14ac:dyDescent="0.35">
      <c r="A6007" s="305">
        <v>40159</v>
      </c>
      <c r="B6007" s="306">
        <v>186.36500000000001</v>
      </c>
      <c r="C6007" s="309">
        <v>2.75670153000602</v>
      </c>
    </row>
    <row r="6008" spans="1:3" x14ac:dyDescent="0.35">
      <c r="A6008" s="302">
        <v>40158</v>
      </c>
      <c r="B6008" s="303">
        <v>186.37309999999999</v>
      </c>
      <c r="C6008" s="308">
        <v>2.7731242576272099</v>
      </c>
    </row>
    <row r="6009" spans="1:3" x14ac:dyDescent="0.35">
      <c r="A6009" s="305">
        <v>40157</v>
      </c>
      <c r="B6009" s="306">
        <v>186.3811</v>
      </c>
      <c r="C6009" s="309">
        <v>2.7894956571997702</v>
      </c>
    </row>
    <row r="6010" spans="1:3" x14ac:dyDescent="0.35">
      <c r="A6010" s="302">
        <v>40156</v>
      </c>
      <c r="B6010" s="303">
        <v>186.38919999999999</v>
      </c>
      <c r="C6010" s="308">
        <v>2.80592602398209</v>
      </c>
    </row>
    <row r="6011" spans="1:3" x14ac:dyDescent="0.35">
      <c r="A6011" s="305">
        <v>40155</v>
      </c>
      <c r="B6011" s="306">
        <v>186.3973</v>
      </c>
      <c r="C6011" s="309">
        <v>2.8224169354945499</v>
      </c>
    </row>
    <row r="6012" spans="1:3" x14ac:dyDescent="0.35">
      <c r="A6012" s="302">
        <v>40154</v>
      </c>
      <c r="B6012" s="303">
        <v>186.40539999999999</v>
      </c>
      <c r="C6012" s="308">
        <v>2.8388549688651099</v>
      </c>
    </row>
    <row r="6013" spans="1:3" x14ac:dyDescent="0.35">
      <c r="A6013" s="305">
        <v>40153</v>
      </c>
      <c r="B6013" s="306">
        <v>186.4135</v>
      </c>
      <c r="C6013" s="309">
        <v>2.85529682970405</v>
      </c>
    </row>
    <row r="6014" spans="1:3" x14ac:dyDescent="0.35">
      <c r="A6014" s="302">
        <v>40152</v>
      </c>
      <c r="B6014" s="303">
        <v>186.42160000000001</v>
      </c>
      <c r="C6014" s="308">
        <v>2.8717425193483002</v>
      </c>
    </row>
    <row r="6015" spans="1:3" x14ac:dyDescent="0.35">
      <c r="A6015" s="305">
        <v>40151</v>
      </c>
      <c r="B6015" s="306">
        <v>186.42959999999999</v>
      </c>
      <c r="C6015" s="309">
        <v>2.8881368504010001</v>
      </c>
    </row>
    <row r="6016" spans="1:3" x14ac:dyDescent="0.35">
      <c r="A6016" s="302">
        <v>40150</v>
      </c>
      <c r="B6016" s="303">
        <v>186.43770000000001</v>
      </c>
      <c r="C6016" s="308">
        <v>2.90459019524185</v>
      </c>
    </row>
    <row r="6017" spans="1:3" x14ac:dyDescent="0.35">
      <c r="A6017" s="305">
        <v>40149</v>
      </c>
      <c r="B6017" s="306">
        <v>186.44579999999999</v>
      </c>
      <c r="C6017" s="309">
        <v>2.9210473729010999</v>
      </c>
    </row>
    <row r="6018" spans="1:3" x14ac:dyDescent="0.35">
      <c r="A6018" s="302">
        <v>40148</v>
      </c>
      <c r="B6018" s="303">
        <v>186.4539</v>
      </c>
      <c r="C6018" s="308">
        <v>2.9375083847182002</v>
      </c>
    </row>
    <row r="6019" spans="1:3" x14ac:dyDescent="0.35">
      <c r="A6019" s="305">
        <v>40147</v>
      </c>
      <c r="B6019" s="306">
        <v>186.46199999999999</v>
      </c>
      <c r="C6019" s="309">
        <v>2.9539732320332202</v>
      </c>
    </row>
    <row r="6020" spans="1:3" x14ac:dyDescent="0.35">
      <c r="A6020" s="302">
        <v>40146</v>
      </c>
      <c r="B6020" s="303">
        <v>186.4701</v>
      </c>
      <c r="C6020" s="308">
        <v>2.9704419161868398</v>
      </c>
    </row>
    <row r="6021" spans="1:3" x14ac:dyDescent="0.35">
      <c r="A6021" s="305">
        <v>40145</v>
      </c>
      <c r="B6021" s="306">
        <v>186.47819999999999</v>
      </c>
      <c r="C6021" s="309">
        <v>2.9869144385203898</v>
      </c>
    </row>
    <row r="6022" spans="1:3" x14ac:dyDescent="0.35">
      <c r="A6022" s="302">
        <v>40144</v>
      </c>
      <c r="B6022" s="303">
        <v>186.4862</v>
      </c>
      <c r="C6022" s="308">
        <v>3.0033355666182602</v>
      </c>
    </row>
    <row r="6023" spans="1:3" x14ac:dyDescent="0.35">
      <c r="A6023" s="305">
        <v>40143</v>
      </c>
      <c r="B6023" s="306">
        <v>186.49430000000001</v>
      </c>
      <c r="C6023" s="309">
        <v>3.0197588545841301</v>
      </c>
    </row>
    <row r="6024" spans="1:3" x14ac:dyDescent="0.35">
      <c r="A6024" s="302">
        <v>40142</v>
      </c>
      <c r="B6024" s="303">
        <v>186.50239999999999</v>
      </c>
      <c r="C6024" s="308">
        <v>3.03624287733154</v>
      </c>
    </row>
    <row r="6025" spans="1:3" x14ac:dyDescent="0.35">
      <c r="A6025" s="305">
        <v>40141</v>
      </c>
      <c r="B6025" s="306">
        <v>186.51050000000001</v>
      </c>
      <c r="C6025" s="309">
        <v>3.0527307436231101</v>
      </c>
    </row>
    <row r="6026" spans="1:3" x14ac:dyDescent="0.35">
      <c r="A6026" s="302">
        <v>40140</v>
      </c>
      <c r="B6026" s="303">
        <v>186.51859999999999</v>
      </c>
      <c r="C6026" s="308">
        <v>3.0692224548032701</v>
      </c>
    </row>
    <row r="6027" spans="1:3" x14ac:dyDescent="0.35">
      <c r="A6027" s="305">
        <v>40139</v>
      </c>
      <c r="B6027" s="306">
        <v>186.52670000000001</v>
      </c>
      <c r="C6027" s="309">
        <v>3.0856610409664</v>
      </c>
    </row>
    <row r="6028" spans="1:3" x14ac:dyDescent="0.35">
      <c r="A6028" s="302">
        <v>40138</v>
      </c>
      <c r="B6028" s="303">
        <v>186.53479999999999</v>
      </c>
      <c r="C6028" s="308">
        <v>3.10216043019572</v>
      </c>
    </row>
    <row r="6029" spans="1:3" x14ac:dyDescent="0.35">
      <c r="A6029" s="305">
        <v>40137</v>
      </c>
      <c r="B6029" s="306">
        <v>186.5429</v>
      </c>
      <c r="C6029" s="309">
        <v>3.1186636683449298</v>
      </c>
    </row>
    <row r="6030" spans="1:3" x14ac:dyDescent="0.35">
      <c r="A6030" s="302">
        <v>40136</v>
      </c>
      <c r="B6030" s="303">
        <v>186.55090000000001</v>
      </c>
      <c r="C6030" s="308">
        <v>3.13511547151953</v>
      </c>
    </row>
    <row r="6031" spans="1:3" x14ac:dyDescent="0.35">
      <c r="A6031" s="305">
        <v>40135</v>
      </c>
      <c r="B6031" s="306">
        <v>186.559</v>
      </c>
      <c r="C6031" s="309">
        <v>3.1515693708527799</v>
      </c>
    </row>
    <row r="6032" spans="1:3" x14ac:dyDescent="0.35">
      <c r="A6032" s="302">
        <v>40134</v>
      </c>
      <c r="B6032" s="303">
        <v>186.56710000000001</v>
      </c>
      <c r="C6032" s="308">
        <v>3.1680841416074101</v>
      </c>
    </row>
    <row r="6033" spans="1:3" x14ac:dyDescent="0.35">
      <c r="A6033" s="305">
        <v>40133</v>
      </c>
      <c r="B6033" s="306">
        <v>186.5752</v>
      </c>
      <c r="C6033" s="309">
        <v>3.1845457009020199</v>
      </c>
    </row>
    <row r="6034" spans="1:3" x14ac:dyDescent="0.35">
      <c r="A6034" s="302">
        <v>40132</v>
      </c>
      <c r="B6034" s="303">
        <v>186.58330000000001</v>
      </c>
      <c r="C6034" s="308">
        <v>3.2010681658157099</v>
      </c>
    </row>
    <row r="6035" spans="1:3" x14ac:dyDescent="0.35">
      <c r="A6035" s="305">
        <v>40131</v>
      </c>
      <c r="B6035" s="306">
        <v>186.59</v>
      </c>
      <c r="C6035" s="309">
        <v>3.19843811356861</v>
      </c>
    </row>
    <row r="6036" spans="1:3" x14ac:dyDescent="0.35">
      <c r="A6036" s="302">
        <v>40130</v>
      </c>
      <c r="B6036" s="303">
        <v>186.5966</v>
      </c>
      <c r="C6036" s="308">
        <v>3.1957530800290499</v>
      </c>
    </row>
    <row r="6037" spans="1:3" x14ac:dyDescent="0.35">
      <c r="A6037" s="305">
        <v>40129</v>
      </c>
      <c r="B6037" s="306">
        <v>186.60319999999999</v>
      </c>
      <c r="C6037" s="309">
        <v>3.19306837612509</v>
      </c>
    </row>
    <row r="6038" spans="1:3" x14ac:dyDescent="0.35">
      <c r="A6038" s="302">
        <v>40128</v>
      </c>
      <c r="B6038" s="303">
        <v>186.60980000000001</v>
      </c>
      <c r="C6038" s="308">
        <v>3.1903840017960601</v>
      </c>
    </row>
    <row r="6039" spans="1:3" x14ac:dyDescent="0.35">
      <c r="A6039" s="305">
        <v>40127</v>
      </c>
      <c r="B6039" s="306">
        <v>186.6165</v>
      </c>
      <c r="C6039" s="309">
        <v>3.18775525099612</v>
      </c>
    </row>
    <row r="6040" spans="1:3" x14ac:dyDescent="0.35">
      <c r="A6040" s="302">
        <v>40126</v>
      </c>
      <c r="B6040" s="303">
        <v>186.62309999999999</v>
      </c>
      <c r="C6040" s="308">
        <v>3.1850715322413401</v>
      </c>
    </row>
    <row r="6041" spans="1:3" x14ac:dyDescent="0.35">
      <c r="A6041" s="305">
        <v>40125</v>
      </c>
      <c r="B6041" s="306">
        <v>186.62970000000001</v>
      </c>
      <c r="C6041" s="309">
        <v>3.1823881428798901</v>
      </c>
    </row>
    <row r="6042" spans="1:3" x14ac:dyDescent="0.35">
      <c r="A6042" s="302">
        <v>40124</v>
      </c>
      <c r="B6042" s="303">
        <v>186.63630000000001</v>
      </c>
      <c r="C6042" s="308">
        <v>3.17970508285112</v>
      </c>
    </row>
    <row r="6043" spans="1:3" x14ac:dyDescent="0.35">
      <c r="A6043" s="305">
        <v>40123</v>
      </c>
      <c r="B6043" s="306">
        <v>186.643</v>
      </c>
      <c r="C6043" s="309">
        <v>3.17707763253763</v>
      </c>
    </row>
    <row r="6044" spans="1:3" x14ac:dyDescent="0.35">
      <c r="A6044" s="302">
        <v>40122</v>
      </c>
      <c r="B6044" s="303">
        <v>186.64959999999999</v>
      </c>
      <c r="C6044" s="308">
        <v>3.1743952276004999</v>
      </c>
    </row>
    <row r="6045" spans="1:3" x14ac:dyDescent="0.35">
      <c r="A6045" s="305">
        <v>40121</v>
      </c>
      <c r="B6045" s="306">
        <v>186.65620000000001</v>
      </c>
      <c r="C6045" s="309">
        <v>3.1717131518146302</v>
      </c>
    </row>
    <row r="6046" spans="1:3" x14ac:dyDescent="0.35">
      <c r="A6046" s="302">
        <v>40120</v>
      </c>
      <c r="B6046" s="303">
        <v>186.6628</v>
      </c>
      <c r="C6046" s="308">
        <v>3.1690314051194601</v>
      </c>
    </row>
    <row r="6047" spans="1:3" x14ac:dyDescent="0.35">
      <c r="A6047" s="305">
        <v>40119</v>
      </c>
      <c r="B6047" s="306">
        <v>186.6695</v>
      </c>
      <c r="C6047" s="309">
        <v>3.1664052543326502</v>
      </c>
    </row>
    <row r="6048" spans="1:3" x14ac:dyDescent="0.35">
      <c r="A6048" s="302">
        <v>40118</v>
      </c>
      <c r="B6048" s="303">
        <v>186.67609999999999</v>
      </c>
      <c r="C6048" s="308">
        <v>3.1637241622469698</v>
      </c>
    </row>
    <row r="6049" spans="1:3" x14ac:dyDescent="0.35">
      <c r="A6049" s="305">
        <v>40117</v>
      </c>
      <c r="B6049" s="306">
        <v>186.68270000000001</v>
      </c>
      <c r="C6049" s="309">
        <v>3.16104339907075</v>
      </c>
    </row>
    <row r="6050" spans="1:3" x14ac:dyDescent="0.35">
      <c r="A6050" s="302">
        <v>40116</v>
      </c>
      <c r="B6050" s="303">
        <v>186.68940000000001</v>
      </c>
      <c r="C6050" s="308">
        <v>3.15841822145231</v>
      </c>
    </row>
    <row r="6051" spans="1:3" x14ac:dyDescent="0.35">
      <c r="A6051" s="305">
        <v>40115</v>
      </c>
      <c r="B6051" s="306">
        <v>186.696</v>
      </c>
      <c r="C6051" s="309">
        <v>3.1557381125244901</v>
      </c>
    </row>
    <row r="6052" spans="1:3" x14ac:dyDescent="0.35">
      <c r="A6052" s="302">
        <v>40114</v>
      </c>
      <c r="B6052" s="303">
        <v>186.70259999999999</v>
      </c>
      <c r="C6052" s="308">
        <v>3.1530583323250201</v>
      </c>
    </row>
    <row r="6053" spans="1:3" x14ac:dyDescent="0.35">
      <c r="A6053" s="305">
        <v>40113</v>
      </c>
      <c r="B6053" s="306">
        <v>186.70920000000001</v>
      </c>
      <c r="C6053" s="309">
        <v>3.1503788807934301</v>
      </c>
    </row>
    <row r="6054" spans="1:3" x14ac:dyDescent="0.35">
      <c r="A6054" s="302">
        <v>40112</v>
      </c>
      <c r="B6054" s="303">
        <v>186.7159</v>
      </c>
      <c r="C6054" s="308">
        <v>3.1477550010247599</v>
      </c>
    </row>
    <row r="6055" spans="1:3" x14ac:dyDescent="0.35">
      <c r="A6055" s="305">
        <v>40111</v>
      </c>
      <c r="B6055" s="306">
        <v>186.7225</v>
      </c>
      <c r="C6055" s="309">
        <v>3.1450762032602499</v>
      </c>
    </row>
    <row r="6056" spans="1:3" x14ac:dyDescent="0.35">
      <c r="A6056" s="302">
        <v>40110</v>
      </c>
      <c r="B6056" s="303">
        <v>186.72909999999999</v>
      </c>
      <c r="C6056" s="308">
        <v>3.1423977339826901</v>
      </c>
    </row>
    <row r="6057" spans="1:3" x14ac:dyDescent="0.35">
      <c r="A6057" s="305">
        <v>40109</v>
      </c>
      <c r="B6057" s="306">
        <v>186.73580000000001</v>
      </c>
      <c r="C6057" s="309">
        <v>3.1397748261265299</v>
      </c>
    </row>
    <row r="6058" spans="1:3" x14ac:dyDescent="0.35">
      <c r="A6058" s="302">
        <v>40108</v>
      </c>
      <c r="B6058" s="303">
        <v>186.7424</v>
      </c>
      <c r="C6058" s="308">
        <v>3.13709701025559</v>
      </c>
    </row>
    <row r="6059" spans="1:3" x14ac:dyDescent="0.35">
      <c r="A6059" s="305">
        <v>40107</v>
      </c>
      <c r="B6059" s="306">
        <v>186.749</v>
      </c>
      <c r="C6059" s="309">
        <v>3.1344195226907998</v>
      </c>
    </row>
    <row r="6060" spans="1:3" x14ac:dyDescent="0.35">
      <c r="A6060" s="302">
        <v>40106</v>
      </c>
      <c r="B6060" s="303">
        <v>186.75559999999999</v>
      </c>
      <c r="C6060" s="308">
        <v>3.1317423633717998</v>
      </c>
    </row>
    <row r="6061" spans="1:3" x14ac:dyDescent="0.35">
      <c r="A6061" s="305">
        <v>40105</v>
      </c>
      <c r="B6061" s="306">
        <v>186.76230000000001</v>
      </c>
      <c r="C6061" s="309">
        <v>3.1290638043863002</v>
      </c>
    </row>
    <row r="6062" spans="1:3" x14ac:dyDescent="0.35">
      <c r="A6062" s="302">
        <v>40104</v>
      </c>
      <c r="B6062" s="303">
        <v>186.7689</v>
      </c>
      <c r="C6062" s="308">
        <v>3.1263873029615699</v>
      </c>
    </row>
    <row r="6063" spans="1:3" x14ac:dyDescent="0.35">
      <c r="A6063" s="305">
        <v>40103</v>
      </c>
      <c r="B6063" s="306">
        <v>186.77549999999999</v>
      </c>
      <c r="C6063" s="309">
        <v>3.1237111296012201</v>
      </c>
    </row>
    <row r="6064" spans="1:3" x14ac:dyDescent="0.35">
      <c r="A6064" s="302">
        <v>40102</v>
      </c>
      <c r="B6064" s="303">
        <v>186.78219999999999</v>
      </c>
      <c r="C6064" s="308">
        <v>3.1210904935156698</v>
      </c>
    </row>
    <row r="6065" spans="1:3" x14ac:dyDescent="0.35">
      <c r="A6065" s="305">
        <v>40101</v>
      </c>
      <c r="B6065" s="306">
        <v>186.78880000000001</v>
      </c>
      <c r="C6065" s="309">
        <v>3.1184149727200099</v>
      </c>
    </row>
    <row r="6066" spans="1:3" x14ac:dyDescent="0.35">
      <c r="A6066" s="302">
        <v>40100</v>
      </c>
      <c r="B6066" s="303">
        <v>186.78630000000001</v>
      </c>
      <c r="C6066" s="308">
        <v>3.12352487485418</v>
      </c>
    </row>
    <row r="6067" spans="1:3" x14ac:dyDescent="0.35">
      <c r="A6067" s="305">
        <v>40099</v>
      </c>
      <c r="B6067" s="306">
        <v>186.78380000000001</v>
      </c>
      <c r="C6067" s="309">
        <v>3.1286923605267698</v>
      </c>
    </row>
    <row r="6068" spans="1:3" x14ac:dyDescent="0.35">
      <c r="A6068" s="302">
        <v>40098</v>
      </c>
      <c r="B6068" s="303">
        <v>186.78129999999999</v>
      </c>
      <c r="C6068" s="308">
        <v>3.13386050245796</v>
      </c>
    </row>
    <row r="6069" spans="1:3" x14ac:dyDescent="0.35">
      <c r="A6069" s="305">
        <v>40097</v>
      </c>
      <c r="B6069" s="306">
        <v>186.77879999999999</v>
      </c>
      <c r="C6069" s="309">
        <v>3.1389723475559399</v>
      </c>
    </row>
    <row r="6070" spans="1:3" x14ac:dyDescent="0.35">
      <c r="A6070" s="302">
        <v>40096</v>
      </c>
      <c r="B6070" s="303">
        <v>186.77629999999999</v>
      </c>
      <c r="C6070" s="308">
        <v>3.1441417959077298</v>
      </c>
    </row>
    <row r="6071" spans="1:3" x14ac:dyDescent="0.35">
      <c r="A6071" s="305">
        <v>40095</v>
      </c>
      <c r="B6071" s="306">
        <v>186.77379999999999</v>
      </c>
      <c r="C6071" s="309">
        <v>3.1492549347936798</v>
      </c>
    </row>
    <row r="6072" spans="1:3" x14ac:dyDescent="0.35">
      <c r="A6072" s="302">
        <v>40094</v>
      </c>
      <c r="B6072" s="303">
        <v>186.7714</v>
      </c>
      <c r="C6072" s="308">
        <v>3.1544809204025901</v>
      </c>
    </row>
    <row r="6073" spans="1:3" x14ac:dyDescent="0.35">
      <c r="A6073" s="305">
        <v>40093</v>
      </c>
      <c r="B6073" s="306">
        <v>186.7689</v>
      </c>
      <c r="C6073" s="309">
        <v>3.1596523360604101</v>
      </c>
    </row>
    <row r="6074" spans="1:3" x14ac:dyDescent="0.35">
      <c r="A6074" s="302">
        <v>40092</v>
      </c>
      <c r="B6074" s="303">
        <v>186.7664</v>
      </c>
      <c r="C6074" s="308">
        <v>3.1647674232339198</v>
      </c>
    </row>
    <row r="6075" spans="1:3" x14ac:dyDescent="0.35">
      <c r="A6075" s="305">
        <v>40091</v>
      </c>
      <c r="B6075" s="306">
        <v>186.76390000000001</v>
      </c>
      <c r="C6075" s="309">
        <v>3.1699401465539401</v>
      </c>
    </row>
    <row r="6076" spans="1:3" x14ac:dyDescent="0.35">
      <c r="A6076" s="302">
        <v>40090</v>
      </c>
      <c r="B6076" s="303">
        <v>186.76140000000001</v>
      </c>
      <c r="C6076" s="308">
        <v>3.1750565287455501</v>
      </c>
    </row>
    <row r="6077" spans="1:3" x14ac:dyDescent="0.35">
      <c r="A6077" s="305">
        <v>40089</v>
      </c>
      <c r="B6077" s="306">
        <v>186.75890000000001</v>
      </c>
      <c r="C6077" s="309">
        <v>3.180230560224</v>
      </c>
    </row>
    <row r="6078" spans="1:3" x14ac:dyDescent="0.35">
      <c r="A6078" s="302">
        <v>40088</v>
      </c>
      <c r="B6078" s="303">
        <v>186.75640000000001</v>
      </c>
      <c r="C6078" s="308">
        <v>3.1853482379253801</v>
      </c>
    </row>
    <row r="6079" spans="1:3" x14ac:dyDescent="0.35">
      <c r="A6079" s="305">
        <v>40087</v>
      </c>
      <c r="B6079" s="306">
        <v>186.75389999999999</v>
      </c>
      <c r="C6079" s="309">
        <v>3.19052357805875</v>
      </c>
    </row>
    <row r="6080" spans="1:3" x14ac:dyDescent="0.35">
      <c r="A6080" s="302">
        <v>40086</v>
      </c>
      <c r="B6080" s="303">
        <v>186.75139999999999</v>
      </c>
      <c r="C6080" s="308">
        <v>3.1956425517618299</v>
      </c>
    </row>
    <row r="6081" spans="1:3" x14ac:dyDescent="0.35">
      <c r="A6081" s="305">
        <v>40085</v>
      </c>
      <c r="B6081" s="306">
        <v>186.74889999999999</v>
      </c>
      <c r="C6081" s="309">
        <v>3.2008192010468801</v>
      </c>
    </row>
    <row r="6082" spans="1:3" x14ac:dyDescent="0.35">
      <c r="A6082" s="302">
        <v>40084</v>
      </c>
      <c r="B6082" s="303">
        <v>186.7465</v>
      </c>
      <c r="C6082" s="308">
        <v>3.2059947365337802</v>
      </c>
    </row>
    <row r="6083" spans="1:3" x14ac:dyDescent="0.35">
      <c r="A6083" s="305">
        <v>40083</v>
      </c>
      <c r="B6083" s="306">
        <v>186.744</v>
      </c>
      <c r="C6083" s="309">
        <v>3.2111726989801199</v>
      </c>
    </row>
    <row r="6084" spans="1:3" x14ac:dyDescent="0.35">
      <c r="A6084" s="302">
        <v>40082</v>
      </c>
      <c r="B6084" s="303">
        <v>186.7415</v>
      </c>
      <c r="C6084" s="308">
        <v>3.2162942696458399</v>
      </c>
    </row>
    <row r="6085" spans="1:3" x14ac:dyDescent="0.35">
      <c r="A6085" s="305">
        <v>40081</v>
      </c>
      <c r="B6085" s="306">
        <v>186.739</v>
      </c>
      <c r="C6085" s="309">
        <v>3.221473542239</v>
      </c>
    </row>
    <row r="6086" spans="1:3" x14ac:dyDescent="0.35">
      <c r="A6086" s="302">
        <v>40080</v>
      </c>
      <c r="B6086" s="303">
        <v>186.73650000000001</v>
      </c>
      <c r="C6086" s="308">
        <v>3.2265964103845399</v>
      </c>
    </row>
    <row r="6087" spans="1:3" x14ac:dyDescent="0.35">
      <c r="A6087" s="305">
        <v>40079</v>
      </c>
      <c r="B6087" s="306">
        <v>186.73400000000001</v>
      </c>
      <c r="C6087" s="309">
        <v>3.2317769936220202</v>
      </c>
    </row>
    <row r="6088" spans="1:3" x14ac:dyDescent="0.35">
      <c r="A6088" s="302">
        <v>40078</v>
      </c>
      <c r="B6088" s="303">
        <v>186.73150000000001</v>
      </c>
      <c r="C6088" s="308">
        <v>3.2369011597403099</v>
      </c>
    </row>
    <row r="6089" spans="1:3" x14ac:dyDescent="0.35">
      <c r="A6089" s="305">
        <v>40077</v>
      </c>
      <c r="B6089" s="306">
        <v>186.72900000000001</v>
      </c>
      <c r="C6089" s="309">
        <v>3.24202597181438</v>
      </c>
    </row>
    <row r="6090" spans="1:3" x14ac:dyDescent="0.35">
      <c r="A6090" s="302">
        <v>40076</v>
      </c>
      <c r="B6090" s="303">
        <v>186.72649999999999</v>
      </c>
      <c r="C6090" s="308">
        <v>3.2472085187040598</v>
      </c>
    </row>
    <row r="6091" spans="1:3" x14ac:dyDescent="0.35">
      <c r="A6091" s="305">
        <v>40075</v>
      </c>
      <c r="B6091" s="306">
        <v>186.72409999999999</v>
      </c>
      <c r="C6091" s="309">
        <v>3.2523899262562299</v>
      </c>
    </row>
    <row r="6092" spans="1:3" x14ac:dyDescent="0.35">
      <c r="A6092" s="302">
        <v>40074</v>
      </c>
      <c r="B6092" s="303">
        <v>186.7216</v>
      </c>
      <c r="C6092" s="308">
        <v>3.2575737885505198</v>
      </c>
    </row>
    <row r="6093" spans="1:3" x14ac:dyDescent="0.35">
      <c r="A6093" s="305">
        <v>40073</v>
      </c>
      <c r="B6093" s="306">
        <v>186.7191</v>
      </c>
      <c r="C6093" s="309">
        <v>3.26270120202744</v>
      </c>
    </row>
    <row r="6094" spans="1:3" x14ac:dyDescent="0.35">
      <c r="A6094" s="302">
        <v>40072</v>
      </c>
      <c r="B6094" s="303">
        <v>186.7166</v>
      </c>
      <c r="C6094" s="308">
        <v>3.2678863767089998</v>
      </c>
    </row>
    <row r="6095" spans="1:3" x14ac:dyDescent="0.35">
      <c r="A6095" s="305">
        <v>40071</v>
      </c>
      <c r="B6095" s="306">
        <v>186.7141</v>
      </c>
      <c r="C6095" s="309">
        <v>3.2730150898855399</v>
      </c>
    </row>
    <row r="6096" spans="1:3" x14ac:dyDescent="0.35">
      <c r="A6096" s="302">
        <v>40070</v>
      </c>
      <c r="B6096" s="303">
        <v>186.7165</v>
      </c>
      <c r="C6096" s="308">
        <v>3.2902820012535399</v>
      </c>
    </row>
    <row r="6097" spans="1:3" x14ac:dyDescent="0.35">
      <c r="A6097" s="305">
        <v>40069</v>
      </c>
      <c r="B6097" s="306">
        <v>186.71889999999999</v>
      </c>
      <c r="C6097" s="309">
        <v>3.30761140130585</v>
      </c>
    </row>
    <row r="6098" spans="1:3" x14ac:dyDescent="0.35">
      <c r="A6098" s="302">
        <v>40068</v>
      </c>
      <c r="B6098" s="303">
        <v>186.72130000000001</v>
      </c>
      <c r="C6098" s="308">
        <v>3.3248889951348199</v>
      </c>
    </row>
    <row r="6099" spans="1:3" x14ac:dyDescent="0.35">
      <c r="A6099" s="305">
        <v>40067</v>
      </c>
      <c r="B6099" s="306">
        <v>186.72370000000001</v>
      </c>
      <c r="C6099" s="309">
        <v>3.3421719247153501</v>
      </c>
    </row>
    <row r="6100" spans="1:3" x14ac:dyDescent="0.35">
      <c r="A6100" s="302">
        <v>40066</v>
      </c>
      <c r="B6100" s="303">
        <v>186.7261</v>
      </c>
      <c r="C6100" s="308">
        <v>3.35946019251953</v>
      </c>
    </row>
    <row r="6101" spans="1:3" x14ac:dyDescent="0.35">
      <c r="A6101" s="305">
        <v>40065</v>
      </c>
      <c r="B6101" s="306">
        <v>186.7285</v>
      </c>
      <c r="C6101" s="309">
        <v>3.3767538010209899</v>
      </c>
    </row>
    <row r="6102" spans="1:3" x14ac:dyDescent="0.35">
      <c r="A6102" s="302">
        <v>40064</v>
      </c>
      <c r="B6102" s="303">
        <v>186.73099999999999</v>
      </c>
      <c r="C6102" s="308">
        <v>3.3941081233125798</v>
      </c>
    </row>
    <row r="6103" spans="1:3" x14ac:dyDescent="0.35">
      <c r="A6103" s="305">
        <v>40063</v>
      </c>
      <c r="B6103" s="306">
        <v>186.73339999999999</v>
      </c>
      <c r="C6103" s="309">
        <v>3.4114124291908099</v>
      </c>
    </row>
    <row r="6104" spans="1:3" x14ac:dyDescent="0.35">
      <c r="A6104" s="302">
        <v>40062</v>
      </c>
      <c r="B6104" s="303">
        <v>186.73580000000001</v>
      </c>
      <c r="C6104" s="308">
        <v>3.4287220831990202</v>
      </c>
    </row>
    <row r="6105" spans="1:3" x14ac:dyDescent="0.35">
      <c r="A6105" s="305">
        <v>40061</v>
      </c>
      <c r="B6105" s="306">
        <v>186.73820000000001</v>
      </c>
      <c r="C6105" s="309">
        <v>3.4460370878169702</v>
      </c>
    </row>
    <row r="6106" spans="1:3" x14ac:dyDescent="0.35">
      <c r="A6106" s="302">
        <v>40060</v>
      </c>
      <c r="B6106" s="303">
        <v>186.7406</v>
      </c>
      <c r="C6106" s="308">
        <v>3.4633574455259502</v>
      </c>
    </row>
    <row r="6107" spans="1:3" x14ac:dyDescent="0.35">
      <c r="A6107" s="305">
        <v>40059</v>
      </c>
      <c r="B6107" s="306">
        <v>186.74299999999999</v>
      </c>
      <c r="C6107" s="309">
        <v>3.4806258166548298</v>
      </c>
    </row>
    <row r="6108" spans="1:3" x14ac:dyDescent="0.35">
      <c r="A6108" s="302">
        <v>40058</v>
      </c>
      <c r="B6108" s="303">
        <v>186.74539999999999</v>
      </c>
      <c r="C6108" s="308">
        <v>3.4979568695239598</v>
      </c>
    </row>
    <row r="6109" spans="1:3" x14ac:dyDescent="0.35">
      <c r="A6109" s="305">
        <v>40057</v>
      </c>
      <c r="B6109" s="306">
        <v>186.74780000000001</v>
      </c>
      <c r="C6109" s="309">
        <v>3.5152932829285102</v>
      </c>
    </row>
    <row r="6110" spans="1:3" x14ac:dyDescent="0.35">
      <c r="A6110" s="302">
        <v>40056</v>
      </c>
      <c r="B6110" s="303">
        <v>186.75020000000001</v>
      </c>
      <c r="C6110" s="308">
        <v>3.53257766182388</v>
      </c>
    </row>
    <row r="6111" spans="1:3" x14ac:dyDescent="0.35">
      <c r="A6111" s="305">
        <v>40055</v>
      </c>
      <c r="B6111" s="306">
        <v>186.7526</v>
      </c>
      <c r="C6111" s="309">
        <v>3.5499247852651199</v>
      </c>
    </row>
    <row r="6112" spans="1:3" x14ac:dyDescent="0.35">
      <c r="A6112" s="302">
        <v>40054</v>
      </c>
      <c r="B6112" s="303">
        <v>186.7551</v>
      </c>
      <c r="C6112" s="308">
        <v>3.5673327329272499</v>
      </c>
    </row>
    <row r="6113" spans="1:3" x14ac:dyDescent="0.35">
      <c r="A6113" s="305">
        <v>40053</v>
      </c>
      <c r="B6113" s="306">
        <v>186.75749999999999</v>
      </c>
      <c r="C6113" s="309">
        <v>3.58463315041049</v>
      </c>
    </row>
    <row r="6114" spans="1:3" x14ac:dyDescent="0.35">
      <c r="A6114" s="302">
        <v>40052</v>
      </c>
      <c r="B6114" s="303">
        <v>186.75989999999999</v>
      </c>
      <c r="C6114" s="308">
        <v>3.60199637537049</v>
      </c>
    </row>
    <row r="6115" spans="1:3" x14ac:dyDescent="0.35">
      <c r="A6115" s="305">
        <v>40051</v>
      </c>
      <c r="B6115" s="306">
        <v>186.76230000000001</v>
      </c>
      <c r="C6115" s="309">
        <v>3.6193074857869201</v>
      </c>
    </row>
    <row r="6116" spans="1:3" x14ac:dyDescent="0.35">
      <c r="A6116" s="302">
        <v>40050</v>
      </c>
      <c r="B6116" s="303">
        <v>186.7647</v>
      </c>
      <c r="C6116" s="308">
        <v>3.6366239371492699</v>
      </c>
    </row>
    <row r="6117" spans="1:3" x14ac:dyDescent="0.35">
      <c r="A6117" s="305">
        <v>40049</v>
      </c>
      <c r="B6117" s="306">
        <v>186.7671</v>
      </c>
      <c r="C6117" s="309">
        <v>3.6540032589053801</v>
      </c>
    </row>
    <row r="6118" spans="1:3" x14ac:dyDescent="0.35">
      <c r="A6118" s="302">
        <v>40048</v>
      </c>
      <c r="B6118" s="303">
        <v>186.76949999999999</v>
      </c>
      <c r="C6118" s="308">
        <v>3.6713304180724</v>
      </c>
    </row>
    <row r="6119" spans="1:3" x14ac:dyDescent="0.35">
      <c r="A6119" s="305">
        <v>40047</v>
      </c>
      <c r="B6119" s="306">
        <v>186.77189999999999</v>
      </c>
      <c r="C6119" s="309">
        <v>3.6886629256149499</v>
      </c>
    </row>
    <row r="6120" spans="1:3" x14ac:dyDescent="0.35">
      <c r="A6120" s="302">
        <v>40046</v>
      </c>
      <c r="B6120" s="303">
        <v>186.77430000000001</v>
      </c>
      <c r="C6120" s="308">
        <v>3.7060583665603</v>
      </c>
    </row>
    <row r="6121" spans="1:3" x14ac:dyDescent="0.35">
      <c r="A6121" s="305">
        <v>40045</v>
      </c>
      <c r="B6121" s="306">
        <v>186.77670000000001</v>
      </c>
      <c r="C6121" s="309">
        <v>3.7234015968066099</v>
      </c>
    </row>
    <row r="6122" spans="1:3" x14ac:dyDescent="0.35">
      <c r="A6122" s="302">
        <v>40044</v>
      </c>
      <c r="B6122" s="303">
        <v>186.7792</v>
      </c>
      <c r="C6122" s="308">
        <v>3.7408057248196398</v>
      </c>
    </row>
    <row r="6123" spans="1:3" x14ac:dyDescent="0.35">
      <c r="A6123" s="305">
        <v>40043</v>
      </c>
      <c r="B6123" s="306">
        <v>186.7816</v>
      </c>
      <c r="C6123" s="309">
        <v>3.7581596777625101</v>
      </c>
    </row>
    <row r="6124" spans="1:3" x14ac:dyDescent="0.35">
      <c r="A6124" s="302">
        <v>40042</v>
      </c>
      <c r="B6124" s="303">
        <v>186.78399999999999</v>
      </c>
      <c r="C6124" s="308">
        <v>3.7755189914911198</v>
      </c>
    </row>
    <row r="6125" spans="1:3" x14ac:dyDescent="0.35">
      <c r="A6125" s="305">
        <v>40041</v>
      </c>
      <c r="B6125" s="306">
        <v>186.78639999999999</v>
      </c>
      <c r="C6125" s="309">
        <v>3.7928836684898402</v>
      </c>
    </row>
    <row r="6126" spans="1:3" x14ac:dyDescent="0.35">
      <c r="A6126" s="302">
        <v>40040</v>
      </c>
      <c r="B6126" s="303">
        <v>186.78880000000001</v>
      </c>
      <c r="C6126" s="308">
        <v>3.81025371124458</v>
      </c>
    </row>
    <row r="6127" spans="1:3" x14ac:dyDescent="0.35">
      <c r="A6127" s="305">
        <v>40039</v>
      </c>
      <c r="B6127" s="306">
        <v>186.79239999999999</v>
      </c>
      <c r="C6127" s="309">
        <v>3.84093678564758</v>
      </c>
    </row>
    <row r="6128" spans="1:3" x14ac:dyDescent="0.35">
      <c r="A6128" s="302">
        <v>40038</v>
      </c>
      <c r="B6128" s="303">
        <v>186.79599999999999</v>
      </c>
      <c r="C6128" s="308">
        <v>3.8716368196137001</v>
      </c>
    </row>
    <row r="6129" spans="1:3" x14ac:dyDescent="0.35">
      <c r="A6129" s="305">
        <v>40037</v>
      </c>
      <c r="B6129" s="306">
        <v>186.7996</v>
      </c>
      <c r="C6129" s="309">
        <v>3.9022960342945101</v>
      </c>
    </row>
    <row r="6130" spans="1:3" x14ac:dyDescent="0.35">
      <c r="A6130" s="302">
        <v>40036</v>
      </c>
      <c r="B6130" s="303">
        <v>186.8032</v>
      </c>
      <c r="C6130" s="308">
        <v>3.9330299965170799</v>
      </c>
    </row>
    <row r="6131" spans="1:3" x14ac:dyDescent="0.35">
      <c r="A6131" s="305">
        <v>40035</v>
      </c>
      <c r="B6131" s="306">
        <v>186.80680000000001</v>
      </c>
      <c r="C6131" s="309">
        <v>3.9637231014789198</v>
      </c>
    </row>
    <row r="6132" spans="1:3" x14ac:dyDescent="0.35">
      <c r="A6132" s="302">
        <v>40034</v>
      </c>
      <c r="B6132" s="303">
        <v>186.81049999999999</v>
      </c>
      <c r="C6132" s="308">
        <v>3.99448882456092</v>
      </c>
    </row>
    <row r="6133" spans="1:3" x14ac:dyDescent="0.35">
      <c r="A6133" s="305">
        <v>40033</v>
      </c>
      <c r="B6133" s="306">
        <v>186.8141</v>
      </c>
      <c r="C6133" s="309">
        <v>4.0252737835446402</v>
      </c>
    </row>
    <row r="6134" spans="1:3" x14ac:dyDescent="0.35">
      <c r="A6134" s="302">
        <v>40032</v>
      </c>
      <c r="B6134" s="303">
        <v>186.8177</v>
      </c>
      <c r="C6134" s="308">
        <v>4.0560178282091002</v>
      </c>
    </row>
    <row r="6135" spans="1:3" x14ac:dyDescent="0.35">
      <c r="A6135" s="305">
        <v>40031</v>
      </c>
      <c r="B6135" s="306">
        <v>186.82130000000001</v>
      </c>
      <c r="C6135" s="309">
        <v>4.0867208732481899</v>
      </c>
    </row>
    <row r="6136" spans="1:3" x14ac:dyDescent="0.35">
      <c r="A6136" s="302">
        <v>40030</v>
      </c>
      <c r="B6136" s="303">
        <v>186.82490000000001</v>
      </c>
      <c r="C6136" s="308">
        <v>4.11749888261369</v>
      </c>
    </row>
    <row r="6137" spans="1:3" x14ac:dyDescent="0.35">
      <c r="A6137" s="305">
        <v>40029</v>
      </c>
      <c r="B6137" s="306">
        <v>186.82849999999999</v>
      </c>
      <c r="C6137" s="309">
        <v>4.1482939120449096</v>
      </c>
    </row>
    <row r="6138" spans="1:3" x14ac:dyDescent="0.35">
      <c r="A6138" s="302">
        <v>40028</v>
      </c>
      <c r="B6138" s="303">
        <v>186.8322</v>
      </c>
      <c r="C6138" s="308">
        <v>4.1791036453614003</v>
      </c>
    </row>
    <row r="6139" spans="1:3" x14ac:dyDescent="0.35">
      <c r="A6139" s="305">
        <v>40027</v>
      </c>
      <c r="B6139" s="306">
        <v>186.83580000000001</v>
      </c>
      <c r="C6139" s="309">
        <v>4.20993273946541</v>
      </c>
    </row>
    <row r="6140" spans="1:3" x14ac:dyDescent="0.35">
      <c r="A6140" s="302">
        <v>40026</v>
      </c>
      <c r="B6140" s="303">
        <v>186.83940000000001</v>
      </c>
      <c r="C6140" s="308">
        <v>4.2407207384132004</v>
      </c>
    </row>
    <row r="6141" spans="1:3" x14ac:dyDescent="0.35">
      <c r="A6141" s="305">
        <v>40025</v>
      </c>
      <c r="B6141" s="306">
        <v>186.84299999999999</v>
      </c>
      <c r="C6141" s="309">
        <v>4.27152574740958</v>
      </c>
    </row>
    <row r="6142" spans="1:3" x14ac:dyDescent="0.35">
      <c r="A6142" s="302">
        <v>40024</v>
      </c>
      <c r="B6142" s="303">
        <v>186.8466</v>
      </c>
      <c r="C6142" s="308">
        <v>4.3023477805552499</v>
      </c>
    </row>
    <row r="6143" spans="1:3" x14ac:dyDescent="0.35">
      <c r="A6143" s="305">
        <v>40023</v>
      </c>
      <c r="B6143" s="306">
        <v>186.8502</v>
      </c>
      <c r="C6143" s="309">
        <v>4.3331285945613898</v>
      </c>
    </row>
    <row r="6144" spans="1:3" x14ac:dyDescent="0.35">
      <c r="A6144" s="302">
        <v>40022</v>
      </c>
      <c r="B6144" s="303">
        <v>186.85390000000001</v>
      </c>
      <c r="C6144" s="308">
        <v>4.3640405383139598</v>
      </c>
    </row>
    <row r="6145" spans="1:3" x14ac:dyDescent="0.35">
      <c r="A6145" s="305">
        <v>40021</v>
      </c>
      <c r="B6145" s="306">
        <v>186.85749999999999</v>
      </c>
      <c r="C6145" s="309">
        <v>4.3949137107452296</v>
      </c>
    </row>
    <row r="6146" spans="1:3" x14ac:dyDescent="0.35">
      <c r="A6146" s="302">
        <v>40020</v>
      </c>
      <c r="B6146" s="303">
        <v>186.86109999999999</v>
      </c>
      <c r="C6146" s="308">
        <v>4.42574560638778</v>
      </c>
    </row>
    <row r="6147" spans="1:3" x14ac:dyDescent="0.35">
      <c r="A6147" s="305">
        <v>40019</v>
      </c>
      <c r="B6147" s="306">
        <v>186.8647</v>
      </c>
      <c r="C6147" s="309">
        <v>4.4565945301136702</v>
      </c>
    </row>
    <row r="6148" spans="1:3" x14ac:dyDescent="0.35">
      <c r="A6148" s="302">
        <v>40018</v>
      </c>
      <c r="B6148" s="303">
        <v>186.8683</v>
      </c>
      <c r="C6148" s="308">
        <v>4.4874604960333899</v>
      </c>
    </row>
    <row r="6149" spans="1:3" x14ac:dyDescent="0.35">
      <c r="A6149" s="305">
        <v>40017</v>
      </c>
      <c r="B6149" s="306">
        <v>186.87200000000001</v>
      </c>
      <c r="C6149" s="309">
        <v>4.5183994487492303</v>
      </c>
    </row>
    <row r="6150" spans="1:3" x14ac:dyDescent="0.35">
      <c r="A6150" s="302">
        <v>40016</v>
      </c>
      <c r="B6150" s="303">
        <v>186.87559999999999</v>
      </c>
      <c r="C6150" s="308">
        <v>4.5492995569082</v>
      </c>
    </row>
    <row r="6151" spans="1:3" x14ac:dyDescent="0.35">
      <c r="A6151" s="305">
        <v>40015</v>
      </c>
      <c r="B6151" s="306">
        <v>186.8792</v>
      </c>
      <c r="C6151" s="309">
        <v>4.5802167496947304</v>
      </c>
    </row>
    <row r="6152" spans="1:3" x14ac:dyDescent="0.35">
      <c r="A6152" s="302">
        <v>40014</v>
      </c>
      <c r="B6152" s="303">
        <v>186.8828</v>
      </c>
      <c r="C6152" s="308">
        <v>4.6110924832615199</v>
      </c>
    </row>
    <row r="6153" spans="1:3" x14ac:dyDescent="0.35">
      <c r="A6153" s="305">
        <v>40013</v>
      </c>
      <c r="B6153" s="306">
        <v>186.88640000000001</v>
      </c>
      <c r="C6153" s="309">
        <v>4.6420438543102103</v>
      </c>
    </row>
    <row r="6154" spans="1:3" x14ac:dyDescent="0.35">
      <c r="A6154" s="302">
        <v>40012</v>
      </c>
      <c r="B6154" s="303">
        <v>186.89</v>
      </c>
      <c r="C6154" s="308">
        <v>4.67295372748627</v>
      </c>
    </row>
    <row r="6155" spans="1:3" x14ac:dyDescent="0.35">
      <c r="A6155" s="305">
        <v>40011</v>
      </c>
      <c r="B6155" s="306">
        <v>186.8937</v>
      </c>
      <c r="C6155" s="309">
        <v>4.7039366982021598</v>
      </c>
    </row>
    <row r="6156" spans="1:3" x14ac:dyDescent="0.35">
      <c r="A6156" s="302">
        <v>40010</v>
      </c>
      <c r="B6156" s="303">
        <v>186.8973</v>
      </c>
      <c r="C6156" s="308">
        <v>4.7348807495741099</v>
      </c>
    </row>
    <row r="6157" spans="1:3" x14ac:dyDescent="0.35">
      <c r="A6157" s="305">
        <v>40009</v>
      </c>
      <c r="B6157" s="306">
        <v>186.90090000000001</v>
      </c>
      <c r="C6157" s="309">
        <v>4.7658419035564696</v>
      </c>
    </row>
    <row r="6158" spans="1:3" x14ac:dyDescent="0.35">
      <c r="A6158" s="302">
        <v>40008</v>
      </c>
      <c r="B6158" s="303">
        <v>186.90029999999999</v>
      </c>
      <c r="C6158" s="308">
        <v>4.7978145569481798</v>
      </c>
    </row>
    <row r="6159" spans="1:3" x14ac:dyDescent="0.35">
      <c r="A6159" s="305">
        <v>40007</v>
      </c>
      <c r="B6159" s="306">
        <v>186.89959999999999</v>
      </c>
      <c r="C6159" s="309">
        <v>4.8297508479225</v>
      </c>
    </row>
    <row r="6160" spans="1:3" x14ac:dyDescent="0.35">
      <c r="A6160" s="302">
        <v>40006</v>
      </c>
      <c r="B6160" s="303">
        <v>186.899</v>
      </c>
      <c r="C6160" s="308">
        <v>4.8617629550416099</v>
      </c>
    </row>
    <row r="6161" spans="1:3" x14ac:dyDescent="0.35">
      <c r="A6161" s="305">
        <v>40005</v>
      </c>
      <c r="B6161" s="306">
        <v>186.89840000000001</v>
      </c>
      <c r="C6161" s="309">
        <v>4.8937948250829102</v>
      </c>
    </row>
    <row r="6162" spans="1:3" x14ac:dyDescent="0.35">
      <c r="A6162" s="302">
        <v>40004</v>
      </c>
      <c r="B6162" s="303">
        <v>186.89779999999999</v>
      </c>
      <c r="C6162" s="308">
        <v>4.9258464763532297</v>
      </c>
    </row>
    <row r="6163" spans="1:3" x14ac:dyDescent="0.35">
      <c r="A6163" s="305">
        <v>40003</v>
      </c>
      <c r="B6163" s="306">
        <v>186.8972</v>
      </c>
      <c r="C6163" s="309">
        <v>4.9579179271820397</v>
      </c>
    </row>
    <row r="6164" spans="1:3" x14ac:dyDescent="0.35">
      <c r="A6164" s="302">
        <v>40002</v>
      </c>
      <c r="B6164" s="303">
        <v>186.8965</v>
      </c>
      <c r="C6164" s="308">
        <v>4.9898940419225903</v>
      </c>
    </row>
    <row r="6165" spans="1:3" x14ac:dyDescent="0.35">
      <c r="A6165" s="305">
        <v>40001</v>
      </c>
      <c r="B6165" s="306">
        <v>186.89590000000001</v>
      </c>
      <c r="C6165" s="309">
        <v>5.0219460785608403</v>
      </c>
    </row>
    <row r="6166" spans="1:3" x14ac:dyDescent="0.35">
      <c r="A6166" s="302">
        <v>40000</v>
      </c>
      <c r="B6166" s="303">
        <v>186.89529999999999</v>
      </c>
      <c r="C6166" s="308">
        <v>5.0540178972929199</v>
      </c>
    </row>
    <row r="6167" spans="1:3" x14ac:dyDescent="0.35">
      <c r="A6167" s="305">
        <v>39999</v>
      </c>
      <c r="B6167" s="306">
        <v>186.8947</v>
      </c>
      <c r="C6167" s="309">
        <v>5.0861095164383698</v>
      </c>
    </row>
    <row r="6168" spans="1:3" x14ac:dyDescent="0.35">
      <c r="A6168" s="302">
        <v>39998</v>
      </c>
      <c r="B6168" s="303">
        <v>186.89400000000001</v>
      </c>
      <c r="C6168" s="308">
        <v>5.1181647095349598</v>
      </c>
    </row>
    <row r="6169" spans="1:3" x14ac:dyDescent="0.35">
      <c r="A6169" s="305">
        <v>39997</v>
      </c>
      <c r="B6169" s="306">
        <v>186.89340000000001</v>
      </c>
      <c r="C6169" s="309">
        <v>5.1502368073707903</v>
      </c>
    </row>
    <row r="6170" spans="1:3" x14ac:dyDescent="0.35">
      <c r="A6170" s="302">
        <v>39996</v>
      </c>
      <c r="B6170" s="303">
        <v>186.89279999999999</v>
      </c>
      <c r="C6170" s="308">
        <v>5.18238788414296</v>
      </c>
    </row>
    <row r="6171" spans="1:3" x14ac:dyDescent="0.35">
      <c r="A6171" s="305">
        <v>39995</v>
      </c>
      <c r="B6171" s="306">
        <v>186.8922</v>
      </c>
      <c r="C6171" s="309">
        <v>5.2144996022624603</v>
      </c>
    </row>
    <row r="6172" spans="1:3" x14ac:dyDescent="0.35">
      <c r="A6172" s="302">
        <v>39994</v>
      </c>
      <c r="B6172" s="303">
        <v>186.89150000000001</v>
      </c>
      <c r="C6172" s="308">
        <v>5.2465748256087998</v>
      </c>
    </row>
    <row r="6173" spans="1:3" x14ac:dyDescent="0.35">
      <c r="A6173" s="305">
        <v>39993</v>
      </c>
      <c r="B6173" s="306">
        <v>186.89089999999999</v>
      </c>
      <c r="C6173" s="309">
        <v>5.2787261836828598</v>
      </c>
    </row>
    <row r="6174" spans="1:3" x14ac:dyDescent="0.35">
      <c r="A6174" s="302">
        <v>39992</v>
      </c>
      <c r="B6174" s="303">
        <v>186.8903</v>
      </c>
      <c r="C6174" s="308">
        <v>5.3108380563197102</v>
      </c>
    </row>
    <row r="6175" spans="1:3" x14ac:dyDescent="0.35">
      <c r="A6175" s="305">
        <v>39991</v>
      </c>
      <c r="B6175" s="306">
        <v>186.8897</v>
      </c>
      <c r="C6175" s="309">
        <v>5.3430291087454798</v>
      </c>
    </row>
    <row r="6176" spans="1:3" x14ac:dyDescent="0.35">
      <c r="A6176" s="302">
        <v>39990</v>
      </c>
      <c r="B6176" s="303">
        <v>186.88910000000001</v>
      </c>
      <c r="C6176" s="308">
        <v>5.3751806396065804</v>
      </c>
    </row>
    <row r="6177" spans="1:3" x14ac:dyDescent="0.35">
      <c r="A6177" s="305">
        <v>39989</v>
      </c>
      <c r="B6177" s="306">
        <v>186.88839999999999</v>
      </c>
      <c r="C6177" s="309">
        <v>5.4072956077003402</v>
      </c>
    </row>
    <row r="6178" spans="1:3" x14ac:dyDescent="0.35">
      <c r="A6178" s="302">
        <v>39988</v>
      </c>
      <c r="B6178" s="303">
        <v>186.8878</v>
      </c>
      <c r="C6178" s="308">
        <v>5.4395463039023602</v>
      </c>
    </row>
    <row r="6179" spans="1:3" x14ac:dyDescent="0.35">
      <c r="A6179" s="305">
        <v>39987</v>
      </c>
      <c r="B6179" s="306">
        <v>186.88720000000001</v>
      </c>
      <c r="C6179" s="309">
        <v>5.4716979002414297</v>
      </c>
    </row>
    <row r="6180" spans="1:3" x14ac:dyDescent="0.35">
      <c r="A6180" s="302">
        <v>39986</v>
      </c>
      <c r="B6180" s="303">
        <v>186.88659999999999</v>
      </c>
      <c r="C6180" s="308">
        <v>5.5039288776885202</v>
      </c>
    </row>
    <row r="6181" spans="1:3" x14ac:dyDescent="0.35">
      <c r="A6181" s="305">
        <v>39985</v>
      </c>
      <c r="B6181" s="306">
        <v>186.88589999999999</v>
      </c>
      <c r="C6181" s="309">
        <v>5.5361232962733702</v>
      </c>
    </row>
    <row r="6182" spans="1:3" x14ac:dyDescent="0.35">
      <c r="A6182" s="302">
        <v>39984</v>
      </c>
      <c r="B6182" s="303">
        <v>186.8853</v>
      </c>
      <c r="C6182" s="308">
        <v>5.5683344649823399</v>
      </c>
    </row>
    <row r="6183" spans="1:3" x14ac:dyDescent="0.35">
      <c r="A6183" s="305">
        <v>39983</v>
      </c>
      <c r="B6183" s="306">
        <v>186.88470000000001</v>
      </c>
      <c r="C6183" s="309">
        <v>5.6005655093539604</v>
      </c>
    </row>
    <row r="6184" spans="1:3" x14ac:dyDescent="0.35">
      <c r="A6184" s="302">
        <v>39982</v>
      </c>
      <c r="B6184" s="303">
        <v>186.88409999999999</v>
      </c>
      <c r="C6184" s="308">
        <v>5.6328164477901099</v>
      </c>
    </row>
    <row r="6185" spans="1:3" x14ac:dyDescent="0.35">
      <c r="A6185" s="305">
        <v>39981</v>
      </c>
      <c r="B6185" s="306">
        <v>186.88339999999999</v>
      </c>
      <c r="C6185" s="309">
        <v>5.6650307580966199</v>
      </c>
    </row>
    <row r="6186" spans="1:3" x14ac:dyDescent="0.35">
      <c r="A6186" s="302">
        <v>39980</v>
      </c>
      <c r="B6186" s="303">
        <v>186.8828</v>
      </c>
      <c r="C6186" s="308">
        <v>5.6973215224982399</v>
      </c>
    </row>
    <row r="6187" spans="1:3" x14ac:dyDescent="0.35">
      <c r="A6187" s="305">
        <v>39979</v>
      </c>
      <c r="B6187" s="306">
        <v>186.88220000000001</v>
      </c>
      <c r="C6187" s="309">
        <v>5.7295724192087496</v>
      </c>
    </row>
    <row r="6188" spans="1:3" x14ac:dyDescent="0.35">
      <c r="A6188" s="302">
        <v>39978</v>
      </c>
      <c r="B6188" s="303">
        <v>186.863</v>
      </c>
      <c r="C6188" s="308">
        <v>5.7428192124476398</v>
      </c>
    </row>
    <row r="6189" spans="1:3" x14ac:dyDescent="0.35">
      <c r="A6189" s="305">
        <v>39977</v>
      </c>
      <c r="B6189" s="306">
        <v>186.84370000000001</v>
      </c>
      <c r="C6189" s="309">
        <v>5.7560154476344296</v>
      </c>
    </row>
    <row r="6190" spans="1:3" x14ac:dyDescent="0.35">
      <c r="A6190" s="302">
        <v>39976</v>
      </c>
      <c r="B6190" s="303">
        <v>186.8244</v>
      </c>
      <c r="C6190" s="308">
        <v>5.7692775848803697</v>
      </c>
    </row>
    <row r="6191" spans="1:3" x14ac:dyDescent="0.35">
      <c r="A6191" s="305">
        <v>39975</v>
      </c>
      <c r="B6191" s="306">
        <v>186.80520000000001</v>
      </c>
      <c r="C6191" s="309">
        <v>5.7825425156970596</v>
      </c>
    </row>
    <row r="6192" spans="1:3" x14ac:dyDescent="0.35">
      <c r="A6192" s="302">
        <v>39974</v>
      </c>
      <c r="B6192" s="303">
        <v>186.7859</v>
      </c>
      <c r="C6192" s="308">
        <v>5.7957568620920696</v>
      </c>
    </row>
    <row r="6193" spans="1:3" x14ac:dyDescent="0.35">
      <c r="A6193" s="305">
        <v>39973</v>
      </c>
      <c r="B6193" s="306">
        <v>186.76669999999999</v>
      </c>
      <c r="C6193" s="309">
        <v>5.8090338955204404</v>
      </c>
    </row>
    <row r="6194" spans="1:3" x14ac:dyDescent="0.35">
      <c r="A6194" s="302">
        <v>39972</v>
      </c>
      <c r="B6194" s="303">
        <v>186.7474</v>
      </c>
      <c r="C6194" s="308">
        <v>5.8222003617554696</v>
      </c>
    </row>
    <row r="6195" spans="1:3" x14ac:dyDescent="0.35">
      <c r="A6195" s="305">
        <v>39971</v>
      </c>
      <c r="B6195" s="306">
        <v>186.72819999999999</v>
      </c>
      <c r="C6195" s="309">
        <v>5.8354894931489403</v>
      </c>
    </row>
    <row r="6196" spans="1:3" x14ac:dyDescent="0.35">
      <c r="A6196" s="302">
        <v>39970</v>
      </c>
      <c r="B6196" s="303">
        <v>186.709</v>
      </c>
      <c r="C6196" s="308">
        <v>5.848784696829</v>
      </c>
    </row>
    <row r="6197" spans="1:3" x14ac:dyDescent="0.35">
      <c r="A6197" s="305">
        <v>39969</v>
      </c>
      <c r="B6197" s="306">
        <v>186.68969999999999</v>
      </c>
      <c r="C6197" s="309">
        <v>5.8619692433315196</v>
      </c>
    </row>
    <row r="6198" spans="1:3" x14ac:dyDescent="0.35">
      <c r="A6198" s="302">
        <v>39968</v>
      </c>
      <c r="B6198" s="303">
        <v>186.6705</v>
      </c>
      <c r="C6198" s="308">
        <v>5.8752765698476104</v>
      </c>
    </row>
    <row r="6199" spans="1:3" x14ac:dyDescent="0.35">
      <c r="A6199" s="305">
        <v>39967</v>
      </c>
      <c r="B6199" s="306">
        <v>186.65119999999999</v>
      </c>
      <c r="C6199" s="309">
        <v>5.8884731791582903</v>
      </c>
    </row>
    <row r="6200" spans="1:3" x14ac:dyDescent="0.35">
      <c r="A6200" s="302">
        <v>39966</v>
      </c>
      <c r="B6200" s="303">
        <v>186.63200000000001</v>
      </c>
      <c r="C6200" s="308">
        <v>5.90173255261693</v>
      </c>
    </row>
    <row r="6201" spans="1:3" x14ac:dyDescent="0.35">
      <c r="A6201" s="305">
        <v>39965</v>
      </c>
      <c r="B6201" s="306">
        <v>186.61279999999999</v>
      </c>
      <c r="C6201" s="309">
        <v>5.9149979766287899</v>
      </c>
    </row>
    <row r="6202" spans="1:3" x14ac:dyDescent="0.35">
      <c r="A6202" s="302">
        <v>39964</v>
      </c>
      <c r="B6202" s="303">
        <v>186.59350000000001</v>
      </c>
      <c r="C6202" s="308">
        <v>5.9282126858278898</v>
      </c>
    </row>
    <row r="6203" spans="1:3" x14ac:dyDescent="0.35">
      <c r="A6203" s="305">
        <v>39963</v>
      </c>
      <c r="B6203" s="306">
        <v>186.57429999999999</v>
      </c>
      <c r="C6203" s="309">
        <v>5.9414902104187899</v>
      </c>
    </row>
    <row r="6204" spans="1:3" x14ac:dyDescent="0.35">
      <c r="A6204" s="302">
        <v>39962</v>
      </c>
      <c r="B6204" s="303">
        <v>186.55510000000001</v>
      </c>
      <c r="C6204" s="308">
        <v>5.9547737979956903</v>
      </c>
    </row>
    <row r="6205" spans="1:3" x14ac:dyDescent="0.35">
      <c r="A6205" s="305">
        <v>39961</v>
      </c>
      <c r="B6205" s="306">
        <v>186.5359</v>
      </c>
      <c r="C6205" s="309">
        <v>5.9680634527123999</v>
      </c>
    </row>
    <row r="6206" spans="1:3" x14ac:dyDescent="0.35">
      <c r="A6206" s="302">
        <v>39960</v>
      </c>
      <c r="B6206" s="303">
        <v>186.51660000000001</v>
      </c>
      <c r="C6206" s="308">
        <v>5.9813023573485102</v>
      </c>
    </row>
    <row r="6207" spans="1:3" x14ac:dyDescent="0.35">
      <c r="A6207" s="305">
        <v>39959</v>
      </c>
      <c r="B6207" s="306">
        <v>186.4974</v>
      </c>
      <c r="C6207" s="309">
        <v>5.9945439045183297</v>
      </c>
    </row>
    <row r="6208" spans="1:3" x14ac:dyDescent="0.35">
      <c r="A6208" s="302">
        <v>39958</v>
      </c>
      <c r="B6208" s="303">
        <v>186.47819999999999</v>
      </c>
      <c r="C6208" s="308">
        <v>6.00785175129527</v>
      </c>
    </row>
    <row r="6209" spans="1:3" x14ac:dyDescent="0.35">
      <c r="A6209" s="305">
        <v>39957</v>
      </c>
      <c r="B6209" s="306">
        <v>186.459</v>
      </c>
      <c r="C6209" s="309">
        <v>6.0211053979167497</v>
      </c>
    </row>
    <row r="6210" spans="1:3" x14ac:dyDescent="0.35">
      <c r="A6210" s="302">
        <v>39956</v>
      </c>
      <c r="B6210" s="303">
        <v>186.43979999999999</v>
      </c>
      <c r="C6210" s="308">
        <v>6.0344253950560098</v>
      </c>
    </row>
    <row r="6211" spans="1:3" x14ac:dyDescent="0.35">
      <c r="A6211" s="305">
        <v>39955</v>
      </c>
      <c r="B6211" s="306">
        <v>186.4205</v>
      </c>
      <c r="C6211" s="309">
        <v>6.0476342714634699</v>
      </c>
    </row>
    <row r="6212" spans="1:3" x14ac:dyDescent="0.35">
      <c r="A6212" s="302">
        <v>39954</v>
      </c>
      <c r="B6212" s="303">
        <v>186.40129999999999</v>
      </c>
      <c r="C6212" s="308">
        <v>6.06090607473259</v>
      </c>
    </row>
    <row r="6213" spans="1:3" x14ac:dyDescent="0.35">
      <c r="A6213" s="305">
        <v>39953</v>
      </c>
      <c r="B6213" s="306">
        <v>186.38210000000001</v>
      </c>
      <c r="C6213" s="309">
        <v>6.0741839357301703</v>
      </c>
    </row>
    <row r="6214" spans="1:3" x14ac:dyDescent="0.35">
      <c r="A6214" s="302">
        <v>39952</v>
      </c>
      <c r="B6214" s="303">
        <v>186.3629</v>
      </c>
      <c r="C6214" s="308">
        <v>6.0874678586046196</v>
      </c>
    </row>
    <row r="6215" spans="1:3" x14ac:dyDescent="0.35">
      <c r="A6215" s="305">
        <v>39951</v>
      </c>
      <c r="B6215" s="306">
        <v>186.34370000000001</v>
      </c>
      <c r="C6215" s="309">
        <v>6.1007578475080999</v>
      </c>
    </row>
    <row r="6216" spans="1:3" x14ac:dyDescent="0.35">
      <c r="A6216" s="302">
        <v>39950</v>
      </c>
      <c r="B6216" s="303">
        <v>186.3245</v>
      </c>
      <c r="C6216" s="308">
        <v>6.1140539065965998</v>
      </c>
    </row>
    <row r="6217" spans="1:3" x14ac:dyDescent="0.35">
      <c r="A6217" s="305">
        <v>39949</v>
      </c>
      <c r="B6217" s="306">
        <v>186.30529999999999</v>
      </c>
      <c r="C6217" s="309">
        <v>6.1272955854465598</v>
      </c>
    </row>
    <row r="6218" spans="1:3" x14ac:dyDescent="0.35">
      <c r="A6218" s="302">
        <v>39948</v>
      </c>
      <c r="B6218" s="303">
        <v>186.2861</v>
      </c>
      <c r="C6218" s="308">
        <v>6.1406037759930001</v>
      </c>
    </row>
    <row r="6219" spans="1:3" x14ac:dyDescent="0.35">
      <c r="A6219" s="305">
        <v>39947</v>
      </c>
      <c r="B6219" s="306">
        <v>186.2551</v>
      </c>
      <c r="C6219" s="309">
        <v>6.15148841683878</v>
      </c>
    </row>
    <row r="6220" spans="1:3" x14ac:dyDescent="0.35">
      <c r="A6220" s="302">
        <v>39946</v>
      </c>
      <c r="B6220" s="303">
        <v>186.2242</v>
      </c>
      <c r="C6220" s="308">
        <v>6.1624359231625201</v>
      </c>
    </row>
    <row r="6221" spans="1:3" x14ac:dyDescent="0.35">
      <c r="A6221" s="305">
        <v>39945</v>
      </c>
      <c r="B6221" s="306">
        <v>186.19319999999999</v>
      </c>
      <c r="C6221" s="309">
        <v>6.1732717559088801</v>
      </c>
    </row>
    <row r="6222" spans="1:3" x14ac:dyDescent="0.35">
      <c r="A6222" s="302">
        <v>39944</v>
      </c>
      <c r="B6222" s="303">
        <v>186.16229999999999</v>
      </c>
      <c r="C6222" s="308">
        <v>6.1842310151545696</v>
      </c>
    </row>
    <row r="6223" spans="1:3" x14ac:dyDescent="0.35">
      <c r="A6223" s="305">
        <v>39943</v>
      </c>
      <c r="B6223" s="306">
        <v>186.13130000000001</v>
      </c>
      <c r="C6223" s="309">
        <v>6.1950785346288404</v>
      </c>
    </row>
    <row r="6224" spans="1:3" x14ac:dyDescent="0.35">
      <c r="A6224" s="302">
        <v>39942</v>
      </c>
      <c r="B6224" s="303">
        <v>186.10040000000001</v>
      </c>
      <c r="C6224" s="308">
        <v>6.2060495657602903</v>
      </c>
    </row>
    <row r="6225" spans="1:3" x14ac:dyDescent="0.35">
      <c r="A6225" s="305">
        <v>39941</v>
      </c>
      <c r="B6225" s="306">
        <v>186.0694</v>
      </c>
      <c r="C6225" s="309">
        <v>6.2169087908518597</v>
      </c>
    </row>
    <row r="6226" spans="1:3" x14ac:dyDescent="0.35">
      <c r="A6226" s="302">
        <v>39940</v>
      </c>
      <c r="B6226" s="303">
        <v>186.0385</v>
      </c>
      <c r="C6226" s="308">
        <v>6.2278309568347501</v>
      </c>
    </row>
    <row r="6227" spans="1:3" x14ac:dyDescent="0.35">
      <c r="A6227" s="305">
        <v>39939</v>
      </c>
      <c r="B6227" s="306">
        <v>186.0076</v>
      </c>
      <c r="C6227" s="309">
        <v>6.2387589992260901</v>
      </c>
    </row>
    <row r="6228" spans="1:3" x14ac:dyDescent="0.35">
      <c r="A6228" s="302">
        <v>39938</v>
      </c>
      <c r="B6228" s="303">
        <v>185.97669999999999</v>
      </c>
      <c r="C6228" s="308">
        <v>6.2496322216667899</v>
      </c>
    </row>
    <row r="6229" spans="1:3" x14ac:dyDescent="0.35">
      <c r="A6229" s="305">
        <v>39937</v>
      </c>
      <c r="B6229" s="306">
        <v>185.94569999999999</v>
      </c>
      <c r="C6229" s="309">
        <v>6.2605148625296003</v>
      </c>
    </row>
    <row r="6230" spans="1:3" x14ac:dyDescent="0.35">
      <c r="A6230" s="302">
        <v>39936</v>
      </c>
      <c r="B6230" s="303">
        <v>185.91480000000001</v>
      </c>
      <c r="C6230" s="308">
        <v>6.2713997784426301</v>
      </c>
    </row>
    <row r="6231" spans="1:3" x14ac:dyDescent="0.35">
      <c r="A6231" s="305">
        <v>39935</v>
      </c>
      <c r="B6231" s="306">
        <v>185.88390000000001</v>
      </c>
      <c r="C6231" s="309">
        <v>6.2823513133210902</v>
      </c>
    </row>
    <row r="6232" spans="1:3" x14ac:dyDescent="0.35">
      <c r="A6232" s="302">
        <v>39934</v>
      </c>
      <c r="B6232" s="303">
        <v>185.85300000000001</v>
      </c>
      <c r="C6232" s="308">
        <v>6.2932479569549296</v>
      </c>
    </row>
    <row r="6233" spans="1:3" x14ac:dyDescent="0.35">
      <c r="A6233" s="305">
        <v>39933</v>
      </c>
      <c r="B6233" s="306">
        <v>185.82210000000001</v>
      </c>
      <c r="C6233" s="309">
        <v>6.3041504602628198</v>
      </c>
    </row>
    <row r="6234" spans="1:3" x14ac:dyDescent="0.35">
      <c r="A6234" s="302">
        <v>39932</v>
      </c>
      <c r="B6234" s="303">
        <v>185.7912</v>
      </c>
      <c r="C6234" s="308">
        <v>6.3150588279726003</v>
      </c>
    </row>
    <row r="6235" spans="1:3" x14ac:dyDescent="0.35">
      <c r="A6235" s="305">
        <v>39931</v>
      </c>
      <c r="B6235" s="306">
        <v>185.7603</v>
      </c>
      <c r="C6235" s="309">
        <v>6.3259730648171804</v>
      </c>
    </row>
    <row r="6236" spans="1:3" x14ac:dyDescent="0.35">
      <c r="A6236" s="302">
        <v>39930</v>
      </c>
      <c r="B6236" s="303">
        <v>185.7295</v>
      </c>
      <c r="C6236" s="308">
        <v>6.3369504292021199</v>
      </c>
    </row>
    <row r="6237" spans="1:3" x14ac:dyDescent="0.35">
      <c r="A6237" s="305">
        <v>39929</v>
      </c>
      <c r="B6237" s="306">
        <v>185.6986</v>
      </c>
      <c r="C6237" s="309">
        <v>6.3478155295325003</v>
      </c>
    </row>
    <row r="6238" spans="1:3" x14ac:dyDescent="0.35">
      <c r="A6238" s="302">
        <v>39928</v>
      </c>
      <c r="B6238" s="303">
        <v>185.6677</v>
      </c>
      <c r="C6238" s="308">
        <v>6.3587473949889803</v>
      </c>
    </row>
    <row r="6239" spans="1:3" x14ac:dyDescent="0.35">
      <c r="A6239" s="305">
        <v>39927</v>
      </c>
      <c r="B6239" s="306">
        <v>185.6369</v>
      </c>
      <c r="C6239" s="309">
        <v>6.36968149873511</v>
      </c>
    </row>
    <row r="6240" spans="1:3" x14ac:dyDescent="0.35">
      <c r="A6240" s="302">
        <v>39926</v>
      </c>
      <c r="B6240" s="303">
        <v>185.60599999999999</v>
      </c>
      <c r="C6240" s="308">
        <v>6.3806251379149304</v>
      </c>
    </row>
    <row r="6241" spans="1:3" x14ac:dyDescent="0.35">
      <c r="A6241" s="305">
        <v>39925</v>
      </c>
      <c r="B6241" s="306">
        <v>185.57509999999999</v>
      </c>
      <c r="C6241" s="309">
        <v>6.3915136796795897</v>
      </c>
    </row>
    <row r="6242" spans="1:3" x14ac:dyDescent="0.35">
      <c r="A6242" s="302">
        <v>39924</v>
      </c>
      <c r="B6242" s="303">
        <v>185.54429999999999</v>
      </c>
      <c r="C6242" s="308">
        <v>6.4024654245878398</v>
      </c>
    </row>
    <row r="6243" spans="1:3" x14ac:dyDescent="0.35">
      <c r="A6243" s="305">
        <v>39923</v>
      </c>
      <c r="B6243" s="306">
        <v>185.51339999999999</v>
      </c>
      <c r="C6243" s="309">
        <v>6.4133657005451603</v>
      </c>
    </row>
    <row r="6244" spans="1:3" x14ac:dyDescent="0.35">
      <c r="A6244" s="302">
        <v>39922</v>
      </c>
      <c r="B6244" s="303">
        <v>185.48259999999999</v>
      </c>
      <c r="C6244" s="308">
        <v>6.4242681569374502</v>
      </c>
    </row>
    <row r="6245" spans="1:3" x14ac:dyDescent="0.35">
      <c r="A6245" s="305">
        <v>39921</v>
      </c>
      <c r="B6245" s="306">
        <v>185.45179999999999</v>
      </c>
      <c r="C6245" s="309">
        <v>6.4352375557495396</v>
      </c>
    </row>
    <row r="6246" spans="1:3" x14ac:dyDescent="0.35">
      <c r="A6246" s="302">
        <v>39920</v>
      </c>
      <c r="B6246" s="303">
        <v>185.42089999999999</v>
      </c>
      <c r="C6246" s="308">
        <v>6.4460943451576203</v>
      </c>
    </row>
    <row r="6247" spans="1:3" x14ac:dyDescent="0.35">
      <c r="A6247" s="305">
        <v>39919</v>
      </c>
      <c r="B6247" s="306">
        <v>185.39009999999999</v>
      </c>
      <c r="C6247" s="309">
        <v>6.4570755242458304</v>
      </c>
    </row>
    <row r="6248" spans="1:3" x14ac:dyDescent="0.35">
      <c r="A6248" s="302">
        <v>39918</v>
      </c>
      <c r="B6248" s="303">
        <v>185.35929999999999</v>
      </c>
      <c r="C6248" s="308">
        <v>6.4680014658360303</v>
      </c>
    </row>
    <row r="6249" spans="1:3" x14ac:dyDescent="0.35">
      <c r="A6249" s="305">
        <v>39917</v>
      </c>
      <c r="B6249" s="306">
        <v>185.30930000000001</v>
      </c>
      <c r="C6249" s="309">
        <v>6.4907846706939196</v>
      </c>
    </row>
    <row r="6250" spans="1:3" x14ac:dyDescent="0.35">
      <c r="A6250" s="302">
        <v>39916</v>
      </c>
      <c r="B6250" s="303">
        <v>185.2593</v>
      </c>
      <c r="C6250" s="308">
        <v>6.5135286951152302</v>
      </c>
    </row>
    <row r="6251" spans="1:3" x14ac:dyDescent="0.35">
      <c r="A6251" s="305">
        <v>39915</v>
      </c>
      <c r="B6251" s="306">
        <v>185.20939999999999</v>
      </c>
      <c r="C6251" s="309">
        <v>6.5362909650651204</v>
      </c>
    </row>
    <row r="6252" spans="1:3" x14ac:dyDescent="0.35">
      <c r="A6252" s="302">
        <v>39914</v>
      </c>
      <c r="B6252" s="303">
        <v>185.15940000000001</v>
      </c>
      <c r="C6252" s="308">
        <v>6.5590790171855602</v>
      </c>
    </row>
    <row r="6253" spans="1:3" x14ac:dyDescent="0.35">
      <c r="A6253" s="305">
        <v>39913</v>
      </c>
      <c r="B6253" s="306">
        <v>185.10939999999999</v>
      </c>
      <c r="C6253" s="309">
        <v>6.58182777113075</v>
      </c>
    </row>
    <row r="6254" spans="1:3" x14ac:dyDescent="0.35">
      <c r="A6254" s="302">
        <v>39912</v>
      </c>
      <c r="B6254" s="303">
        <v>185.05950000000001</v>
      </c>
      <c r="C6254" s="308">
        <v>6.6045947361174902</v>
      </c>
    </row>
    <row r="6255" spans="1:3" x14ac:dyDescent="0.35">
      <c r="A6255" s="305">
        <v>39911</v>
      </c>
      <c r="B6255" s="306">
        <v>185.00960000000001</v>
      </c>
      <c r="C6255" s="309">
        <v>6.6273837187857296</v>
      </c>
    </row>
    <row r="6256" spans="1:3" x14ac:dyDescent="0.35">
      <c r="A6256" s="302">
        <v>39910</v>
      </c>
      <c r="B6256" s="303">
        <v>184.95959999999999</v>
      </c>
      <c r="C6256" s="308">
        <v>6.6501370897757797</v>
      </c>
    </row>
    <row r="6257" spans="1:3" x14ac:dyDescent="0.35">
      <c r="A6257" s="305">
        <v>39909</v>
      </c>
      <c r="B6257" s="306">
        <v>184.90969999999999</v>
      </c>
      <c r="C6257" s="309">
        <v>6.6729086370525001</v>
      </c>
    </row>
    <row r="6258" spans="1:3" x14ac:dyDescent="0.35">
      <c r="A6258" s="302">
        <v>39908</v>
      </c>
      <c r="B6258" s="303">
        <v>184.85990000000001</v>
      </c>
      <c r="C6258" s="308">
        <v>6.6957599292157601</v>
      </c>
    </row>
    <row r="6259" spans="1:3" x14ac:dyDescent="0.35">
      <c r="A6259" s="305">
        <v>39907</v>
      </c>
      <c r="B6259" s="306">
        <v>184.81</v>
      </c>
      <c r="C6259" s="309">
        <v>6.71851396735791</v>
      </c>
    </row>
    <row r="6260" spans="1:3" x14ac:dyDescent="0.35">
      <c r="A6260" s="302">
        <v>39906</v>
      </c>
      <c r="B6260" s="303">
        <v>184.76009999999999</v>
      </c>
      <c r="C6260" s="308">
        <v>6.7412900113523797</v>
      </c>
    </row>
    <row r="6261" spans="1:3" x14ac:dyDescent="0.35">
      <c r="A6261" s="305">
        <v>39905</v>
      </c>
      <c r="B6261" s="306">
        <v>184.71029999999999</v>
      </c>
      <c r="C6261" s="309">
        <v>6.7641458940001504</v>
      </c>
    </row>
    <row r="6262" spans="1:3" x14ac:dyDescent="0.35">
      <c r="A6262" s="302">
        <v>39904</v>
      </c>
      <c r="B6262" s="303">
        <v>184.66040000000001</v>
      </c>
      <c r="C6262" s="308">
        <v>6.7869043199274603</v>
      </c>
    </row>
    <row r="6263" spans="1:3" x14ac:dyDescent="0.35">
      <c r="A6263" s="305">
        <v>39903</v>
      </c>
      <c r="B6263" s="306">
        <v>184.61060000000001</v>
      </c>
      <c r="C6263" s="309">
        <v>6.8097426183431402</v>
      </c>
    </row>
    <row r="6264" spans="1:3" x14ac:dyDescent="0.35">
      <c r="A6264" s="302">
        <v>39902</v>
      </c>
      <c r="B6264" s="303">
        <v>184.5608</v>
      </c>
      <c r="C6264" s="308">
        <v>6.8325411806519103</v>
      </c>
    </row>
    <row r="6265" spans="1:3" x14ac:dyDescent="0.35">
      <c r="A6265" s="305">
        <v>39901</v>
      </c>
      <c r="B6265" s="306">
        <v>184.511</v>
      </c>
      <c r="C6265" s="309">
        <v>6.8553617924222303</v>
      </c>
    </row>
    <row r="6266" spans="1:3" x14ac:dyDescent="0.35">
      <c r="A6266" s="302">
        <v>39900</v>
      </c>
      <c r="B6266" s="303">
        <v>184.46119999999999</v>
      </c>
      <c r="C6266" s="308">
        <v>6.8782044856570597</v>
      </c>
    </row>
    <row r="6267" spans="1:3" x14ac:dyDescent="0.35">
      <c r="A6267" s="305">
        <v>39899</v>
      </c>
      <c r="B6267" s="306">
        <v>184.41149999999999</v>
      </c>
      <c r="C6267" s="309">
        <v>6.9010652919567796</v>
      </c>
    </row>
    <row r="6268" spans="1:3" x14ac:dyDescent="0.35">
      <c r="A6268" s="302">
        <v>39898</v>
      </c>
      <c r="B6268" s="303">
        <v>184.36170000000001</v>
      </c>
      <c r="C6268" s="308">
        <v>6.92389021669345</v>
      </c>
    </row>
    <row r="6269" spans="1:3" x14ac:dyDescent="0.35">
      <c r="A6269" s="305">
        <v>39897</v>
      </c>
      <c r="B6269" s="306">
        <v>184.31200000000001</v>
      </c>
      <c r="C6269" s="309">
        <v>6.9467332018103702</v>
      </c>
    </row>
    <row r="6270" spans="1:3" x14ac:dyDescent="0.35">
      <c r="A6270" s="302">
        <v>39896</v>
      </c>
      <c r="B6270" s="303">
        <v>184.26220000000001</v>
      </c>
      <c r="C6270" s="308">
        <v>6.9695402268823203</v>
      </c>
    </row>
    <row r="6271" spans="1:3" x14ac:dyDescent="0.35">
      <c r="A6271" s="305">
        <v>39895</v>
      </c>
      <c r="B6271" s="306">
        <v>184.21250000000001</v>
      </c>
      <c r="C6271" s="309">
        <v>6.9924274016776096</v>
      </c>
    </row>
    <row r="6272" spans="1:3" x14ac:dyDescent="0.35">
      <c r="A6272" s="302">
        <v>39894</v>
      </c>
      <c r="B6272" s="303">
        <v>184.1628</v>
      </c>
      <c r="C6272" s="308">
        <v>7.0152745478824503</v>
      </c>
    </row>
    <row r="6273" spans="1:3" x14ac:dyDescent="0.35">
      <c r="A6273" s="305">
        <v>39893</v>
      </c>
      <c r="B6273" s="306">
        <v>184.1131</v>
      </c>
      <c r="C6273" s="309">
        <v>7.0381437964733999</v>
      </c>
    </row>
    <row r="6274" spans="1:3" x14ac:dyDescent="0.35">
      <c r="A6274" s="302">
        <v>39892</v>
      </c>
      <c r="B6274" s="303">
        <v>184.0635</v>
      </c>
      <c r="C6274" s="308">
        <v>7.0610310724686904</v>
      </c>
    </row>
    <row r="6275" spans="1:3" x14ac:dyDescent="0.35">
      <c r="A6275" s="305">
        <v>39891</v>
      </c>
      <c r="B6275" s="306">
        <v>184.0138</v>
      </c>
      <c r="C6275" s="309">
        <v>7.0838822910507897</v>
      </c>
    </row>
    <row r="6276" spans="1:3" x14ac:dyDescent="0.35">
      <c r="A6276" s="302">
        <v>39890</v>
      </c>
      <c r="B6276" s="303">
        <v>183.96420000000001</v>
      </c>
      <c r="C6276" s="308">
        <v>7.10681384298928</v>
      </c>
    </row>
    <row r="6277" spans="1:3" x14ac:dyDescent="0.35">
      <c r="A6277" s="305">
        <v>39889</v>
      </c>
      <c r="B6277" s="306">
        <v>183.9145</v>
      </c>
      <c r="C6277" s="309">
        <v>7.1296469427352998</v>
      </c>
    </row>
    <row r="6278" spans="1:3" x14ac:dyDescent="0.35">
      <c r="A6278" s="302">
        <v>39888</v>
      </c>
      <c r="B6278" s="303">
        <v>183.86490000000001</v>
      </c>
      <c r="C6278" s="308">
        <v>7.1525604093904303</v>
      </c>
    </row>
    <row r="6279" spans="1:3" x14ac:dyDescent="0.35">
      <c r="A6279" s="305">
        <v>39887</v>
      </c>
      <c r="B6279" s="306">
        <v>183.81530000000001</v>
      </c>
      <c r="C6279" s="309">
        <v>7.1754335637588298</v>
      </c>
    </row>
    <row r="6280" spans="1:3" x14ac:dyDescent="0.35">
      <c r="A6280" s="302">
        <v>39886</v>
      </c>
      <c r="B6280" s="303">
        <v>183.77670000000001</v>
      </c>
      <c r="C6280" s="308">
        <v>7.1918645175025402</v>
      </c>
    </row>
    <row r="6281" spans="1:3" x14ac:dyDescent="0.35">
      <c r="A6281" s="305">
        <v>39885</v>
      </c>
      <c r="B6281" s="306">
        <v>183.7381</v>
      </c>
      <c r="C6281" s="309">
        <v>7.2083074169030796</v>
      </c>
    </row>
    <row r="6282" spans="1:3" x14ac:dyDescent="0.35">
      <c r="A6282" s="302">
        <v>39884</v>
      </c>
      <c r="B6282" s="303">
        <v>183.6995</v>
      </c>
      <c r="C6282" s="308">
        <v>7.2248248617513902</v>
      </c>
    </row>
    <row r="6283" spans="1:3" x14ac:dyDescent="0.35">
      <c r="A6283" s="305">
        <v>39883</v>
      </c>
      <c r="B6283" s="306">
        <v>183.6609</v>
      </c>
      <c r="C6283" s="309">
        <v>7.2412291048209898</v>
      </c>
    </row>
    <row r="6284" spans="1:3" x14ac:dyDescent="0.35">
      <c r="A6284" s="302">
        <v>39882</v>
      </c>
      <c r="B6284" s="303">
        <v>183.6224</v>
      </c>
      <c r="C6284" s="308">
        <v>7.2577663315951799</v>
      </c>
    </row>
    <row r="6285" spans="1:3" x14ac:dyDescent="0.35">
      <c r="A6285" s="305">
        <v>39881</v>
      </c>
      <c r="B6285" s="306">
        <v>183.5838</v>
      </c>
      <c r="C6285" s="309">
        <v>7.2741944814360098</v>
      </c>
    </row>
    <row r="6286" spans="1:3" x14ac:dyDescent="0.35">
      <c r="A6286" s="302">
        <v>39880</v>
      </c>
      <c r="B6286" s="303">
        <v>183.54519999999999</v>
      </c>
      <c r="C6286" s="308">
        <v>7.29063457742284</v>
      </c>
    </row>
    <row r="6287" spans="1:3" x14ac:dyDescent="0.35">
      <c r="A6287" s="305">
        <v>39879</v>
      </c>
      <c r="B6287" s="306">
        <v>183.5067</v>
      </c>
      <c r="C6287" s="309">
        <v>7.3071451084639696</v>
      </c>
    </row>
    <row r="6288" spans="1:3" x14ac:dyDescent="0.35">
      <c r="A6288" s="302">
        <v>39878</v>
      </c>
      <c r="B6288" s="303">
        <v>183.46809999999999</v>
      </c>
      <c r="C6288" s="308">
        <v>7.32360915714382</v>
      </c>
    </row>
    <row r="6289" spans="1:3" x14ac:dyDescent="0.35">
      <c r="A6289" s="305">
        <v>39877</v>
      </c>
      <c r="B6289" s="306">
        <v>183.42959999999999</v>
      </c>
      <c r="C6289" s="309">
        <v>7.3400808958466</v>
      </c>
    </row>
    <row r="6290" spans="1:3" x14ac:dyDescent="0.35">
      <c r="A6290" s="302">
        <v>39876</v>
      </c>
      <c r="B6290" s="303">
        <v>183.39099999999999</v>
      </c>
      <c r="C6290" s="308">
        <v>7.3565689170503896</v>
      </c>
    </row>
    <row r="6291" spans="1:3" x14ac:dyDescent="0.35">
      <c r="A6291" s="305">
        <v>39875</v>
      </c>
      <c r="B6291" s="306">
        <v>183.35249999999999</v>
      </c>
      <c r="C6291" s="309">
        <v>7.3730646320231497</v>
      </c>
    </row>
    <row r="6292" spans="1:3" x14ac:dyDescent="0.35">
      <c r="A6292" s="302">
        <v>39874</v>
      </c>
      <c r="B6292" s="303">
        <v>183.31399999999999</v>
      </c>
      <c r="C6292" s="308">
        <v>7.3895094378972201</v>
      </c>
    </row>
    <row r="6293" spans="1:3" x14ac:dyDescent="0.35">
      <c r="A6293" s="305">
        <v>39873</v>
      </c>
      <c r="B6293" s="306">
        <v>183.27549999999999</v>
      </c>
      <c r="C6293" s="309">
        <v>7.40602913770672</v>
      </c>
    </row>
    <row r="6294" spans="1:3" x14ac:dyDescent="0.35">
      <c r="A6294" s="302">
        <v>39872</v>
      </c>
      <c r="B6294" s="303">
        <v>183.23699999999999</v>
      </c>
      <c r="C6294" s="308">
        <v>7.4615574087758096</v>
      </c>
    </row>
    <row r="6295" spans="1:3" x14ac:dyDescent="0.35">
      <c r="A6295" s="305">
        <v>39871</v>
      </c>
      <c r="B6295" s="306">
        <v>183.1985</v>
      </c>
      <c r="C6295" s="309">
        <v>7.4780583390045301</v>
      </c>
    </row>
    <row r="6296" spans="1:3" x14ac:dyDescent="0.35">
      <c r="A6296" s="302">
        <v>39870</v>
      </c>
      <c r="B6296" s="303">
        <v>183.16</v>
      </c>
      <c r="C6296" s="308">
        <v>7.4945712776571396</v>
      </c>
    </row>
    <row r="6297" spans="1:3" x14ac:dyDescent="0.35">
      <c r="A6297" s="305">
        <v>39869</v>
      </c>
      <c r="B6297" s="306">
        <v>183.1215</v>
      </c>
      <c r="C6297" s="309">
        <v>7.5110331178472602</v>
      </c>
    </row>
    <row r="6298" spans="1:3" x14ac:dyDescent="0.35">
      <c r="A6298" s="302">
        <v>39868</v>
      </c>
      <c r="B6298" s="303">
        <v>183.0831</v>
      </c>
      <c r="C6298" s="308">
        <v>7.5275656589505102</v>
      </c>
    </row>
    <row r="6299" spans="1:3" x14ac:dyDescent="0.35">
      <c r="A6299" s="305">
        <v>39867</v>
      </c>
      <c r="B6299" s="306">
        <v>183.0446</v>
      </c>
      <c r="C6299" s="309">
        <v>7.5440514722601</v>
      </c>
    </row>
    <row r="6300" spans="1:3" x14ac:dyDescent="0.35">
      <c r="A6300" s="302">
        <v>39866</v>
      </c>
      <c r="B6300" s="303">
        <v>183.0061</v>
      </c>
      <c r="C6300" s="308">
        <v>7.5605492810727997</v>
      </c>
    </row>
    <row r="6301" spans="1:3" x14ac:dyDescent="0.35">
      <c r="A6301" s="305">
        <v>39865</v>
      </c>
      <c r="B6301" s="306">
        <v>182.96770000000001</v>
      </c>
      <c r="C6301" s="309">
        <v>7.5771178941736403</v>
      </c>
    </row>
    <row r="6302" spans="1:3" x14ac:dyDescent="0.35">
      <c r="A6302" s="302">
        <v>39864</v>
      </c>
      <c r="B6302" s="303">
        <v>182.92930000000001</v>
      </c>
      <c r="C6302" s="308">
        <v>7.59363528835358</v>
      </c>
    </row>
    <row r="6303" spans="1:3" x14ac:dyDescent="0.35">
      <c r="A6303" s="305">
        <v>39863</v>
      </c>
      <c r="B6303" s="306">
        <v>182.89080000000001</v>
      </c>
      <c r="C6303" s="309">
        <v>7.6101058562494401</v>
      </c>
    </row>
    <row r="6304" spans="1:3" x14ac:dyDescent="0.35">
      <c r="A6304" s="302">
        <v>39862</v>
      </c>
      <c r="B6304" s="303">
        <v>182.85239999999999</v>
      </c>
      <c r="C6304" s="308">
        <v>7.6266472664603002</v>
      </c>
    </row>
    <row r="6305" spans="1:3" x14ac:dyDescent="0.35">
      <c r="A6305" s="305">
        <v>39861</v>
      </c>
      <c r="B6305" s="306">
        <v>182.81399999999999</v>
      </c>
      <c r="C6305" s="309">
        <v>7.6431373334102704</v>
      </c>
    </row>
    <row r="6306" spans="1:3" x14ac:dyDescent="0.35">
      <c r="A6306" s="302">
        <v>39860</v>
      </c>
      <c r="B6306" s="303">
        <v>182.7756</v>
      </c>
      <c r="C6306" s="308">
        <v>7.6597028007040002</v>
      </c>
    </row>
    <row r="6307" spans="1:3" x14ac:dyDescent="0.35">
      <c r="A6307" s="305">
        <v>39859</v>
      </c>
      <c r="B6307" s="306">
        <v>182.7372</v>
      </c>
      <c r="C6307" s="309">
        <v>7.6762168854026802</v>
      </c>
    </row>
    <row r="6308" spans="1:3" x14ac:dyDescent="0.35">
      <c r="A6308" s="302">
        <v>39858</v>
      </c>
      <c r="B6308" s="303">
        <v>182.71129999999999</v>
      </c>
      <c r="C6308" s="308">
        <v>7.6778962207219097</v>
      </c>
    </row>
    <row r="6309" spans="1:3" x14ac:dyDescent="0.35">
      <c r="A6309" s="305">
        <v>39857</v>
      </c>
      <c r="B6309" s="306">
        <v>182.68549999999999</v>
      </c>
      <c r="C6309" s="309">
        <v>7.6796984964905501</v>
      </c>
    </row>
    <row r="6310" spans="1:3" x14ac:dyDescent="0.35">
      <c r="A6310" s="302">
        <v>39856</v>
      </c>
      <c r="B6310" s="303">
        <v>182.65960000000001</v>
      </c>
      <c r="C6310" s="308">
        <v>7.68137890947163</v>
      </c>
    </row>
    <row r="6311" spans="1:3" x14ac:dyDescent="0.35">
      <c r="A6311" s="305">
        <v>39855</v>
      </c>
      <c r="B6311" s="306">
        <v>182.6337</v>
      </c>
      <c r="C6311" s="309">
        <v>7.6831233428201999</v>
      </c>
    </row>
    <row r="6312" spans="1:3" x14ac:dyDescent="0.35">
      <c r="A6312" s="302">
        <v>39854</v>
      </c>
      <c r="B6312" s="303">
        <v>182.6079</v>
      </c>
      <c r="C6312" s="308">
        <v>7.6848637957449197</v>
      </c>
    </row>
    <row r="6313" spans="1:3" x14ac:dyDescent="0.35">
      <c r="A6313" s="305">
        <v>39853</v>
      </c>
      <c r="B6313" s="306">
        <v>182.58199999999999</v>
      </c>
      <c r="C6313" s="309">
        <v>7.6866093303780501</v>
      </c>
    </row>
    <row r="6314" spans="1:3" x14ac:dyDescent="0.35">
      <c r="A6314" s="302">
        <v>39852</v>
      </c>
      <c r="B6314" s="303">
        <v>182.55619999999999</v>
      </c>
      <c r="C6314" s="308">
        <v>7.6883508816223403</v>
      </c>
    </row>
    <row r="6315" spans="1:3" x14ac:dyDescent="0.35">
      <c r="A6315" s="305">
        <v>39851</v>
      </c>
      <c r="B6315" s="306">
        <v>182.53030000000001</v>
      </c>
      <c r="C6315" s="309">
        <v>7.6900339831028504</v>
      </c>
    </row>
    <row r="6316" spans="1:3" x14ac:dyDescent="0.35">
      <c r="A6316" s="302">
        <v>39850</v>
      </c>
      <c r="B6316" s="303">
        <v>182.5044</v>
      </c>
      <c r="C6316" s="308">
        <v>7.6917176149308499</v>
      </c>
    </row>
    <row r="6317" spans="1:3" x14ac:dyDescent="0.35">
      <c r="A6317" s="305">
        <v>39849</v>
      </c>
      <c r="B6317" s="306">
        <v>182.4786</v>
      </c>
      <c r="C6317" s="309">
        <v>7.6935243519187901</v>
      </c>
    </row>
    <row r="6318" spans="1:3" x14ac:dyDescent="0.35">
      <c r="A6318" s="302">
        <v>39848</v>
      </c>
      <c r="B6318" s="303">
        <v>182.4528</v>
      </c>
      <c r="C6318" s="308">
        <v>7.6952680918780896</v>
      </c>
    </row>
    <row r="6319" spans="1:3" x14ac:dyDescent="0.35">
      <c r="A6319" s="305">
        <v>39847</v>
      </c>
      <c r="B6319" s="306">
        <v>182.42689999999999</v>
      </c>
      <c r="C6319" s="309">
        <v>7.6969533458764499</v>
      </c>
    </row>
    <row r="6320" spans="1:3" x14ac:dyDescent="0.35">
      <c r="A6320" s="302">
        <v>39846</v>
      </c>
      <c r="B6320" s="303">
        <v>182.40110000000001</v>
      </c>
      <c r="C6320" s="308">
        <v>7.6986981762185698</v>
      </c>
    </row>
    <row r="6321" spans="1:3" x14ac:dyDescent="0.35">
      <c r="A6321" s="305">
        <v>39845</v>
      </c>
      <c r="B6321" s="306">
        <v>182.37530000000001</v>
      </c>
      <c r="C6321" s="309">
        <v>7.70044355679281</v>
      </c>
    </row>
    <row r="6322" spans="1:3" x14ac:dyDescent="0.35">
      <c r="A6322" s="302">
        <v>39844</v>
      </c>
      <c r="B6322" s="303">
        <v>182.3494</v>
      </c>
      <c r="C6322" s="308">
        <v>7.7021304242538804</v>
      </c>
    </row>
    <row r="6323" spans="1:3" x14ac:dyDescent="0.35">
      <c r="A6323" s="305">
        <v>39843</v>
      </c>
      <c r="B6323" s="306">
        <v>182.3236</v>
      </c>
      <c r="C6323" s="309">
        <v>7.7038768967576603</v>
      </c>
    </row>
    <row r="6324" spans="1:3" x14ac:dyDescent="0.35">
      <c r="A6324" s="302">
        <v>39842</v>
      </c>
      <c r="B6324" s="303">
        <v>182.2978</v>
      </c>
      <c r="C6324" s="308">
        <v>7.7056239202720596</v>
      </c>
    </row>
    <row r="6325" spans="1:3" x14ac:dyDescent="0.35">
      <c r="A6325" s="305">
        <v>39841</v>
      </c>
      <c r="B6325" s="306">
        <v>182.27199999999999</v>
      </c>
      <c r="C6325" s="309">
        <v>7.7073714950578802</v>
      </c>
    </row>
    <row r="6326" spans="1:3" x14ac:dyDescent="0.35">
      <c r="A6326" s="302">
        <v>39840</v>
      </c>
      <c r="B6326" s="303">
        <v>182.24619999999999</v>
      </c>
      <c r="C6326" s="308">
        <v>7.7090559643692798</v>
      </c>
    </row>
    <row r="6327" spans="1:3" x14ac:dyDescent="0.35">
      <c r="A6327" s="305">
        <v>39839</v>
      </c>
      <c r="B6327" s="306">
        <v>182.22040000000001</v>
      </c>
      <c r="C6327" s="309">
        <v>7.7108046314007499</v>
      </c>
    </row>
    <row r="6328" spans="1:3" x14ac:dyDescent="0.35">
      <c r="A6328" s="302">
        <v>39838</v>
      </c>
      <c r="B6328" s="303">
        <v>182.19450000000001</v>
      </c>
      <c r="C6328" s="308">
        <v>7.7124947309737202</v>
      </c>
    </row>
    <row r="6329" spans="1:3" x14ac:dyDescent="0.35">
      <c r="A6329" s="305">
        <v>39837</v>
      </c>
      <c r="B6329" s="306">
        <v>182.1687</v>
      </c>
      <c r="C6329" s="309">
        <v>7.7142444930352099</v>
      </c>
    </row>
    <row r="6330" spans="1:3" x14ac:dyDescent="0.35">
      <c r="A6330" s="302">
        <v>39836</v>
      </c>
      <c r="B6330" s="303">
        <v>182.1429</v>
      </c>
      <c r="C6330" s="308">
        <v>7.7159311064273703</v>
      </c>
    </row>
    <row r="6331" spans="1:3" x14ac:dyDescent="0.35">
      <c r="A6331" s="305">
        <v>39835</v>
      </c>
      <c r="B6331" s="306">
        <v>182.1172</v>
      </c>
      <c r="C6331" s="309">
        <v>7.7177411102810698</v>
      </c>
    </row>
    <row r="6332" spans="1:3" x14ac:dyDescent="0.35">
      <c r="A6332" s="302">
        <v>39834</v>
      </c>
      <c r="B6332" s="303">
        <v>182.09139999999999</v>
      </c>
      <c r="C6332" s="308">
        <v>7.7194288056894598</v>
      </c>
    </row>
    <row r="6333" spans="1:3" x14ac:dyDescent="0.35">
      <c r="A6333" s="305">
        <v>39833</v>
      </c>
      <c r="B6333" s="306">
        <v>182.06559999999999</v>
      </c>
      <c r="C6333" s="309">
        <v>7.7211807667457899</v>
      </c>
    </row>
    <row r="6334" spans="1:3" x14ac:dyDescent="0.35">
      <c r="A6334" s="302">
        <v>39832</v>
      </c>
      <c r="B6334" s="303">
        <v>182.03980000000001</v>
      </c>
      <c r="C6334" s="308">
        <v>7.7228695358869501</v>
      </c>
    </row>
    <row r="6335" spans="1:3" x14ac:dyDescent="0.35">
      <c r="A6335" s="305">
        <v>39831</v>
      </c>
      <c r="B6335" s="306">
        <v>182.01400000000001</v>
      </c>
      <c r="C6335" s="309">
        <v>7.72462259332407</v>
      </c>
    </row>
    <row r="6336" spans="1:3" x14ac:dyDescent="0.35">
      <c r="A6336" s="302">
        <v>39830</v>
      </c>
      <c r="B6336" s="303">
        <v>181.98820000000001</v>
      </c>
      <c r="C6336" s="308">
        <v>7.7263124372172403</v>
      </c>
    </row>
    <row r="6337" spans="1:3" x14ac:dyDescent="0.35">
      <c r="A6337" s="305">
        <v>39829</v>
      </c>
      <c r="B6337" s="306">
        <v>181.96250000000001</v>
      </c>
      <c r="C6337" s="309">
        <v>7.7281257955467098</v>
      </c>
    </row>
    <row r="6338" spans="1:3" x14ac:dyDescent="0.35">
      <c r="A6338" s="302">
        <v>39828</v>
      </c>
      <c r="B6338" s="303">
        <v>181.9367</v>
      </c>
      <c r="C6338" s="308">
        <v>7.7298167245373097</v>
      </c>
    </row>
    <row r="6339" spans="1:3" x14ac:dyDescent="0.35">
      <c r="A6339" s="305">
        <v>39827</v>
      </c>
      <c r="B6339" s="306">
        <v>181.9203</v>
      </c>
      <c r="C6339" s="309">
        <v>7.7363732249022696</v>
      </c>
    </row>
    <row r="6340" spans="1:3" x14ac:dyDescent="0.35">
      <c r="A6340" s="302">
        <v>39826</v>
      </c>
      <c r="B6340" s="303">
        <v>181.90389999999999</v>
      </c>
      <c r="C6340" s="308">
        <v>7.7429317058319702</v>
      </c>
    </row>
    <row r="6341" spans="1:3" x14ac:dyDescent="0.35">
      <c r="A6341" s="305">
        <v>39825</v>
      </c>
      <c r="B6341" s="306">
        <v>181.88749999999999</v>
      </c>
      <c r="C6341" s="309">
        <v>7.7495559986682903</v>
      </c>
    </row>
    <row r="6342" spans="1:3" x14ac:dyDescent="0.35">
      <c r="A6342" s="302">
        <v>39824</v>
      </c>
      <c r="B6342" s="303">
        <v>181.87110000000001</v>
      </c>
      <c r="C6342" s="308">
        <v>7.7561184569526196</v>
      </c>
    </row>
    <row r="6343" spans="1:3" x14ac:dyDescent="0.35">
      <c r="A6343" s="305">
        <v>39823</v>
      </c>
      <c r="B6343" s="306">
        <v>181.85470000000001</v>
      </c>
      <c r="C6343" s="309">
        <v>7.7626828985012599</v>
      </c>
    </row>
    <row r="6344" spans="1:3" x14ac:dyDescent="0.35">
      <c r="A6344" s="302">
        <v>39822</v>
      </c>
      <c r="B6344" s="303">
        <v>181.8383</v>
      </c>
      <c r="C6344" s="308">
        <v>7.7693131953449699</v>
      </c>
    </row>
    <row r="6345" spans="1:3" x14ac:dyDescent="0.35">
      <c r="A6345" s="305">
        <v>39821</v>
      </c>
      <c r="B6345" s="306">
        <v>181.8219</v>
      </c>
      <c r="C6345" s="309">
        <v>7.7758816196680902</v>
      </c>
    </row>
    <row r="6346" spans="1:3" x14ac:dyDescent="0.35">
      <c r="A6346" s="302">
        <v>39820</v>
      </c>
      <c r="B6346" s="303">
        <v>181.80549999999999</v>
      </c>
      <c r="C6346" s="308">
        <v>7.7824520299600097</v>
      </c>
    </row>
    <row r="6347" spans="1:3" x14ac:dyDescent="0.35">
      <c r="A6347" s="305">
        <v>39819</v>
      </c>
      <c r="B6347" s="306">
        <v>181.78909999999999</v>
      </c>
      <c r="C6347" s="309">
        <v>7.7890244271215296</v>
      </c>
    </row>
    <row r="6348" spans="1:3" x14ac:dyDescent="0.35">
      <c r="A6348" s="302">
        <v>39818</v>
      </c>
      <c r="B6348" s="303">
        <v>181.77269999999999</v>
      </c>
      <c r="C6348" s="308">
        <v>7.7955988120540498</v>
      </c>
    </row>
    <row r="6349" spans="1:3" x14ac:dyDescent="0.35">
      <c r="A6349" s="305">
        <v>39817</v>
      </c>
      <c r="B6349" s="306">
        <v>181.75630000000001</v>
      </c>
      <c r="C6349" s="309">
        <v>7.8021751856594603</v>
      </c>
    </row>
    <row r="6350" spans="1:3" x14ac:dyDescent="0.35">
      <c r="A6350" s="302">
        <v>39816</v>
      </c>
      <c r="B6350" s="303">
        <v>181.73990000000001</v>
      </c>
      <c r="C6350" s="308">
        <v>7.8087535488402304</v>
      </c>
    </row>
    <row r="6351" spans="1:3" x14ac:dyDescent="0.35">
      <c r="A6351" s="305">
        <v>39815</v>
      </c>
      <c r="B6351" s="306">
        <v>181.7235</v>
      </c>
      <c r="C6351" s="309">
        <v>7.8153339024993702</v>
      </c>
    </row>
    <row r="6352" spans="1:3" x14ac:dyDescent="0.35">
      <c r="A6352" s="302">
        <v>39814</v>
      </c>
      <c r="B6352" s="303">
        <v>181.7071</v>
      </c>
      <c r="C6352" s="308">
        <v>7.8219162475404298</v>
      </c>
    </row>
    <row r="6353" spans="1:3" x14ac:dyDescent="0.35">
      <c r="A6353" s="305">
        <v>39813</v>
      </c>
      <c r="B6353" s="306">
        <v>181.69069999999999</v>
      </c>
      <c r="C6353" s="309">
        <v>7.82850058486751</v>
      </c>
    </row>
    <row r="6354" spans="1:3" x14ac:dyDescent="0.35">
      <c r="A6354" s="302">
        <v>39812</v>
      </c>
      <c r="B6354" s="303">
        <v>181.67429999999999</v>
      </c>
      <c r="C6354" s="308">
        <v>7.8350869153852596</v>
      </c>
    </row>
    <row r="6355" spans="1:3" x14ac:dyDescent="0.35">
      <c r="A6355" s="305">
        <v>39811</v>
      </c>
      <c r="B6355" s="306">
        <v>181.65790000000001</v>
      </c>
      <c r="C6355" s="309">
        <v>7.8416752399988798</v>
      </c>
    </row>
    <row r="6356" spans="1:3" x14ac:dyDescent="0.35">
      <c r="A6356" s="302">
        <v>39810</v>
      </c>
      <c r="B6356" s="303">
        <v>181.64160000000001</v>
      </c>
      <c r="C6356" s="308">
        <v>7.8482608997686203</v>
      </c>
    </row>
    <row r="6357" spans="1:3" x14ac:dyDescent="0.35">
      <c r="A6357" s="305">
        <v>39809</v>
      </c>
      <c r="B6357" s="306">
        <v>181.62520000000001</v>
      </c>
      <c r="C6357" s="309">
        <v>7.8548532106713997</v>
      </c>
    </row>
    <row r="6358" spans="1:3" x14ac:dyDescent="0.35">
      <c r="A6358" s="302">
        <v>39808</v>
      </c>
      <c r="B6358" s="303">
        <v>181.6088</v>
      </c>
      <c r="C6358" s="308">
        <v>7.8614475183863401</v>
      </c>
    </row>
    <row r="6359" spans="1:3" x14ac:dyDescent="0.35">
      <c r="A6359" s="305">
        <v>39807</v>
      </c>
      <c r="B6359" s="306">
        <v>181.5924</v>
      </c>
      <c r="C6359" s="309">
        <v>7.8680438238208303</v>
      </c>
    </row>
    <row r="6360" spans="1:3" x14ac:dyDescent="0.35">
      <c r="A6360" s="302">
        <v>39806</v>
      </c>
      <c r="B6360" s="303">
        <v>181.57599999999999</v>
      </c>
      <c r="C6360" s="308">
        <v>7.87457803939368</v>
      </c>
    </row>
    <row r="6361" spans="1:3" x14ac:dyDescent="0.35">
      <c r="A6361" s="305">
        <v>39805</v>
      </c>
      <c r="B6361" s="306">
        <v>181.55969999999999</v>
      </c>
      <c r="C6361" s="309">
        <v>7.8812377485131799</v>
      </c>
    </row>
    <row r="6362" spans="1:3" x14ac:dyDescent="0.35">
      <c r="A6362" s="302">
        <v>39804</v>
      </c>
      <c r="B6362" s="303">
        <v>181.54329999999999</v>
      </c>
      <c r="C6362" s="308">
        <v>7.8877759322044003</v>
      </c>
    </row>
    <row r="6363" spans="1:3" x14ac:dyDescent="0.35">
      <c r="A6363" s="305">
        <v>39803</v>
      </c>
      <c r="B6363" s="306">
        <v>181.52690000000001</v>
      </c>
      <c r="C6363" s="309">
        <v>7.8943802193230104</v>
      </c>
    </row>
    <row r="6364" spans="1:3" x14ac:dyDescent="0.35">
      <c r="A6364" s="302">
        <v>39802</v>
      </c>
      <c r="B6364" s="303">
        <v>181.51050000000001</v>
      </c>
      <c r="C6364" s="308">
        <v>7.9009223657647496</v>
      </c>
    </row>
    <row r="6365" spans="1:3" x14ac:dyDescent="0.35">
      <c r="A6365" s="305">
        <v>39801</v>
      </c>
      <c r="B6365" s="306">
        <v>181.49420000000001</v>
      </c>
      <c r="C6365" s="309">
        <v>7.90759009977163</v>
      </c>
    </row>
    <row r="6366" spans="1:3" x14ac:dyDescent="0.35">
      <c r="A6366" s="302">
        <v>39800</v>
      </c>
      <c r="B6366" s="303">
        <v>181.4778</v>
      </c>
      <c r="C6366" s="308">
        <v>7.9141362215441999</v>
      </c>
    </row>
    <row r="6367" spans="1:3" x14ac:dyDescent="0.35">
      <c r="A6367" s="305">
        <v>39799</v>
      </c>
      <c r="B6367" s="306">
        <v>181.4614</v>
      </c>
      <c r="C6367" s="309">
        <v>7.9206843210523399</v>
      </c>
    </row>
    <row r="6368" spans="1:3" x14ac:dyDescent="0.35">
      <c r="A6368" s="302">
        <v>39798</v>
      </c>
      <c r="B6368" s="303">
        <v>181.4451</v>
      </c>
      <c r="C6368" s="308">
        <v>7.9273580786805402</v>
      </c>
    </row>
    <row r="6369" spans="1:3" x14ac:dyDescent="0.35">
      <c r="A6369" s="305">
        <v>39797</v>
      </c>
      <c r="B6369" s="306">
        <v>181.42869999999999</v>
      </c>
      <c r="C6369" s="309">
        <v>7.9339101589363903</v>
      </c>
    </row>
    <row r="6370" spans="1:3" x14ac:dyDescent="0.35">
      <c r="A6370" s="302">
        <v>39796</v>
      </c>
      <c r="B6370" s="303">
        <v>181.4076</v>
      </c>
      <c r="C6370" s="308">
        <v>7.9217427619907701</v>
      </c>
    </row>
    <row r="6371" spans="1:3" x14ac:dyDescent="0.35">
      <c r="A6371" s="305">
        <v>39795</v>
      </c>
      <c r="B6371" s="306">
        <v>181.38640000000001</v>
      </c>
      <c r="C6371" s="309">
        <v>7.9094515897015496</v>
      </c>
    </row>
    <row r="6372" spans="1:3" x14ac:dyDescent="0.35">
      <c r="A6372" s="302">
        <v>39794</v>
      </c>
      <c r="B6372" s="303">
        <v>181.36529999999999</v>
      </c>
      <c r="C6372" s="308">
        <v>7.8972840258265302</v>
      </c>
    </row>
    <row r="6373" spans="1:3" x14ac:dyDescent="0.35">
      <c r="A6373" s="305">
        <v>39793</v>
      </c>
      <c r="B6373" s="306">
        <v>181.3442</v>
      </c>
      <c r="C6373" s="309">
        <v>7.8850521922158503</v>
      </c>
    </row>
    <row r="6374" spans="1:3" x14ac:dyDescent="0.35">
      <c r="A6374" s="302">
        <v>39792</v>
      </c>
      <c r="B6374" s="303">
        <v>181.32310000000001</v>
      </c>
      <c r="C6374" s="308">
        <v>7.8728844616204698</v>
      </c>
    </row>
    <row r="6375" spans="1:3" x14ac:dyDescent="0.35">
      <c r="A6375" s="305">
        <v>39791</v>
      </c>
      <c r="B6375" s="306">
        <v>181.30199999999999</v>
      </c>
      <c r="C6375" s="309">
        <v>7.8607166441587504</v>
      </c>
    </row>
    <row r="6376" spans="1:3" x14ac:dyDescent="0.35">
      <c r="A6376" s="302">
        <v>39790</v>
      </c>
      <c r="B6376" s="303">
        <v>181.2808</v>
      </c>
      <c r="C6376" s="308">
        <v>7.8484250855947897</v>
      </c>
    </row>
    <row r="6377" spans="1:3" x14ac:dyDescent="0.35">
      <c r="A6377" s="305">
        <v>39789</v>
      </c>
      <c r="B6377" s="306">
        <v>181.25970000000001</v>
      </c>
      <c r="C6377" s="309">
        <v>7.8362571011952697</v>
      </c>
    </row>
    <row r="6378" spans="1:3" x14ac:dyDescent="0.35">
      <c r="A6378" s="302">
        <v>39788</v>
      </c>
      <c r="B6378" s="303">
        <v>181.23859999999999</v>
      </c>
      <c r="C6378" s="308">
        <v>7.8240248822933802</v>
      </c>
    </row>
    <row r="6379" spans="1:3" x14ac:dyDescent="0.35">
      <c r="A6379" s="305">
        <v>39787</v>
      </c>
      <c r="B6379" s="306">
        <v>181.2175</v>
      </c>
      <c r="C6379" s="309">
        <v>7.8118567311650899</v>
      </c>
    </row>
    <row r="6380" spans="1:3" x14ac:dyDescent="0.35">
      <c r="A6380" s="302">
        <v>39786</v>
      </c>
      <c r="B6380" s="303">
        <v>181.19640000000001</v>
      </c>
      <c r="C6380" s="308">
        <v>7.79968849316601</v>
      </c>
    </row>
    <row r="6381" spans="1:3" x14ac:dyDescent="0.35">
      <c r="A6381" s="305">
        <v>39785</v>
      </c>
      <c r="B6381" s="306">
        <v>181.17529999999999</v>
      </c>
      <c r="C6381" s="309">
        <v>7.7874560417691701</v>
      </c>
    </row>
    <row r="6382" spans="1:3" x14ac:dyDescent="0.35">
      <c r="A6382" s="302">
        <v>39784</v>
      </c>
      <c r="B6382" s="303">
        <v>181.1542</v>
      </c>
      <c r="C6382" s="308">
        <v>7.7752876370362403</v>
      </c>
    </row>
    <row r="6383" spans="1:3" x14ac:dyDescent="0.35">
      <c r="A6383" s="305">
        <v>39783</v>
      </c>
      <c r="B6383" s="306">
        <v>181.13310000000001</v>
      </c>
      <c r="C6383" s="309">
        <v>7.7630550330012396</v>
      </c>
    </row>
    <row r="6384" spans="1:3" x14ac:dyDescent="0.35">
      <c r="A6384" s="302">
        <v>39782</v>
      </c>
      <c r="B6384" s="303">
        <v>181.11199999999999</v>
      </c>
      <c r="C6384" s="308">
        <v>7.7508864615311399</v>
      </c>
    </row>
    <row r="6385" spans="1:3" x14ac:dyDescent="0.35">
      <c r="A6385" s="305">
        <v>39781</v>
      </c>
      <c r="B6385" s="306">
        <v>181.0909</v>
      </c>
      <c r="C6385" s="309">
        <v>7.7387178031857999</v>
      </c>
    </row>
    <row r="6386" spans="1:3" x14ac:dyDescent="0.35">
      <c r="A6386" s="302">
        <v>39780</v>
      </c>
      <c r="B6386" s="303">
        <v>181.06979999999999</v>
      </c>
      <c r="C6386" s="308">
        <v>7.7264849666444402</v>
      </c>
    </row>
    <row r="6387" spans="1:3" x14ac:dyDescent="0.35">
      <c r="A6387" s="305">
        <v>39779</v>
      </c>
      <c r="B6387" s="306">
        <v>181.0487</v>
      </c>
      <c r="C6387" s="309">
        <v>7.7143161415568402</v>
      </c>
    </row>
    <row r="6388" spans="1:3" x14ac:dyDescent="0.35">
      <c r="A6388" s="302">
        <v>39778</v>
      </c>
      <c r="B6388" s="303">
        <v>181.02770000000001</v>
      </c>
      <c r="C6388" s="308">
        <v>7.7021426472110601</v>
      </c>
    </row>
    <row r="6389" spans="1:3" x14ac:dyDescent="0.35">
      <c r="A6389" s="305">
        <v>39777</v>
      </c>
      <c r="B6389" s="306">
        <v>181.00659999999999</v>
      </c>
      <c r="C6389" s="309">
        <v>7.6899736555902702</v>
      </c>
    </row>
    <row r="6390" spans="1:3" x14ac:dyDescent="0.35">
      <c r="A6390" s="302">
        <v>39776</v>
      </c>
      <c r="B6390" s="303">
        <v>180.9855</v>
      </c>
      <c r="C6390" s="308">
        <v>7.6778045770898</v>
      </c>
    </row>
    <row r="6391" spans="1:3" x14ac:dyDescent="0.35">
      <c r="A6391" s="305">
        <v>39775</v>
      </c>
      <c r="B6391" s="306">
        <v>180.96440000000001</v>
      </c>
      <c r="C6391" s="309">
        <v>7.6655713555620197</v>
      </c>
    </row>
    <row r="6392" spans="1:3" x14ac:dyDescent="0.35">
      <c r="A6392" s="302">
        <v>39774</v>
      </c>
      <c r="B6392" s="303">
        <v>180.9434</v>
      </c>
      <c r="C6392" s="308">
        <v>7.6534616059662204</v>
      </c>
    </row>
    <row r="6393" spans="1:3" x14ac:dyDescent="0.35">
      <c r="A6393" s="305">
        <v>39773</v>
      </c>
      <c r="B6393" s="306">
        <v>180.92230000000001</v>
      </c>
      <c r="C6393" s="309">
        <v>7.6412282319623497</v>
      </c>
    </row>
    <row r="6394" spans="1:3" x14ac:dyDescent="0.35">
      <c r="A6394" s="302">
        <v>39772</v>
      </c>
      <c r="B6394" s="303">
        <v>180.90119999999999</v>
      </c>
      <c r="C6394" s="308">
        <v>7.6290588201696403</v>
      </c>
    </row>
    <row r="6395" spans="1:3" x14ac:dyDescent="0.35">
      <c r="A6395" s="305">
        <v>39771</v>
      </c>
      <c r="B6395" s="306">
        <v>180.8801</v>
      </c>
      <c r="C6395" s="309">
        <v>7.6168893214927804</v>
      </c>
    </row>
    <row r="6396" spans="1:3" x14ac:dyDescent="0.35">
      <c r="A6396" s="302">
        <v>39770</v>
      </c>
      <c r="B6396" s="303">
        <v>180.85910000000001</v>
      </c>
      <c r="C6396" s="308">
        <v>7.6047152113938097</v>
      </c>
    </row>
    <row r="6397" spans="1:3" x14ac:dyDescent="0.35">
      <c r="A6397" s="305">
        <v>39769</v>
      </c>
      <c r="B6397" s="306">
        <v>180.83799999999999</v>
      </c>
      <c r="C6397" s="309">
        <v>7.5925455461702898</v>
      </c>
    </row>
    <row r="6398" spans="1:3" x14ac:dyDescent="0.35">
      <c r="A6398" s="302">
        <v>39768</v>
      </c>
      <c r="B6398" s="303">
        <v>180.81700000000001</v>
      </c>
      <c r="C6398" s="308">
        <v>7.5803712839771498</v>
      </c>
    </row>
    <row r="6399" spans="1:3" x14ac:dyDescent="0.35">
      <c r="A6399" s="305">
        <v>39767</v>
      </c>
      <c r="B6399" s="306">
        <v>180.79589999999999</v>
      </c>
      <c r="C6399" s="309">
        <v>7.5682014522036498</v>
      </c>
    </row>
    <row r="6400" spans="1:3" x14ac:dyDescent="0.35">
      <c r="A6400" s="302">
        <v>39766</v>
      </c>
      <c r="B6400" s="303">
        <v>180.80699999999999</v>
      </c>
      <c r="C6400" s="308">
        <v>7.5776218650191103</v>
      </c>
    </row>
    <row r="6401" spans="1:3" x14ac:dyDescent="0.35">
      <c r="A6401" s="305">
        <v>39765</v>
      </c>
      <c r="B6401" s="306">
        <v>180.81809999999999</v>
      </c>
      <c r="C6401" s="309">
        <v>7.5869787566736804</v>
      </c>
    </row>
    <row r="6402" spans="1:3" x14ac:dyDescent="0.35">
      <c r="A6402" s="302">
        <v>39764</v>
      </c>
      <c r="B6402" s="303">
        <v>180.82919999999999</v>
      </c>
      <c r="C6402" s="308">
        <v>7.5964001487541797</v>
      </c>
    </row>
    <row r="6403" spans="1:3" x14ac:dyDescent="0.35">
      <c r="A6403" s="305">
        <v>39763</v>
      </c>
      <c r="B6403" s="306">
        <v>180.84030000000001</v>
      </c>
      <c r="C6403" s="309">
        <v>7.6057580052624596</v>
      </c>
    </row>
    <row r="6404" spans="1:3" x14ac:dyDescent="0.35">
      <c r="A6404" s="302">
        <v>39762</v>
      </c>
      <c r="B6404" s="303">
        <v>180.85140000000001</v>
      </c>
      <c r="C6404" s="308">
        <v>7.6151163406502302</v>
      </c>
    </row>
    <row r="6405" spans="1:3" x14ac:dyDescent="0.35">
      <c r="A6405" s="305">
        <v>39761</v>
      </c>
      <c r="B6405" s="306">
        <v>180.86250000000001</v>
      </c>
      <c r="C6405" s="309">
        <v>7.6245391982719397</v>
      </c>
    </row>
    <row r="6406" spans="1:3" x14ac:dyDescent="0.35">
      <c r="A6406" s="302">
        <v>39760</v>
      </c>
      <c r="B6406" s="303">
        <v>180.87360000000001</v>
      </c>
      <c r="C6406" s="308">
        <v>7.6338984987372402</v>
      </c>
    </row>
    <row r="6407" spans="1:3" x14ac:dyDescent="0.35">
      <c r="A6407" s="305">
        <v>39759</v>
      </c>
      <c r="B6407" s="306">
        <v>180.88470000000001</v>
      </c>
      <c r="C6407" s="309">
        <v>7.6432582781929899</v>
      </c>
    </row>
    <row r="6408" spans="1:3" x14ac:dyDescent="0.35">
      <c r="A6408" s="302">
        <v>39758</v>
      </c>
      <c r="B6408" s="303">
        <v>180.89580000000001</v>
      </c>
      <c r="C6408" s="308">
        <v>7.65268260169666</v>
      </c>
    </row>
    <row r="6409" spans="1:3" x14ac:dyDescent="0.35">
      <c r="A6409" s="305">
        <v>39757</v>
      </c>
      <c r="B6409" s="306">
        <v>180.90690000000001</v>
      </c>
      <c r="C6409" s="309">
        <v>7.6620433464538298</v>
      </c>
    </row>
    <row r="6410" spans="1:3" x14ac:dyDescent="0.35">
      <c r="A6410" s="302">
        <v>39756</v>
      </c>
      <c r="B6410" s="303">
        <v>180.91800000000001</v>
      </c>
      <c r="C6410" s="308">
        <v>7.6714045703124301</v>
      </c>
    </row>
    <row r="6411" spans="1:3" x14ac:dyDescent="0.35">
      <c r="A6411" s="305">
        <v>39755</v>
      </c>
      <c r="B6411" s="306">
        <v>180.92910000000001</v>
      </c>
      <c r="C6411" s="309">
        <v>7.6808303600389198</v>
      </c>
    </row>
    <row r="6412" spans="1:3" x14ac:dyDescent="0.35">
      <c r="A6412" s="302">
        <v>39754</v>
      </c>
      <c r="B6412" s="303">
        <v>180.9402</v>
      </c>
      <c r="C6412" s="308">
        <v>7.6901925494229202</v>
      </c>
    </row>
    <row r="6413" spans="1:3" x14ac:dyDescent="0.35">
      <c r="A6413" s="305">
        <v>39753</v>
      </c>
      <c r="B6413" s="306">
        <v>180.9513</v>
      </c>
      <c r="C6413" s="309">
        <v>7.6995552180193503</v>
      </c>
    </row>
    <row r="6414" spans="1:3" x14ac:dyDescent="0.35">
      <c r="A6414" s="302">
        <v>39752</v>
      </c>
      <c r="B6414" s="303">
        <v>180.9624</v>
      </c>
      <c r="C6414" s="308">
        <v>7.7089824743096402</v>
      </c>
    </row>
    <row r="6415" spans="1:3" x14ac:dyDescent="0.35">
      <c r="A6415" s="305">
        <v>39751</v>
      </c>
      <c r="B6415" s="306">
        <v>180.9735</v>
      </c>
      <c r="C6415" s="309">
        <v>7.7183461086555099</v>
      </c>
    </row>
    <row r="6416" spans="1:3" x14ac:dyDescent="0.35">
      <c r="A6416" s="302">
        <v>39750</v>
      </c>
      <c r="B6416" s="303">
        <v>180.9846</v>
      </c>
      <c r="C6416" s="308">
        <v>7.7277102223248697</v>
      </c>
    </row>
    <row r="6417" spans="1:3" x14ac:dyDescent="0.35">
      <c r="A6417" s="305">
        <v>39749</v>
      </c>
      <c r="B6417" s="306">
        <v>180.9957</v>
      </c>
      <c r="C6417" s="309">
        <v>7.7371389455200203</v>
      </c>
    </row>
    <row r="6418" spans="1:3" x14ac:dyDescent="0.35">
      <c r="A6418" s="302">
        <v>39748</v>
      </c>
      <c r="B6418" s="303">
        <v>181.0068</v>
      </c>
      <c r="C6418" s="308">
        <v>7.7465040251629196</v>
      </c>
    </row>
    <row r="6419" spans="1:3" x14ac:dyDescent="0.35">
      <c r="A6419" s="305">
        <v>39747</v>
      </c>
      <c r="B6419" s="306">
        <v>181.0179</v>
      </c>
      <c r="C6419" s="309">
        <v>7.75586958424039</v>
      </c>
    </row>
    <row r="6420" spans="1:3" x14ac:dyDescent="0.35">
      <c r="A6420" s="302">
        <v>39746</v>
      </c>
      <c r="B6420" s="303">
        <v>181.029</v>
      </c>
      <c r="C6420" s="308">
        <v>7.7652997746815897</v>
      </c>
    </row>
    <row r="6421" spans="1:3" x14ac:dyDescent="0.35">
      <c r="A6421" s="305">
        <v>39745</v>
      </c>
      <c r="B6421" s="306">
        <v>181.0401</v>
      </c>
      <c r="C6421" s="309">
        <v>7.7746662999567802</v>
      </c>
    </row>
    <row r="6422" spans="1:3" x14ac:dyDescent="0.35">
      <c r="A6422" s="302">
        <v>39744</v>
      </c>
      <c r="B6422" s="303">
        <v>181.05119999999999</v>
      </c>
      <c r="C6422" s="308">
        <v>7.7840333047776502</v>
      </c>
    </row>
    <row r="6423" spans="1:3" x14ac:dyDescent="0.35">
      <c r="A6423" s="305">
        <v>39743</v>
      </c>
      <c r="B6423" s="306">
        <v>181.06229999999999</v>
      </c>
      <c r="C6423" s="309">
        <v>7.7934649628061896</v>
      </c>
    </row>
    <row r="6424" spans="1:3" x14ac:dyDescent="0.35">
      <c r="A6424" s="302">
        <v>39742</v>
      </c>
      <c r="B6424" s="303">
        <v>181.07339999999999</v>
      </c>
      <c r="C6424" s="308">
        <v>7.8028329340490297</v>
      </c>
    </row>
    <row r="6425" spans="1:3" x14ac:dyDescent="0.35">
      <c r="A6425" s="305">
        <v>39741</v>
      </c>
      <c r="B6425" s="306">
        <v>181.08449999999999</v>
      </c>
      <c r="C6425" s="309">
        <v>7.8122013849487004</v>
      </c>
    </row>
    <row r="6426" spans="1:3" x14ac:dyDescent="0.35">
      <c r="A6426" s="302">
        <v>39740</v>
      </c>
      <c r="B6426" s="303">
        <v>181.09569999999999</v>
      </c>
      <c r="C6426" s="308">
        <v>7.8216940494229199</v>
      </c>
    </row>
    <row r="6427" spans="1:3" x14ac:dyDescent="0.35">
      <c r="A6427" s="305">
        <v>39739</v>
      </c>
      <c r="B6427" s="306">
        <v>181.10679999999999</v>
      </c>
      <c r="C6427" s="309">
        <v>7.8310634684932001</v>
      </c>
    </row>
    <row r="6428" spans="1:3" x14ac:dyDescent="0.35">
      <c r="A6428" s="302">
        <v>39738</v>
      </c>
      <c r="B6428" s="303">
        <v>181.11789999999999</v>
      </c>
      <c r="C6428" s="308">
        <v>7.8404333673315696</v>
      </c>
    </row>
    <row r="6429" spans="1:3" x14ac:dyDescent="0.35">
      <c r="A6429" s="305">
        <v>39737</v>
      </c>
      <c r="B6429" s="306">
        <v>181.12899999999999</v>
      </c>
      <c r="C6429" s="309">
        <v>7.8498679631189896</v>
      </c>
    </row>
    <row r="6430" spans="1:3" x14ac:dyDescent="0.35">
      <c r="A6430" s="302">
        <v>39736</v>
      </c>
      <c r="B6430" s="303">
        <v>181.14009999999999</v>
      </c>
      <c r="C6430" s="308">
        <v>7.8592388288281896</v>
      </c>
    </row>
    <row r="6431" spans="1:3" x14ac:dyDescent="0.35">
      <c r="A6431" s="305">
        <v>39735</v>
      </c>
      <c r="B6431" s="306">
        <v>181.12870000000001</v>
      </c>
      <c r="C6431" s="309">
        <v>7.8477628558754597</v>
      </c>
    </row>
    <row r="6432" spans="1:3" x14ac:dyDescent="0.35">
      <c r="A6432" s="302">
        <v>39734</v>
      </c>
      <c r="B6432" s="303">
        <v>181.1172</v>
      </c>
      <c r="C6432" s="308">
        <v>7.8362283410278204</v>
      </c>
    </row>
    <row r="6433" spans="1:3" x14ac:dyDescent="0.35">
      <c r="A6433" s="305">
        <v>39733</v>
      </c>
      <c r="B6433" s="306">
        <v>181.10570000000001</v>
      </c>
      <c r="C6433" s="309">
        <v>7.8247590243089302</v>
      </c>
    </row>
    <row r="6434" spans="1:3" x14ac:dyDescent="0.35">
      <c r="A6434" s="302">
        <v>39732</v>
      </c>
      <c r="B6434" s="303">
        <v>181.0943</v>
      </c>
      <c r="C6434" s="308">
        <v>7.8132860392581298</v>
      </c>
    </row>
    <row r="6435" spans="1:3" x14ac:dyDescent="0.35">
      <c r="A6435" s="305">
        <v>39731</v>
      </c>
      <c r="B6435" s="306">
        <v>181.08279999999999</v>
      </c>
      <c r="C6435" s="309">
        <v>7.80175451965024</v>
      </c>
    </row>
    <row r="6436" spans="1:3" x14ac:dyDescent="0.35">
      <c r="A6436" s="302">
        <v>39730</v>
      </c>
      <c r="B6436" s="303">
        <v>181.07140000000001</v>
      </c>
      <c r="C6436" s="308">
        <v>7.7902835314364598</v>
      </c>
    </row>
    <row r="6437" spans="1:3" x14ac:dyDescent="0.35">
      <c r="A6437" s="305">
        <v>39729</v>
      </c>
      <c r="B6437" s="306">
        <v>181.0599</v>
      </c>
      <c r="C6437" s="309">
        <v>7.7787540135792002</v>
      </c>
    </row>
    <row r="6438" spans="1:3" x14ac:dyDescent="0.35">
      <c r="A6438" s="302">
        <v>39728</v>
      </c>
      <c r="B6438" s="303">
        <v>181.04839999999999</v>
      </c>
      <c r="C6438" s="308">
        <v>7.7672254976949304</v>
      </c>
    </row>
    <row r="6439" spans="1:3" x14ac:dyDescent="0.35">
      <c r="A6439" s="305">
        <v>39727</v>
      </c>
      <c r="B6439" s="306">
        <v>181.03700000000001</v>
      </c>
      <c r="C6439" s="309">
        <v>7.7558216428273399</v>
      </c>
    </row>
    <row r="6440" spans="1:3" x14ac:dyDescent="0.35">
      <c r="A6440" s="302">
        <v>39726</v>
      </c>
      <c r="B6440" s="303">
        <v>181.02549999999999</v>
      </c>
      <c r="C6440" s="308">
        <v>7.7442951182639499</v>
      </c>
    </row>
    <row r="6441" spans="1:3" x14ac:dyDescent="0.35">
      <c r="A6441" s="305">
        <v>39725</v>
      </c>
      <c r="B6441" s="306">
        <v>181.01410000000001</v>
      </c>
      <c r="C6441" s="309">
        <v>7.7328291115471703</v>
      </c>
    </row>
    <row r="6442" spans="1:3" x14ac:dyDescent="0.35">
      <c r="A6442" s="302">
        <v>39724</v>
      </c>
      <c r="B6442" s="303">
        <v>181.0026</v>
      </c>
      <c r="C6442" s="308">
        <v>7.7213045874333304</v>
      </c>
    </row>
    <row r="6443" spans="1:3" x14ac:dyDescent="0.35">
      <c r="A6443" s="305">
        <v>39723</v>
      </c>
      <c r="B6443" s="306">
        <v>180.99119999999999</v>
      </c>
      <c r="C6443" s="309">
        <v>7.70984057573411</v>
      </c>
    </row>
    <row r="6444" spans="1:3" x14ac:dyDescent="0.35">
      <c r="A6444" s="302">
        <v>39722</v>
      </c>
      <c r="B6444" s="303">
        <v>180.97970000000001</v>
      </c>
      <c r="C6444" s="308">
        <v>7.6983180515486502</v>
      </c>
    </row>
    <row r="6445" spans="1:3" x14ac:dyDescent="0.35">
      <c r="A6445" s="305">
        <v>39721</v>
      </c>
      <c r="B6445" s="306">
        <v>180.9683</v>
      </c>
      <c r="C6445" s="309">
        <v>7.6868560343468202</v>
      </c>
    </row>
    <row r="6446" spans="1:3" x14ac:dyDescent="0.35">
      <c r="A6446" s="302">
        <v>39720</v>
      </c>
      <c r="B6446" s="303">
        <v>180.95679999999999</v>
      </c>
      <c r="C6446" s="308">
        <v>7.6753995800251902</v>
      </c>
    </row>
    <row r="6447" spans="1:3" x14ac:dyDescent="0.35">
      <c r="A6447" s="305">
        <v>39719</v>
      </c>
      <c r="B6447" s="306">
        <v>180.94540000000001</v>
      </c>
      <c r="C6447" s="309">
        <v>7.6639395471989999</v>
      </c>
    </row>
    <row r="6448" spans="1:3" x14ac:dyDescent="0.35">
      <c r="A6448" s="302">
        <v>39718</v>
      </c>
      <c r="B6448" s="303">
        <v>180.93389999999999</v>
      </c>
      <c r="C6448" s="308">
        <v>7.6524210116717599</v>
      </c>
    </row>
    <row r="6449" spans="1:3" x14ac:dyDescent="0.35">
      <c r="A6449" s="305">
        <v>39717</v>
      </c>
      <c r="B6449" s="306">
        <v>180.92250000000001</v>
      </c>
      <c r="C6449" s="309">
        <v>7.6409629723059798</v>
      </c>
    </row>
    <row r="6450" spans="1:3" x14ac:dyDescent="0.35">
      <c r="A6450" s="302">
        <v>39716</v>
      </c>
      <c r="B6450" s="303">
        <v>180.911</v>
      </c>
      <c r="C6450" s="308">
        <v>7.6294464351475302</v>
      </c>
    </row>
    <row r="6451" spans="1:3" x14ac:dyDescent="0.35">
      <c r="A6451" s="305">
        <v>39715</v>
      </c>
      <c r="B6451" s="306">
        <v>180.89959999999999</v>
      </c>
      <c r="C6451" s="309">
        <v>7.61799038872251</v>
      </c>
    </row>
    <row r="6452" spans="1:3" x14ac:dyDescent="0.35">
      <c r="A6452" s="302">
        <v>39714</v>
      </c>
      <c r="B6452" s="303">
        <v>180.88810000000001</v>
      </c>
      <c r="C6452" s="308">
        <v>7.6064758494124103</v>
      </c>
    </row>
    <row r="6453" spans="1:3" x14ac:dyDescent="0.35">
      <c r="A6453" s="305">
        <v>39713</v>
      </c>
      <c r="B6453" s="306">
        <v>180.8767</v>
      </c>
      <c r="C6453" s="309">
        <v>7.59502179540869</v>
      </c>
    </row>
    <row r="6454" spans="1:3" x14ac:dyDescent="0.35">
      <c r="A6454" s="302">
        <v>39712</v>
      </c>
      <c r="B6454" s="303">
        <v>180.86529999999999</v>
      </c>
      <c r="C6454" s="308">
        <v>7.5835687361293802</v>
      </c>
    </row>
    <row r="6455" spans="1:3" x14ac:dyDescent="0.35">
      <c r="A6455" s="305">
        <v>39711</v>
      </c>
      <c r="B6455" s="306">
        <v>180.85380000000001</v>
      </c>
      <c r="C6455" s="309">
        <v>7.5721211753516604</v>
      </c>
    </row>
    <row r="6456" spans="1:3" x14ac:dyDescent="0.35">
      <c r="A6456" s="302">
        <v>39710</v>
      </c>
      <c r="B6456" s="303">
        <v>180.8424</v>
      </c>
      <c r="C6456" s="308">
        <v>7.5606700981261001</v>
      </c>
    </row>
    <row r="6457" spans="1:3" x14ac:dyDescent="0.35">
      <c r="A6457" s="305">
        <v>39709</v>
      </c>
      <c r="B6457" s="306">
        <v>180.83090000000001</v>
      </c>
      <c r="C6457" s="309">
        <v>7.5491605402470201</v>
      </c>
    </row>
    <row r="6458" spans="1:3" x14ac:dyDescent="0.35">
      <c r="A6458" s="302">
        <v>39708</v>
      </c>
      <c r="B6458" s="303">
        <v>180.81950000000001</v>
      </c>
      <c r="C6458" s="308">
        <v>7.53771145414796</v>
      </c>
    </row>
    <row r="6459" spans="1:3" x14ac:dyDescent="0.35">
      <c r="A6459" s="305">
        <v>39707</v>
      </c>
      <c r="B6459" s="306">
        <v>180.80799999999999</v>
      </c>
      <c r="C6459" s="309">
        <v>7.5262038923001402</v>
      </c>
    </row>
    <row r="6460" spans="1:3" x14ac:dyDescent="0.35">
      <c r="A6460" s="302">
        <v>39706</v>
      </c>
      <c r="B6460" s="303">
        <v>180.79660000000001</v>
      </c>
      <c r="C6460" s="308">
        <v>7.5147567968087499</v>
      </c>
    </row>
    <row r="6461" spans="1:3" x14ac:dyDescent="0.35">
      <c r="A6461" s="305">
        <v>39705</v>
      </c>
      <c r="B6461" s="306">
        <v>180.7687</v>
      </c>
      <c r="C6461" s="309">
        <v>7.5040469674208703</v>
      </c>
    </row>
    <row r="6462" spans="1:3" x14ac:dyDescent="0.35">
      <c r="A6462" s="302">
        <v>39704</v>
      </c>
      <c r="B6462" s="303">
        <v>180.7407</v>
      </c>
      <c r="C6462" s="308">
        <v>7.4932764922856601</v>
      </c>
    </row>
    <row r="6463" spans="1:3" x14ac:dyDescent="0.35">
      <c r="A6463" s="305">
        <v>39703</v>
      </c>
      <c r="B6463" s="306">
        <v>180.71279999999999</v>
      </c>
      <c r="C6463" s="309">
        <v>7.48262824291138</v>
      </c>
    </row>
    <row r="6464" spans="1:3" x14ac:dyDescent="0.35">
      <c r="A6464" s="302">
        <v>39702</v>
      </c>
      <c r="B6464" s="303">
        <v>180.6849</v>
      </c>
      <c r="C6464" s="308">
        <v>7.4719148908328403</v>
      </c>
    </row>
    <row r="6465" spans="1:3" x14ac:dyDescent="0.35">
      <c r="A6465" s="305">
        <v>39701</v>
      </c>
      <c r="B6465" s="306">
        <v>180.65700000000001</v>
      </c>
      <c r="C6465" s="309">
        <v>7.4612003661807504</v>
      </c>
    </row>
    <row r="6466" spans="1:3" x14ac:dyDescent="0.35">
      <c r="A6466" s="302">
        <v>39700</v>
      </c>
      <c r="B6466" s="303">
        <v>180.62909999999999</v>
      </c>
      <c r="C6466" s="308">
        <v>7.4504846687625896</v>
      </c>
    </row>
    <row r="6467" spans="1:3" x14ac:dyDescent="0.35">
      <c r="A6467" s="305">
        <v>39699</v>
      </c>
      <c r="B6467" s="306">
        <v>180.60120000000001</v>
      </c>
      <c r="C6467" s="309">
        <v>7.4397677983857999</v>
      </c>
    </row>
    <row r="6468" spans="1:3" x14ac:dyDescent="0.35">
      <c r="A6468" s="302">
        <v>39698</v>
      </c>
      <c r="B6468" s="303">
        <v>180.57329999999999</v>
      </c>
      <c r="C6468" s="308">
        <v>7.4290497548577799</v>
      </c>
    </row>
    <row r="6469" spans="1:3" x14ac:dyDescent="0.35">
      <c r="A6469" s="305">
        <v>39697</v>
      </c>
      <c r="B6469" s="306">
        <v>180.5454</v>
      </c>
      <c r="C6469" s="309">
        <v>7.4183305379858897</v>
      </c>
    </row>
    <row r="6470" spans="1:3" x14ac:dyDescent="0.35">
      <c r="A6470" s="302">
        <v>39696</v>
      </c>
      <c r="B6470" s="303">
        <v>180.51750000000001</v>
      </c>
      <c r="C6470" s="308">
        <v>7.4076101475774303</v>
      </c>
    </row>
    <row r="6471" spans="1:3" x14ac:dyDescent="0.35">
      <c r="A6471" s="305">
        <v>39695</v>
      </c>
      <c r="B6471" s="306">
        <v>180.4896</v>
      </c>
      <c r="C6471" s="309">
        <v>7.3968885834396998</v>
      </c>
    </row>
    <row r="6472" spans="1:3" x14ac:dyDescent="0.35">
      <c r="A6472" s="302">
        <v>39694</v>
      </c>
      <c r="B6472" s="303">
        <v>180.46180000000001</v>
      </c>
      <c r="C6472" s="308">
        <v>7.3862253517271403</v>
      </c>
    </row>
    <row r="6473" spans="1:3" x14ac:dyDescent="0.35">
      <c r="A6473" s="305">
        <v>39693</v>
      </c>
      <c r="B6473" s="306">
        <v>180.43389999999999</v>
      </c>
      <c r="C6473" s="309">
        <v>7.3755653415853404</v>
      </c>
    </row>
    <row r="6474" spans="1:3" x14ac:dyDescent="0.35">
      <c r="A6474" s="302">
        <v>39692</v>
      </c>
      <c r="B6474" s="303">
        <v>180.40600000000001</v>
      </c>
      <c r="C6474" s="308">
        <v>7.3648402554769703</v>
      </c>
    </row>
    <row r="6475" spans="1:3" x14ac:dyDescent="0.35">
      <c r="A6475" s="305">
        <v>39691</v>
      </c>
      <c r="B6475" s="306">
        <v>180.37819999999999</v>
      </c>
      <c r="C6475" s="309">
        <v>7.3541735110247703</v>
      </c>
    </row>
    <row r="6476" spans="1:3" x14ac:dyDescent="0.35">
      <c r="A6476" s="302">
        <v>39690</v>
      </c>
      <c r="B6476" s="303">
        <v>180.3503</v>
      </c>
      <c r="C6476" s="308">
        <v>7.3434460789798797</v>
      </c>
    </row>
    <row r="6477" spans="1:3" x14ac:dyDescent="0.35">
      <c r="A6477" s="305">
        <v>39689</v>
      </c>
      <c r="B6477" s="306">
        <v>180.32239999999999</v>
      </c>
      <c r="C6477" s="309">
        <v>7.3327174720481496</v>
      </c>
    </row>
    <row r="6478" spans="1:3" x14ac:dyDescent="0.35">
      <c r="A6478" s="302">
        <v>39688</v>
      </c>
      <c r="B6478" s="303">
        <v>180.2946</v>
      </c>
      <c r="C6478" s="308">
        <v>7.3220472159719998</v>
      </c>
    </row>
    <row r="6479" spans="1:3" x14ac:dyDescent="0.35">
      <c r="A6479" s="305">
        <v>39687</v>
      </c>
      <c r="B6479" s="306">
        <v>180.26669999999999</v>
      </c>
      <c r="C6479" s="309">
        <v>7.3113162619475096</v>
      </c>
    </row>
    <row r="6480" spans="1:3" x14ac:dyDescent="0.35">
      <c r="A6480" s="302">
        <v>39686</v>
      </c>
      <c r="B6480" s="303">
        <v>180.2389</v>
      </c>
      <c r="C6480" s="308">
        <v>7.30064366491324</v>
      </c>
    </row>
    <row r="6481" spans="1:3" x14ac:dyDescent="0.35">
      <c r="A6481" s="305">
        <v>39685</v>
      </c>
      <c r="B6481" s="306">
        <v>180.21109999999999</v>
      </c>
      <c r="C6481" s="309">
        <v>7.2899698987416501</v>
      </c>
    </row>
    <row r="6482" spans="1:3" x14ac:dyDescent="0.35">
      <c r="A6482" s="302">
        <v>39684</v>
      </c>
      <c r="B6482" s="303">
        <v>180.1832</v>
      </c>
      <c r="C6482" s="308">
        <v>7.2792354242628496</v>
      </c>
    </row>
    <row r="6483" spans="1:3" x14ac:dyDescent="0.35">
      <c r="A6483" s="305">
        <v>39683</v>
      </c>
      <c r="B6483" s="306">
        <v>180.15539999999999</v>
      </c>
      <c r="C6483" s="309">
        <v>7.2685593159787603</v>
      </c>
    </row>
    <row r="6484" spans="1:3" x14ac:dyDescent="0.35">
      <c r="A6484" s="302">
        <v>39682</v>
      </c>
      <c r="B6484" s="303">
        <v>180.1276</v>
      </c>
      <c r="C6484" s="308">
        <v>7.2578820379805</v>
      </c>
    </row>
    <row r="6485" spans="1:3" x14ac:dyDescent="0.35">
      <c r="A6485" s="305">
        <v>39681</v>
      </c>
      <c r="B6485" s="306">
        <v>180.09970000000001</v>
      </c>
      <c r="C6485" s="309">
        <v>7.2471440413125503</v>
      </c>
    </row>
    <row r="6486" spans="1:3" x14ac:dyDescent="0.35">
      <c r="A6486" s="302">
        <v>39680</v>
      </c>
      <c r="B6486" s="303">
        <v>180.0719</v>
      </c>
      <c r="C6486" s="308">
        <v>7.2364644200466399</v>
      </c>
    </row>
    <row r="6487" spans="1:3" x14ac:dyDescent="0.35">
      <c r="A6487" s="305">
        <v>39679</v>
      </c>
      <c r="B6487" s="306">
        <v>180.04409999999999</v>
      </c>
      <c r="C6487" s="309">
        <v>7.2257836284893404</v>
      </c>
    </row>
    <row r="6488" spans="1:3" x14ac:dyDescent="0.35">
      <c r="A6488" s="302">
        <v>39678</v>
      </c>
      <c r="B6488" s="303">
        <v>180.0163</v>
      </c>
      <c r="C6488" s="308">
        <v>7.2151016664482901</v>
      </c>
    </row>
    <row r="6489" spans="1:3" x14ac:dyDescent="0.35">
      <c r="A6489" s="305">
        <v>39677</v>
      </c>
      <c r="B6489" s="306">
        <v>179.98849999999999</v>
      </c>
      <c r="C6489" s="309">
        <v>7.20441853373105</v>
      </c>
    </row>
    <row r="6490" spans="1:3" x14ac:dyDescent="0.35">
      <c r="A6490" s="302">
        <v>39676</v>
      </c>
      <c r="B6490" s="303">
        <v>179.9607</v>
      </c>
      <c r="C6490" s="308">
        <v>7.1937342301451697</v>
      </c>
    </row>
    <row r="6491" spans="1:3" x14ac:dyDescent="0.35">
      <c r="A6491" s="305">
        <v>39675</v>
      </c>
      <c r="B6491" s="306">
        <v>179.93289999999999</v>
      </c>
      <c r="C6491" s="309">
        <v>7.1830487554981604</v>
      </c>
    </row>
    <row r="6492" spans="1:3" x14ac:dyDescent="0.35">
      <c r="A6492" s="302">
        <v>39674</v>
      </c>
      <c r="B6492" s="303">
        <v>179.88319999999999</v>
      </c>
      <c r="C6492" s="308">
        <v>7.1575923687613896</v>
      </c>
    </row>
    <row r="6493" spans="1:3" x14ac:dyDescent="0.35">
      <c r="A6493" s="305">
        <v>39673</v>
      </c>
      <c r="B6493" s="306">
        <v>179.83349999999999</v>
      </c>
      <c r="C6493" s="309">
        <v>7.1321340105587101</v>
      </c>
    </row>
    <row r="6494" spans="1:3" x14ac:dyDescent="0.35">
      <c r="A6494" s="302">
        <v>39672</v>
      </c>
      <c r="B6494" s="303">
        <v>179.78389999999999</v>
      </c>
      <c r="C6494" s="308">
        <v>7.1067332559252101</v>
      </c>
    </row>
    <row r="6495" spans="1:3" x14ac:dyDescent="0.35">
      <c r="A6495" s="305">
        <v>39671</v>
      </c>
      <c r="B6495" s="306">
        <v>179.73419999999999</v>
      </c>
      <c r="C6495" s="309">
        <v>7.0812709564106697</v>
      </c>
    </row>
    <row r="6496" spans="1:3" x14ac:dyDescent="0.35">
      <c r="A6496" s="302">
        <v>39670</v>
      </c>
      <c r="B6496" s="303">
        <v>179.68459999999999</v>
      </c>
      <c r="C6496" s="308">
        <v>7.0558662646216499</v>
      </c>
    </row>
    <row r="6497" spans="1:3" x14ac:dyDescent="0.35">
      <c r="A6497" s="305">
        <v>39669</v>
      </c>
      <c r="B6497" s="306">
        <v>179.63499999999999</v>
      </c>
      <c r="C6497" s="309">
        <v>7.03045960506544</v>
      </c>
    </row>
    <row r="6498" spans="1:3" x14ac:dyDescent="0.35">
      <c r="A6498" s="302">
        <v>39668</v>
      </c>
      <c r="B6498" s="303">
        <v>179.58529999999999</v>
      </c>
      <c r="C6498" s="308">
        <v>7.0049276346757701</v>
      </c>
    </row>
    <row r="6499" spans="1:3" x14ac:dyDescent="0.35">
      <c r="A6499" s="305">
        <v>39667</v>
      </c>
      <c r="B6499" s="306">
        <v>179.53569999999999</v>
      </c>
      <c r="C6499" s="309">
        <v>6.97951704926336</v>
      </c>
    </row>
    <row r="6500" spans="1:3" x14ac:dyDescent="0.35">
      <c r="A6500" s="302">
        <v>39666</v>
      </c>
      <c r="B6500" s="303">
        <v>179.4862</v>
      </c>
      <c r="C6500" s="308">
        <v>6.9541640844734696</v>
      </c>
    </row>
    <row r="6501" spans="1:3" x14ac:dyDescent="0.35">
      <c r="A6501" s="305">
        <v>39665</v>
      </c>
      <c r="B6501" s="306">
        <v>179.4366</v>
      </c>
      <c r="C6501" s="309">
        <v>6.9287495642380197</v>
      </c>
    </row>
    <row r="6502" spans="1:3" x14ac:dyDescent="0.35">
      <c r="A6502" s="302">
        <v>39664</v>
      </c>
      <c r="B6502" s="303">
        <v>179.387</v>
      </c>
      <c r="C6502" s="308">
        <v>6.9033330750940101</v>
      </c>
    </row>
    <row r="6503" spans="1:3" x14ac:dyDescent="0.35">
      <c r="A6503" s="305">
        <v>39663</v>
      </c>
      <c r="B6503" s="306">
        <v>179.33750000000001</v>
      </c>
      <c r="C6503" s="309">
        <v>6.8779742128113499</v>
      </c>
    </row>
    <row r="6504" spans="1:3" x14ac:dyDescent="0.35">
      <c r="A6504" s="302">
        <v>39662</v>
      </c>
      <c r="B6504" s="303">
        <v>179.28790000000001</v>
      </c>
      <c r="C6504" s="308">
        <v>6.8525537874724396</v>
      </c>
    </row>
    <row r="6505" spans="1:3" x14ac:dyDescent="0.35">
      <c r="A6505" s="305">
        <v>39661</v>
      </c>
      <c r="B6505" s="306">
        <v>179.23840000000001</v>
      </c>
      <c r="C6505" s="309">
        <v>6.8271909931548702</v>
      </c>
    </row>
    <row r="6506" spans="1:3" x14ac:dyDescent="0.35">
      <c r="A6506" s="302">
        <v>39660</v>
      </c>
      <c r="B6506" s="303">
        <v>179.18889999999999</v>
      </c>
      <c r="C6506" s="308">
        <v>6.8018262336315498</v>
      </c>
    </row>
    <row r="6507" spans="1:3" x14ac:dyDescent="0.35">
      <c r="A6507" s="305">
        <v>39659</v>
      </c>
      <c r="B6507" s="306">
        <v>179.13939999999999</v>
      </c>
      <c r="C6507" s="309">
        <v>6.7764595086740496</v>
      </c>
    </row>
    <row r="6508" spans="1:3" x14ac:dyDescent="0.35">
      <c r="A6508" s="302">
        <v>39658</v>
      </c>
      <c r="B6508" s="303">
        <v>179.09</v>
      </c>
      <c r="C6508" s="308">
        <v>6.75115042559786</v>
      </c>
    </row>
    <row r="6509" spans="1:3" x14ac:dyDescent="0.35">
      <c r="A6509" s="305">
        <v>39657</v>
      </c>
      <c r="B6509" s="306">
        <v>179.04050000000001</v>
      </c>
      <c r="C6509" s="309">
        <v>6.7257797713962102</v>
      </c>
    </row>
    <row r="6510" spans="1:3" x14ac:dyDescent="0.35">
      <c r="A6510" s="302">
        <v>39656</v>
      </c>
      <c r="B6510" s="303">
        <v>178.99100000000001</v>
      </c>
      <c r="C6510" s="308">
        <v>6.7003435446921102</v>
      </c>
    </row>
    <row r="6511" spans="1:3" x14ac:dyDescent="0.35">
      <c r="A6511" s="305">
        <v>39655</v>
      </c>
      <c r="B6511" s="306">
        <v>178.94159999999999</v>
      </c>
      <c r="C6511" s="309">
        <v>6.6750285851228597</v>
      </c>
    </row>
    <row r="6512" spans="1:3" x14ac:dyDescent="0.35">
      <c r="A6512" s="302">
        <v>39654</v>
      </c>
      <c r="B6512" s="303">
        <v>178.8922</v>
      </c>
      <c r="C6512" s="308">
        <v>6.6497116635993798</v>
      </c>
    </row>
    <row r="6513" spans="1:3" x14ac:dyDescent="0.35">
      <c r="A6513" s="305">
        <v>39653</v>
      </c>
      <c r="B6513" s="306">
        <v>178.84280000000001</v>
      </c>
      <c r="C6513" s="309">
        <v>6.62439277989359</v>
      </c>
    </row>
    <row r="6514" spans="1:3" x14ac:dyDescent="0.35">
      <c r="A6514" s="302">
        <v>39652</v>
      </c>
      <c r="B6514" s="303">
        <v>178.79339999999999</v>
      </c>
      <c r="C6514" s="308">
        <v>6.59907193377735</v>
      </c>
    </row>
    <row r="6515" spans="1:3" x14ac:dyDescent="0.35">
      <c r="A6515" s="305">
        <v>39651</v>
      </c>
      <c r="B6515" s="306">
        <v>178.744</v>
      </c>
      <c r="C6515" s="309">
        <v>6.57374912502251</v>
      </c>
    </row>
    <row r="6516" spans="1:3" x14ac:dyDescent="0.35">
      <c r="A6516" s="302">
        <v>39650</v>
      </c>
      <c r="B6516" s="303">
        <v>178.69460000000001</v>
      </c>
      <c r="C6516" s="308">
        <v>6.5484243534008604</v>
      </c>
    </row>
    <row r="6517" spans="1:3" x14ac:dyDescent="0.35">
      <c r="A6517" s="305">
        <v>39649</v>
      </c>
      <c r="B6517" s="306">
        <v>178.64529999999999</v>
      </c>
      <c r="C6517" s="309">
        <v>6.5231572469851899</v>
      </c>
    </row>
    <row r="6518" spans="1:3" x14ac:dyDescent="0.35">
      <c r="A6518" s="302">
        <v>39648</v>
      </c>
      <c r="B6518" s="303">
        <v>178.5959</v>
      </c>
      <c r="C6518" s="308">
        <v>6.49782855125639</v>
      </c>
    </row>
    <row r="6519" spans="1:3" x14ac:dyDescent="0.35">
      <c r="A6519" s="305">
        <v>39647</v>
      </c>
      <c r="B6519" s="306">
        <v>178.54660000000001</v>
      </c>
      <c r="C6519" s="309">
        <v>6.4724940322387301</v>
      </c>
    </row>
    <row r="6520" spans="1:3" x14ac:dyDescent="0.35">
      <c r="A6520" s="302">
        <v>39646</v>
      </c>
      <c r="B6520" s="303">
        <v>178.4973</v>
      </c>
      <c r="C6520" s="308">
        <v>6.4472210593358303</v>
      </c>
    </row>
    <row r="6521" spans="1:3" x14ac:dyDescent="0.35">
      <c r="A6521" s="305">
        <v>39645</v>
      </c>
      <c r="B6521" s="306">
        <v>178.44800000000001</v>
      </c>
      <c r="C6521" s="309">
        <v>6.4219461270505596</v>
      </c>
    </row>
    <row r="6522" spans="1:3" x14ac:dyDescent="0.35">
      <c r="A6522" s="302">
        <v>39644</v>
      </c>
      <c r="B6522" s="303">
        <v>178.39869999999999</v>
      </c>
      <c r="C6522" s="308">
        <v>6.3966692351550503</v>
      </c>
    </row>
    <row r="6523" spans="1:3" x14ac:dyDescent="0.35">
      <c r="A6523" s="305">
        <v>39643</v>
      </c>
      <c r="B6523" s="306">
        <v>178.34370000000001</v>
      </c>
      <c r="C6523" s="309">
        <v>6.3744620697676497</v>
      </c>
    </row>
    <row r="6524" spans="1:3" x14ac:dyDescent="0.35">
      <c r="A6524" s="302">
        <v>39642</v>
      </c>
      <c r="B6524" s="303">
        <v>178.28870000000001</v>
      </c>
      <c r="C6524" s="308">
        <v>6.3523139208671902</v>
      </c>
    </row>
    <row r="6525" spans="1:3" x14ac:dyDescent="0.35">
      <c r="A6525" s="305">
        <v>39641</v>
      </c>
      <c r="B6525" s="306">
        <v>178.2337</v>
      </c>
      <c r="C6525" s="309">
        <v>6.3300978982597904</v>
      </c>
    </row>
    <row r="6526" spans="1:3" x14ac:dyDescent="0.35">
      <c r="A6526" s="302">
        <v>39640</v>
      </c>
      <c r="B6526" s="303">
        <v>178.17869999999999</v>
      </c>
      <c r="C6526" s="308">
        <v>6.3078774485207303</v>
      </c>
    </row>
    <row r="6527" spans="1:3" x14ac:dyDescent="0.35">
      <c r="A6527" s="305">
        <v>39639</v>
      </c>
      <c r="B6527" s="306">
        <v>178.12370000000001</v>
      </c>
      <c r="C6527" s="309">
        <v>6.28571599056027</v>
      </c>
    </row>
    <row r="6528" spans="1:3" x14ac:dyDescent="0.35">
      <c r="A6528" s="302">
        <v>39638</v>
      </c>
      <c r="B6528" s="303">
        <v>178.06870000000001</v>
      </c>
      <c r="C6528" s="308">
        <v>6.2634866756418699</v>
      </c>
    </row>
    <row r="6529" spans="1:3" x14ac:dyDescent="0.35">
      <c r="A6529" s="305">
        <v>39637</v>
      </c>
      <c r="B6529" s="306">
        <v>178.0138</v>
      </c>
      <c r="C6529" s="309">
        <v>6.2413126111194996</v>
      </c>
    </row>
    <row r="6530" spans="1:3" x14ac:dyDescent="0.35">
      <c r="A6530" s="302">
        <v>39636</v>
      </c>
      <c r="B6530" s="303">
        <v>177.9589</v>
      </c>
      <c r="C6530" s="308">
        <v>6.2191975255954901</v>
      </c>
    </row>
    <row r="6531" spans="1:3" x14ac:dyDescent="0.35">
      <c r="A6531" s="305">
        <v>39635</v>
      </c>
      <c r="B6531" s="306">
        <v>177.904</v>
      </c>
      <c r="C6531" s="309">
        <v>6.1970146117598501</v>
      </c>
    </row>
    <row r="6532" spans="1:3" x14ac:dyDescent="0.35">
      <c r="A6532" s="302">
        <v>39634</v>
      </c>
      <c r="B6532" s="303">
        <v>177.84909999999999</v>
      </c>
      <c r="C6532" s="308">
        <v>6.1748272747407702</v>
      </c>
    </row>
    <row r="6533" spans="1:3" x14ac:dyDescent="0.35">
      <c r="A6533" s="305">
        <v>39633</v>
      </c>
      <c r="B6533" s="306">
        <v>177.79419999999999</v>
      </c>
      <c r="C6533" s="309">
        <v>6.1526355132151798</v>
      </c>
    </row>
    <row r="6534" spans="1:3" x14ac:dyDescent="0.35">
      <c r="A6534" s="302">
        <v>39632</v>
      </c>
      <c r="B6534" s="303">
        <v>177.73939999999999</v>
      </c>
      <c r="C6534" s="308">
        <v>6.1305624090895003</v>
      </c>
    </row>
    <row r="6535" spans="1:3" x14ac:dyDescent="0.35">
      <c r="A6535" s="305">
        <v>39631</v>
      </c>
      <c r="B6535" s="306">
        <v>177.68450000000001</v>
      </c>
      <c r="C6535" s="309">
        <v>6.1083617935967496</v>
      </c>
    </row>
    <row r="6536" spans="1:3" x14ac:dyDescent="0.35">
      <c r="A6536" s="302">
        <v>39630</v>
      </c>
      <c r="B6536" s="303">
        <v>177.62970000000001</v>
      </c>
      <c r="C6536" s="308">
        <v>6.0862164728647397</v>
      </c>
    </row>
    <row r="6537" spans="1:3" x14ac:dyDescent="0.35">
      <c r="A6537" s="305">
        <v>39629</v>
      </c>
      <c r="B6537" s="306">
        <v>177.57490000000001</v>
      </c>
      <c r="C6537" s="309">
        <v>6.0640667342403001</v>
      </c>
    </row>
    <row r="6538" spans="1:3" x14ac:dyDescent="0.35">
      <c r="A6538" s="302">
        <v>39628</v>
      </c>
      <c r="B6538" s="303">
        <v>177.52010000000001</v>
      </c>
      <c r="C6538" s="308">
        <v>6.0419125764012698</v>
      </c>
    </row>
    <row r="6539" spans="1:3" x14ac:dyDescent="0.35">
      <c r="A6539" s="305">
        <v>39627</v>
      </c>
      <c r="B6539" s="306">
        <v>177.46539999999999</v>
      </c>
      <c r="C6539" s="309">
        <v>6.0198770766024996</v>
      </c>
    </row>
    <row r="6540" spans="1:3" x14ac:dyDescent="0.35">
      <c r="A6540" s="302">
        <v>39626</v>
      </c>
      <c r="B6540" s="303">
        <v>177.41059999999999</v>
      </c>
      <c r="C6540" s="308">
        <v>5.9977140754044402</v>
      </c>
    </row>
    <row r="6541" spans="1:3" x14ac:dyDescent="0.35">
      <c r="A6541" s="305">
        <v>39625</v>
      </c>
      <c r="B6541" s="306">
        <v>177.35589999999999</v>
      </c>
      <c r="C6541" s="309">
        <v>5.9756064040957098</v>
      </c>
    </row>
    <row r="6542" spans="1:3" x14ac:dyDescent="0.35">
      <c r="A6542" s="302">
        <v>39624</v>
      </c>
      <c r="B6542" s="303">
        <v>177.30119999999999</v>
      </c>
      <c r="C6542" s="308">
        <v>5.95349432020208</v>
      </c>
    </row>
    <row r="6543" spans="1:3" x14ac:dyDescent="0.35">
      <c r="A6543" s="305">
        <v>39623</v>
      </c>
      <c r="B6543" s="306">
        <v>177.24639999999999</v>
      </c>
      <c r="C6543" s="309">
        <v>5.9313180573983102</v>
      </c>
    </row>
    <row r="6544" spans="1:3" x14ac:dyDescent="0.35">
      <c r="A6544" s="302">
        <v>39622</v>
      </c>
      <c r="B6544" s="303">
        <v>177.1918</v>
      </c>
      <c r="C6544" s="308">
        <v>5.9092569093746601</v>
      </c>
    </row>
    <row r="6545" spans="1:3" x14ac:dyDescent="0.35">
      <c r="A6545" s="305">
        <v>39621</v>
      </c>
      <c r="B6545" s="306">
        <v>177.1371</v>
      </c>
      <c r="C6545" s="309">
        <v>5.8871315797968302</v>
      </c>
    </row>
    <row r="6546" spans="1:3" x14ac:dyDescent="0.35">
      <c r="A6546" s="302">
        <v>39620</v>
      </c>
      <c r="B6546" s="303">
        <v>177.08240000000001</v>
      </c>
      <c r="C6546" s="308">
        <v>5.86500183234602</v>
      </c>
    </row>
    <row r="6547" spans="1:3" x14ac:dyDescent="0.35">
      <c r="A6547" s="305">
        <v>39619</v>
      </c>
      <c r="B6547" s="306">
        <v>177.02780000000001</v>
      </c>
      <c r="C6547" s="309">
        <v>5.8429274545724104</v>
      </c>
    </row>
    <row r="6548" spans="1:3" x14ac:dyDescent="0.35">
      <c r="A6548" s="302">
        <v>39618</v>
      </c>
      <c r="B6548" s="303">
        <v>176.97319999999999</v>
      </c>
      <c r="C6548" s="308">
        <v>5.8208486682193401</v>
      </c>
    </row>
    <row r="6549" spans="1:3" x14ac:dyDescent="0.35">
      <c r="A6549" s="305">
        <v>39617</v>
      </c>
      <c r="B6549" s="306">
        <v>176.9186</v>
      </c>
      <c r="C6549" s="309">
        <v>5.7987654719659796</v>
      </c>
    </row>
    <row r="6550" spans="1:3" x14ac:dyDescent="0.35">
      <c r="A6550" s="302">
        <v>39616</v>
      </c>
      <c r="B6550" s="303">
        <v>176.864</v>
      </c>
      <c r="C6550" s="308">
        <v>5.7766778644909804</v>
      </c>
    </row>
    <row r="6551" spans="1:3" x14ac:dyDescent="0.35">
      <c r="A6551" s="305">
        <v>39615</v>
      </c>
      <c r="B6551" s="306">
        <v>176.80940000000001</v>
      </c>
      <c r="C6551" s="309">
        <v>5.7545858444724596</v>
      </c>
    </row>
    <row r="6552" spans="1:3" x14ac:dyDescent="0.35">
      <c r="A6552" s="302">
        <v>39614</v>
      </c>
      <c r="B6552" s="303">
        <v>176.75489999999999</v>
      </c>
      <c r="C6552" s="308">
        <v>5.7325492293252998</v>
      </c>
    </row>
    <row r="6553" spans="1:3" x14ac:dyDescent="0.35">
      <c r="A6553" s="305">
        <v>39613</v>
      </c>
      <c r="B6553" s="306">
        <v>176.71459999999999</v>
      </c>
      <c r="C6553" s="309">
        <v>5.7389928639556196</v>
      </c>
    </row>
    <row r="6554" spans="1:3" x14ac:dyDescent="0.35">
      <c r="A6554" s="302">
        <v>39612</v>
      </c>
      <c r="B6554" s="303">
        <v>176.67429999999999</v>
      </c>
      <c r="C6554" s="308">
        <v>5.74544022418661</v>
      </c>
    </row>
    <row r="6555" spans="1:3" x14ac:dyDescent="0.35">
      <c r="A6555" s="305">
        <v>39611</v>
      </c>
      <c r="B6555" s="306">
        <v>176.63390000000001</v>
      </c>
      <c r="C6555" s="309">
        <v>5.7518314426187898</v>
      </c>
    </row>
    <row r="6556" spans="1:3" x14ac:dyDescent="0.35">
      <c r="A6556" s="302">
        <v>39610</v>
      </c>
      <c r="B6556" s="303">
        <v>176.59360000000001</v>
      </c>
      <c r="C6556" s="308">
        <v>5.7582229100016402</v>
      </c>
    </row>
    <row r="6557" spans="1:3" x14ac:dyDescent="0.35">
      <c r="A6557" s="305">
        <v>39609</v>
      </c>
      <c r="B6557" s="306">
        <v>176.55330000000001</v>
      </c>
      <c r="C6557" s="309">
        <v>5.7646814269188997</v>
      </c>
    </row>
    <row r="6558" spans="1:3" x14ac:dyDescent="0.35">
      <c r="A6558" s="302">
        <v>39608</v>
      </c>
      <c r="B6558" s="303">
        <v>176.51300000000001</v>
      </c>
      <c r="C6558" s="308">
        <v>5.7710803016021499</v>
      </c>
    </row>
    <row r="6559" spans="1:3" x14ac:dyDescent="0.35">
      <c r="A6559" s="305">
        <v>39607</v>
      </c>
      <c r="B6559" s="306">
        <v>176.47280000000001</v>
      </c>
      <c r="C6559" s="309">
        <v>5.7775428135408902</v>
      </c>
    </row>
    <row r="6560" spans="1:3" x14ac:dyDescent="0.35">
      <c r="A6560" s="302">
        <v>39606</v>
      </c>
      <c r="B6560" s="303">
        <v>176.4325</v>
      </c>
      <c r="C6560" s="308">
        <v>5.7840125286595496</v>
      </c>
    </row>
    <row r="6561" spans="1:3" x14ac:dyDescent="0.35">
      <c r="A6561" s="305">
        <v>39605</v>
      </c>
      <c r="B6561" s="306">
        <v>176.3922</v>
      </c>
      <c r="C6561" s="309">
        <v>5.7904225446720403</v>
      </c>
    </row>
    <row r="6562" spans="1:3" x14ac:dyDescent="0.35">
      <c r="A6562" s="302">
        <v>39604</v>
      </c>
      <c r="B6562" s="303">
        <v>176.352</v>
      </c>
      <c r="C6562" s="308">
        <v>5.7968327901071</v>
      </c>
    </row>
    <row r="6563" spans="1:3" x14ac:dyDescent="0.35">
      <c r="A6563" s="305">
        <v>39603</v>
      </c>
      <c r="B6563" s="306">
        <v>176.3117</v>
      </c>
      <c r="C6563" s="309">
        <v>5.8032502185835302</v>
      </c>
    </row>
    <row r="6564" spans="1:3" x14ac:dyDescent="0.35">
      <c r="A6564" s="302">
        <v>39602</v>
      </c>
      <c r="B6564" s="303">
        <v>176.2715</v>
      </c>
      <c r="C6564" s="308">
        <v>5.80973138711194</v>
      </c>
    </row>
    <row r="6565" spans="1:3" x14ac:dyDescent="0.35">
      <c r="A6565" s="305">
        <v>39601</v>
      </c>
      <c r="B6565" s="306">
        <v>176.2313</v>
      </c>
      <c r="C6565" s="309">
        <v>5.8161527709060898</v>
      </c>
    </row>
    <row r="6566" spans="1:3" x14ac:dyDescent="0.35">
      <c r="A6566" s="302">
        <v>39600</v>
      </c>
      <c r="B6566" s="303">
        <v>176.19110000000001</v>
      </c>
      <c r="C6566" s="308">
        <v>5.8225778649066298</v>
      </c>
    </row>
    <row r="6567" spans="1:3" x14ac:dyDescent="0.35">
      <c r="A6567" s="305">
        <v>39599</v>
      </c>
      <c r="B6567" s="306">
        <v>176.15090000000001</v>
      </c>
      <c r="C6567" s="309">
        <v>5.82907025296113</v>
      </c>
    </row>
    <row r="6568" spans="1:3" x14ac:dyDescent="0.35">
      <c r="A6568" s="302">
        <v>39598</v>
      </c>
      <c r="B6568" s="303">
        <v>176.11070000000001</v>
      </c>
      <c r="C6568" s="308">
        <v>5.8355027992721196</v>
      </c>
    </row>
    <row r="6569" spans="1:3" x14ac:dyDescent="0.35">
      <c r="A6569" s="305">
        <v>39597</v>
      </c>
      <c r="B6569" s="306">
        <v>176.07050000000001</v>
      </c>
      <c r="C6569" s="309">
        <v>5.8418754403302904</v>
      </c>
    </row>
    <row r="6570" spans="1:3" x14ac:dyDescent="0.35">
      <c r="A6570" s="302">
        <v>39596</v>
      </c>
      <c r="B6570" s="303">
        <v>176.03030000000001</v>
      </c>
      <c r="C6570" s="308">
        <v>5.8483154073586796</v>
      </c>
    </row>
    <row r="6571" spans="1:3" x14ac:dyDescent="0.35">
      <c r="A6571" s="305">
        <v>39595</v>
      </c>
      <c r="B6571" s="306">
        <v>175.99010000000001</v>
      </c>
      <c r="C6571" s="309">
        <v>5.85475910071324</v>
      </c>
    </row>
    <row r="6572" spans="1:3" x14ac:dyDescent="0.35">
      <c r="A6572" s="302">
        <v>39594</v>
      </c>
      <c r="B6572" s="303">
        <v>175.95</v>
      </c>
      <c r="C6572" s="308">
        <v>5.8612029972047104</v>
      </c>
    </row>
    <row r="6573" spans="1:3" x14ac:dyDescent="0.35">
      <c r="A6573" s="305">
        <v>39593</v>
      </c>
      <c r="B6573" s="306">
        <v>175.90979999999999</v>
      </c>
      <c r="C6573" s="309">
        <v>5.86765414801748</v>
      </c>
    </row>
    <row r="6574" spans="1:3" x14ac:dyDescent="0.35">
      <c r="A6574" s="302">
        <v>39592</v>
      </c>
      <c r="B6574" s="303">
        <v>175.86969999999999</v>
      </c>
      <c r="C6574" s="308">
        <v>5.87410549863616</v>
      </c>
    </row>
    <row r="6575" spans="1:3" x14ac:dyDescent="0.35">
      <c r="A6575" s="305">
        <v>39591</v>
      </c>
      <c r="B6575" s="306">
        <v>175.8295</v>
      </c>
      <c r="C6575" s="309">
        <v>5.88050036100518</v>
      </c>
    </row>
    <row r="6576" spans="1:3" x14ac:dyDescent="0.35">
      <c r="A6576" s="302">
        <v>39590</v>
      </c>
      <c r="B6576" s="303">
        <v>175.7894</v>
      </c>
      <c r="C6576" s="308">
        <v>5.8869591563709802</v>
      </c>
    </row>
    <row r="6577" spans="1:3" x14ac:dyDescent="0.35">
      <c r="A6577" s="305">
        <v>39589</v>
      </c>
      <c r="B6577" s="306">
        <v>175.74930000000001</v>
      </c>
      <c r="C6577" s="309">
        <v>5.8933578842211896</v>
      </c>
    </row>
    <row r="6578" spans="1:3" x14ac:dyDescent="0.35">
      <c r="A6578" s="302">
        <v>39588</v>
      </c>
      <c r="B6578" s="303">
        <v>175.70920000000001</v>
      </c>
      <c r="C6578" s="308">
        <v>5.8998241323238503</v>
      </c>
    </row>
    <row r="6579" spans="1:3" x14ac:dyDescent="0.35">
      <c r="A6579" s="305">
        <v>39587</v>
      </c>
      <c r="B6579" s="306">
        <v>175.66909999999999</v>
      </c>
      <c r="C6579" s="309">
        <v>5.9062302747354396</v>
      </c>
    </row>
    <row r="6580" spans="1:3" x14ac:dyDescent="0.35">
      <c r="A6580" s="302">
        <v>39586</v>
      </c>
      <c r="B6580" s="303">
        <v>175.62899999999999</v>
      </c>
      <c r="C6580" s="308">
        <v>5.9127039884986701</v>
      </c>
    </row>
    <row r="6581" spans="1:3" x14ac:dyDescent="0.35">
      <c r="A6581" s="305">
        <v>39585</v>
      </c>
      <c r="B6581" s="306">
        <v>175.5889</v>
      </c>
      <c r="C6581" s="309">
        <v>5.9191175583496802</v>
      </c>
    </row>
    <row r="6582" spans="1:3" x14ac:dyDescent="0.35">
      <c r="A6582" s="302">
        <v>39584</v>
      </c>
      <c r="B6582" s="303">
        <v>175.5489</v>
      </c>
      <c r="C6582" s="308">
        <v>5.9255951752414298</v>
      </c>
    </row>
    <row r="6583" spans="1:3" x14ac:dyDescent="0.35">
      <c r="A6583" s="305">
        <v>39583</v>
      </c>
      <c r="B6583" s="306">
        <v>175.50880000000001</v>
      </c>
      <c r="C6583" s="309">
        <v>5.9320161805304901</v>
      </c>
    </row>
    <row r="6584" spans="1:3" x14ac:dyDescent="0.35">
      <c r="A6584" s="302">
        <v>39582</v>
      </c>
      <c r="B6584" s="303">
        <v>175.4616</v>
      </c>
      <c r="C6584" s="308">
        <v>5.9459877232749401</v>
      </c>
    </row>
    <row r="6585" spans="1:3" x14ac:dyDescent="0.35">
      <c r="A6585" s="305">
        <v>39581</v>
      </c>
      <c r="B6585" s="306">
        <v>175.4144</v>
      </c>
      <c r="C6585" s="309">
        <v>5.95997047378461</v>
      </c>
    </row>
    <row r="6586" spans="1:3" x14ac:dyDescent="0.35">
      <c r="A6586" s="302">
        <v>39580</v>
      </c>
      <c r="B6586" s="303">
        <v>175.3673</v>
      </c>
      <c r="C6586" s="308">
        <v>5.9740248753032104</v>
      </c>
    </row>
    <row r="6587" spans="1:3" x14ac:dyDescent="0.35">
      <c r="A6587" s="305">
        <v>39579</v>
      </c>
      <c r="B6587" s="306">
        <v>175.3201</v>
      </c>
      <c r="C6587" s="309">
        <v>5.9879660321216104</v>
      </c>
    </row>
    <row r="6588" spans="1:3" x14ac:dyDescent="0.35">
      <c r="A6588" s="302">
        <v>39578</v>
      </c>
      <c r="B6588" s="303">
        <v>175.273</v>
      </c>
      <c r="C6588" s="308">
        <v>6.0019788471401103</v>
      </c>
    </row>
    <row r="6589" spans="1:3" x14ac:dyDescent="0.35">
      <c r="A6589" s="305">
        <v>39577</v>
      </c>
      <c r="B6589" s="306">
        <v>175.22579999999999</v>
      </c>
      <c r="C6589" s="309">
        <v>6.0159424016456704</v>
      </c>
    </row>
    <row r="6590" spans="1:3" x14ac:dyDescent="0.35">
      <c r="A6590" s="302">
        <v>39576</v>
      </c>
      <c r="B6590" s="303">
        <v>175.17869999999999</v>
      </c>
      <c r="C6590" s="308">
        <v>6.0299135133761004</v>
      </c>
    </row>
    <row r="6591" spans="1:3" x14ac:dyDescent="0.35">
      <c r="A6591" s="305">
        <v>39575</v>
      </c>
      <c r="B6591" s="306">
        <v>175.13159999999999</v>
      </c>
      <c r="C6591" s="309">
        <v>6.0439600363306099</v>
      </c>
    </row>
    <row r="6592" spans="1:3" x14ac:dyDescent="0.35">
      <c r="A6592" s="302">
        <v>39574</v>
      </c>
      <c r="B6592" s="303">
        <v>175.08449999999999</v>
      </c>
      <c r="C6592" s="308">
        <v>6.0579535969004796</v>
      </c>
    </row>
    <row r="6593" spans="1:3" x14ac:dyDescent="0.35">
      <c r="A6593" s="305">
        <v>39573</v>
      </c>
      <c r="B6593" s="306">
        <v>175.03749999999999</v>
      </c>
      <c r="C6593" s="309">
        <v>6.0719547054649299</v>
      </c>
    </row>
    <row r="6594" spans="1:3" x14ac:dyDescent="0.35">
      <c r="A6594" s="302">
        <v>39572</v>
      </c>
      <c r="B6594" s="303">
        <v>174.99039999999999</v>
      </c>
      <c r="C6594" s="308">
        <v>6.0859707247281802</v>
      </c>
    </row>
    <row r="6595" spans="1:3" x14ac:dyDescent="0.35">
      <c r="A6595" s="305">
        <v>39571</v>
      </c>
      <c r="B6595" s="306">
        <v>174.9434</v>
      </c>
      <c r="C6595" s="309">
        <v>6.0999942990707501</v>
      </c>
    </row>
    <row r="6596" spans="1:3" x14ac:dyDescent="0.35">
      <c r="A6596" s="302">
        <v>39570</v>
      </c>
      <c r="B6596" s="303">
        <v>174.8963</v>
      </c>
      <c r="C6596" s="308">
        <v>6.1139684490833304</v>
      </c>
    </row>
    <row r="6597" spans="1:3" x14ac:dyDescent="0.35">
      <c r="A6597" s="305">
        <v>39569</v>
      </c>
      <c r="B6597" s="306">
        <v>174.8493</v>
      </c>
      <c r="C6597" s="309">
        <v>6.1280145089746396</v>
      </c>
    </row>
    <row r="6598" spans="1:3" x14ac:dyDescent="0.35">
      <c r="A6598" s="302">
        <v>39568</v>
      </c>
      <c r="B6598" s="303">
        <v>174.8023</v>
      </c>
      <c r="C6598" s="308">
        <v>6.1420073934100499</v>
      </c>
    </row>
    <row r="6599" spans="1:3" x14ac:dyDescent="0.35">
      <c r="A6599" s="305">
        <v>39567</v>
      </c>
      <c r="B6599" s="306">
        <v>174.75530000000001</v>
      </c>
      <c r="C6599" s="309">
        <v>6.1560114979115701</v>
      </c>
    </row>
    <row r="6600" spans="1:3" x14ac:dyDescent="0.35">
      <c r="A6600" s="302">
        <v>39566</v>
      </c>
      <c r="B6600" s="303">
        <v>174.70830000000001</v>
      </c>
      <c r="C6600" s="308">
        <v>6.1700268359796597</v>
      </c>
    </row>
    <row r="6601" spans="1:3" x14ac:dyDescent="0.35">
      <c r="A6601" s="305">
        <v>39565</v>
      </c>
      <c r="B6601" s="306">
        <v>174.66130000000001</v>
      </c>
      <c r="C6601" s="309">
        <v>6.1840534211364604</v>
      </c>
    </row>
    <row r="6602" spans="1:3" x14ac:dyDescent="0.35">
      <c r="A6602" s="302">
        <v>39564</v>
      </c>
      <c r="B6602" s="303">
        <v>174.61439999999999</v>
      </c>
      <c r="C6602" s="308">
        <v>6.1980874973315796</v>
      </c>
    </row>
    <row r="6603" spans="1:3" x14ac:dyDescent="0.35">
      <c r="A6603" s="305">
        <v>39563</v>
      </c>
      <c r="B6603" s="306">
        <v>174.56739999999999</v>
      </c>
      <c r="C6603" s="309">
        <v>6.2120719845896799</v>
      </c>
    </row>
    <row r="6604" spans="1:3" x14ac:dyDescent="0.35">
      <c r="A6604" s="302">
        <v>39562</v>
      </c>
      <c r="B6604" s="303">
        <v>174.5205</v>
      </c>
      <c r="C6604" s="308">
        <v>6.2261285580812196</v>
      </c>
    </row>
    <row r="6605" spans="1:3" x14ac:dyDescent="0.35">
      <c r="A6605" s="305">
        <v>39561</v>
      </c>
      <c r="B6605" s="306">
        <v>174.4735</v>
      </c>
      <c r="C6605" s="309">
        <v>6.24007082935253</v>
      </c>
    </row>
    <row r="6606" spans="1:3" x14ac:dyDescent="0.35">
      <c r="A6606" s="302">
        <v>39560</v>
      </c>
      <c r="B6606" s="303">
        <v>174.42660000000001</v>
      </c>
      <c r="C6606" s="308">
        <v>6.2540851937653503</v>
      </c>
    </row>
    <row r="6607" spans="1:3" x14ac:dyDescent="0.35">
      <c r="A6607" s="305">
        <v>39559</v>
      </c>
      <c r="B6607" s="306">
        <v>174.37970000000001</v>
      </c>
      <c r="C6607" s="309">
        <v>6.2681755579119303</v>
      </c>
    </row>
    <row r="6608" spans="1:3" x14ac:dyDescent="0.35">
      <c r="A6608" s="302">
        <v>39558</v>
      </c>
      <c r="B6608" s="303">
        <v>174.33279999999999</v>
      </c>
      <c r="C6608" s="308">
        <v>6.2821476537890097</v>
      </c>
    </row>
    <row r="6609" spans="1:3" x14ac:dyDescent="0.35">
      <c r="A6609" s="305">
        <v>39557</v>
      </c>
      <c r="B6609" s="306">
        <v>174.286</v>
      </c>
      <c r="C6609" s="309">
        <v>6.2962567660288196</v>
      </c>
    </row>
    <row r="6610" spans="1:3" x14ac:dyDescent="0.35">
      <c r="A6610" s="302">
        <v>39556</v>
      </c>
      <c r="B6610" s="303">
        <v>174.23910000000001</v>
      </c>
      <c r="C6610" s="308">
        <v>6.3102513288850099</v>
      </c>
    </row>
    <row r="6611" spans="1:3" x14ac:dyDescent="0.35">
      <c r="A6611" s="305">
        <v>39555</v>
      </c>
      <c r="B6611" s="306">
        <v>174.19229999999999</v>
      </c>
      <c r="C6611" s="309">
        <v>6.3243181544895899</v>
      </c>
    </row>
    <row r="6612" spans="1:3" x14ac:dyDescent="0.35">
      <c r="A6612" s="302">
        <v>39554</v>
      </c>
      <c r="B6612" s="303">
        <v>174.1454</v>
      </c>
      <c r="C6612" s="308">
        <v>6.3383352038953298</v>
      </c>
    </row>
    <row r="6613" spans="1:3" x14ac:dyDescent="0.35">
      <c r="A6613" s="305">
        <v>39553</v>
      </c>
      <c r="B6613" s="306">
        <v>174.0986</v>
      </c>
      <c r="C6613" s="309">
        <v>6.3523596241412603</v>
      </c>
    </row>
    <row r="6614" spans="1:3" x14ac:dyDescent="0.35">
      <c r="A6614" s="302">
        <v>39552</v>
      </c>
      <c r="B6614" s="303">
        <v>174.01439999999999</v>
      </c>
      <c r="C6614" s="308">
        <v>6.3408099810313496</v>
      </c>
    </row>
    <row r="6615" spans="1:3" x14ac:dyDescent="0.35">
      <c r="A6615" s="305">
        <v>39551</v>
      </c>
      <c r="B6615" s="306">
        <v>173.93029999999999</v>
      </c>
      <c r="C6615" s="309">
        <v>6.32931280069936</v>
      </c>
    </row>
    <row r="6616" spans="1:3" x14ac:dyDescent="0.35">
      <c r="A6616" s="302">
        <v>39550</v>
      </c>
      <c r="B6616" s="303">
        <v>173.84630000000001</v>
      </c>
      <c r="C6616" s="308">
        <v>6.3178031222689901</v>
      </c>
    </row>
    <row r="6617" spans="1:3" x14ac:dyDescent="0.35">
      <c r="A6617" s="305">
        <v>39549</v>
      </c>
      <c r="B6617" s="306">
        <v>173.76220000000001</v>
      </c>
      <c r="C6617" s="309">
        <v>6.3062886690653004</v>
      </c>
    </row>
    <row r="6618" spans="1:3" x14ac:dyDescent="0.35">
      <c r="A6618" s="302">
        <v>39548</v>
      </c>
      <c r="B6618" s="303">
        <v>173.6782</v>
      </c>
      <c r="C6618" s="308">
        <v>6.2947617094979602</v>
      </c>
    </row>
    <row r="6619" spans="1:3" x14ac:dyDescent="0.35">
      <c r="A6619" s="305">
        <v>39547</v>
      </c>
      <c r="B6619" s="306">
        <v>173.5943</v>
      </c>
      <c r="C6619" s="309">
        <v>6.2832873226691497</v>
      </c>
    </row>
    <row r="6620" spans="1:3" x14ac:dyDescent="0.35">
      <c r="A6620" s="302">
        <v>39546</v>
      </c>
      <c r="B6620" s="303">
        <v>173.5104</v>
      </c>
      <c r="C6620" s="308">
        <v>6.2718043197052298</v>
      </c>
    </row>
    <row r="6621" spans="1:3" x14ac:dyDescent="0.35">
      <c r="A6621" s="305">
        <v>39545</v>
      </c>
      <c r="B6621" s="306">
        <v>173.4265</v>
      </c>
      <c r="C6621" s="309">
        <v>6.2602475840822702</v>
      </c>
    </row>
    <row r="6622" spans="1:3" x14ac:dyDescent="0.35">
      <c r="A6622" s="302">
        <v>39544</v>
      </c>
      <c r="B6622" s="303">
        <v>173.34270000000001</v>
      </c>
      <c r="C6622" s="308">
        <v>6.2488085963717603</v>
      </c>
    </row>
    <row r="6623" spans="1:3" x14ac:dyDescent="0.35">
      <c r="A6623" s="305">
        <v>39543</v>
      </c>
      <c r="B6623" s="306">
        <v>173.25890000000001</v>
      </c>
      <c r="C6623" s="309">
        <v>6.2372958677807597</v>
      </c>
    </row>
    <row r="6624" spans="1:3" x14ac:dyDescent="0.35">
      <c r="A6624" s="302">
        <v>39542</v>
      </c>
      <c r="B6624" s="303">
        <v>173.17519999999999</v>
      </c>
      <c r="C6624" s="308">
        <v>6.22577067650725</v>
      </c>
    </row>
    <row r="6625" spans="1:3" x14ac:dyDescent="0.35">
      <c r="A6625" s="305">
        <v>39541</v>
      </c>
      <c r="B6625" s="306">
        <v>173.0915</v>
      </c>
      <c r="C6625" s="309">
        <v>6.2143020193367402</v>
      </c>
    </row>
    <row r="6626" spans="1:3" x14ac:dyDescent="0.35">
      <c r="A6626" s="302">
        <v>39540</v>
      </c>
      <c r="B6626" s="303">
        <v>173.0078</v>
      </c>
      <c r="C6626" s="308">
        <v>6.2027595512184197</v>
      </c>
    </row>
    <row r="6627" spans="1:3" x14ac:dyDescent="0.35">
      <c r="A6627" s="305">
        <v>39539</v>
      </c>
      <c r="B6627" s="306">
        <v>172.92420000000001</v>
      </c>
      <c r="C6627" s="309">
        <v>6.1913350417367496</v>
      </c>
    </row>
    <row r="6628" spans="1:3" x14ac:dyDescent="0.35">
      <c r="A6628" s="302">
        <v>39538</v>
      </c>
      <c r="B6628" s="303">
        <v>172.84059999999999</v>
      </c>
      <c r="C6628" s="308">
        <v>6.1797714845273797</v>
      </c>
    </row>
    <row r="6629" spans="1:3" x14ac:dyDescent="0.35">
      <c r="A6629" s="305">
        <v>39537</v>
      </c>
      <c r="B6629" s="306">
        <v>172.75710000000001</v>
      </c>
      <c r="C6629" s="309">
        <v>6.1683259587020602</v>
      </c>
    </row>
    <row r="6630" spans="1:3" x14ac:dyDescent="0.35">
      <c r="A6630" s="302">
        <v>39536</v>
      </c>
      <c r="B6630" s="303">
        <v>172.67359999999999</v>
      </c>
      <c r="C6630" s="308">
        <v>6.1568718342494604</v>
      </c>
    </row>
    <row r="6631" spans="1:3" x14ac:dyDescent="0.35">
      <c r="A6631" s="305">
        <v>39535</v>
      </c>
      <c r="B6631" s="306">
        <v>172.59010000000001</v>
      </c>
      <c r="C6631" s="309">
        <v>6.1453438205536504</v>
      </c>
    </row>
    <row r="6632" spans="1:3" x14ac:dyDescent="0.35">
      <c r="A6632" s="302">
        <v>39534</v>
      </c>
      <c r="B6632" s="303">
        <v>172.5067</v>
      </c>
      <c r="C6632" s="308">
        <v>6.1338686784354799</v>
      </c>
    </row>
    <row r="6633" spans="1:3" x14ac:dyDescent="0.35">
      <c r="A6633" s="305">
        <v>39533</v>
      </c>
      <c r="B6633" s="306">
        <v>172.42330000000001</v>
      </c>
      <c r="C6633" s="309">
        <v>6.1223849198558096</v>
      </c>
    </row>
    <row r="6634" spans="1:3" x14ac:dyDescent="0.35">
      <c r="A6634" s="302">
        <v>39532</v>
      </c>
      <c r="B6634" s="303">
        <v>172.34</v>
      </c>
      <c r="C6634" s="308">
        <v>6.1108887725887397</v>
      </c>
    </row>
    <row r="6635" spans="1:3" x14ac:dyDescent="0.35">
      <c r="A6635" s="305">
        <v>39531</v>
      </c>
      <c r="B6635" s="306">
        <v>172.2567</v>
      </c>
      <c r="C6635" s="309">
        <v>6.09938400077362</v>
      </c>
    </row>
    <row r="6636" spans="1:3" x14ac:dyDescent="0.35">
      <c r="A6636" s="302">
        <v>39530</v>
      </c>
      <c r="B6636" s="303">
        <v>172.17339999999999</v>
      </c>
      <c r="C6636" s="308">
        <v>6.0879359627735301</v>
      </c>
    </row>
    <row r="6637" spans="1:3" x14ac:dyDescent="0.35">
      <c r="A6637" s="305">
        <v>39529</v>
      </c>
      <c r="B6637" s="306">
        <v>172.09020000000001</v>
      </c>
      <c r="C6637" s="309">
        <v>6.0764101846549696</v>
      </c>
    </row>
    <row r="6638" spans="1:3" x14ac:dyDescent="0.35">
      <c r="A6638" s="302">
        <v>39528</v>
      </c>
      <c r="B6638" s="303">
        <v>172.00700000000001</v>
      </c>
      <c r="C6638" s="308">
        <v>6.0649411671848403</v>
      </c>
    </row>
    <row r="6639" spans="1:3" x14ac:dyDescent="0.35">
      <c r="A6639" s="305">
        <v>39527</v>
      </c>
      <c r="B6639" s="306">
        <v>171.9239</v>
      </c>
      <c r="C6639" s="309">
        <v>6.0534597984339102</v>
      </c>
    </row>
    <row r="6640" spans="1:3" x14ac:dyDescent="0.35">
      <c r="A6640" s="302">
        <v>39526</v>
      </c>
      <c r="B6640" s="303">
        <v>171.8408</v>
      </c>
      <c r="C6640" s="308">
        <v>6.0420352521479499</v>
      </c>
    </row>
    <row r="6641" spans="1:3" x14ac:dyDescent="0.35">
      <c r="A6641" s="305">
        <v>39525</v>
      </c>
      <c r="B6641" s="306">
        <v>171.7577</v>
      </c>
      <c r="C6641" s="309">
        <v>6.0305366602279502</v>
      </c>
    </row>
    <row r="6642" spans="1:3" x14ac:dyDescent="0.35">
      <c r="A6642" s="302">
        <v>39524</v>
      </c>
      <c r="B6642" s="303">
        <v>171.6747</v>
      </c>
      <c r="C6642" s="308">
        <v>6.0190257163360101</v>
      </c>
    </row>
    <row r="6643" spans="1:3" x14ac:dyDescent="0.35">
      <c r="A6643" s="305">
        <v>39523</v>
      </c>
      <c r="B6643" s="306">
        <v>171.5917</v>
      </c>
      <c r="C6643" s="309">
        <v>6.0075716296178197</v>
      </c>
    </row>
    <row r="6644" spans="1:3" x14ac:dyDescent="0.35">
      <c r="A6644" s="302">
        <v>39522</v>
      </c>
      <c r="B6644" s="303">
        <v>171.50880000000001</v>
      </c>
      <c r="C6644" s="308">
        <v>5.9961052292643</v>
      </c>
    </row>
    <row r="6645" spans="1:3" x14ac:dyDescent="0.35">
      <c r="A6645" s="305">
        <v>39521</v>
      </c>
      <c r="B6645" s="306">
        <v>171.44649999999999</v>
      </c>
      <c r="C6645" s="309">
        <v>5.9866198819997702</v>
      </c>
    </row>
    <row r="6646" spans="1:3" x14ac:dyDescent="0.35">
      <c r="A6646" s="302">
        <v>39520</v>
      </c>
      <c r="B6646" s="303">
        <v>171.38419999999999</v>
      </c>
      <c r="C6646" s="308">
        <v>5.9771293380271002</v>
      </c>
    </row>
    <row r="6647" spans="1:3" x14ac:dyDescent="0.35">
      <c r="A6647" s="305">
        <v>39519</v>
      </c>
      <c r="B6647" s="306">
        <v>171.3218</v>
      </c>
      <c r="C6647" s="309">
        <v>5.96757174013353</v>
      </c>
    </row>
    <row r="6648" spans="1:3" x14ac:dyDescent="0.35">
      <c r="A6648" s="302">
        <v>39518</v>
      </c>
      <c r="B6648" s="303">
        <v>171.25960000000001</v>
      </c>
      <c r="C6648" s="308">
        <v>5.9581326428653201</v>
      </c>
    </row>
    <row r="6649" spans="1:3" x14ac:dyDescent="0.35">
      <c r="A6649" s="305">
        <v>39517</v>
      </c>
      <c r="B6649" s="306">
        <v>171.19730000000001</v>
      </c>
      <c r="C6649" s="309">
        <v>5.9486264831184998</v>
      </c>
    </row>
    <row r="6650" spans="1:3" x14ac:dyDescent="0.35">
      <c r="A6650" s="302">
        <v>39516</v>
      </c>
      <c r="B6650" s="303">
        <v>171.13509999999999</v>
      </c>
      <c r="C6650" s="308">
        <v>5.9391114330108099</v>
      </c>
    </row>
    <row r="6651" spans="1:3" x14ac:dyDescent="0.35">
      <c r="A6651" s="305">
        <v>39515</v>
      </c>
      <c r="B6651" s="306">
        <v>171.0729</v>
      </c>
      <c r="C6651" s="309">
        <v>5.9296567669803801</v>
      </c>
    </row>
    <row r="6652" spans="1:3" x14ac:dyDescent="0.35">
      <c r="A6652" s="302">
        <v>39514</v>
      </c>
      <c r="B6652" s="303">
        <v>171.01070000000001</v>
      </c>
      <c r="C6652" s="308">
        <v>5.9201313079698403</v>
      </c>
    </row>
    <row r="6653" spans="1:3" x14ac:dyDescent="0.35">
      <c r="A6653" s="305">
        <v>39513</v>
      </c>
      <c r="B6653" s="306">
        <v>170.9485</v>
      </c>
      <c r="C6653" s="309">
        <v>5.9106662486788197</v>
      </c>
    </row>
    <row r="6654" spans="1:3" x14ac:dyDescent="0.35">
      <c r="A6654" s="302">
        <v>39512</v>
      </c>
      <c r="B6654" s="303">
        <v>170.88640000000001</v>
      </c>
      <c r="C6654" s="308">
        <v>5.9011923353412197</v>
      </c>
    </row>
    <row r="6655" spans="1:3" x14ac:dyDescent="0.35">
      <c r="A6655" s="305">
        <v>39511</v>
      </c>
      <c r="B6655" s="306">
        <v>170.82419999999999</v>
      </c>
      <c r="C6655" s="309">
        <v>5.8916512418190496</v>
      </c>
    </row>
    <row r="6656" spans="1:3" x14ac:dyDescent="0.35">
      <c r="A6656" s="302">
        <v>39510</v>
      </c>
      <c r="B6656" s="303">
        <v>170.7621</v>
      </c>
      <c r="C6656" s="308">
        <v>5.8821669241968397</v>
      </c>
    </row>
    <row r="6657" spans="1:3" x14ac:dyDescent="0.35">
      <c r="A6657" s="305">
        <v>39509</v>
      </c>
      <c r="B6657" s="306">
        <v>170.70009999999999</v>
      </c>
      <c r="C6657" s="309">
        <v>5.8726737641217799</v>
      </c>
    </row>
    <row r="6658" spans="1:3" x14ac:dyDescent="0.35">
      <c r="A6658" s="302">
        <v>39508</v>
      </c>
      <c r="B6658" s="303">
        <v>170.63800000000001</v>
      </c>
      <c r="C6658" s="308">
        <v>5.8631790469844702</v>
      </c>
    </row>
    <row r="6659" spans="1:3" x14ac:dyDescent="0.35">
      <c r="A6659" s="305">
        <v>39507</v>
      </c>
      <c r="B6659" s="306">
        <v>170.57599999999999</v>
      </c>
      <c r="C6659" s="309">
        <v>5.8536754886337103</v>
      </c>
    </row>
    <row r="6660" spans="1:3" x14ac:dyDescent="0.35">
      <c r="A6660" s="302">
        <v>39506</v>
      </c>
      <c r="B6660" s="303">
        <v>170.51400000000001</v>
      </c>
      <c r="C6660" s="308">
        <v>5.8152003931906497</v>
      </c>
    </row>
    <row r="6661" spans="1:3" x14ac:dyDescent="0.35">
      <c r="A6661" s="305">
        <v>39505</v>
      </c>
      <c r="B6661" s="306">
        <v>170.452</v>
      </c>
      <c r="C6661" s="309">
        <v>5.8057467768266697</v>
      </c>
    </row>
    <row r="6662" spans="1:3" x14ac:dyDescent="0.35">
      <c r="A6662" s="302">
        <v>39504</v>
      </c>
      <c r="B6662" s="303">
        <v>170.39</v>
      </c>
      <c r="C6662" s="308">
        <v>5.7962222819672</v>
      </c>
    </row>
    <row r="6663" spans="1:3" x14ac:dyDescent="0.35">
      <c r="A6663" s="305">
        <v>39503</v>
      </c>
      <c r="B6663" s="306">
        <v>170.32810000000001</v>
      </c>
      <c r="C6663" s="309">
        <v>5.7867546773259901</v>
      </c>
    </row>
    <row r="6664" spans="1:3" x14ac:dyDescent="0.35">
      <c r="A6664" s="302">
        <v>39502</v>
      </c>
      <c r="B6664" s="303">
        <v>170.2662</v>
      </c>
      <c r="C6664" s="308">
        <v>5.7772818850109999</v>
      </c>
    </row>
    <row r="6665" spans="1:3" x14ac:dyDescent="0.35">
      <c r="A6665" s="305">
        <v>39501</v>
      </c>
      <c r="B6665" s="306">
        <v>170.20429999999999</v>
      </c>
      <c r="C6665" s="309">
        <v>5.7678039007572597</v>
      </c>
    </row>
    <row r="6666" spans="1:3" x14ac:dyDescent="0.35">
      <c r="A6666" s="302">
        <v>39500</v>
      </c>
      <c r="B6666" s="303">
        <v>170.14240000000001</v>
      </c>
      <c r="C6666" s="308">
        <v>5.7583207202951296</v>
      </c>
    </row>
    <row r="6667" spans="1:3" x14ac:dyDescent="0.35">
      <c r="A6667" s="305">
        <v>39499</v>
      </c>
      <c r="B6667" s="306">
        <v>170.0805</v>
      </c>
      <c r="C6667" s="309">
        <v>5.7488323393502903</v>
      </c>
    </row>
    <row r="6668" spans="1:3" x14ac:dyDescent="0.35">
      <c r="A6668" s="302">
        <v>39498</v>
      </c>
      <c r="B6668" s="303">
        <v>170.0187</v>
      </c>
      <c r="C6668" s="308">
        <v>5.7393351841901001</v>
      </c>
    </row>
    <row r="6669" spans="1:3" x14ac:dyDescent="0.35">
      <c r="A6669" s="305">
        <v>39497</v>
      </c>
      <c r="B6669" s="306">
        <v>169.95689999999999</v>
      </c>
      <c r="C6669" s="309">
        <v>5.7298986041980404</v>
      </c>
    </row>
    <row r="6670" spans="1:3" x14ac:dyDescent="0.35">
      <c r="A6670" s="302">
        <v>39496</v>
      </c>
      <c r="B6670" s="303">
        <v>169.89510000000001</v>
      </c>
      <c r="C6670" s="308">
        <v>5.7203910584976096</v>
      </c>
    </row>
    <row r="6671" spans="1:3" x14ac:dyDescent="0.35">
      <c r="A6671" s="305">
        <v>39495</v>
      </c>
      <c r="B6671" s="306">
        <v>169.83340000000001</v>
      </c>
      <c r="C6671" s="309">
        <v>5.7109405489788001</v>
      </c>
    </row>
    <row r="6672" spans="1:3" x14ac:dyDescent="0.35">
      <c r="A6672" s="302">
        <v>39494</v>
      </c>
      <c r="B6672" s="303">
        <v>169.77160000000001</v>
      </c>
      <c r="C6672" s="308">
        <v>5.7014226006028101</v>
      </c>
    </row>
    <row r="6673" spans="1:3" x14ac:dyDescent="0.35">
      <c r="A6673" s="305">
        <v>39493</v>
      </c>
      <c r="B6673" s="306">
        <v>169.7099</v>
      </c>
      <c r="C6673" s="309">
        <v>5.6919617139657799</v>
      </c>
    </row>
    <row r="6674" spans="1:3" x14ac:dyDescent="0.35">
      <c r="A6674" s="302">
        <v>39492</v>
      </c>
      <c r="B6674" s="303">
        <v>169.6832</v>
      </c>
      <c r="C6674" s="308">
        <v>5.6831657515271701</v>
      </c>
    </row>
    <row r="6675" spans="1:3" x14ac:dyDescent="0.35">
      <c r="A6675" s="305">
        <v>39491</v>
      </c>
      <c r="B6675" s="306">
        <v>169.65639999999999</v>
      </c>
      <c r="C6675" s="309">
        <v>5.67430619789282</v>
      </c>
    </row>
    <row r="6676" spans="1:3" x14ac:dyDescent="0.35">
      <c r="A6676" s="302">
        <v>39490</v>
      </c>
      <c r="B6676" s="303">
        <v>169.62970000000001</v>
      </c>
      <c r="C6676" s="308">
        <v>5.6655076226557997</v>
      </c>
    </row>
    <row r="6677" spans="1:3" x14ac:dyDescent="0.35">
      <c r="A6677" s="305">
        <v>39489</v>
      </c>
      <c r="B6677" s="306">
        <v>169.60290000000001</v>
      </c>
      <c r="C6677" s="309">
        <v>5.6566454464072704</v>
      </c>
    </row>
    <row r="6678" spans="1:3" x14ac:dyDescent="0.35">
      <c r="A6678" s="302">
        <v>39488</v>
      </c>
      <c r="B6678" s="303">
        <v>169.5762</v>
      </c>
      <c r="C6678" s="308">
        <v>5.6478442572088596</v>
      </c>
    </row>
    <row r="6679" spans="1:3" x14ac:dyDescent="0.35">
      <c r="A6679" s="305">
        <v>39487</v>
      </c>
      <c r="B6679" s="306">
        <v>169.54939999999999</v>
      </c>
      <c r="C6679" s="309">
        <v>5.6389794571800804</v>
      </c>
    </row>
    <row r="6680" spans="1:3" x14ac:dyDescent="0.35">
      <c r="A6680" s="302">
        <v>39486</v>
      </c>
      <c r="B6680" s="303">
        <v>169.52269999999999</v>
      </c>
      <c r="C6680" s="308">
        <v>5.6301756528566198</v>
      </c>
    </row>
    <row r="6681" spans="1:3" x14ac:dyDescent="0.35">
      <c r="A6681" s="305">
        <v>39485</v>
      </c>
      <c r="B6681" s="306">
        <v>169.49600000000001</v>
      </c>
      <c r="C6681" s="309">
        <v>5.6213705428443399</v>
      </c>
    </row>
    <row r="6682" spans="1:3" x14ac:dyDescent="0.35">
      <c r="A6682" s="302">
        <v>39484</v>
      </c>
      <c r="B6682" s="303">
        <v>169.4693</v>
      </c>
      <c r="C6682" s="308">
        <v>5.6125641268527602</v>
      </c>
    </row>
    <row r="6683" spans="1:3" x14ac:dyDescent="0.35">
      <c r="A6683" s="305">
        <v>39483</v>
      </c>
      <c r="B6683" s="306">
        <v>169.4425</v>
      </c>
      <c r="C6683" s="309">
        <v>5.6036940803845203</v>
      </c>
    </row>
    <row r="6684" spans="1:3" x14ac:dyDescent="0.35">
      <c r="A6684" s="302">
        <v>39482</v>
      </c>
      <c r="B6684" s="303">
        <v>169.41579999999999</v>
      </c>
      <c r="C6684" s="308">
        <v>5.5948850469398401</v>
      </c>
    </row>
    <row r="6685" spans="1:3" x14ac:dyDescent="0.35">
      <c r="A6685" s="305">
        <v>39481</v>
      </c>
      <c r="B6685" s="306">
        <v>169.38910000000001</v>
      </c>
      <c r="C6685" s="309">
        <v>5.5860747066431902</v>
      </c>
    </row>
    <row r="6686" spans="1:3" x14ac:dyDescent="0.35">
      <c r="A6686" s="302">
        <v>39480</v>
      </c>
      <c r="B6686" s="303">
        <v>169.36240000000001</v>
      </c>
      <c r="C6686" s="308">
        <v>5.5772630592037196</v>
      </c>
    </row>
    <row r="6687" spans="1:3" x14ac:dyDescent="0.35">
      <c r="A6687" s="305">
        <v>39479</v>
      </c>
      <c r="B6687" s="306">
        <v>169.3357</v>
      </c>
      <c r="C6687" s="309">
        <v>5.5683842901477396</v>
      </c>
    </row>
    <row r="6688" spans="1:3" x14ac:dyDescent="0.35">
      <c r="A6688" s="302">
        <v>39478</v>
      </c>
      <c r="B6688" s="303">
        <v>169.309</v>
      </c>
      <c r="C6688" s="308">
        <v>5.5595700281622698</v>
      </c>
    </row>
    <row r="6689" spans="1:3" x14ac:dyDescent="0.35">
      <c r="A6689" s="305">
        <v>39477</v>
      </c>
      <c r="B6689" s="306">
        <v>169.28229999999999</v>
      </c>
      <c r="C6689" s="309">
        <v>5.5507544581618697</v>
      </c>
    </row>
    <row r="6690" spans="1:3" x14ac:dyDescent="0.35">
      <c r="A6690" s="302">
        <v>39476</v>
      </c>
      <c r="B6690" s="303">
        <v>169.25559999999999</v>
      </c>
      <c r="C6690" s="308">
        <v>5.5419375798553503</v>
      </c>
    </row>
    <row r="6691" spans="1:3" x14ac:dyDescent="0.35">
      <c r="A6691" s="305">
        <v>39475</v>
      </c>
      <c r="B6691" s="306">
        <v>169.22890000000001</v>
      </c>
      <c r="C6691" s="309">
        <v>5.5331193929514404</v>
      </c>
    </row>
    <row r="6692" spans="1:3" x14ac:dyDescent="0.35">
      <c r="A6692" s="302">
        <v>39474</v>
      </c>
      <c r="B6692" s="303">
        <v>169.20230000000001</v>
      </c>
      <c r="C6692" s="308">
        <v>5.5243622629553997</v>
      </c>
    </row>
    <row r="6693" spans="1:3" x14ac:dyDescent="0.35">
      <c r="A6693" s="305">
        <v>39473</v>
      </c>
      <c r="B6693" s="306">
        <v>169.1756</v>
      </c>
      <c r="C6693" s="309">
        <v>5.5155414626114201</v>
      </c>
    </row>
    <row r="6694" spans="1:3" x14ac:dyDescent="0.35">
      <c r="A6694" s="302">
        <v>39472</v>
      </c>
      <c r="B6694" s="303">
        <v>169.1489</v>
      </c>
      <c r="C6694" s="308">
        <v>5.5066535429632903</v>
      </c>
    </row>
    <row r="6695" spans="1:3" x14ac:dyDescent="0.35">
      <c r="A6695" s="305">
        <v>39471</v>
      </c>
      <c r="B6695" s="306">
        <v>169.12219999999999</v>
      </c>
      <c r="C6695" s="309">
        <v>5.4978301240045004</v>
      </c>
    </row>
    <row r="6696" spans="1:3" x14ac:dyDescent="0.35">
      <c r="A6696" s="302">
        <v>39470</v>
      </c>
      <c r="B6696" s="303">
        <v>169.09559999999999</v>
      </c>
      <c r="C6696" s="308">
        <v>5.48906777926946</v>
      </c>
    </row>
    <row r="6697" spans="1:3" x14ac:dyDescent="0.35">
      <c r="A6697" s="305">
        <v>39469</v>
      </c>
      <c r="B6697" s="306">
        <v>169.06890000000001</v>
      </c>
      <c r="C6697" s="309">
        <v>5.48024174454362</v>
      </c>
    </row>
    <row r="6698" spans="1:3" x14ac:dyDescent="0.35">
      <c r="A6698" s="302">
        <v>39468</v>
      </c>
      <c r="B6698" s="303">
        <v>169.04230000000001</v>
      </c>
      <c r="C6698" s="308">
        <v>5.4714767927224202</v>
      </c>
    </row>
    <row r="6699" spans="1:3" x14ac:dyDescent="0.35">
      <c r="A6699" s="305">
        <v>39467</v>
      </c>
      <c r="B6699" s="306">
        <v>169.01560000000001</v>
      </c>
      <c r="C6699" s="309">
        <v>5.4625823343391904</v>
      </c>
    </row>
    <row r="6700" spans="1:3" x14ac:dyDescent="0.35">
      <c r="A6700" s="302">
        <v>39466</v>
      </c>
      <c r="B6700" s="303">
        <v>168.989</v>
      </c>
      <c r="C6700" s="308">
        <v>5.4538147748539298</v>
      </c>
    </row>
    <row r="6701" spans="1:3" x14ac:dyDescent="0.35">
      <c r="A6701" s="305">
        <v>39465</v>
      </c>
      <c r="B6701" s="306">
        <v>168.9623</v>
      </c>
      <c r="C6701" s="309">
        <v>5.4449835057233802</v>
      </c>
    </row>
    <row r="6702" spans="1:3" x14ac:dyDescent="0.35">
      <c r="A6702" s="302">
        <v>39464</v>
      </c>
      <c r="B6702" s="303">
        <v>168.9357</v>
      </c>
      <c r="C6702" s="308">
        <v>5.43621333682841</v>
      </c>
    </row>
    <row r="6703" spans="1:3" x14ac:dyDescent="0.35">
      <c r="A6703" s="305">
        <v>39463</v>
      </c>
      <c r="B6703" s="306">
        <v>168.90899999999999</v>
      </c>
      <c r="C6703" s="309">
        <v>5.4273136442139496</v>
      </c>
    </row>
    <row r="6704" spans="1:3" x14ac:dyDescent="0.35">
      <c r="A6704" s="302">
        <v>39462</v>
      </c>
      <c r="B6704" s="303">
        <v>168.88239999999999</v>
      </c>
      <c r="C6704" s="308">
        <v>5.4185408653335996</v>
      </c>
    </row>
    <row r="6705" spans="1:3" x14ac:dyDescent="0.35">
      <c r="A6705" s="305">
        <v>39461</v>
      </c>
      <c r="B6705" s="306">
        <v>168.8569</v>
      </c>
      <c r="C6705" s="309">
        <v>5.4107824862319198</v>
      </c>
    </row>
    <row r="6706" spans="1:3" x14ac:dyDescent="0.35">
      <c r="A6706" s="302">
        <v>39460</v>
      </c>
      <c r="B6706" s="303">
        <v>168.8314</v>
      </c>
      <c r="C6706" s="308">
        <v>5.4030229059103396</v>
      </c>
    </row>
    <row r="6707" spans="1:3" x14ac:dyDescent="0.35">
      <c r="A6707" s="305">
        <v>39459</v>
      </c>
      <c r="B6707" s="306">
        <v>168.8058</v>
      </c>
      <c r="C6707" s="309">
        <v>5.3951996883206403</v>
      </c>
    </row>
    <row r="6708" spans="1:3" x14ac:dyDescent="0.35">
      <c r="A6708" s="302">
        <v>39458</v>
      </c>
      <c r="B6708" s="303">
        <v>168.78030000000001</v>
      </c>
      <c r="C6708" s="308">
        <v>5.3874376998879798</v>
      </c>
    </row>
    <row r="6709" spans="1:3" x14ac:dyDescent="0.35">
      <c r="A6709" s="305">
        <v>39457</v>
      </c>
      <c r="B6709" s="306">
        <v>168.75479999999999</v>
      </c>
      <c r="C6709" s="309">
        <v>5.3796745093974101</v>
      </c>
    </row>
    <row r="6710" spans="1:3" x14ac:dyDescent="0.35">
      <c r="A6710" s="302">
        <v>39456</v>
      </c>
      <c r="B6710" s="303">
        <v>168.72919999999999</v>
      </c>
      <c r="C6710" s="308">
        <v>5.3717818613292501</v>
      </c>
    </row>
    <row r="6711" spans="1:3" x14ac:dyDescent="0.35">
      <c r="A6711" s="305">
        <v>39455</v>
      </c>
      <c r="B6711" s="306">
        <v>168.7037</v>
      </c>
      <c r="C6711" s="309">
        <v>5.3640162608023898</v>
      </c>
    </row>
    <row r="6712" spans="1:3" x14ac:dyDescent="0.35">
      <c r="A6712" s="302">
        <v>39454</v>
      </c>
      <c r="B6712" s="303">
        <v>168.6782</v>
      </c>
      <c r="C6712" s="308">
        <v>5.3562494573795396</v>
      </c>
    </row>
    <row r="6713" spans="1:3" x14ac:dyDescent="0.35">
      <c r="A6713" s="305">
        <v>39453</v>
      </c>
      <c r="B6713" s="306">
        <v>168.65270000000001</v>
      </c>
      <c r="C6713" s="309">
        <v>5.3484814507812199</v>
      </c>
    </row>
    <row r="6714" spans="1:3" x14ac:dyDescent="0.35">
      <c r="A6714" s="302">
        <v>39452</v>
      </c>
      <c r="B6714" s="303">
        <v>168.62719999999999</v>
      </c>
      <c r="C6714" s="308">
        <v>5.3407122407278003</v>
      </c>
    </row>
    <row r="6715" spans="1:3" x14ac:dyDescent="0.35">
      <c r="A6715" s="305">
        <v>39451</v>
      </c>
      <c r="B6715" s="306">
        <v>168.60169999999999</v>
      </c>
      <c r="C6715" s="309">
        <v>5.3328760208314598</v>
      </c>
    </row>
    <row r="6716" spans="1:3" x14ac:dyDescent="0.35">
      <c r="A6716" s="302">
        <v>39450</v>
      </c>
      <c r="B6716" s="303">
        <v>168.5762</v>
      </c>
      <c r="C6716" s="308">
        <v>5.3251044027860699</v>
      </c>
    </row>
    <row r="6717" spans="1:3" x14ac:dyDescent="0.35">
      <c r="A6717" s="305">
        <v>39449</v>
      </c>
      <c r="B6717" s="306">
        <v>168.55070000000001</v>
      </c>
      <c r="C6717" s="309">
        <v>5.3173315804469903</v>
      </c>
    </row>
    <row r="6718" spans="1:3" x14ac:dyDescent="0.35">
      <c r="A6718" s="302">
        <v>39448</v>
      </c>
      <c r="B6718" s="303">
        <v>168.52520000000001</v>
      </c>
      <c r="C6718" s="308">
        <v>5.3095575535342503</v>
      </c>
    </row>
    <row r="6719" spans="1:3" x14ac:dyDescent="0.35">
      <c r="A6719" s="305">
        <v>39447</v>
      </c>
      <c r="B6719" s="306">
        <v>168.49969999999999</v>
      </c>
      <c r="C6719" s="309">
        <v>5.3017165147757002</v>
      </c>
    </row>
    <row r="6720" spans="1:3" x14ac:dyDescent="0.35">
      <c r="A6720" s="302">
        <v>39446</v>
      </c>
      <c r="B6720" s="303">
        <v>168.4742</v>
      </c>
      <c r="C6720" s="308">
        <v>5.2939400776356997</v>
      </c>
    </row>
    <row r="6721" spans="1:3" x14ac:dyDescent="0.35">
      <c r="A6721" s="305">
        <v>39445</v>
      </c>
      <c r="B6721" s="306">
        <v>168.4487</v>
      </c>
      <c r="C6721" s="309">
        <v>5.2861624350824101</v>
      </c>
    </row>
    <row r="6722" spans="1:3" x14ac:dyDescent="0.35">
      <c r="A6722" s="302">
        <v>39444</v>
      </c>
      <c r="B6722" s="303">
        <v>168.42330000000001</v>
      </c>
      <c r="C6722" s="308">
        <v>5.2784460950787899</v>
      </c>
    </row>
    <row r="6723" spans="1:3" x14ac:dyDescent="0.35">
      <c r="A6723" s="305">
        <v>39443</v>
      </c>
      <c r="B6723" s="306">
        <v>168.39779999999999</v>
      </c>
      <c r="C6723" s="309">
        <v>5.2706002377996404</v>
      </c>
    </row>
    <row r="6724" spans="1:3" x14ac:dyDescent="0.35">
      <c r="A6724" s="302">
        <v>39442</v>
      </c>
      <c r="B6724" s="303">
        <v>168.3723</v>
      </c>
      <c r="C6724" s="308">
        <v>5.26281898193358</v>
      </c>
    </row>
    <row r="6725" spans="1:3" x14ac:dyDescent="0.35">
      <c r="A6725" s="305">
        <v>39441</v>
      </c>
      <c r="B6725" s="306">
        <v>168.3468</v>
      </c>
      <c r="C6725" s="309">
        <v>5.2550365195339799</v>
      </c>
    </row>
    <row r="6726" spans="1:3" x14ac:dyDescent="0.35">
      <c r="A6726" s="302">
        <v>39440</v>
      </c>
      <c r="B6726" s="303">
        <v>168.32140000000001</v>
      </c>
      <c r="C6726" s="308">
        <v>5.2472495693414896</v>
      </c>
    </row>
    <row r="6727" spans="1:3" x14ac:dyDescent="0.35">
      <c r="A6727" s="305">
        <v>39439</v>
      </c>
      <c r="B6727" s="306">
        <v>168.29589999999999</v>
      </c>
      <c r="C6727" s="309">
        <v>5.2394646976464703</v>
      </c>
    </row>
    <row r="6728" spans="1:3" x14ac:dyDescent="0.35">
      <c r="A6728" s="302">
        <v>39438</v>
      </c>
      <c r="B6728" s="303">
        <v>168.2705</v>
      </c>
      <c r="C6728" s="308">
        <v>5.2317411558259401</v>
      </c>
    </row>
    <row r="6729" spans="1:3" x14ac:dyDescent="0.35">
      <c r="A6729" s="305">
        <v>39437</v>
      </c>
      <c r="B6729" s="306">
        <v>168.245</v>
      </c>
      <c r="C6729" s="309">
        <v>5.2238880647235302</v>
      </c>
    </row>
    <row r="6730" spans="1:3" x14ac:dyDescent="0.35">
      <c r="A6730" s="302">
        <v>39436</v>
      </c>
      <c r="B6730" s="303">
        <v>168.21960000000001</v>
      </c>
      <c r="C6730" s="308">
        <v>5.2161621215911902</v>
      </c>
    </row>
    <row r="6731" spans="1:3" x14ac:dyDescent="0.35">
      <c r="A6731" s="305">
        <v>39435</v>
      </c>
      <c r="B6731" s="306">
        <v>168.19409999999999</v>
      </c>
      <c r="C6731" s="309">
        <v>5.2083724281843198</v>
      </c>
    </row>
    <row r="6732" spans="1:3" x14ac:dyDescent="0.35">
      <c r="A6732" s="302">
        <v>39434</v>
      </c>
      <c r="B6732" s="303">
        <v>168.1687</v>
      </c>
      <c r="C6732" s="308">
        <v>5.20057827297562</v>
      </c>
    </row>
    <row r="6733" spans="1:3" x14ac:dyDescent="0.35">
      <c r="A6733" s="305">
        <v>39433</v>
      </c>
      <c r="B6733" s="306">
        <v>168.14330000000001</v>
      </c>
      <c r="C6733" s="309">
        <v>5.1928487283451403</v>
      </c>
    </row>
    <row r="6734" spans="1:3" x14ac:dyDescent="0.35">
      <c r="A6734" s="302">
        <v>39432</v>
      </c>
      <c r="B6734" s="303">
        <v>168.11779999999999</v>
      </c>
      <c r="C6734" s="308">
        <v>5.1849896077472</v>
      </c>
    </row>
    <row r="6735" spans="1:3" x14ac:dyDescent="0.35">
      <c r="A6735" s="305">
        <v>39431</v>
      </c>
      <c r="B6735" s="306">
        <v>168.0924</v>
      </c>
      <c r="C6735" s="309">
        <v>5.1772576590150603</v>
      </c>
    </row>
    <row r="6736" spans="1:3" x14ac:dyDescent="0.35">
      <c r="A6736" s="302">
        <v>39430</v>
      </c>
      <c r="B6736" s="303">
        <v>168.09180000000001</v>
      </c>
      <c r="C6736" s="308">
        <v>5.1719466894247903</v>
      </c>
    </row>
    <row r="6737" spans="1:3" x14ac:dyDescent="0.35">
      <c r="A6737" s="305">
        <v>39429</v>
      </c>
      <c r="B6737" s="306">
        <v>168.09129999999999</v>
      </c>
      <c r="C6737" s="309">
        <v>5.1666987834817801</v>
      </c>
    </row>
    <row r="6738" spans="1:3" x14ac:dyDescent="0.35">
      <c r="A6738" s="302">
        <v>39428</v>
      </c>
      <c r="B6738" s="303">
        <v>168.0907</v>
      </c>
      <c r="C6738" s="308">
        <v>5.1614545991443999</v>
      </c>
    </row>
    <row r="6739" spans="1:3" x14ac:dyDescent="0.35">
      <c r="A6739" s="305">
        <v>39427</v>
      </c>
      <c r="B6739" s="306">
        <v>168.09020000000001</v>
      </c>
      <c r="C6739" s="309">
        <v>5.1562076746611298</v>
      </c>
    </row>
    <row r="6740" spans="1:3" x14ac:dyDescent="0.35">
      <c r="A6740" s="302">
        <v>39426</v>
      </c>
      <c r="B6740" s="303">
        <v>168.08959999999999</v>
      </c>
      <c r="C6740" s="308">
        <v>5.1508986860641697</v>
      </c>
    </row>
    <row r="6741" spans="1:3" x14ac:dyDescent="0.35">
      <c r="A6741" s="305">
        <v>39425</v>
      </c>
      <c r="B6741" s="306">
        <v>168.089</v>
      </c>
      <c r="C6741" s="309">
        <v>5.1456559679225302</v>
      </c>
    </row>
    <row r="6742" spans="1:3" x14ac:dyDescent="0.35">
      <c r="A6742" s="302">
        <v>39424</v>
      </c>
      <c r="B6742" s="303">
        <v>168.08850000000001</v>
      </c>
      <c r="C6742" s="308">
        <v>5.1404105197644299</v>
      </c>
    </row>
    <row r="6743" spans="1:3" x14ac:dyDescent="0.35">
      <c r="A6743" s="305">
        <v>39423</v>
      </c>
      <c r="B6743" s="306">
        <v>168.08789999999999</v>
      </c>
      <c r="C6743" s="309">
        <v>5.1351030160497402</v>
      </c>
    </row>
    <row r="6744" spans="1:3" x14ac:dyDescent="0.35">
      <c r="A6744" s="302">
        <v>39422</v>
      </c>
      <c r="B6744" s="303">
        <v>168.0874</v>
      </c>
      <c r="C6744" s="308">
        <v>5.1299243082858101</v>
      </c>
    </row>
    <row r="6745" spans="1:3" x14ac:dyDescent="0.35">
      <c r="A6745" s="305">
        <v>39421</v>
      </c>
      <c r="B6745" s="306">
        <v>168.08680000000001</v>
      </c>
      <c r="C6745" s="309">
        <v>5.1246177910338702</v>
      </c>
    </row>
    <row r="6746" spans="1:3" x14ac:dyDescent="0.35">
      <c r="A6746" s="302">
        <v>39420</v>
      </c>
      <c r="B6746" s="303">
        <v>168.08619999999999</v>
      </c>
      <c r="C6746" s="308">
        <v>5.1193117715778103</v>
      </c>
    </row>
    <row r="6747" spans="1:3" x14ac:dyDescent="0.35">
      <c r="A6747" s="305">
        <v>39419</v>
      </c>
      <c r="B6747" s="306">
        <v>168.0857</v>
      </c>
      <c r="C6747" s="309">
        <v>5.11413452001716</v>
      </c>
    </row>
    <row r="6748" spans="1:3" x14ac:dyDescent="0.35">
      <c r="A6748" s="302">
        <v>39418</v>
      </c>
      <c r="B6748" s="303">
        <v>168.08510000000001</v>
      </c>
      <c r="C6748" s="308">
        <v>5.1088294866094701</v>
      </c>
    </row>
    <row r="6749" spans="1:3" x14ac:dyDescent="0.35">
      <c r="A6749" s="305">
        <v>39417</v>
      </c>
      <c r="B6749" s="306">
        <v>168.08459999999999</v>
      </c>
      <c r="C6749" s="309">
        <v>5.1035874809595603</v>
      </c>
    </row>
    <row r="6750" spans="1:3" x14ac:dyDescent="0.35">
      <c r="A6750" s="302">
        <v>39416</v>
      </c>
      <c r="B6750" s="303">
        <v>168.084</v>
      </c>
      <c r="C6750" s="308">
        <v>5.0983491548187896</v>
      </c>
    </row>
    <row r="6751" spans="1:3" x14ac:dyDescent="0.35">
      <c r="A6751" s="305">
        <v>39415</v>
      </c>
      <c r="B6751" s="306">
        <v>168.08340000000001</v>
      </c>
      <c r="C6751" s="309">
        <v>5.0930456046322998</v>
      </c>
    </row>
    <row r="6752" spans="1:3" x14ac:dyDescent="0.35">
      <c r="A6752" s="302">
        <v>39414</v>
      </c>
      <c r="B6752" s="303">
        <v>168.0829</v>
      </c>
      <c r="C6752" s="308">
        <v>5.0878050732375799</v>
      </c>
    </row>
    <row r="6753" spans="1:3" x14ac:dyDescent="0.35">
      <c r="A6753" s="305">
        <v>39413</v>
      </c>
      <c r="B6753" s="306">
        <v>168.0823</v>
      </c>
      <c r="C6753" s="309">
        <v>5.0825682108324601</v>
      </c>
    </row>
    <row r="6754" spans="1:3" x14ac:dyDescent="0.35">
      <c r="A6754" s="302">
        <v>39412</v>
      </c>
      <c r="B6754" s="303">
        <v>168.08179999999999</v>
      </c>
      <c r="C6754" s="308">
        <v>5.0773286588342996</v>
      </c>
    </row>
    <row r="6755" spans="1:3" x14ac:dyDescent="0.35">
      <c r="A6755" s="305">
        <v>39411</v>
      </c>
      <c r="B6755" s="306">
        <v>168.0812</v>
      </c>
      <c r="C6755" s="309">
        <v>5.0720270854848097</v>
      </c>
    </row>
    <row r="6756" spans="1:3" x14ac:dyDescent="0.35">
      <c r="A6756" s="302">
        <v>39410</v>
      </c>
      <c r="B6756" s="303">
        <v>168.0806</v>
      </c>
      <c r="C6756" s="308">
        <v>5.0667916862009701</v>
      </c>
    </row>
    <row r="6757" spans="1:3" x14ac:dyDescent="0.35">
      <c r="A6757" s="305">
        <v>39409</v>
      </c>
      <c r="B6757" s="306">
        <v>168.08009999999999</v>
      </c>
      <c r="C6757" s="309">
        <v>5.0615536074258101</v>
      </c>
    </row>
    <row r="6758" spans="1:3" x14ac:dyDescent="0.35">
      <c r="A6758" s="302">
        <v>39408</v>
      </c>
      <c r="B6758" s="303">
        <v>168.0795</v>
      </c>
      <c r="C6758" s="308">
        <v>5.0562535158447401</v>
      </c>
    </row>
    <row r="6759" spans="1:3" x14ac:dyDescent="0.35">
      <c r="A6759" s="305">
        <v>39407</v>
      </c>
      <c r="B6759" s="306">
        <v>168.07900000000001</v>
      </c>
      <c r="C6759" s="309">
        <v>5.0510164221315996</v>
      </c>
    </row>
    <row r="6760" spans="1:3" x14ac:dyDescent="0.35">
      <c r="A6760" s="302">
        <v>39406</v>
      </c>
      <c r="B6760" s="303">
        <v>168.07839999999999</v>
      </c>
      <c r="C6760" s="308">
        <v>5.0457829728964603</v>
      </c>
    </row>
    <row r="6761" spans="1:3" x14ac:dyDescent="0.35">
      <c r="A6761" s="305">
        <v>39405</v>
      </c>
      <c r="B6761" s="306">
        <v>168.0778</v>
      </c>
      <c r="C6761" s="309">
        <v>5.0404843624619096</v>
      </c>
    </row>
    <row r="6762" spans="1:3" x14ac:dyDescent="0.35">
      <c r="A6762" s="302">
        <v>39404</v>
      </c>
      <c r="B6762" s="303">
        <v>168.07730000000001</v>
      </c>
      <c r="C6762" s="308">
        <v>5.0352487409378499</v>
      </c>
    </row>
    <row r="6763" spans="1:3" x14ac:dyDescent="0.35">
      <c r="A6763" s="305">
        <v>39403</v>
      </c>
      <c r="B6763" s="306">
        <v>168.07669999999999</v>
      </c>
      <c r="C6763" s="309">
        <v>5.0299511208705496</v>
      </c>
    </row>
    <row r="6764" spans="1:3" x14ac:dyDescent="0.35">
      <c r="A6764" s="302">
        <v>39402</v>
      </c>
      <c r="B6764" s="303">
        <v>168.0762</v>
      </c>
      <c r="C6764" s="308">
        <v>5.0247821098910999</v>
      </c>
    </row>
    <row r="6765" spans="1:3" x14ac:dyDescent="0.35">
      <c r="A6765" s="305">
        <v>39401</v>
      </c>
      <c r="B6765" s="306">
        <v>168.07560000000001</v>
      </c>
      <c r="C6765" s="309">
        <v>5.0194854735279399</v>
      </c>
    </row>
    <row r="6766" spans="1:3" x14ac:dyDescent="0.35">
      <c r="A6766" s="302">
        <v>39400</v>
      </c>
      <c r="B6766" s="303">
        <v>168.0712</v>
      </c>
      <c r="C6766" s="308">
        <v>5.02657983981483</v>
      </c>
    </row>
    <row r="6767" spans="1:3" x14ac:dyDescent="0.35">
      <c r="A6767" s="305">
        <v>39399</v>
      </c>
      <c r="B6767" s="306">
        <v>168.0669</v>
      </c>
      <c r="C6767" s="309">
        <v>5.0336723903897402</v>
      </c>
    </row>
    <row r="6768" spans="1:3" x14ac:dyDescent="0.35">
      <c r="A6768" s="302">
        <v>39398</v>
      </c>
      <c r="B6768" s="303">
        <v>168.0625</v>
      </c>
      <c r="C6768" s="308">
        <v>5.0407694125029501</v>
      </c>
    </row>
    <row r="6769" spans="1:3" x14ac:dyDescent="0.35">
      <c r="A6769" s="305">
        <v>39397</v>
      </c>
      <c r="B6769" s="306">
        <v>168.0582</v>
      </c>
      <c r="C6769" s="309">
        <v>5.0478646101917404</v>
      </c>
    </row>
    <row r="6770" spans="1:3" x14ac:dyDescent="0.35">
      <c r="A6770" s="302">
        <v>39396</v>
      </c>
      <c r="B6770" s="303">
        <v>168.0539</v>
      </c>
      <c r="C6770" s="308">
        <v>5.0550268023192197</v>
      </c>
    </row>
    <row r="6771" spans="1:3" x14ac:dyDescent="0.35">
      <c r="A6771" s="305">
        <v>39395</v>
      </c>
      <c r="B6771" s="306">
        <v>168.04949999999999</v>
      </c>
      <c r="C6771" s="309">
        <v>5.0620621359077598</v>
      </c>
    </row>
    <row r="6772" spans="1:3" x14ac:dyDescent="0.35">
      <c r="A6772" s="302">
        <v>39394</v>
      </c>
      <c r="B6772" s="303">
        <v>168.04519999999999</v>
      </c>
      <c r="C6772" s="308">
        <v>5.0691613046830097</v>
      </c>
    </row>
    <row r="6773" spans="1:3" x14ac:dyDescent="0.35">
      <c r="A6773" s="305">
        <v>39393</v>
      </c>
      <c r="B6773" s="306">
        <v>168.04089999999999</v>
      </c>
      <c r="C6773" s="309">
        <v>5.0763275007237896</v>
      </c>
    </row>
    <row r="6774" spans="1:3" x14ac:dyDescent="0.35">
      <c r="A6774" s="302">
        <v>39392</v>
      </c>
      <c r="B6774" s="303">
        <v>168.03649999999999</v>
      </c>
      <c r="C6774" s="308">
        <v>5.0833667901127999</v>
      </c>
    </row>
    <row r="6775" spans="1:3" x14ac:dyDescent="0.35">
      <c r="A6775" s="305">
        <v>39391</v>
      </c>
      <c r="B6775" s="306">
        <v>168.03219999999999</v>
      </c>
      <c r="C6775" s="309">
        <v>5.0904699333116099</v>
      </c>
    </row>
    <row r="6776" spans="1:3" x14ac:dyDescent="0.35">
      <c r="A6776" s="302">
        <v>39390</v>
      </c>
      <c r="B6776" s="303">
        <v>168.02789999999999</v>
      </c>
      <c r="C6776" s="308">
        <v>5.0976401366292698</v>
      </c>
    </row>
    <row r="6777" spans="1:3" x14ac:dyDescent="0.35">
      <c r="A6777" s="305">
        <v>39389</v>
      </c>
      <c r="B6777" s="306">
        <v>168.02350000000001</v>
      </c>
      <c r="C6777" s="309">
        <v>5.1046833851485296</v>
      </c>
    </row>
    <row r="6778" spans="1:3" x14ac:dyDescent="0.35">
      <c r="A6778" s="302">
        <v>39388</v>
      </c>
      <c r="B6778" s="303">
        <v>168.01920000000001</v>
      </c>
      <c r="C6778" s="308">
        <v>5.1118562634502798</v>
      </c>
    </row>
    <row r="6779" spans="1:3" x14ac:dyDescent="0.35">
      <c r="A6779" s="305">
        <v>39387</v>
      </c>
      <c r="B6779" s="306">
        <v>168.01490000000001</v>
      </c>
      <c r="C6779" s="309">
        <v>5.1189647200736301</v>
      </c>
    </row>
    <row r="6780" spans="1:3" x14ac:dyDescent="0.35">
      <c r="A6780" s="302">
        <v>39386</v>
      </c>
      <c r="B6780" s="303">
        <v>168.01050000000001</v>
      </c>
      <c r="C6780" s="308">
        <v>5.1260119310566603</v>
      </c>
    </row>
    <row r="6781" spans="1:3" x14ac:dyDescent="0.35">
      <c r="A6781" s="305">
        <v>39385</v>
      </c>
      <c r="B6781" s="306">
        <v>168.00620000000001</v>
      </c>
      <c r="C6781" s="309">
        <v>5.1331230331288502</v>
      </c>
    </row>
    <row r="6782" spans="1:3" x14ac:dyDescent="0.35">
      <c r="A6782" s="302">
        <v>39384</v>
      </c>
      <c r="B6782" s="303">
        <v>168.00190000000001</v>
      </c>
      <c r="C6782" s="308">
        <v>5.1403012611061003</v>
      </c>
    </row>
    <row r="6783" spans="1:3" x14ac:dyDescent="0.35">
      <c r="A6783" s="305">
        <v>39383</v>
      </c>
      <c r="B6783" s="306">
        <v>167.9975</v>
      </c>
      <c r="C6783" s="309">
        <v>5.1473524378901603</v>
      </c>
    </row>
    <row r="6784" spans="1:3" x14ac:dyDescent="0.35">
      <c r="A6784" s="302">
        <v>39382</v>
      </c>
      <c r="B6784" s="303">
        <v>167.9932</v>
      </c>
      <c r="C6784" s="308">
        <v>5.1544675244196698</v>
      </c>
    </row>
    <row r="6785" spans="1:3" x14ac:dyDescent="0.35">
      <c r="A6785" s="305">
        <v>39381</v>
      </c>
      <c r="B6785" s="306">
        <v>167.9889</v>
      </c>
      <c r="C6785" s="309">
        <v>5.1615839382610602</v>
      </c>
    </row>
    <row r="6786" spans="1:3" x14ac:dyDescent="0.35">
      <c r="A6786" s="302">
        <v>39380</v>
      </c>
      <c r="B6786" s="303">
        <v>167.9845</v>
      </c>
      <c r="C6786" s="308">
        <v>5.1687049157132803</v>
      </c>
    </row>
    <row r="6787" spans="1:3" x14ac:dyDescent="0.35">
      <c r="A6787" s="305">
        <v>39379</v>
      </c>
      <c r="B6787" s="306">
        <v>167.9802</v>
      </c>
      <c r="C6787" s="309">
        <v>5.1758239900521996</v>
      </c>
    </row>
    <row r="6788" spans="1:3" x14ac:dyDescent="0.35">
      <c r="A6788" s="302">
        <v>39378</v>
      </c>
      <c r="B6788" s="303">
        <v>167.9759</v>
      </c>
      <c r="C6788" s="308">
        <v>5.1829443928194801</v>
      </c>
    </row>
    <row r="6789" spans="1:3" x14ac:dyDescent="0.35">
      <c r="A6789" s="305">
        <v>39377</v>
      </c>
      <c r="B6789" s="306">
        <v>167.97149999999999</v>
      </c>
      <c r="C6789" s="309">
        <v>5.1900035006660001</v>
      </c>
    </row>
    <row r="6790" spans="1:3" x14ac:dyDescent="0.35">
      <c r="A6790" s="302">
        <v>39376</v>
      </c>
      <c r="B6790" s="303">
        <v>167.96719999999999</v>
      </c>
      <c r="C6790" s="308">
        <v>5.1971265555618196</v>
      </c>
    </row>
    <row r="6791" spans="1:3" x14ac:dyDescent="0.35">
      <c r="A6791" s="305">
        <v>39375</v>
      </c>
      <c r="B6791" s="306">
        <v>167.96289999999999</v>
      </c>
      <c r="C6791" s="309">
        <v>5.20425094000091</v>
      </c>
    </row>
    <row r="6792" spans="1:3" x14ac:dyDescent="0.35">
      <c r="A6792" s="302">
        <v>39374</v>
      </c>
      <c r="B6792" s="303">
        <v>167.95849999999999</v>
      </c>
      <c r="C6792" s="308">
        <v>5.2113799188294099</v>
      </c>
    </row>
    <row r="6793" spans="1:3" x14ac:dyDescent="0.35">
      <c r="A6793" s="305">
        <v>39373</v>
      </c>
      <c r="B6793" s="306">
        <v>167.95419999999999</v>
      </c>
      <c r="C6793" s="309">
        <v>5.2185069682416598</v>
      </c>
    </row>
    <row r="6794" spans="1:3" x14ac:dyDescent="0.35">
      <c r="A6794" s="302">
        <v>39372</v>
      </c>
      <c r="B6794" s="303">
        <v>167.94990000000001</v>
      </c>
      <c r="C6794" s="308">
        <v>5.2256353483161702</v>
      </c>
    </row>
    <row r="6795" spans="1:3" x14ac:dyDescent="0.35">
      <c r="A6795" s="305">
        <v>39371</v>
      </c>
      <c r="B6795" s="306">
        <v>167.94550000000001</v>
      </c>
      <c r="C6795" s="309">
        <v>5.2327024005854801</v>
      </c>
    </row>
    <row r="6796" spans="1:3" x14ac:dyDescent="0.35">
      <c r="A6796" s="302">
        <v>39370</v>
      </c>
      <c r="B6796" s="303">
        <v>167.94120000000001</v>
      </c>
      <c r="C6796" s="308">
        <v>5.2398334372522797</v>
      </c>
    </row>
    <row r="6797" spans="1:3" x14ac:dyDescent="0.35">
      <c r="A6797" s="305">
        <v>39369</v>
      </c>
      <c r="B6797" s="306">
        <v>167.9485</v>
      </c>
      <c r="C6797" s="309">
        <v>5.2580616048754401</v>
      </c>
    </row>
    <row r="6798" spans="1:3" x14ac:dyDescent="0.35">
      <c r="A6798" s="302">
        <v>39368</v>
      </c>
      <c r="B6798" s="303">
        <v>167.95580000000001</v>
      </c>
      <c r="C6798" s="308">
        <v>5.2762945026924601</v>
      </c>
    </row>
    <row r="6799" spans="1:3" x14ac:dyDescent="0.35">
      <c r="A6799" s="305">
        <v>39367</v>
      </c>
      <c r="B6799" s="306">
        <v>167.96299999999999</v>
      </c>
      <c r="C6799" s="309">
        <v>5.29446944345883</v>
      </c>
    </row>
    <row r="6800" spans="1:3" x14ac:dyDescent="0.35">
      <c r="A6800" s="302">
        <v>39366</v>
      </c>
      <c r="B6800" s="303">
        <v>167.97030000000001</v>
      </c>
      <c r="C6800" s="308">
        <v>5.3127117990528996</v>
      </c>
    </row>
    <row r="6801" spans="1:3" x14ac:dyDescent="0.35">
      <c r="A6801" s="305">
        <v>39365</v>
      </c>
      <c r="B6801" s="306">
        <v>167.9776</v>
      </c>
      <c r="C6801" s="309">
        <v>5.3308928422503401</v>
      </c>
    </row>
    <row r="6802" spans="1:3" x14ac:dyDescent="0.35">
      <c r="A6802" s="302">
        <v>39364</v>
      </c>
      <c r="B6802" s="303">
        <v>167.98490000000001</v>
      </c>
      <c r="C6802" s="308">
        <v>5.3491446511062</v>
      </c>
    </row>
    <row r="6803" spans="1:3" x14ac:dyDescent="0.35">
      <c r="A6803" s="305">
        <v>39363</v>
      </c>
      <c r="B6803" s="306">
        <v>167.9922</v>
      </c>
      <c r="C6803" s="309">
        <v>5.3674011993624999</v>
      </c>
    </row>
    <row r="6804" spans="1:3" x14ac:dyDescent="0.35">
      <c r="A6804" s="302">
        <v>39362</v>
      </c>
      <c r="B6804" s="303">
        <v>167.99950000000001</v>
      </c>
      <c r="C6804" s="308">
        <v>5.3856624888654698</v>
      </c>
    </row>
    <row r="6805" spans="1:3" x14ac:dyDescent="0.35">
      <c r="A6805" s="305">
        <v>39361</v>
      </c>
      <c r="B6805" s="306">
        <v>168.0067</v>
      </c>
      <c r="C6805" s="309">
        <v>5.4038657835680697</v>
      </c>
    </row>
    <row r="6806" spans="1:3" x14ac:dyDescent="0.35">
      <c r="A6806" s="302">
        <v>39360</v>
      </c>
      <c r="B6806" s="303">
        <v>168.01400000000001</v>
      </c>
      <c r="C6806" s="308">
        <v>5.4221365529582899</v>
      </c>
    </row>
    <row r="6807" spans="1:3" x14ac:dyDescent="0.35">
      <c r="A6807" s="305">
        <v>39359</v>
      </c>
      <c r="B6807" s="306">
        <v>168.0213</v>
      </c>
      <c r="C6807" s="309">
        <v>5.4404120691375502</v>
      </c>
    </row>
    <row r="6808" spans="1:3" x14ac:dyDescent="0.35">
      <c r="A6808" s="302">
        <v>39358</v>
      </c>
      <c r="B6808" s="303">
        <v>168.02860000000001</v>
      </c>
      <c r="C6808" s="308">
        <v>5.4586261456474698</v>
      </c>
    </row>
    <row r="6809" spans="1:3" x14ac:dyDescent="0.35">
      <c r="A6809" s="305">
        <v>39357</v>
      </c>
      <c r="B6809" s="306">
        <v>168.0359</v>
      </c>
      <c r="C6809" s="309">
        <v>5.4769111408782596</v>
      </c>
    </row>
    <row r="6810" spans="1:3" x14ac:dyDescent="0.35">
      <c r="A6810" s="302">
        <v>39356</v>
      </c>
      <c r="B6810" s="303">
        <v>168.04320000000001</v>
      </c>
      <c r="C6810" s="308">
        <v>5.4952008884430201</v>
      </c>
    </row>
    <row r="6811" spans="1:3" x14ac:dyDescent="0.35">
      <c r="A6811" s="305">
        <v>39355</v>
      </c>
      <c r="B6811" s="306">
        <v>168.0505</v>
      </c>
      <c r="C6811" s="309">
        <v>5.5134291417115504</v>
      </c>
    </row>
    <row r="6812" spans="1:3" x14ac:dyDescent="0.35">
      <c r="A6812" s="302">
        <v>39354</v>
      </c>
      <c r="B6812" s="303">
        <v>168.05770000000001</v>
      </c>
      <c r="C6812" s="308">
        <v>5.5316655845012104</v>
      </c>
    </row>
    <row r="6813" spans="1:3" x14ac:dyDescent="0.35">
      <c r="A6813" s="305">
        <v>39353</v>
      </c>
      <c r="B6813" s="306">
        <v>168.065</v>
      </c>
      <c r="C6813" s="309">
        <v>5.5499695719154696</v>
      </c>
    </row>
    <row r="6814" spans="1:3" x14ac:dyDescent="0.35">
      <c r="A6814" s="302">
        <v>39352</v>
      </c>
      <c r="B6814" s="303">
        <v>168.07230000000001</v>
      </c>
      <c r="C6814" s="308">
        <v>5.5682120103789199</v>
      </c>
    </row>
    <row r="6815" spans="1:3" x14ac:dyDescent="0.35">
      <c r="A6815" s="305">
        <v>39351</v>
      </c>
      <c r="B6815" s="306">
        <v>168.0796</v>
      </c>
      <c r="C6815" s="309">
        <v>5.5865254990055702</v>
      </c>
    </row>
    <row r="6816" spans="1:3" x14ac:dyDescent="0.35">
      <c r="A6816" s="302">
        <v>39350</v>
      </c>
      <c r="B6816" s="303">
        <v>168.08690000000001</v>
      </c>
      <c r="C6816" s="308">
        <v>5.6047774022090104</v>
      </c>
    </row>
    <row r="6817" spans="1:3" x14ac:dyDescent="0.35">
      <c r="A6817" s="305">
        <v>39349</v>
      </c>
      <c r="B6817" s="306">
        <v>168.0942</v>
      </c>
      <c r="C6817" s="309">
        <v>5.6231003994462903</v>
      </c>
    </row>
    <row r="6818" spans="1:3" x14ac:dyDescent="0.35">
      <c r="A6818" s="302">
        <v>39348</v>
      </c>
      <c r="B6818" s="303">
        <v>168.10149999999999</v>
      </c>
      <c r="C6818" s="308">
        <v>5.6413617747590399</v>
      </c>
    </row>
    <row r="6819" spans="1:3" x14ac:dyDescent="0.35">
      <c r="A6819" s="305">
        <v>39347</v>
      </c>
      <c r="B6819" s="306">
        <v>168.1088</v>
      </c>
      <c r="C6819" s="309">
        <v>5.6596942880128696</v>
      </c>
    </row>
    <row r="6820" spans="1:3" x14ac:dyDescent="0.35">
      <c r="A6820" s="302">
        <v>39346</v>
      </c>
      <c r="B6820" s="303">
        <v>168.11609999999999</v>
      </c>
      <c r="C6820" s="308">
        <v>5.67796514281188</v>
      </c>
    </row>
    <row r="6821" spans="1:3" x14ac:dyDescent="0.35">
      <c r="A6821" s="305">
        <v>39345</v>
      </c>
      <c r="B6821" s="306">
        <v>168.1233</v>
      </c>
      <c r="C6821" s="309">
        <v>5.6961778618256398</v>
      </c>
    </row>
    <row r="6822" spans="1:3" x14ac:dyDescent="0.35">
      <c r="A6822" s="302">
        <v>39344</v>
      </c>
      <c r="B6822" s="303">
        <v>168.13059999999999</v>
      </c>
      <c r="C6822" s="308">
        <v>5.71452464473243</v>
      </c>
    </row>
    <row r="6823" spans="1:3" x14ac:dyDescent="0.35">
      <c r="A6823" s="305">
        <v>39343</v>
      </c>
      <c r="B6823" s="306">
        <v>168.1379</v>
      </c>
      <c r="C6823" s="309">
        <v>5.7328097144096901</v>
      </c>
    </row>
    <row r="6824" spans="1:3" x14ac:dyDescent="0.35">
      <c r="A6824" s="302">
        <v>39342</v>
      </c>
      <c r="B6824" s="303">
        <v>168.14519999999999</v>
      </c>
      <c r="C6824" s="308">
        <v>5.7510995220781798</v>
      </c>
    </row>
    <row r="6825" spans="1:3" x14ac:dyDescent="0.35">
      <c r="A6825" s="305">
        <v>39341</v>
      </c>
      <c r="B6825" s="306">
        <v>168.1525</v>
      </c>
      <c r="C6825" s="309">
        <v>5.76946059949604</v>
      </c>
    </row>
    <row r="6826" spans="1:3" x14ac:dyDescent="0.35">
      <c r="A6826" s="302">
        <v>39340</v>
      </c>
      <c r="B6826" s="303">
        <v>168.15979999999999</v>
      </c>
      <c r="C6826" s="308">
        <v>5.7877599088070202</v>
      </c>
    </row>
    <row r="6827" spans="1:3" x14ac:dyDescent="0.35">
      <c r="A6827" s="305">
        <v>39339</v>
      </c>
      <c r="B6827" s="306">
        <v>168.1506</v>
      </c>
      <c r="C6827" s="309">
        <v>5.7959488758552</v>
      </c>
    </row>
    <row r="6828" spans="1:3" x14ac:dyDescent="0.35">
      <c r="A6828" s="302">
        <v>39338</v>
      </c>
      <c r="B6828" s="303">
        <v>168.1414</v>
      </c>
      <c r="C6828" s="308">
        <v>5.8041400071483604</v>
      </c>
    </row>
    <row r="6829" spans="1:3" x14ac:dyDescent="0.35">
      <c r="A6829" s="305">
        <v>39337</v>
      </c>
      <c r="B6829" s="306">
        <v>168.13210000000001</v>
      </c>
      <c r="C6829" s="309">
        <v>5.8122703695359101</v>
      </c>
    </row>
    <row r="6830" spans="1:3" x14ac:dyDescent="0.35">
      <c r="A6830" s="302">
        <v>39336</v>
      </c>
      <c r="B6830" s="303">
        <v>168.12289999999999</v>
      </c>
      <c r="C6830" s="308">
        <v>5.8203992177532502</v>
      </c>
    </row>
    <row r="6831" spans="1:3" x14ac:dyDescent="0.35">
      <c r="A6831" s="305">
        <v>39335</v>
      </c>
      <c r="B6831" s="306">
        <v>168.11369999999999</v>
      </c>
      <c r="C6831" s="309">
        <v>5.8285968246454098</v>
      </c>
    </row>
    <row r="6832" spans="1:3" x14ac:dyDescent="0.35">
      <c r="A6832" s="302">
        <v>39334</v>
      </c>
      <c r="B6832" s="303">
        <v>168.1045</v>
      </c>
      <c r="C6832" s="308">
        <v>5.8367965992103699</v>
      </c>
    </row>
    <row r="6833" spans="1:3" x14ac:dyDescent="0.35">
      <c r="A6833" s="305">
        <v>39333</v>
      </c>
      <c r="B6833" s="306">
        <v>168.09530000000001</v>
      </c>
      <c r="C6833" s="309">
        <v>5.8449318946583704</v>
      </c>
    </row>
    <row r="6834" spans="1:3" x14ac:dyDescent="0.35">
      <c r="A6834" s="302">
        <v>39332</v>
      </c>
      <c r="B6834" s="303">
        <v>168.08609999999999</v>
      </c>
      <c r="C6834" s="308">
        <v>5.8531359931684097</v>
      </c>
    </row>
    <row r="6835" spans="1:3" x14ac:dyDescent="0.35">
      <c r="A6835" s="305">
        <v>39331</v>
      </c>
      <c r="B6835" s="306">
        <v>168.07689999999999</v>
      </c>
      <c r="C6835" s="309">
        <v>5.8612755863952399</v>
      </c>
    </row>
    <row r="6836" spans="1:3" x14ac:dyDescent="0.35">
      <c r="A6836" s="302">
        <v>39330</v>
      </c>
      <c r="B6836" s="303">
        <v>168.0677</v>
      </c>
      <c r="C6836" s="308">
        <v>5.8694840122733902</v>
      </c>
    </row>
    <row r="6837" spans="1:3" x14ac:dyDescent="0.35">
      <c r="A6837" s="305">
        <v>39329</v>
      </c>
      <c r="B6837" s="306">
        <v>168.05850000000001</v>
      </c>
      <c r="C6837" s="309">
        <v>5.8776279066837196</v>
      </c>
    </row>
    <row r="6838" spans="1:3" x14ac:dyDescent="0.35">
      <c r="A6838" s="302">
        <v>39328</v>
      </c>
      <c r="B6838" s="303">
        <v>168.04929999999999</v>
      </c>
      <c r="C6838" s="308">
        <v>5.8858406633565998</v>
      </c>
    </row>
    <row r="6839" spans="1:3" x14ac:dyDescent="0.35">
      <c r="A6839" s="305">
        <v>39327</v>
      </c>
      <c r="B6839" s="306">
        <v>168.04</v>
      </c>
      <c r="C6839" s="309">
        <v>5.8939258452640404</v>
      </c>
    </row>
    <row r="6840" spans="1:3" x14ac:dyDescent="0.35">
      <c r="A6840" s="302">
        <v>39326</v>
      </c>
      <c r="B6840" s="303">
        <v>168.0308</v>
      </c>
      <c r="C6840" s="308">
        <v>5.9021429278213802</v>
      </c>
    </row>
    <row r="6841" spans="1:3" x14ac:dyDescent="0.35">
      <c r="A6841" s="305">
        <v>39325</v>
      </c>
      <c r="B6841" s="306">
        <v>168.02160000000001</v>
      </c>
      <c r="C6841" s="309">
        <v>5.9102954265240903</v>
      </c>
    </row>
    <row r="6842" spans="1:3" x14ac:dyDescent="0.35">
      <c r="A6842" s="302">
        <v>39324</v>
      </c>
      <c r="B6842" s="303">
        <v>168.01240000000001</v>
      </c>
      <c r="C6842" s="308">
        <v>5.9185168467358702</v>
      </c>
    </row>
    <row r="6843" spans="1:3" x14ac:dyDescent="0.35">
      <c r="A6843" s="305">
        <v>39323</v>
      </c>
      <c r="B6843" s="306">
        <v>168.00319999999999</v>
      </c>
      <c r="C6843" s="309">
        <v>5.9266736568532901</v>
      </c>
    </row>
    <row r="6844" spans="1:3" x14ac:dyDescent="0.35">
      <c r="A6844" s="302">
        <v>39322</v>
      </c>
      <c r="B6844" s="303">
        <v>167.994</v>
      </c>
      <c r="C6844" s="308">
        <v>5.9348326169865002</v>
      </c>
    </row>
    <row r="6845" spans="1:3" x14ac:dyDescent="0.35">
      <c r="A6845" s="305">
        <v>39321</v>
      </c>
      <c r="B6845" s="306">
        <v>167.98480000000001</v>
      </c>
      <c r="C6845" s="309">
        <v>5.9430605431082197</v>
      </c>
    </row>
    <row r="6846" spans="1:3" x14ac:dyDescent="0.35">
      <c r="A6846" s="302">
        <v>39320</v>
      </c>
      <c r="B6846" s="303">
        <v>167.97559999999999</v>
      </c>
      <c r="C6846" s="308">
        <v>5.9512238197810703</v>
      </c>
    </row>
    <row r="6847" spans="1:3" x14ac:dyDescent="0.35">
      <c r="A6847" s="305">
        <v>39319</v>
      </c>
      <c r="B6847" s="306">
        <v>167.96639999999999</v>
      </c>
      <c r="C6847" s="309">
        <v>5.9593892490266196</v>
      </c>
    </row>
    <row r="6848" spans="1:3" x14ac:dyDescent="0.35">
      <c r="A6848" s="302">
        <v>39318</v>
      </c>
      <c r="B6848" s="303">
        <v>167.9572</v>
      </c>
      <c r="C6848" s="308">
        <v>5.9675568316964096</v>
      </c>
    </row>
    <row r="6849" spans="1:3" x14ac:dyDescent="0.35">
      <c r="A6849" s="305">
        <v>39317</v>
      </c>
      <c r="B6849" s="306">
        <v>167.94800000000001</v>
      </c>
      <c r="C6849" s="309">
        <v>5.9757934397079202</v>
      </c>
    </row>
    <row r="6850" spans="1:3" x14ac:dyDescent="0.35">
      <c r="A6850" s="302">
        <v>39316</v>
      </c>
      <c r="B6850" s="303">
        <v>167.93879999999999</v>
      </c>
      <c r="C6850" s="308">
        <v>5.9839653457598496</v>
      </c>
    </row>
    <row r="6851" spans="1:3" x14ac:dyDescent="0.35">
      <c r="A6851" s="305">
        <v>39315</v>
      </c>
      <c r="B6851" s="306">
        <v>167.92959999999999</v>
      </c>
      <c r="C6851" s="309">
        <v>5.9921394077983603</v>
      </c>
    </row>
    <row r="6852" spans="1:3" x14ac:dyDescent="0.35">
      <c r="A6852" s="302">
        <v>39314</v>
      </c>
      <c r="B6852" s="303">
        <v>167.9204</v>
      </c>
      <c r="C6852" s="308">
        <v>6.0003156266767697</v>
      </c>
    </row>
    <row r="6853" spans="1:3" x14ac:dyDescent="0.35">
      <c r="A6853" s="305">
        <v>39313</v>
      </c>
      <c r="B6853" s="306">
        <v>167.91120000000001</v>
      </c>
      <c r="C6853" s="309">
        <v>6.0084940032488596</v>
      </c>
    </row>
    <row r="6854" spans="1:3" x14ac:dyDescent="0.35">
      <c r="A6854" s="302">
        <v>39312</v>
      </c>
      <c r="B6854" s="303">
        <v>167.90199999999999</v>
      </c>
      <c r="C6854" s="308">
        <v>6.0166745383688696</v>
      </c>
    </row>
    <row r="6855" spans="1:3" x14ac:dyDescent="0.35">
      <c r="A6855" s="305">
        <v>39311</v>
      </c>
      <c r="B6855" s="306">
        <v>167.89279999999999</v>
      </c>
      <c r="C6855" s="309">
        <v>6.0248572328914696</v>
      </c>
    </row>
    <row r="6856" spans="1:3" x14ac:dyDescent="0.35">
      <c r="A6856" s="302">
        <v>39310</v>
      </c>
      <c r="B6856" s="303">
        <v>167.8836</v>
      </c>
      <c r="C6856" s="308">
        <v>6.0330420876718103</v>
      </c>
    </row>
    <row r="6857" spans="1:3" x14ac:dyDescent="0.35">
      <c r="A6857" s="305">
        <v>39309</v>
      </c>
      <c r="B6857" s="306">
        <v>167.87440000000001</v>
      </c>
      <c r="C6857" s="309">
        <v>6.0412291035654597</v>
      </c>
    </row>
    <row r="6858" spans="1:3" x14ac:dyDescent="0.35">
      <c r="A6858" s="302">
        <v>39308</v>
      </c>
      <c r="B6858" s="303">
        <v>167.86789999999999</v>
      </c>
      <c r="C6858" s="308">
        <v>6.0473722513380102</v>
      </c>
    </row>
    <row r="6859" spans="1:3" x14ac:dyDescent="0.35">
      <c r="A6859" s="305">
        <v>39307</v>
      </c>
      <c r="B6859" s="306">
        <v>167.8614</v>
      </c>
      <c r="C6859" s="309">
        <v>6.0535165867554896</v>
      </c>
    </row>
    <row r="6860" spans="1:3" x14ac:dyDescent="0.35">
      <c r="A6860" s="302">
        <v>39306</v>
      </c>
      <c r="B6860" s="303">
        <v>167.85489999999999</v>
      </c>
      <c r="C6860" s="308">
        <v>6.0596621101623498</v>
      </c>
    </row>
    <row r="6861" spans="1:3" x14ac:dyDescent="0.35">
      <c r="A6861" s="305">
        <v>39305</v>
      </c>
      <c r="B6861" s="306">
        <v>167.8484</v>
      </c>
      <c r="C6861" s="309">
        <v>6.0658088219031603</v>
      </c>
    </row>
    <row r="6862" spans="1:3" x14ac:dyDescent="0.35">
      <c r="A6862" s="302">
        <v>39304</v>
      </c>
      <c r="B6862" s="303">
        <v>167.84190000000001</v>
      </c>
      <c r="C6862" s="308">
        <v>6.0719567223226401</v>
      </c>
    </row>
    <row r="6863" spans="1:3" x14ac:dyDescent="0.35">
      <c r="A6863" s="305">
        <v>39303</v>
      </c>
      <c r="B6863" s="306">
        <v>167.83539999999999</v>
      </c>
      <c r="C6863" s="309">
        <v>6.07803876656883</v>
      </c>
    </row>
    <row r="6864" spans="1:3" x14ac:dyDescent="0.35">
      <c r="A6864" s="302">
        <v>39302</v>
      </c>
      <c r="B6864" s="303">
        <v>167.82900000000001</v>
      </c>
      <c r="C6864" s="308">
        <v>6.0842522447354197</v>
      </c>
    </row>
    <row r="6865" spans="1:3" x14ac:dyDescent="0.35">
      <c r="A6865" s="305">
        <v>39301</v>
      </c>
      <c r="B6865" s="306">
        <v>167.82249999999999</v>
      </c>
      <c r="C6865" s="309">
        <v>6.0904037089997898</v>
      </c>
    </row>
    <row r="6866" spans="1:3" x14ac:dyDescent="0.35">
      <c r="A6866" s="302">
        <v>39300</v>
      </c>
      <c r="B6866" s="303">
        <v>167.816</v>
      </c>
      <c r="C6866" s="308">
        <v>6.0965563633214002</v>
      </c>
    </row>
    <row r="6867" spans="1:3" x14ac:dyDescent="0.35">
      <c r="A6867" s="305">
        <v>39299</v>
      </c>
      <c r="B6867" s="306">
        <v>167.80950000000001</v>
      </c>
      <c r="C6867" s="309">
        <v>6.1027102080456501</v>
      </c>
    </row>
    <row r="6868" spans="1:3" x14ac:dyDescent="0.35">
      <c r="A6868" s="302">
        <v>39298</v>
      </c>
      <c r="B6868" s="303">
        <v>167.803</v>
      </c>
      <c r="C6868" s="308">
        <v>6.1088652435180197</v>
      </c>
    </row>
    <row r="6869" spans="1:3" x14ac:dyDescent="0.35">
      <c r="A6869" s="305">
        <v>39297</v>
      </c>
      <c r="B6869" s="306">
        <v>167.79650000000001</v>
      </c>
      <c r="C6869" s="309">
        <v>6.1150214700841703</v>
      </c>
    </row>
    <row r="6870" spans="1:3" x14ac:dyDescent="0.35">
      <c r="A6870" s="302">
        <v>39296</v>
      </c>
      <c r="B6870" s="303">
        <v>167.79</v>
      </c>
      <c r="C6870" s="308">
        <v>6.1211117702790103</v>
      </c>
    </row>
    <row r="6871" spans="1:3" x14ac:dyDescent="0.35">
      <c r="A6871" s="305">
        <v>39295</v>
      </c>
      <c r="B6871" s="306">
        <v>167.7835</v>
      </c>
      <c r="C6871" s="309">
        <v>6.1272703696792803</v>
      </c>
    </row>
    <row r="6872" spans="1:3" x14ac:dyDescent="0.35">
      <c r="A6872" s="302">
        <v>39294</v>
      </c>
      <c r="B6872" s="303">
        <v>167.77699999999999</v>
      </c>
      <c r="C6872" s="308">
        <v>6.13343016120829</v>
      </c>
    </row>
    <row r="6873" spans="1:3" x14ac:dyDescent="0.35">
      <c r="A6873" s="305">
        <v>39293</v>
      </c>
      <c r="B6873" s="306">
        <v>167.7705</v>
      </c>
      <c r="C6873" s="309">
        <v>6.1395911452122203</v>
      </c>
    </row>
    <row r="6874" spans="1:3" x14ac:dyDescent="0.35">
      <c r="A6874" s="302">
        <v>39292</v>
      </c>
      <c r="B6874" s="303">
        <v>167.76400000000001</v>
      </c>
      <c r="C6874" s="308">
        <v>6.1456861627313302</v>
      </c>
    </row>
    <row r="6875" spans="1:3" x14ac:dyDescent="0.35">
      <c r="A6875" s="305">
        <v>39291</v>
      </c>
      <c r="B6875" s="306">
        <v>167.75749999999999</v>
      </c>
      <c r="C6875" s="309">
        <v>6.1518495223222098</v>
      </c>
    </row>
    <row r="6876" spans="1:3" x14ac:dyDescent="0.35">
      <c r="A6876" s="302">
        <v>39290</v>
      </c>
      <c r="B6876" s="303">
        <v>167.75110000000001</v>
      </c>
      <c r="C6876" s="308">
        <v>6.1580773585132498</v>
      </c>
    </row>
    <row r="6877" spans="1:3" x14ac:dyDescent="0.35">
      <c r="A6877" s="305">
        <v>39289</v>
      </c>
      <c r="B6877" s="306">
        <v>167.74459999999999</v>
      </c>
      <c r="C6877" s="309">
        <v>6.1641759211264997</v>
      </c>
    </row>
    <row r="6878" spans="1:3" x14ac:dyDescent="0.35">
      <c r="A6878" s="302">
        <v>39288</v>
      </c>
      <c r="B6878" s="303">
        <v>167.7381</v>
      </c>
      <c r="C6878" s="308">
        <v>6.1703428580109101</v>
      </c>
    </row>
    <row r="6879" spans="1:3" x14ac:dyDescent="0.35">
      <c r="A6879" s="305">
        <v>39287</v>
      </c>
      <c r="B6879" s="306">
        <v>167.73159999999999</v>
      </c>
      <c r="C6879" s="309">
        <v>6.1765109894457497</v>
      </c>
    </row>
    <row r="6880" spans="1:3" x14ac:dyDescent="0.35">
      <c r="A6880" s="302">
        <v>39286</v>
      </c>
      <c r="B6880" s="303">
        <v>167.7251</v>
      </c>
      <c r="C6880" s="308">
        <v>6.18261309414906</v>
      </c>
    </row>
    <row r="6881" spans="1:3" x14ac:dyDescent="0.35">
      <c r="A6881" s="305">
        <v>39285</v>
      </c>
      <c r="B6881" s="306">
        <v>167.71860000000001</v>
      </c>
      <c r="C6881" s="309">
        <v>6.1887836053077097</v>
      </c>
    </row>
    <row r="6882" spans="1:3" x14ac:dyDescent="0.35">
      <c r="A6882" s="302">
        <v>39284</v>
      </c>
      <c r="B6882" s="303">
        <v>167.71209999999999</v>
      </c>
      <c r="C6882" s="308">
        <v>6.1949553120557699</v>
      </c>
    </row>
    <row r="6883" spans="1:3" x14ac:dyDescent="0.35">
      <c r="A6883" s="305">
        <v>39283</v>
      </c>
      <c r="B6883" s="306">
        <v>167.7056</v>
      </c>
      <c r="C6883" s="309">
        <v>6.2010609619329102</v>
      </c>
    </row>
    <row r="6884" spans="1:3" x14ac:dyDescent="0.35">
      <c r="A6884" s="302">
        <v>39282</v>
      </c>
      <c r="B6884" s="303">
        <v>167.69909999999999</v>
      </c>
      <c r="C6884" s="308">
        <v>6.20723505047562</v>
      </c>
    </row>
    <row r="6885" spans="1:3" x14ac:dyDescent="0.35">
      <c r="A6885" s="305">
        <v>39281</v>
      </c>
      <c r="B6885" s="306">
        <v>167.6927</v>
      </c>
      <c r="C6885" s="309">
        <v>6.2134064001905198</v>
      </c>
    </row>
    <row r="6886" spans="1:3" x14ac:dyDescent="0.35">
      <c r="A6886" s="302">
        <v>39280</v>
      </c>
      <c r="B6886" s="303">
        <v>167.68620000000001</v>
      </c>
      <c r="C6886" s="308">
        <v>6.2195828780464604</v>
      </c>
    </row>
    <row r="6887" spans="1:3" x14ac:dyDescent="0.35">
      <c r="A6887" s="305">
        <v>39279</v>
      </c>
      <c r="B6887" s="306">
        <v>167.6797</v>
      </c>
      <c r="C6887" s="309">
        <v>6.2256932588248599</v>
      </c>
    </row>
    <row r="6888" spans="1:3" x14ac:dyDescent="0.35">
      <c r="A6888" s="302">
        <v>39278</v>
      </c>
      <c r="B6888" s="303">
        <v>167.67320000000001</v>
      </c>
      <c r="C6888" s="308">
        <v>6.2318721212390003</v>
      </c>
    </row>
    <row r="6889" spans="1:3" x14ac:dyDescent="0.35">
      <c r="A6889" s="305">
        <v>39277</v>
      </c>
      <c r="B6889" s="306">
        <v>167.65649999999999</v>
      </c>
      <c r="C6889" s="309">
        <v>6.2329354320151404</v>
      </c>
    </row>
    <row r="6890" spans="1:3" x14ac:dyDescent="0.35">
      <c r="A6890" s="302">
        <v>39276</v>
      </c>
      <c r="B6890" s="303">
        <v>167.6397</v>
      </c>
      <c r="C6890" s="308">
        <v>6.2339356055421202</v>
      </c>
    </row>
    <row r="6891" spans="1:3" x14ac:dyDescent="0.35">
      <c r="A6891" s="305">
        <v>39275</v>
      </c>
      <c r="B6891" s="306">
        <v>167.62299999999999</v>
      </c>
      <c r="C6891" s="309">
        <v>6.2349993757332003</v>
      </c>
    </row>
    <row r="6892" spans="1:3" x14ac:dyDescent="0.35">
      <c r="A6892" s="302">
        <v>39274</v>
      </c>
      <c r="B6892" s="303">
        <v>167.6063</v>
      </c>
      <c r="C6892" s="308">
        <v>6.2361307162365902</v>
      </c>
    </row>
    <row r="6893" spans="1:3" x14ac:dyDescent="0.35">
      <c r="A6893" s="305">
        <v>39273</v>
      </c>
      <c r="B6893" s="306">
        <v>167.58949999999999</v>
      </c>
      <c r="C6893" s="309">
        <v>6.2371315698724104</v>
      </c>
    </row>
    <row r="6894" spans="1:3" x14ac:dyDescent="0.35">
      <c r="A6894" s="302">
        <v>39272</v>
      </c>
      <c r="B6894" s="303">
        <v>167.5728</v>
      </c>
      <c r="C6894" s="308">
        <v>6.2381960412874697</v>
      </c>
    </row>
    <row r="6895" spans="1:3" x14ac:dyDescent="0.35">
      <c r="A6895" s="305">
        <v>39271</v>
      </c>
      <c r="B6895" s="306">
        <v>167.55609999999999</v>
      </c>
      <c r="C6895" s="309">
        <v>6.2392607462283403</v>
      </c>
    </row>
    <row r="6896" spans="1:3" x14ac:dyDescent="0.35">
      <c r="A6896" s="302">
        <v>39270</v>
      </c>
      <c r="B6896" s="303">
        <v>167.5393</v>
      </c>
      <c r="C6896" s="308">
        <v>6.2403296418987102</v>
      </c>
    </row>
    <row r="6897" spans="1:3" x14ac:dyDescent="0.35">
      <c r="A6897" s="305">
        <v>39269</v>
      </c>
      <c r="B6897" s="306">
        <v>167.52260000000001</v>
      </c>
      <c r="C6897" s="309">
        <v>6.2413948152314997</v>
      </c>
    </row>
    <row r="6898" spans="1:3" x14ac:dyDescent="0.35">
      <c r="A6898" s="302">
        <v>39268</v>
      </c>
      <c r="B6898" s="303">
        <v>167.5059</v>
      </c>
      <c r="C6898" s="308">
        <v>6.2424602223211698</v>
      </c>
    </row>
    <row r="6899" spans="1:3" x14ac:dyDescent="0.35">
      <c r="A6899" s="305">
        <v>39267</v>
      </c>
      <c r="B6899" s="306">
        <v>167.48920000000001</v>
      </c>
      <c r="C6899" s="309">
        <v>6.2435258632446597</v>
      </c>
    </row>
    <row r="6900" spans="1:3" x14ac:dyDescent="0.35">
      <c r="A6900" s="302">
        <v>39266</v>
      </c>
      <c r="B6900" s="303">
        <v>167.47239999999999</v>
      </c>
      <c r="C6900" s="308">
        <v>6.2445282980564496</v>
      </c>
    </row>
    <row r="6901" spans="1:3" x14ac:dyDescent="0.35">
      <c r="A6901" s="305">
        <v>39265</v>
      </c>
      <c r="B6901" s="306">
        <v>167.45570000000001</v>
      </c>
      <c r="C6901" s="309">
        <v>6.2455943999152304</v>
      </c>
    </row>
    <row r="6902" spans="1:3" x14ac:dyDescent="0.35">
      <c r="A6902" s="302">
        <v>39264</v>
      </c>
      <c r="B6902" s="303">
        <v>167.43899999999999</v>
      </c>
      <c r="C6902" s="308">
        <v>6.2466607358374002</v>
      </c>
    </row>
    <row r="6903" spans="1:3" x14ac:dyDescent="0.35">
      <c r="A6903" s="305">
        <v>39263</v>
      </c>
      <c r="B6903" s="306">
        <v>167.42230000000001</v>
      </c>
      <c r="C6903" s="309">
        <v>6.2477273059000202</v>
      </c>
    </row>
    <row r="6904" spans="1:3" x14ac:dyDescent="0.35">
      <c r="A6904" s="302">
        <v>39262</v>
      </c>
      <c r="B6904" s="303">
        <v>167.40559999999999</v>
      </c>
      <c r="C6904" s="308">
        <v>6.24879411018025</v>
      </c>
    </row>
    <row r="6905" spans="1:3" x14ac:dyDescent="0.35">
      <c r="A6905" s="305">
        <v>39261</v>
      </c>
      <c r="B6905" s="306">
        <v>167.3888</v>
      </c>
      <c r="C6905" s="309">
        <v>6.2497976739004697</v>
      </c>
    </row>
    <row r="6906" spans="1:3" x14ac:dyDescent="0.35">
      <c r="A6906" s="302">
        <v>39260</v>
      </c>
      <c r="B6906" s="303">
        <v>167.37209999999999</v>
      </c>
      <c r="C6906" s="308">
        <v>6.2508649398763598</v>
      </c>
    </row>
    <row r="6907" spans="1:3" x14ac:dyDescent="0.35">
      <c r="A6907" s="305">
        <v>39259</v>
      </c>
      <c r="B6907" s="306">
        <v>167.3554</v>
      </c>
      <c r="C6907" s="309">
        <v>6.2519324402998997</v>
      </c>
    </row>
    <row r="6908" spans="1:3" x14ac:dyDescent="0.35">
      <c r="A6908" s="302">
        <v>39258</v>
      </c>
      <c r="B6908" s="303">
        <v>167.33869999999999</v>
      </c>
      <c r="C6908" s="308">
        <v>6.2530001752483297</v>
      </c>
    </row>
    <row r="6909" spans="1:3" x14ac:dyDescent="0.35">
      <c r="A6909" s="305">
        <v>39257</v>
      </c>
      <c r="B6909" s="306">
        <v>167.322</v>
      </c>
      <c r="C6909" s="309">
        <v>6.2540681447989703</v>
      </c>
    </row>
    <row r="6910" spans="1:3" x14ac:dyDescent="0.35">
      <c r="A6910" s="302">
        <v>39256</v>
      </c>
      <c r="B6910" s="303">
        <v>167.30529999999999</v>
      </c>
      <c r="C6910" s="308">
        <v>6.2551363490291303</v>
      </c>
    </row>
    <row r="6911" spans="1:3" x14ac:dyDescent="0.35">
      <c r="A6911" s="305">
        <v>39255</v>
      </c>
      <c r="B6911" s="306">
        <v>167.2886</v>
      </c>
      <c r="C6911" s="309">
        <v>6.2562047880161797</v>
      </c>
    </row>
    <row r="6912" spans="1:3" x14ac:dyDescent="0.35">
      <c r="A6912" s="302">
        <v>39254</v>
      </c>
      <c r="B6912" s="303">
        <v>167.27189999999999</v>
      </c>
      <c r="C6912" s="308">
        <v>6.2572734618375101</v>
      </c>
    </row>
    <row r="6913" spans="1:3" x14ac:dyDescent="0.35">
      <c r="A6913" s="305">
        <v>39253</v>
      </c>
      <c r="B6913" s="306">
        <v>167.2552</v>
      </c>
      <c r="C6913" s="309">
        <v>6.2583423705705599</v>
      </c>
    </row>
    <row r="6914" spans="1:3" x14ac:dyDescent="0.35">
      <c r="A6914" s="302">
        <v>39252</v>
      </c>
      <c r="B6914" s="303">
        <v>167.23849999999999</v>
      </c>
      <c r="C6914" s="308">
        <v>6.2594115142927897</v>
      </c>
    </row>
    <row r="6915" spans="1:3" x14ac:dyDescent="0.35">
      <c r="A6915" s="305">
        <v>39251</v>
      </c>
      <c r="B6915" s="306">
        <v>167.2218</v>
      </c>
      <c r="C6915" s="309">
        <v>6.2604808930817102</v>
      </c>
    </row>
    <row r="6916" spans="1:3" x14ac:dyDescent="0.35">
      <c r="A6916" s="302">
        <v>39250</v>
      </c>
      <c r="B6916" s="303">
        <v>167.20509999999999</v>
      </c>
      <c r="C6916" s="308">
        <v>6.2614829761204902</v>
      </c>
    </row>
    <row r="6917" spans="1:3" x14ac:dyDescent="0.35">
      <c r="A6917" s="305">
        <v>39249</v>
      </c>
      <c r="B6917" s="306">
        <v>167.1884</v>
      </c>
      <c r="C6917" s="309">
        <v>6.2625528171699703</v>
      </c>
    </row>
    <row r="6918" spans="1:3" x14ac:dyDescent="0.35">
      <c r="A6918" s="302">
        <v>39248</v>
      </c>
      <c r="B6918" s="303">
        <v>167.17169999999999</v>
      </c>
      <c r="C6918" s="308">
        <v>6.2636228935168896</v>
      </c>
    </row>
    <row r="6919" spans="1:3" x14ac:dyDescent="0.35">
      <c r="A6919" s="305">
        <v>39247</v>
      </c>
      <c r="B6919" s="306">
        <v>167.1234</v>
      </c>
      <c r="C6919" s="309">
        <v>6.24831924198529</v>
      </c>
    </row>
    <row r="6920" spans="1:3" x14ac:dyDescent="0.35">
      <c r="A6920" s="302">
        <v>39246</v>
      </c>
      <c r="B6920" s="303">
        <v>167.07509999999999</v>
      </c>
      <c r="C6920" s="308">
        <v>6.2330111532672996</v>
      </c>
    </row>
    <row r="6921" spans="1:3" x14ac:dyDescent="0.35">
      <c r="A6921" s="305">
        <v>39245</v>
      </c>
      <c r="B6921" s="306">
        <v>167.02680000000001</v>
      </c>
      <c r="C6921" s="309">
        <v>6.2176986254328304</v>
      </c>
    </row>
    <row r="6922" spans="1:3" x14ac:dyDescent="0.35">
      <c r="A6922" s="302">
        <v>39244</v>
      </c>
      <c r="B6922" s="303">
        <v>166.9786</v>
      </c>
      <c r="C6922" s="308">
        <v>6.2024452589795498</v>
      </c>
    </row>
    <row r="6923" spans="1:3" x14ac:dyDescent="0.35">
      <c r="A6923" s="305">
        <v>39243</v>
      </c>
      <c r="B6923" s="306">
        <v>166.93029999999999</v>
      </c>
      <c r="C6923" s="309">
        <v>6.1870563089997699</v>
      </c>
    </row>
    <row r="6924" spans="1:3" x14ac:dyDescent="0.35">
      <c r="A6924" s="302">
        <v>39242</v>
      </c>
      <c r="B6924" s="303">
        <v>166.88210000000001</v>
      </c>
      <c r="C6924" s="308">
        <v>6.1717940822439301</v>
      </c>
    </row>
    <row r="6925" spans="1:3" x14ac:dyDescent="0.35">
      <c r="A6925" s="305">
        <v>39241</v>
      </c>
      <c r="B6925" s="306">
        <v>166.8339</v>
      </c>
      <c r="C6925" s="309">
        <v>6.1565274271053898</v>
      </c>
    </row>
    <row r="6926" spans="1:3" x14ac:dyDescent="0.35">
      <c r="A6926" s="302">
        <v>39240</v>
      </c>
      <c r="B6926" s="303">
        <v>166.78559999999999</v>
      </c>
      <c r="C6926" s="308">
        <v>6.14112515488205</v>
      </c>
    </row>
    <row r="6927" spans="1:3" x14ac:dyDescent="0.35">
      <c r="A6927" s="305">
        <v>39239</v>
      </c>
      <c r="B6927" s="306">
        <v>166.73740000000001</v>
      </c>
      <c r="C6927" s="309">
        <v>6.1258496278790604</v>
      </c>
    </row>
    <row r="6928" spans="1:3" x14ac:dyDescent="0.35">
      <c r="A6928" s="302">
        <v>39238</v>
      </c>
      <c r="B6928" s="303">
        <v>166.6893</v>
      </c>
      <c r="C6928" s="308">
        <v>6.1105657768594099</v>
      </c>
    </row>
    <row r="6929" spans="1:3" x14ac:dyDescent="0.35">
      <c r="A6929" s="305">
        <v>39237</v>
      </c>
      <c r="B6929" s="306">
        <v>166.64109999999999</v>
      </c>
      <c r="C6929" s="309">
        <v>6.0952813887541302</v>
      </c>
    </row>
    <row r="6930" spans="1:3" x14ac:dyDescent="0.35">
      <c r="A6930" s="302">
        <v>39236</v>
      </c>
      <c r="B6930" s="303">
        <v>166.59289999999999</v>
      </c>
      <c r="C6930" s="308">
        <v>6.0799250149798096</v>
      </c>
    </row>
    <row r="6931" spans="1:3" x14ac:dyDescent="0.35">
      <c r="A6931" s="305">
        <v>39235</v>
      </c>
      <c r="B6931" s="306">
        <v>166.54480000000001</v>
      </c>
      <c r="C6931" s="309">
        <v>6.0646954342037596</v>
      </c>
    </row>
    <row r="6932" spans="1:3" x14ac:dyDescent="0.35">
      <c r="A6932" s="302">
        <v>39234</v>
      </c>
      <c r="B6932" s="303">
        <v>166.4967</v>
      </c>
      <c r="C6932" s="308">
        <v>6.0493938822618203</v>
      </c>
    </row>
    <row r="6933" spans="1:3" x14ac:dyDescent="0.35">
      <c r="A6933" s="305">
        <v>39233</v>
      </c>
      <c r="B6933" s="306">
        <v>166.4485</v>
      </c>
      <c r="C6933" s="309">
        <v>6.0340242010746801</v>
      </c>
    </row>
    <row r="6934" spans="1:3" x14ac:dyDescent="0.35">
      <c r="A6934" s="302">
        <v>39232</v>
      </c>
      <c r="B6934" s="303">
        <v>166.40039999999999</v>
      </c>
      <c r="C6934" s="308">
        <v>6.0187813348777404</v>
      </c>
    </row>
    <row r="6935" spans="1:3" x14ac:dyDescent="0.35">
      <c r="A6935" s="305">
        <v>39231</v>
      </c>
      <c r="B6935" s="306">
        <v>166.35239999999999</v>
      </c>
      <c r="C6935" s="309">
        <v>6.0035302139156697</v>
      </c>
    </row>
    <row r="6936" spans="1:3" x14ac:dyDescent="0.35">
      <c r="A6936" s="302">
        <v>39230</v>
      </c>
      <c r="B6936" s="303">
        <v>166.30430000000001</v>
      </c>
      <c r="C6936" s="308">
        <v>5.9882109486878603</v>
      </c>
    </row>
    <row r="6937" spans="1:3" x14ac:dyDescent="0.35">
      <c r="A6937" s="305">
        <v>39229</v>
      </c>
      <c r="B6937" s="306">
        <v>166.25620000000001</v>
      </c>
      <c r="C6937" s="309">
        <v>5.9729547982445803</v>
      </c>
    </row>
    <row r="6938" spans="1:3" x14ac:dyDescent="0.35">
      <c r="A6938" s="302">
        <v>39228</v>
      </c>
      <c r="B6938" s="303">
        <v>166.20820000000001</v>
      </c>
      <c r="C6938" s="308">
        <v>5.9576904148083498</v>
      </c>
    </row>
    <row r="6939" spans="1:3" x14ac:dyDescent="0.35">
      <c r="A6939" s="305">
        <v>39227</v>
      </c>
      <c r="B6939" s="306">
        <v>166.1601</v>
      </c>
      <c r="C6939" s="309">
        <v>5.9423578536356496</v>
      </c>
    </row>
    <row r="6940" spans="1:3" x14ac:dyDescent="0.35">
      <c r="A6940" s="302">
        <v>39226</v>
      </c>
      <c r="B6940" s="303">
        <v>166.1121</v>
      </c>
      <c r="C6940" s="308">
        <v>5.9270846219870998</v>
      </c>
    </row>
    <row r="6941" spans="1:3" x14ac:dyDescent="0.35">
      <c r="A6941" s="305">
        <v>39225</v>
      </c>
      <c r="B6941" s="306">
        <v>166.0641</v>
      </c>
      <c r="C6941" s="309">
        <v>5.91180696796512</v>
      </c>
    </row>
    <row r="6942" spans="1:3" x14ac:dyDescent="0.35">
      <c r="A6942" s="302">
        <v>39224</v>
      </c>
      <c r="B6942" s="303">
        <v>166.01609999999999</v>
      </c>
      <c r="C6942" s="308">
        <v>5.89652488964866</v>
      </c>
    </row>
    <row r="6943" spans="1:3" x14ac:dyDescent="0.35">
      <c r="A6943" s="305">
        <v>39223</v>
      </c>
      <c r="B6943" s="306">
        <v>165.9682</v>
      </c>
      <c r="C6943" s="309">
        <v>5.8813021812537603</v>
      </c>
    </row>
    <row r="6944" spans="1:3" x14ac:dyDescent="0.35">
      <c r="A6944" s="302">
        <v>39222</v>
      </c>
      <c r="B6944" s="303">
        <v>165.92019999999999</v>
      </c>
      <c r="C6944" s="308">
        <v>5.86601125782094</v>
      </c>
    </row>
    <row r="6945" spans="1:3" x14ac:dyDescent="0.35">
      <c r="A6945" s="305">
        <v>39221</v>
      </c>
      <c r="B6945" s="306">
        <v>165.8723</v>
      </c>
      <c r="C6945" s="309">
        <v>5.85077971894765</v>
      </c>
    </row>
    <row r="6946" spans="1:3" x14ac:dyDescent="0.35">
      <c r="A6946" s="302">
        <v>39220</v>
      </c>
      <c r="B6946" s="303">
        <v>165.82429999999999</v>
      </c>
      <c r="C6946" s="308">
        <v>5.8354799427117001</v>
      </c>
    </row>
    <row r="6947" spans="1:3" x14ac:dyDescent="0.35">
      <c r="A6947" s="305">
        <v>39219</v>
      </c>
      <c r="B6947" s="306">
        <v>165.7764</v>
      </c>
      <c r="C6947" s="309">
        <v>5.8202395656794899</v>
      </c>
    </row>
    <row r="6948" spans="1:3" x14ac:dyDescent="0.35">
      <c r="A6948" s="302">
        <v>39218</v>
      </c>
      <c r="B6948" s="303">
        <v>165.7285</v>
      </c>
      <c r="C6948" s="308">
        <v>5.8049947713102599</v>
      </c>
    </row>
    <row r="6949" spans="1:3" x14ac:dyDescent="0.35">
      <c r="A6949" s="305">
        <v>39217</v>
      </c>
      <c r="B6949" s="306">
        <v>165.6806</v>
      </c>
      <c r="C6949" s="309">
        <v>5.7897455576832302</v>
      </c>
    </row>
    <row r="6950" spans="1:3" x14ac:dyDescent="0.35">
      <c r="A6950" s="302">
        <v>39216</v>
      </c>
      <c r="B6950" s="303">
        <v>165.61420000000001</v>
      </c>
      <c r="C6950" s="308">
        <v>5.7719315836902902</v>
      </c>
    </row>
    <row r="6951" spans="1:3" x14ac:dyDescent="0.35">
      <c r="A6951" s="305">
        <v>39215</v>
      </c>
      <c r="B6951" s="306">
        <v>165.5478</v>
      </c>
      <c r="C6951" s="309">
        <v>5.7541093252025197</v>
      </c>
    </row>
    <row r="6952" spans="1:3" x14ac:dyDescent="0.35">
      <c r="A6952" s="302">
        <v>39214</v>
      </c>
      <c r="B6952" s="303">
        <v>165.48140000000001</v>
      </c>
      <c r="C6952" s="308">
        <v>5.7362787764394403</v>
      </c>
    </row>
    <row r="6953" spans="1:3" x14ac:dyDescent="0.35">
      <c r="A6953" s="305">
        <v>39213</v>
      </c>
      <c r="B6953" s="306">
        <v>165.4151</v>
      </c>
      <c r="C6953" s="309">
        <v>5.71850384265103</v>
      </c>
    </row>
    <row r="6954" spans="1:3" x14ac:dyDescent="0.35">
      <c r="A6954" s="302">
        <v>39212</v>
      </c>
      <c r="B6954" s="303">
        <v>165.34880000000001</v>
      </c>
      <c r="C6954" s="308">
        <v>5.7007206367531804</v>
      </c>
    </row>
    <row r="6955" spans="1:3" x14ac:dyDescent="0.35">
      <c r="A6955" s="305">
        <v>39211</v>
      </c>
      <c r="B6955" s="306">
        <v>165.2825</v>
      </c>
      <c r="C6955" s="309">
        <v>5.6829291529700203</v>
      </c>
    </row>
    <row r="6956" spans="1:3" x14ac:dyDescent="0.35">
      <c r="A6956" s="302">
        <v>39210</v>
      </c>
      <c r="B6956" s="303">
        <v>165.21629999999999</v>
      </c>
      <c r="C6956" s="308">
        <v>5.66512576235111</v>
      </c>
    </row>
    <row r="6957" spans="1:3" x14ac:dyDescent="0.35">
      <c r="A6957" s="305">
        <v>39209</v>
      </c>
      <c r="B6957" s="306">
        <v>165.15</v>
      </c>
      <c r="C6957" s="309">
        <v>5.6473177159964703</v>
      </c>
    </row>
    <row r="6958" spans="1:3" x14ac:dyDescent="0.35">
      <c r="A6958" s="302">
        <v>39208</v>
      </c>
      <c r="B6958" s="303">
        <v>165.0838</v>
      </c>
      <c r="C6958" s="308">
        <v>5.6294977723489703</v>
      </c>
    </row>
    <row r="6959" spans="1:3" x14ac:dyDescent="0.35">
      <c r="A6959" s="305">
        <v>39207</v>
      </c>
      <c r="B6959" s="306">
        <v>165.01769999999999</v>
      </c>
      <c r="C6959" s="309">
        <v>5.61180114086911</v>
      </c>
    </row>
    <row r="6960" spans="1:3" x14ac:dyDescent="0.35">
      <c r="A6960" s="302">
        <v>39206</v>
      </c>
      <c r="B6960" s="303">
        <v>164.95150000000001</v>
      </c>
      <c r="C6960" s="308">
        <v>5.5939646508293199</v>
      </c>
    </row>
    <row r="6961" spans="1:3" x14ac:dyDescent="0.35">
      <c r="A6961" s="305">
        <v>39205</v>
      </c>
      <c r="B6961" s="306">
        <v>164.8854</v>
      </c>
      <c r="C6961" s="309">
        <v>5.5761838993908803</v>
      </c>
    </row>
    <row r="6962" spans="1:3" x14ac:dyDescent="0.35">
      <c r="A6962" s="302">
        <v>39204</v>
      </c>
      <c r="B6962" s="303">
        <v>164.8193</v>
      </c>
      <c r="C6962" s="308">
        <v>5.5583948805049799</v>
      </c>
    </row>
    <row r="6963" spans="1:3" x14ac:dyDescent="0.35">
      <c r="A6963" s="305">
        <v>39203</v>
      </c>
      <c r="B6963" s="306">
        <v>164.75319999999999</v>
      </c>
      <c r="C6963" s="309">
        <v>5.5405975884041503</v>
      </c>
    </row>
    <row r="6964" spans="1:3" x14ac:dyDescent="0.35">
      <c r="A6964" s="302">
        <v>39202</v>
      </c>
      <c r="B6964" s="303">
        <v>164.68719999999999</v>
      </c>
      <c r="C6964" s="308">
        <v>5.5228560920317999</v>
      </c>
    </row>
    <row r="6965" spans="1:3" x14ac:dyDescent="0.35">
      <c r="A6965" s="305">
        <v>39201</v>
      </c>
      <c r="B6965" s="306">
        <v>164.62119999999999</v>
      </c>
      <c r="C6965" s="309">
        <v>5.5051063407068401</v>
      </c>
    </row>
    <row r="6966" spans="1:3" x14ac:dyDescent="0.35">
      <c r="A6966" s="302">
        <v>39200</v>
      </c>
      <c r="B6966" s="303">
        <v>164.55520000000001</v>
      </c>
      <c r="C6966" s="308">
        <v>5.4873483286665197</v>
      </c>
    </row>
    <row r="6967" spans="1:3" x14ac:dyDescent="0.35">
      <c r="A6967" s="305">
        <v>39199</v>
      </c>
      <c r="B6967" s="306">
        <v>164.48920000000001</v>
      </c>
      <c r="C6967" s="309">
        <v>5.4695144236626296</v>
      </c>
    </row>
    <row r="6968" spans="1:3" x14ac:dyDescent="0.35">
      <c r="A6968" s="302">
        <v>39198</v>
      </c>
      <c r="B6968" s="303">
        <v>164.42330000000001</v>
      </c>
      <c r="C6968" s="308">
        <v>5.4518040028809098</v>
      </c>
    </row>
    <row r="6969" spans="1:3" x14ac:dyDescent="0.35">
      <c r="A6969" s="305">
        <v>39197</v>
      </c>
      <c r="B6969" s="306">
        <v>164.35740000000001</v>
      </c>
      <c r="C6969" s="309">
        <v>5.4340853339354798</v>
      </c>
    </row>
    <row r="6970" spans="1:3" x14ac:dyDescent="0.35">
      <c r="A6970" s="302">
        <v>39196</v>
      </c>
      <c r="B6970" s="303">
        <v>164.29150000000001</v>
      </c>
      <c r="C6970" s="308">
        <v>5.4162907715229096</v>
      </c>
    </row>
    <row r="6971" spans="1:3" x14ac:dyDescent="0.35">
      <c r="A6971" s="305">
        <v>39195</v>
      </c>
      <c r="B6971" s="306">
        <v>164.22569999999999</v>
      </c>
      <c r="C6971" s="309">
        <v>5.3985521198351902</v>
      </c>
    </row>
    <row r="6972" spans="1:3" x14ac:dyDescent="0.35">
      <c r="A6972" s="302">
        <v>39194</v>
      </c>
      <c r="B6972" s="303">
        <v>164.15989999999999</v>
      </c>
      <c r="C6972" s="308">
        <v>5.3808728720478003</v>
      </c>
    </row>
    <row r="6973" spans="1:3" x14ac:dyDescent="0.35">
      <c r="A6973" s="305">
        <v>39193</v>
      </c>
      <c r="B6973" s="306">
        <v>164.09399999999999</v>
      </c>
      <c r="C6973" s="309">
        <v>5.3630535213799799</v>
      </c>
    </row>
    <row r="6974" spans="1:3" x14ac:dyDescent="0.35">
      <c r="A6974" s="302">
        <v>39192</v>
      </c>
      <c r="B6974" s="303">
        <v>164.0283</v>
      </c>
      <c r="C6974" s="308">
        <v>5.3453543328326001</v>
      </c>
    </row>
    <row r="6975" spans="1:3" x14ac:dyDescent="0.35">
      <c r="A6975" s="305">
        <v>39191</v>
      </c>
      <c r="B6975" s="306">
        <v>163.96250000000001</v>
      </c>
      <c r="C6975" s="309">
        <v>5.3275826737612002</v>
      </c>
    </row>
    <row r="6976" spans="1:3" x14ac:dyDescent="0.35">
      <c r="A6976" s="302">
        <v>39190</v>
      </c>
      <c r="B6976" s="303">
        <v>163.89680000000001</v>
      </c>
      <c r="C6976" s="308">
        <v>5.3098670011289402</v>
      </c>
    </row>
    <row r="6977" spans="1:3" x14ac:dyDescent="0.35">
      <c r="A6977" s="305">
        <v>39189</v>
      </c>
      <c r="B6977" s="306">
        <v>163.83109999999999</v>
      </c>
      <c r="C6977" s="309">
        <v>5.2921430852968001</v>
      </c>
    </row>
    <row r="6978" spans="1:3" x14ac:dyDescent="0.35">
      <c r="A6978" s="302">
        <v>39188</v>
      </c>
      <c r="B6978" s="303">
        <v>163.7654</v>
      </c>
      <c r="C6978" s="308">
        <v>5.2743432462975797</v>
      </c>
    </row>
    <row r="6979" spans="1:3" x14ac:dyDescent="0.35">
      <c r="A6979" s="305">
        <v>39187</v>
      </c>
      <c r="B6979" s="306">
        <v>163.69980000000001</v>
      </c>
      <c r="C6979" s="309">
        <v>5.2566671210433897</v>
      </c>
    </row>
    <row r="6980" spans="1:3" x14ac:dyDescent="0.35">
      <c r="A6980" s="302">
        <v>39186</v>
      </c>
      <c r="B6980" s="303">
        <v>163.63839999999999</v>
      </c>
      <c r="C6980" s="308">
        <v>5.23951806980965</v>
      </c>
    </row>
    <row r="6981" spans="1:3" x14ac:dyDescent="0.35">
      <c r="A6981" s="305">
        <v>39185</v>
      </c>
      <c r="B6981" s="306">
        <v>163.577</v>
      </c>
      <c r="C6981" s="309">
        <v>5.2223617379311804</v>
      </c>
    </row>
    <row r="6982" spans="1:3" x14ac:dyDescent="0.35">
      <c r="A6982" s="302">
        <v>39184</v>
      </c>
      <c r="B6982" s="303">
        <v>163.51570000000001</v>
      </c>
      <c r="C6982" s="308">
        <v>5.20519477177168</v>
      </c>
    </row>
    <row r="6983" spans="1:3" x14ac:dyDescent="0.35">
      <c r="A6983" s="305">
        <v>39183</v>
      </c>
      <c r="B6983" s="306">
        <v>163.45429999999999</v>
      </c>
      <c r="C6983" s="309">
        <v>5.1880238750261398</v>
      </c>
    </row>
    <row r="6984" spans="1:3" x14ac:dyDescent="0.35">
      <c r="A6984" s="302">
        <v>39182</v>
      </c>
      <c r="B6984" s="303">
        <v>163.393</v>
      </c>
      <c r="C6984" s="308">
        <v>5.17091005056015</v>
      </c>
    </row>
    <row r="6985" spans="1:3" x14ac:dyDescent="0.35">
      <c r="A6985" s="305">
        <v>39181</v>
      </c>
      <c r="B6985" s="306">
        <v>163.33170000000001</v>
      </c>
      <c r="C6985" s="309">
        <v>5.1537889542351101</v>
      </c>
    </row>
    <row r="6986" spans="1:3" x14ac:dyDescent="0.35">
      <c r="A6986" s="302">
        <v>39180</v>
      </c>
      <c r="B6986" s="303">
        <v>163.2704</v>
      </c>
      <c r="C6986" s="308">
        <v>5.1365928795520199</v>
      </c>
    </row>
    <row r="6987" spans="1:3" x14ac:dyDescent="0.35">
      <c r="A6987" s="305">
        <v>39179</v>
      </c>
      <c r="B6987" s="306">
        <v>163.20920000000001</v>
      </c>
      <c r="C6987" s="309">
        <v>5.1195216300851598</v>
      </c>
    </row>
    <row r="6988" spans="1:3" x14ac:dyDescent="0.35">
      <c r="A6988" s="302">
        <v>39178</v>
      </c>
      <c r="B6988" s="303">
        <v>163.14789999999999</v>
      </c>
      <c r="C6988" s="308">
        <v>5.1023109921747203</v>
      </c>
    </row>
    <row r="6989" spans="1:3" x14ac:dyDescent="0.35">
      <c r="A6989" s="305">
        <v>39177</v>
      </c>
      <c r="B6989" s="306">
        <v>163.08670000000001</v>
      </c>
      <c r="C6989" s="309">
        <v>5.0851574923902101</v>
      </c>
    </row>
    <row r="6990" spans="1:3" x14ac:dyDescent="0.35">
      <c r="A6990" s="302">
        <v>39176</v>
      </c>
      <c r="B6990" s="303">
        <v>163.0256</v>
      </c>
      <c r="C6990" s="308">
        <v>5.0681288822377697</v>
      </c>
    </row>
    <row r="6991" spans="1:3" x14ac:dyDescent="0.35">
      <c r="A6991" s="305">
        <v>39175</v>
      </c>
      <c r="B6991" s="306">
        <v>162.96440000000001</v>
      </c>
      <c r="C6991" s="309">
        <v>5.0509608461092697</v>
      </c>
    </row>
    <row r="6992" spans="1:3" x14ac:dyDescent="0.35">
      <c r="A6992" s="302">
        <v>39174</v>
      </c>
      <c r="B6992" s="303">
        <v>162.9033</v>
      </c>
      <c r="C6992" s="308">
        <v>5.03385000257905</v>
      </c>
    </row>
    <row r="6993" spans="1:3" x14ac:dyDescent="0.35">
      <c r="A6993" s="305">
        <v>39173</v>
      </c>
      <c r="B6993" s="306">
        <v>162.84209999999999</v>
      </c>
      <c r="C6993" s="309">
        <v>5.0166674083002301</v>
      </c>
    </row>
    <row r="6994" spans="1:3" x14ac:dyDescent="0.35">
      <c r="A6994" s="302">
        <v>39172</v>
      </c>
      <c r="B6994" s="303">
        <v>162.78110000000001</v>
      </c>
      <c r="C6994" s="308">
        <v>4.9996065282764297</v>
      </c>
    </row>
    <row r="6995" spans="1:3" x14ac:dyDescent="0.35">
      <c r="A6995" s="305">
        <v>39171</v>
      </c>
      <c r="B6995" s="306">
        <v>162.72</v>
      </c>
      <c r="C6995" s="309">
        <v>4.9824738882548303</v>
      </c>
    </row>
    <row r="6996" spans="1:3" x14ac:dyDescent="0.35">
      <c r="A6996" s="302">
        <v>39170</v>
      </c>
      <c r="B6996" s="303">
        <v>162.65889999999999</v>
      </c>
      <c r="C6996" s="308">
        <v>4.9653339734803597</v>
      </c>
    </row>
    <row r="6997" spans="1:3" x14ac:dyDescent="0.35">
      <c r="A6997" s="305">
        <v>39169</v>
      </c>
      <c r="B6997" s="306">
        <v>162.59790000000001</v>
      </c>
      <c r="C6997" s="309">
        <v>4.9482513239722099</v>
      </c>
    </row>
    <row r="6998" spans="1:3" x14ac:dyDescent="0.35">
      <c r="A6998" s="302">
        <v>39168</v>
      </c>
      <c r="B6998" s="303">
        <v>162.5369</v>
      </c>
      <c r="C6998" s="308">
        <v>4.9311614178565799</v>
      </c>
    </row>
    <row r="6999" spans="1:3" x14ac:dyDescent="0.35">
      <c r="A6999" s="305">
        <v>39167</v>
      </c>
      <c r="B6999" s="306">
        <v>162.4759</v>
      </c>
      <c r="C6999" s="309">
        <v>4.9139965053614203</v>
      </c>
    </row>
    <row r="7000" spans="1:3" x14ac:dyDescent="0.35">
      <c r="A7000" s="302">
        <v>39166</v>
      </c>
      <c r="B7000" s="303">
        <v>162.41499999999999</v>
      </c>
      <c r="C7000" s="308">
        <v>4.8969566545611398</v>
      </c>
    </row>
    <row r="7001" spans="1:3" x14ac:dyDescent="0.35">
      <c r="A7001" s="305">
        <v>39165</v>
      </c>
      <c r="B7001" s="306">
        <v>162.35409999999999</v>
      </c>
      <c r="C7001" s="309">
        <v>4.8798418088877202</v>
      </c>
    </row>
    <row r="7002" spans="1:3" x14ac:dyDescent="0.35">
      <c r="A7002" s="302">
        <v>39164</v>
      </c>
      <c r="B7002" s="303">
        <v>162.29310000000001</v>
      </c>
      <c r="C7002" s="308">
        <v>4.8627228508366098</v>
      </c>
    </row>
    <row r="7003" spans="1:3" x14ac:dyDescent="0.35">
      <c r="A7003" s="305">
        <v>39163</v>
      </c>
      <c r="B7003" s="306">
        <v>162.23230000000001</v>
      </c>
      <c r="C7003" s="309">
        <v>4.8456581083456598</v>
      </c>
    </row>
    <row r="7004" spans="1:3" x14ac:dyDescent="0.35">
      <c r="A7004" s="302">
        <v>39162</v>
      </c>
      <c r="B7004" s="303">
        <v>162.17140000000001</v>
      </c>
      <c r="C7004" s="308">
        <v>4.8285892509122403</v>
      </c>
    </row>
    <row r="7005" spans="1:3" x14ac:dyDescent="0.35">
      <c r="A7005" s="305">
        <v>39161</v>
      </c>
      <c r="B7005" s="306">
        <v>162.11060000000001</v>
      </c>
      <c r="C7005" s="309">
        <v>4.8115100210967103</v>
      </c>
    </row>
    <row r="7006" spans="1:3" x14ac:dyDescent="0.35">
      <c r="A7006" s="302">
        <v>39160</v>
      </c>
      <c r="B7006" s="303">
        <v>162.0497</v>
      </c>
      <c r="C7006" s="308">
        <v>4.7943588778543704</v>
      </c>
    </row>
    <row r="7007" spans="1:3" x14ac:dyDescent="0.35">
      <c r="A7007" s="305">
        <v>39159</v>
      </c>
      <c r="B7007" s="306">
        <v>161.9889</v>
      </c>
      <c r="C7007" s="309">
        <v>4.77726513892671</v>
      </c>
    </row>
    <row r="7008" spans="1:3" x14ac:dyDescent="0.35">
      <c r="A7008" s="302">
        <v>39158</v>
      </c>
      <c r="B7008" s="303">
        <v>161.9282</v>
      </c>
      <c r="C7008" s="308">
        <v>4.76022884085753</v>
      </c>
    </row>
    <row r="7009" spans="1:3" x14ac:dyDescent="0.35">
      <c r="A7009" s="305">
        <v>39157</v>
      </c>
      <c r="B7009" s="306">
        <v>161.8674</v>
      </c>
      <c r="C7009" s="309">
        <v>4.7431206017956802</v>
      </c>
    </row>
    <row r="7010" spans="1:3" x14ac:dyDescent="0.35">
      <c r="A7010" s="302">
        <v>39156</v>
      </c>
      <c r="B7010" s="303">
        <v>161.80670000000001</v>
      </c>
      <c r="C7010" s="308">
        <v>4.7260698218241899</v>
      </c>
    </row>
    <row r="7011" spans="1:3" x14ac:dyDescent="0.35">
      <c r="A7011" s="305">
        <v>39155</v>
      </c>
      <c r="B7011" s="306">
        <v>161.76240000000001</v>
      </c>
      <c r="C7011" s="309">
        <v>4.7175271079462702</v>
      </c>
    </row>
    <row r="7012" spans="1:3" x14ac:dyDescent="0.35">
      <c r="A7012" s="302">
        <v>39154</v>
      </c>
      <c r="B7012" s="303">
        <v>161.71809999999999</v>
      </c>
      <c r="C7012" s="308">
        <v>4.70898110852192</v>
      </c>
    </row>
    <row r="7013" spans="1:3" x14ac:dyDescent="0.35">
      <c r="A7013" s="305">
        <v>39153</v>
      </c>
      <c r="B7013" s="306">
        <v>161.6738</v>
      </c>
      <c r="C7013" s="309">
        <v>4.7004318216553198</v>
      </c>
    </row>
    <row r="7014" spans="1:3" x14ac:dyDescent="0.35">
      <c r="A7014" s="302">
        <v>39152</v>
      </c>
      <c r="B7014" s="303">
        <v>161.62950000000001</v>
      </c>
      <c r="C7014" s="308">
        <v>4.69187924544923</v>
      </c>
    </row>
    <row r="7015" spans="1:3" x14ac:dyDescent="0.35">
      <c r="A7015" s="305">
        <v>39151</v>
      </c>
      <c r="B7015" s="306">
        <v>161.58519999999999</v>
      </c>
      <c r="C7015" s="309">
        <v>4.6833233780049</v>
      </c>
    </row>
    <row r="7016" spans="1:3" x14ac:dyDescent="0.35">
      <c r="A7016" s="302">
        <v>39150</v>
      </c>
      <c r="B7016" s="303">
        <v>161.541</v>
      </c>
      <c r="C7016" s="308">
        <v>4.67482901510758</v>
      </c>
    </row>
    <row r="7017" spans="1:3" x14ac:dyDescent="0.35">
      <c r="A7017" s="305">
        <v>39149</v>
      </c>
      <c r="B7017" s="306">
        <v>161.4967</v>
      </c>
      <c r="C7017" s="309">
        <v>4.6661987376285596</v>
      </c>
    </row>
    <row r="7018" spans="1:3" x14ac:dyDescent="0.35">
      <c r="A7018" s="302">
        <v>39148</v>
      </c>
      <c r="B7018" s="303">
        <v>161.45249999999999</v>
      </c>
      <c r="C7018" s="308">
        <v>4.6576978126263997</v>
      </c>
    </row>
    <row r="7019" spans="1:3" x14ac:dyDescent="0.35">
      <c r="A7019" s="305">
        <v>39147</v>
      </c>
      <c r="B7019" s="306">
        <v>161.40819999999999</v>
      </c>
      <c r="C7019" s="309">
        <v>4.6491287786692599</v>
      </c>
    </row>
    <row r="7020" spans="1:3" x14ac:dyDescent="0.35">
      <c r="A7020" s="302">
        <v>39146</v>
      </c>
      <c r="B7020" s="303">
        <v>161.364</v>
      </c>
      <c r="C7020" s="308">
        <v>4.6405534346813599</v>
      </c>
    </row>
    <row r="7021" spans="1:3" x14ac:dyDescent="0.35">
      <c r="A7021" s="305">
        <v>39145</v>
      </c>
      <c r="B7021" s="306">
        <v>161.31979999999999</v>
      </c>
      <c r="C7021" s="309">
        <v>4.6320426623219104</v>
      </c>
    </row>
    <row r="7022" spans="1:3" x14ac:dyDescent="0.35">
      <c r="A7022" s="302">
        <v>39144</v>
      </c>
      <c r="B7022" s="303">
        <v>161.2756</v>
      </c>
      <c r="C7022" s="308">
        <v>4.6235286103984103</v>
      </c>
    </row>
    <row r="7023" spans="1:3" x14ac:dyDescent="0.35">
      <c r="A7023" s="305">
        <v>39143</v>
      </c>
      <c r="B7023" s="306">
        <v>161.23150000000001</v>
      </c>
      <c r="C7023" s="309">
        <v>4.61500828256625</v>
      </c>
    </row>
    <row r="7024" spans="1:3" x14ac:dyDescent="0.35">
      <c r="A7024" s="302">
        <v>39142</v>
      </c>
      <c r="B7024" s="303">
        <v>161.18729999999999</v>
      </c>
      <c r="C7024" s="308">
        <v>4.6064197838526102</v>
      </c>
    </row>
    <row r="7025" spans="1:3" x14ac:dyDescent="0.35">
      <c r="A7025" s="305">
        <v>39141</v>
      </c>
      <c r="B7025" s="306">
        <v>161.14320000000001</v>
      </c>
      <c r="C7025" s="309">
        <v>4.5979607892010597</v>
      </c>
    </row>
    <row r="7026" spans="1:3" x14ac:dyDescent="0.35">
      <c r="A7026" s="302">
        <v>39140</v>
      </c>
      <c r="B7026" s="303">
        <v>161.09899999999999</v>
      </c>
      <c r="C7026" s="308">
        <v>4.5893657079789696</v>
      </c>
    </row>
    <row r="7027" spans="1:3" x14ac:dyDescent="0.35">
      <c r="A7027" s="305">
        <v>39139</v>
      </c>
      <c r="B7027" s="306">
        <v>161.0549</v>
      </c>
      <c r="C7027" s="309">
        <v>4.5808322575785496</v>
      </c>
    </row>
    <row r="7028" spans="1:3" x14ac:dyDescent="0.35">
      <c r="A7028" s="302">
        <v>39138</v>
      </c>
      <c r="B7028" s="303">
        <v>161.01079999999999</v>
      </c>
      <c r="C7028" s="308">
        <v>4.5722955261646998</v>
      </c>
    </row>
    <row r="7029" spans="1:3" x14ac:dyDescent="0.35">
      <c r="A7029" s="305">
        <v>39137</v>
      </c>
      <c r="B7029" s="306">
        <v>160.9667</v>
      </c>
      <c r="C7029" s="309">
        <v>4.56382343636625</v>
      </c>
    </row>
    <row r="7030" spans="1:3" x14ac:dyDescent="0.35">
      <c r="A7030" s="302">
        <v>39136</v>
      </c>
      <c r="B7030" s="303">
        <v>160.92259999999999</v>
      </c>
      <c r="C7030" s="308">
        <v>4.5552801447585098</v>
      </c>
    </row>
    <row r="7031" spans="1:3" x14ac:dyDescent="0.35">
      <c r="A7031" s="305">
        <v>39135</v>
      </c>
      <c r="B7031" s="306">
        <v>160.8785</v>
      </c>
      <c r="C7031" s="309">
        <v>4.5467335664558304</v>
      </c>
    </row>
    <row r="7032" spans="1:3" x14ac:dyDescent="0.35">
      <c r="A7032" s="302">
        <v>39134</v>
      </c>
      <c r="B7032" s="303">
        <v>160.83439999999999</v>
      </c>
      <c r="C7032" s="308">
        <v>4.5381836995612002</v>
      </c>
    </row>
    <row r="7033" spans="1:3" x14ac:dyDescent="0.35">
      <c r="A7033" s="305">
        <v>39133</v>
      </c>
      <c r="B7033" s="306">
        <v>160.79040000000001</v>
      </c>
      <c r="C7033" s="309">
        <v>4.5296275974693003</v>
      </c>
    </row>
    <row r="7034" spans="1:3" x14ac:dyDescent="0.35">
      <c r="A7034" s="302">
        <v>39132</v>
      </c>
      <c r="B7034" s="303">
        <v>160.74629999999999</v>
      </c>
      <c r="C7034" s="308">
        <v>4.5210711526907597</v>
      </c>
    </row>
    <row r="7035" spans="1:3" x14ac:dyDescent="0.35">
      <c r="A7035" s="305">
        <v>39131</v>
      </c>
      <c r="B7035" s="306">
        <v>160.70230000000001</v>
      </c>
      <c r="C7035" s="309">
        <v>4.5125764485222799</v>
      </c>
    </row>
    <row r="7036" spans="1:3" x14ac:dyDescent="0.35">
      <c r="A7036" s="302">
        <v>39130</v>
      </c>
      <c r="B7036" s="303">
        <v>160.6583</v>
      </c>
      <c r="C7036" s="308">
        <v>4.5040784732069703</v>
      </c>
    </row>
    <row r="7037" spans="1:3" x14ac:dyDescent="0.35">
      <c r="A7037" s="305">
        <v>39129</v>
      </c>
      <c r="B7037" s="306">
        <v>160.61429999999999</v>
      </c>
      <c r="C7037" s="309">
        <v>4.4955092401328498</v>
      </c>
    </row>
    <row r="7038" spans="1:3" x14ac:dyDescent="0.35">
      <c r="A7038" s="302">
        <v>39128</v>
      </c>
      <c r="B7038" s="303">
        <v>160.5703</v>
      </c>
      <c r="C7038" s="308">
        <v>4.4870047092921501</v>
      </c>
    </row>
    <row r="7039" spans="1:3" x14ac:dyDescent="0.35">
      <c r="A7039" s="305">
        <v>39127</v>
      </c>
      <c r="B7039" s="306">
        <v>160.55840000000001</v>
      </c>
      <c r="C7039" s="309">
        <v>4.4816406956662096</v>
      </c>
    </row>
    <row r="7040" spans="1:3" x14ac:dyDescent="0.35">
      <c r="A7040" s="302">
        <v>39126</v>
      </c>
      <c r="B7040" s="303">
        <v>160.54650000000001</v>
      </c>
      <c r="C7040" s="308">
        <v>4.4762084493843899</v>
      </c>
    </row>
    <row r="7041" spans="1:3" x14ac:dyDescent="0.35">
      <c r="A7041" s="305">
        <v>39125</v>
      </c>
      <c r="B7041" s="306">
        <v>160.53460000000001</v>
      </c>
      <c r="C7041" s="309">
        <v>4.47084394899277</v>
      </c>
    </row>
    <row r="7042" spans="1:3" x14ac:dyDescent="0.35">
      <c r="A7042" s="302">
        <v>39124</v>
      </c>
      <c r="B7042" s="303">
        <v>160.52269999999999</v>
      </c>
      <c r="C7042" s="308">
        <v>4.4654792042222802</v>
      </c>
    </row>
    <row r="7043" spans="1:3" x14ac:dyDescent="0.35">
      <c r="A7043" s="305">
        <v>39123</v>
      </c>
      <c r="B7043" s="306">
        <v>160.51079999999999</v>
      </c>
      <c r="C7043" s="309">
        <v>4.4600462326627497</v>
      </c>
    </row>
    <row r="7044" spans="1:3" x14ac:dyDescent="0.35">
      <c r="A7044" s="302">
        <v>39122</v>
      </c>
      <c r="B7044" s="303">
        <v>160.49889999999999</v>
      </c>
      <c r="C7044" s="308">
        <v>4.4546810010276303</v>
      </c>
    </row>
    <row r="7045" spans="1:3" x14ac:dyDescent="0.35">
      <c r="A7045" s="305">
        <v>39121</v>
      </c>
      <c r="B7045" s="306">
        <v>160.48699999999999</v>
      </c>
      <c r="C7045" s="309">
        <v>4.4493155249637804</v>
      </c>
    </row>
    <row r="7046" spans="1:3" x14ac:dyDescent="0.35">
      <c r="A7046" s="302">
        <v>39120</v>
      </c>
      <c r="B7046" s="303">
        <v>160.4751</v>
      </c>
      <c r="C7046" s="308">
        <v>4.4439498044544896</v>
      </c>
    </row>
    <row r="7047" spans="1:3" x14ac:dyDescent="0.35">
      <c r="A7047" s="305">
        <v>39119</v>
      </c>
      <c r="B7047" s="306">
        <v>160.4632</v>
      </c>
      <c r="C7047" s="309">
        <v>4.4385158649524801</v>
      </c>
    </row>
    <row r="7048" spans="1:3" x14ac:dyDescent="0.35">
      <c r="A7048" s="302">
        <v>39118</v>
      </c>
      <c r="B7048" s="303">
        <v>160.4513</v>
      </c>
      <c r="C7048" s="308">
        <v>4.4331496574464202</v>
      </c>
    </row>
    <row r="7049" spans="1:3" x14ac:dyDescent="0.35">
      <c r="A7049" s="305">
        <v>39117</v>
      </c>
      <c r="B7049" s="306">
        <v>160.43940000000001</v>
      </c>
      <c r="C7049" s="309">
        <v>4.4277832054450501</v>
      </c>
    </row>
    <row r="7050" spans="1:3" x14ac:dyDescent="0.35">
      <c r="A7050" s="302">
        <v>39116</v>
      </c>
      <c r="B7050" s="303">
        <v>160.42750000000001</v>
      </c>
      <c r="C7050" s="308">
        <v>4.4223485403229601</v>
      </c>
    </row>
    <row r="7051" spans="1:3" x14ac:dyDescent="0.35">
      <c r="A7051" s="305">
        <v>39115</v>
      </c>
      <c r="B7051" s="306">
        <v>160.41560000000001</v>
      </c>
      <c r="C7051" s="309">
        <v>4.4169816012257996</v>
      </c>
    </row>
    <row r="7052" spans="1:3" x14ac:dyDescent="0.35">
      <c r="A7052" s="302">
        <v>39114</v>
      </c>
      <c r="B7052" s="303">
        <v>160.40379999999999</v>
      </c>
      <c r="C7052" s="308">
        <v>4.41167951060463</v>
      </c>
    </row>
    <row r="7053" spans="1:3" x14ac:dyDescent="0.35">
      <c r="A7053" s="305">
        <v>39113</v>
      </c>
      <c r="B7053" s="306">
        <v>160.39189999999999</v>
      </c>
      <c r="C7053" s="309">
        <v>4.4062441211564201</v>
      </c>
    </row>
    <row r="7054" spans="1:3" x14ac:dyDescent="0.35">
      <c r="A7054" s="302">
        <v>39112</v>
      </c>
      <c r="B7054" s="303">
        <v>160.38</v>
      </c>
      <c r="C7054" s="308">
        <v>4.4008764518023096</v>
      </c>
    </row>
    <row r="7055" spans="1:3" x14ac:dyDescent="0.35">
      <c r="A7055" s="305">
        <v>39111</v>
      </c>
      <c r="B7055" s="306">
        <v>160.3681</v>
      </c>
      <c r="C7055" s="309">
        <v>4.3955085378531802</v>
      </c>
    </row>
    <row r="7056" spans="1:3" x14ac:dyDescent="0.35">
      <c r="A7056" s="302">
        <v>39110</v>
      </c>
      <c r="B7056" s="303">
        <v>160.3562</v>
      </c>
      <c r="C7056" s="308">
        <v>4.3900724224916603</v>
      </c>
    </row>
    <row r="7057" spans="1:3" x14ac:dyDescent="0.35">
      <c r="A7057" s="305">
        <v>39109</v>
      </c>
      <c r="B7057" s="306">
        <v>160.3443</v>
      </c>
      <c r="C7057" s="309">
        <v>4.3847040212487496</v>
      </c>
    </row>
    <row r="7058" spans="1:3" x14ac:dyDescent="0.35">
      <c r="A7058" s="302">
        <v>39108</v>
      </c>
      <c r="B7058" s="303">
        <v>160.33240000000001</v>
      </c>
      <c r="C7058" s="308">
        <v>4.3793353753609097</v>
      </c>
    </row>
    <row r="7059" spans="1:3" x14ac:dyDescent="0.35">
      <c r="A7059" s="305">
        <v>39107</v>
      </c>
      <c r="B7059" s="306">
        <v>160.32060000000001</v>
      </c>
      <c r="C7059" s="309">
        <v>4.3739636372159003</v>
      </c>
    </row>
    <row r="7060" spans="1:3" x14ac:dyDescent="0.35">
      <c r="A7060" s="302">
        <v>39106</v>
      </c>
      <c r="B7060" s="303">
        <v>160.30869999999999</v>
      </c>
      <c r="C7060" s="308">
        <v>4.3685945054186703</v>
      </c>
    </row>
    <row r="7061" spans="1:3" x14ac:dyDescent="0.35">
      <c r="A7061" s="305">
        <v>39105</v>
      </c>
      <c r="B7061" s="306">
        <v>160.29679999999999</v>
      </c>
      <c r="C7061" s="309">
        <v>4.3632251289266399</v>
      </c>
    </row>
    <row r="7062" spans="1:3" x14ac:dyDescent="0.35">
      <c r="A7062" s="302">
        <v>39104</v>
      </c>
      <c r="B7062" s="303">
        <v>160.28489999999999</v>
      </c>
      <c r="C7062" s="308">
        <v>4.3577875627393903</v>
      </c>
    </row>
    <row r="7063" spans="1:3" x14ac:dyDescent="0.35">
      <c r="A7063" s="305">
        <v>39103</v>
      </c>
      <c r="B7063" s="306">
        <v>160.273</v>
      </c>
      <c r="C7063" s="309">
        <v>4.3524176987554997</v>
      </c>
    </row>
    <row r="7064" spans="1:3" x14ac:dyDescent="0.35">
      <c r="A7064" s="302">
        <v>39102</v>
      </c>
      <c r="B7064" s="303">
        <v>160.2612</v>
      </c>
      <c r="C7064" s="308">
        <v>4.3471127006791699</v>
      </c>
    </row>
    <row r="7065" spans="1:3" x14ac:dyDescent="0.35">
      <c r="A7065" s="305">
        <v>39101</v>
      </c>
      <c r="B7065" s="306">
        <v>160.24930000000001</v>
      </c>
      <c r="C7065" s="309">
        <v>4.3416744095798103</v>
      </c>
    </row>
    <row r="7066" spans="1:3" x14ac:dyDescent="0.35">
      <c r="A7066" s="302">
        <v>39100</v>
      </c>
      <c r="B7066" s="303">
        <v>160.23740000000001</v>
      </c>
      <c r="C7066" s="308">
        <v>4.3363038147440598</v>
      </c>
    </row>
    <row r="7067" spans="1:3" x14ac:dyDescent="0.35">
      <c r="A7067" s="305">
        <v>39099</v>
      </c>
      <c r="B7067" s="306">
        <v>160.22550000000001</v>
      </c>
      <c r="C7067" s="309">
        <v>4.3309329751136696</v>
      </c>
    </row>
    <row r="7068" spans="1:3" x14ac:dyDescent="0.35">
      <c r="A7068" s="302">
        <v>39098</v>
      </c>
      <c r="B7068" s="303">
        <v>160.21369999999999</v>
      </c>
      <c r="C7068" s="308">
        <v>4.3255590740172796</v>
      </c>
    </row>
    <row r="7069" spans="1:3" x14ac:dyDescent="0.35">
      <c r="A7069" s="305">
        <v>39097</v>
      </c>
      <c r="B7069" s="306">
        <v>160.20179999999999</v>
      </c>
      <c r="C7069" s="309">
        <v>4.3201877481809303</v>
      </c>
    </row>
    <row r="7070" spans="1:3" x14ac:dyDescent="0.35">
      <c r="A7070" s="302">
        <v>39096</v>
      </c>
      <c r="B7070" s="303">
        <v>160.18940000000001</v>
      </c>
      <c r="C7070" s="308">
        <v>4.3157812479649902</v>
      </c>
    </row>
    <row r="7071" spans="1:3" x14ac:dyDescent="0.35">
      <c r="A7071" s="305">
        <v>39095</v>
      </c>
      <c r="B7071" s="306">
        <v>160.17699999999999</v>
      </c>
      <c r="C7071" s="309">
        <v>4.3114423681185796</v>
      </c>
    </row>
    <row r="7072" spans="1:3" x14ac:dyDescent="0.35">
      <c r="A7072" s="302">
        <v>39094</v>
      </c>
      <c r="B7072" s="303">
        <v>160.16460000000001</v>
      </c>
      <c r="C7072" s="308">
        <v>4.3070352475495097</v>
      </c>
    </row>
    <row r="7073" spans="1:3" x14ac:dyDescent="0.35">
      <c r="A7073" s="305">
        <v>39093</v>
      </c>
      <c r="B7073" s="306">
        <v>160.15219999999999</v>
      </c>
      <c r="C7073" s="309">
        <v>4.3026278169951997</v>
      </c>
    </row>
    <row r="7074" spans="1:3" x14ac:dyDescent="0.35">
      <c r="A7074" s="302">
        <v>39092</v>
      </c>
      <c r="B7074" s="303">
        <v>160.13980000000001</v>
      </c>
      <c r="C7074" s="308">
        <v>4.29828800535625</v>
      </c>
    </row>
    <row r="7075" spans="1:3" x14ac:dyDescent="0.35">
      <c r="A7075" s="305">
        <v>39091</v>
      </c>
      <c r="B7075" s="306">
        <v>160.1275</v>
      </c>
      <c r="C7075" s="309">
        <v>4.2939450860651798</v>
      </c>
    </row>
    <row r="7076" spans="1:3" x14ac:dyDescent="0.35">
      <c r="A7076" s="302">
        <v>39090</v>
      </c>
      <c r="B7076" s="303">
        <v>160.11510000000001</v>
      </c>
      <c r="C7076" s="308">
        <v>4.2896046552677598</v>
      </c>
    </row>
    <row r="7077" spans="1:3" x14ac:dyDescent="0.35">
      <c r="A7077" s="305">
        <v>39089</v>
      </c>
      <c r="B7077" s="306">
        <v>160.1027</v>
      </c>
      <c r="C7077" s="309">
        <v>4.2851959857716002</v>
      </c>
    </row>
    <row r="7078" spans="1:3" x14ac:dyDescent="0.35">
      <c r="A7078" s="302">
        <v>39088</v>
      </c>
      <c r="B7078" s="303">
        <v>160.09030000000001</v>
      </c>
      <c r="C7078" s="308">
        <v>4.2808549333500103</v>
      </c>
    </row>
    <row r="7079" spans="1:3" x14ac:dyDescent="0.35">
      <c r="A7079" s="305">
        <v>39087</v>
      </c>
      <c r="B7079" s="306">
        <v>160.0779</v>
      </c>
      <c r="C7079" s="309">
        <v>4.2764456430399997</v>
      </c>
    </row>
    <row r="7080" spans="1:3" x14ac:dyDescent="0.35">
      <c r="A7080" s="302">
        <v>39086</v>
      </c>
      <c r="B7080" s="303">
        <v>160.06559999999999</v>
      </c>
      <c r="C7080" s="308">
        <v>4.2721691122583598</v>
      </c>
    </row>
    <row r="7081" spans="1:3" x14ac:dyDescent="0.35">
      <c r="A7081" s="305">
        <v>39085</v>
      </c>
      <c r="B7081" s="306">
        <v>160.0532</v>
      </c>
      <c r="C7081" s="309">
        <v>4.2677592032942897</v>
      </c>
    </row>
    <row r="7082" spans="1:3" x14ac:dyDescent="0.35">
      <c r="A7082" s="302">
        <v>39084</v>
      </c>
      <c r="B7082" s="303">
        <v>160.04079999999999</v>
      </c>
      <c r="C7082" s="308">
        <v>4.26334898404982</v>
      </c>
    </row>
    <row r="7083" spans="1:3" x14ac:dyDescent="0.35">
      <c r="A7083" s="305">
        <v>39083</v>
      </c>
      <c r="B7083" s="306">
        <v>160.0284</v>
      </c>
      <c r="C7083" s="309">
        <v>4.25900637951883</v>
      </c>
    </row>
    <row r="7084" spans="1:3" x14ac:dyDescent="0.35">
      <c r="A7084" s="302">
        <v>39082</v>
      </c>
      <c r="B7084" s="303">
        <v>160.01609999999999</v>
      </c>
      <c r="C7084" s="308">
        <v>4.2546606917382599</v>
      </c>
    </row>
    <row r="7085" spans="1:3" x14ac:dyDescent="0.35">
      <c r="A7085" s="305">
        <v>39081</v>
      </c>
      <c r="B7085" s="306">
        <v>160.00370000000001</v>
      </c>
      <c r="C7085" s="309">
        <v>4.2503174674534803</v>
      </c>
    </row>
    <row r="7086" spans="1:3" x14ac:dyDescent="0.35">
      <c r="A7086" s="302">
        <v>39080</v>
      </c>
      <c r="B7086" s="303">
        <v>159.9913</v>
      </c>
      <c r="C7086" s="308">
        <v>4.2459060080834101</v>
      </c>
    </row>
    <row r="7087" spans="1:3" x14ac:dyDescent="0.35">
      <c r="A7087" s="305">
        <v>39079</v>
      </c>
      <c r="B7087" s="306">
        <v>159.97890000000001</v>
      </c>
      <c r="C7087" s="309">
        <v>4.2415621615774901</v>
      </c>
    </row>
    <row r="7088" spans="1:3" x14ac:dyDescent="0.35">
      <c r="A7088" s="302">
        <v>39078</v>
      </c>
      <c r="B7088" s="303">
        <v>159.9666</v>
      </c>
      <c r="C7088" s="308">
        <v>4.2372152426627698</v>
      </c>
    </row>
    <row r="7089" spans="1:3" x14ac:dyDescent="0.35">
      <c r="A7089" s="305">
        <v>39077</v>
      </c>
      <c r="B7089" s="306">
        <v>159.95419999999999</v>
      </c>
      <c r="C7089" s="309">
        <v>4.2328028536686801</v>
      </c>
    </row>
    <row r="7090" spans="1:3" x14ac:dyDescent="0.35">
      <c r="A7090" s="302">
        <v>39076</v>
      </c>
      <c r="B7090" s="303">
        <v>159.9418</v>
      </c>
      <c r="C7090" s="308">
        <v>4.2284580761157597</v>
      </c>
    </row>
    <row r="7091" spans="1:3" x14ac:dyDescent="0.35">
      <c r="A7091" s="305">
        <v>39075</v>
      </c>
      <c r="B7091" s="306">
        <v>159.92949999999999</v>
      </c>
      <c r="C7091" s="309">
        <v>4.2241102343013299</v>
      </c>
    </row>
    <row r="7092" spans="1:3" x14ac:dyDescent="0.35">
      <c r="A7092" s="302">
        <v>39074</v>
      </c>
      <c r="B7092" s="303">
        <v>159.9171</v>
      </c>
      <c r="C7092" s="308">
        <v>4.2197648365312803</v>
      </c>
    </row>
    <row r="7093" spans="1:3" x14ac:dyDescent="0.35">
      <c r="A7093" s="305">
        <v>39073</v>
      </c>
      <c r="B7093" s="306">
        <v>159.90469999999999</v>
      </c>
      <c r="C7093" s="309">
        <v>4.2153512064902303</v>
      </c>
    </row>
    <row r="7094" spans="1:3" x14ac:dyDescent="0.35">
      <c r="A7094" s="302">
        <v>39072</v>
      </c>
      <c r="B7094" s="303">
        <v>159.89240000000001</v>
      </c>
      <c r="C7094" s="308">
        <v>4.2110703617840697</v>
      </c>
    </row>
    <row r="7095" spans="1:3" x14ac:dyDescent="0.35">
      <c r="A7095" s="305">
        <v>39071</v>
      </c>
      <c r="B7095" s="306">
        <v>159.88</v>
      </c>
      <c r="C7095" s="309">
        <v>4.20665611216881</v>
      </c>
    </row>
    <row r="7096" spans="1:3" x14ac:dyDescent="0.35">
      <c r="A7096" s="302">
        <v>39070</v>
      </c>
      <c r="B7096" s="303">
        <v>159.86760000000001</v>
      </c>
      <c r="C7096" s="308">
        <v>4.2022415518134801</v>
      </c>
    </row>
    <row r="7097" spans="1:3" x14ac:dyDescent="0.35">
      <c r="A7097" s="305">
        <v>39069</v>
      </c>
      <c r="B7097" s="306">
        <v>159.8553</v>
      </c>
      <c r="C7097" s="309">
        <v>4.1979597822898702</v>
      </c>
    </row>
    <row r="7098" spans="1:3" x14ac:dyDescent="0.35">
      <c r="A7098" s="302">
        <v>39068</v>
      </c>
      <c r="B7098" s="303">
        <v>159.84289999999999</v>
      </c>
      <c r="C7098" s="308">
        <v>4.1935446021631</v>
      </c>
    </row>
    <row r="7099" spans="1:3" x14ac:dyDescent="0.35">
      <c r="A7099" s="305">
        <v>39067</v>
      </c>
      <c r="B7099" s="306">
        <v>159.8306</v>
      </c>
      <c r="C7099" s="309">
        <v>4.1892622165900404</v>
      </c>
    </row>
    <row r="7100" spans="1:3" x14ac:dyDescent="0.35">
      <c r="A7100" s="302">
        <v>39066</v>
      </c>
      <c r="B7100" s="303">
        <v>159.81819999999999</v>
      </c>
      <c r="C7100" s="308">
        <v>4.1848464165602399</v>
      </c>
    </row>
    <row r="7101" spans="1:3" x14ac:dyDescent="0.35">
      <c r="A7101" s="305">
        <v>39065</v>
      </c>
      <c r="B7101" s="306">
        <v>159.82570000000001</v>
      </c>
      <c r="C7101" s="309">
        <v>4.1976829848683401</v>
      </c>
    </row>
    <row r="7102" spans="1:3" x14ac:dyDescent="0.35">
      <c r="A7102" s="302">
        <v>39064</v>
      </c>
      <c r="B7102" s="303">
        <v>159.83320000000001</v>
      </c>
      <c r="C7102" s="308">
        <v>4.2105894564440698</v>
      </c>
    </row>
    <row r="7103" spans="1:3" x14ac:dyDescent="0.35">
      <c r="A7103" s="305">
        <v>39063</v>
      </c>
      <c r="B7103" s="306">
        <v>159.84059999999999</v>
      </c>
      <c r="C7103" s="309">
        <v>4.2233647510652803</v>
      </c>
    </row>
    <row r="7104" spans="1:3" x14ac:dyDescent="0.35">
      <c r="A7104" s="302">
        <v>39062</v>
      </c>
      <c r="B7104" s="303">
        <v>159.84809999999999</v>
      </c>
      <c r="C7104" s="308">
        <v>4.2362751766038498</v>
      </c>
    </row>
    <row r="7105" spans="1:3" x14ac:dyDescent="0.35">
      <c r="A7105" s="305">
        <v>39061</v>
      </c>
      <c r="B7105" s="306">
        <v>159.85560000000001</v>
      </c>
      <c r="C7105" s="309">
        <v>4.2491196034955001</v>
      </c>
    </row>
    <row r="7106" spans="1:3" x14ac:dyDescent="0.35">
      <c r="A7106" s="302">
        <v>39060</v>
      </c>
      <c r="B7106" s="303">
        <v>159.863</v>
      </c>
      <c r="C7106" s="308">
        <v>4.2619687702588296</v>
      </c>
    </row>
    <row r="7107" spans="1:3" x14ac:dyDescent="0.35">
      <c r="A7107" s="305">
        <v>39059</v>
      </c>
      <c r="B7107" s="306">
        <v>159.87049999999999</v>
      </c>
      <c r="C7107" s="309">
        <v>4.2748171266628203</v>
      </c>
    </row>
    <row r="7108" spans="1:3" x14ac:dyDescent="0.35">
      <c r="A7108" s="302">
        <v>39058</v>
      </c>
      <c r="B7108" s="303">
        <v>159.87799999999999</v>
      </c>
      <c r="C7108" s="308">
        <v>4.2876674442026603</v>
      </c>
    </row>
    <row r="7109" spans="1:3" x14ac:dyDescent="0.35">
      <c r="A7109" s="305">
        <v>39057</v>
      </c>
      <c r="B7109" s="306">
        <v>159.8854</v>
      </c>
      <c r="C7109" s="309">
        <v>4.30052252875213</v>
      </c>
    </row>
    <row r="7110" spans="1:3" x14ac:dyDescent="0.35">
      <c r="A7110" s="302">
        <v>39056</v>
      </c>
      <c r="B7110" s="303">
        <v>159.8929</v>
      </c>
      <c r="C7110" s="308">
        <v>4.3133767785111399</v>
      </c>
    </row>
    <row r="7111" spans="1:3" x14ac:dyDescent="0.35">
      <c r="A7111" s="305">
        <v>39055</v>
      </c>
      <c r="B7111" s="306">
        <v>159.90039999999999</v>
      </c>
      <c r="C7111" s="309">
        <v>4.3263010579404302</v>
      </c>
    </row>
    <row r="7112" spans="1:3" x14ac:dyDescent="0.35">
      <c r="A7112" s="302">
        <v>39054</v>
      </c>
      <c r="B7112" s="303">
        <v>159.90780000000001</v>
      </c>
      <c r="C7112" s="308">
        <v>4.3390939971733902</v>
      </c>
    </row>
    <row r="7113" spans="1:3" x14ac:dyDescent="0.35">
      <c r="A7113" s="305">
        <v>39053</v>
      </c>
      <c r="B7113" s="306">
        <v>159.9153</v>
      </c>
      <c r="C7113" s="309">
        <v>4.3519541443468999</v>
      </c>
    </row>
    <row r="7114" spans="1:3" x14ac:dyDescent="0.35">
      <c r="A7114" s="302">
        <v>39052</v>
      </c>
      <c r="B7114" s="303">
        <v>159.9228</v>
      </c>
      <c r="C7114" s="308">
        <v>4.36488436335729</v>
      </c>
    </row>
    <row r="7115" spans="1:3" x14ac:dyDescent="0.35">
      <c r="A7115" s="305">
        <v>39051</v>
      </c>
      <c r="B7115" s="306">
        <v>159.93020000000001</v>
      </c>
      <c r="C7115" s="309">
        <v>4.3776831877281799</v>
      </c>
    </row>
    <row r="7116" spans="1:3" x14ac:dyDescent="0.35">
      <c r="A7116" s="302">
        <v>39050</v>
      </c>
      <c r="B7116" s="303">
        <v>159.93770000000001</v>
      </c>
      <c r="C7116" s="308">
        <v>4.3905492363793996</v>
      </c>
    </row>
    <row r="7117" spans="1:3" x14ac:dyDescent="0.35">
      <c r="A7117" s="305">
        <v>39049</v>
      </c>
      <c r="B7117" s="306">
        <v>159.9452</v>
      </c>
      <c r="C7117" s="309">
        <v>4.4034853990656604</v>
      </c>
    </row>
    <row r="7118" spans="1:3" x14ac:dyDescent="0.35">
      <c r="A7118" s="302">
        <v>39048</v>
      </c>
      <c r="B7118" s="303">
        <v>159.95259999999999</v>
      </c>
      <c r="C7118" s="308">
        <v>4.4162901126332796</v>
      </c>
    </row>
    <row r="7119" spans="1:3" x14ac:dyDescent="0.35">
      <c r="A7119" s="305">
        <v>39047</v>
      </c>
      <c r="B7119" s="306">
        <v>159.96010000000001</v>
      </c>
      <c r="C7119" s="309">
        <v>4.4291620668291403</v>
      </c>
    </row>
    <row r="7120" spans="1:3" x14ac:dyDescent="0.35">
      <c r="A7120" s="302">
        <v>39046</v>
      </c>
      <c r="B7120" s="303">
        <v>159.9676</v>
      </c>
      <c r="C7120" s="308">
        <v>4.4421041772898198</v>
      </c>
    </row>
    <row r="7121" spans="1:3" x14ac:dyDescent="0.35">
      <c r="A7121" s="305">
        <v>39045</v>
      </c>
      <c r="B7121" s="306">
        <v>159.97499999999999</v>
      </c>
      <c r="C7121" s="309">
        <v>4.4549147841167196</v>
      </c>
    </row>
    <row r="7122" spans="1:3" x14ac:dyDescent="0.35">
      <c r="A7122" s="302">
        <v>39044</v>
      </c>
      <c r="B7122" s="303">
        <v>159.98249999999999</v>
      </c>
      <c r="C7122" s="308">
        <v>4.4677926479278796</v>
      </c>
    </row>
    <row r="7123" spans="1:3" x14ac:dyDescent="0.35">
      <c r="A7123" s="305">
        <v>39043</v>
      </c>
      <c r="B7123" s="306">
        <v>159.99</v>
      </c>
      <c r="C7123" s="309">
        <v>4.4806724796380601</v>
      </c>
    </row>
    <row r="7124" spans="1:3" x14ac:dyDescent="0.35">
      <c r="A7124" s="302">
        <v>39042</v>
      </c>
      <c r="B7124" s="303">
        <v>159.9975</v>
      </c>
      <c r="C7124" s="308">
        <v>4.4936225239522702</v>
      </c>
    </row>
    <row r="7125" spans="1:3" x14ac:dyDescent="0.35">
      <c r="A7125" s="305">
        <v>39041</v>
      </c>
      <c r="B7125" s="306">
        <v>160.00489999999999</v>
      </c>
      <c r="C7125" s="309">
        <v>4.5064409919186303</v>
      </c>
    </row>
    <row r="7126" spans="1:3" x14ac:dyDescent="0.35">
      <c r="A7126" s="302">
        <v>39040</v>
      </c>
      <c r="B7126" s="303">
        <v>160.01240000000001</v>
      </c>
      <c r="C7126" s="308">
        <v>4.5193267386749003</v>
      </c>
    </row>
    <row r="7127" spans="1:3" x14ac:dyDescent="0.35">
      <c r="A7127" s="305">
        <v>39039</v>
      </c>
      <c r="B7127" s="306">
        <v>160.01990000000001</v>
      </c>
      <c r="C7127" s="309">
        <v>4.5322144551380701</v>
      </c>
    </row>
    <row r="7128" spans="1:3" x14ac:dyDescent="0.35">
      <c r="A7128" s="302">
        <v>39038</v>
      </c>
      <c r="B7128" s="303">
        <v>160.0274</v>
      </c>
      <c r="C7128" s="308">
        <v>4.5451724406007399</v>
      </c>
    </row>
    <row r="7129" spans="1:3" x14ac:dyDescent="0.35">
      <c r="A7129" s="305">
        <v>39037</v>
      </c>
      <c r="B7129" s="306">
        <v>160.03479999999999</v>
      </c>
      <c r="C7129" s="309">
        <v>4.5579987769374304</v>
      </c>
    </row>
    <row r="7130" spans="1:3" x14ac:dyDescent="0.35">
      <c r="A7130" s="302">
        <v>39036</v>
      </c>
      <c r="B7130" s="303">
        <v>160.04230000000001</v>
      </c>
      <c r="C7130" s="308">
        <v>4.5708924138841303</v>
      </c>
    </row>
    <row r="7131" spans="1:3" x14ac:dyDescent="0.35">
      <c r="A7131" s="305">
        <v>39035</v>
      </c>
      <c r="B7131" s="306">
        <v>160.0273</v>
      </c>
      <c r="C7131" s="309">
        <v>4.5755772730688697</v>
      </c>
    </row>
    <row r="7132" spans="1:3" x14ac:dyDescent="0.35">
      <c r="A7132" s="302">
        <v>39034</v>
      </c>
      <c r="B7132" s="303">
        <v>160.01240000000001</v>
      </c>
      <c r="C7132" s="308">
        <v>4.5803287881451702</v>
      </c>
    </row>
    <row r="7133" spans="1:3" x14ac:dyDescent="0.35">
      <c r="A7133" s="305">
        <v>39033</v>
      </c>
      <c r="B7133" s="306">
        <v>159.9974</v>
      </c>
      <c r="C7133" s="309">
        <v>4.5850162534293002</v>
      </c>
    </row>
    <row r="7134" spans="1:3" x14ac:dyDescent="0.35">
      <c r="A7134" s="302">
        <v>39032</v>
      </c>
      <c r="B7134" s="303">
        <v>159.98249999999999</v>
      </c>
      <c r="C7134" s="308">
        <v>4.58970201749454</v>
      </c>
    </row>
    <row r="7135" spans="1:3" x14ac:dyDescent="0.35">
      <c r="A7135" s="305">
        <v>39031</v>
      </c>
      <c r="B7135" s="306">
        <v>159.9675</v>
      </c>
      <c r="C7135" s="309">
        <v>4.5943920785035797</v>
      </c>
    </row>
    <row r="7136" spans="1:3" x14ac:dyDescent="0.35">
      <c r="A7136" s="302">
        <v>39030</v>
      </c>
      <c r="B7136" s="303">
        <v>159.95259999999999</v>
      </c>
      <c r="C7136" s="308">
        <v>4.5991488337662396</v>
      </c>
    </row>
    <row r="7137" spans="1:3" x14ac:dyDescent="0.35">
      <c r="A7137" s="305">
        <v>39029</v>
      </c>
      <c r="B7137" s="306">
        <v>159.93770000000001</v>
      </c>
      <c r="C7137" s="309">
        <v>4.6038384941644299</v>
      </c>
    </row>
    <row r="7138" spans="1:3" x14ac:dyDescent="0.35">
      <c r="A7138" s="302">
        <v>39028</v>
      </c>
      <c r="B7138" s="303">
        <v>159.92269999999999</v>
      </c>
      <c r="C7138" s="308">
        <v>4.6085324636162497</v>
      </c>
    </row>
    <row r="7139" spans="1:3" x14ac:dyDescent="0.35">
      <c r="A7139" s="305">
        <v>39027</v>
      </c>
      <c r="B7139" s="306">
        <v>159.90780000000001</v>
      </c>
      <c r="C7139" s="309">
        <v>4.6132931561121904</v>
      </c>
    </row>
    <row r="7140" spans="1:3" x14ac:dyDescent="0.35">
      <c r="A7140" s="302">
        <v>39026</v>
      </c>
      <c r="B7140" s="303">
        <v>159.8929</v>
      </c>
      <c r="C7140" s="308">
        <v>4.6179867177020997</v>
      </c>
    </row>
    <row r="7141" spans="1:3" x14ac:dyDescent="0.35">
      <c r="A7141" s="305">
        <v>39025</v>
      </c>
      <c r="B7141" s="306">
        <v>159.87790000000001</v>
      </c>
      <c r="C7141" s="309">
        <v>4.6226846004745603</v>
      </c>
    </row>
    <row r="7142" spans="1:3" x14ac:dyDescent="0.35">
      <c r="A7142" s="302">
        <v>39024</v>
      </c>
      <c r="B7142" s="303">
        <v>159.863</v>
      </c>
      <c r="C7142" s="308">
        <v>4.6273807583739304</v>
      </c>
    </row>
    <row r="7143" spans="1:3" x14ac:dyDescent="0.35">
      <c r="A7143" s="305">
        <v>39023</v>
      </c>
      <c r="B7143" s="306">
        <v>159.84800000000001</v>
      </c>
      <c r="C7143" s="309">
        <v>4.6320812455202702</v>
      </c>
    </row>
    <row r="7144" spans="1:3" x14ac:dyDescent="0.35">
      <c r="A7144" s="302">
        <v>39022</v>
      </c>
      <c r="B7144" s="303">
        <v>159.8331</v>
      </c>
      <c r="C7144" s="308">
        <v>4.6367800018854304</v>
      </c>
    </row>
    <row r="7145" spans="1:3" x14ac:dyDescent="0.35">
      <c r="A7145" s="305">
        <v>39021</v>
      </c>
      <c r="B7145" s="306">
        <v>159.81819999999999</v>
      </c>
      <c r="C7145" s="309">
        <v>4.6414800565444896</v>
      </c>
    </row>
    <row r="7146" spans="1:3" x14ac:dyDescent="0.35">
      <c r="A7146" s="302">
        <v>39020</v>
      </c>
      <c r="B7146" s="303">
        <v>159.80330000000001</v>
      </c>
      <c r="C7146" s="308">
        <v>4.64624993697125</v>
      </c>
    </row>
    <row r="7147" spans="1:3" x14ac:dyDescent="0.35">
      <c r="A7147" s="305">
        <v>39019</v>
      </c>
      <c r="B7147" s="306">
        <v>159.78829999999999</v>
      </c>
      <c r="C7147" s="309">
        <v>4.6508871089221699</v>
      </c>
    </row>
    <row r="7148" spans="1:3" x14ac:dyDescent="0.35">
      <c r="A7148" s="302">
        <v>39018</v>
      </c>
      <c r="B7148" s="303">
        <v>159.77340000000001</v>
      </c>
      <c r="C7148" s="308">
        <v>4.6555910651953099</v>
      </c>
    </row>
    <row r="7149" spans="1:3" x14ac:dyDescent="0.35">
      <c r="A7149" s="305">
        <v>39017</v>
      </c>
      <c r="B7149" s="306">
        <v>159.7585</v>
      </c>
      <c r="C7149" s="309">
        <v>4.6603648865633698</v>
      </c>
    </row>
    <row r="7150" spans="1:3" x14ac:dyDescent="0.35">
      <c r="A7150" s="302">
        <v>39016</v>
      </c>
      <c r="B7150" s="303">
        <v>159.74359999999999</v>
      </c>
      <c r="C7150" s="308">
        <v>4.6650714568389198</v>
      </c>
    </row>
    <row r="7151" spans="1:3" x14ac:dyDescent="0.35">
      <c r="A7151" s="305">
        <v>39015</v>
      </c>
      <c r="B7151" s="306">
        <v>159.7286</v>
      </c>
      <c r="C7151" s="309">
        <v>4.6697137989220403</v>
      </c>
    </row>
    <row r="7152" spans="1:3" x14ac:dyDescent="0.35">
      <c r="A7152" s="302">
        <v>39014</v>
      </c>
      <c r="B7152" s="303">
        <v>159.71369999999999</v>
      </c>
      <c r="C7152" s="308">
        <v>4.6744229637426304</v>
      </c>
    </row>
    <row r="7153" spans="1:3" x14ac:dyDescent="0.35">
      <c r="A7153" s="305">
        <v>39013</v>
      </c>
      <c r="B7153" s="306">
        <v>159.69880000000001</v>
      </c>
      <c r="C7153" s="309">
        <v>4.6792020461431001</v>
      </c>
    </row>
    <row r="7154" spans="1:3" x14ac:dyDescent="0.35">
      <c r="A7154" s="302">
        <v>39012</v>
      </c>
      <c r="B7154" s="303">
        <v>159.68389999999999</v>
      </c>
      <c r="C7154" s="308">
        <v>4.6839138293067197</v>
      </c>
    </row>
    <row r="7155" spans="1:3" x14ac:dyDescent="0.35">
      <c r="A7155" s="305">
        <v>39011</v>
      </c>
      <c r="B7155" s="306">
        <v>159.66900000000001</v>
      </c>
      <c r="C7155" s="309">
        <v>4.6886269161672702</v>
      </c>
    </row>
    <row r="7156" spans="1:3" x14ac:dyDescent="0.35">
      <c r="A7156" s="302">
        <v>39010</v>
      </c>
      <c r="B7156" s="303">
        <v>159.6541</v>
      </c>
      <c r="C7156" s="308">
        <v>4.6933413072659196</v>
      </c>
    </row>
    <row r="7157" spans="1:3" x14ac:dyDescent="0.35">
      <c r="A7157" s="305">
        <v>39009</v>
      </c>
      <c r="B7157" s="306">
        <v>159.63910000000001</v>
      </c>
      <c r="C7157" s="309">
        <v>4.6979914189661596</v>
      </c>
    </row>
    <row r="7158" spans="1:3" x14ac:dyDescent="0.35">
      <c r="A7158" s="302">
        <v>39008</v>
      </c>
      <c r="B7158" s="303">
        <v>159.6242</v>
      </c>
      <c r="C7158" s="308">
        <v>4.7027084110886701</v>
      </c>
    </row>
    <row r="7159" spans="1:3" x14ac:dyDescent="0.35">
      <c r="A7159" s="305">
        <v>39007</v>
      </c>
      <c r="B7159" s="306">
        <v>159.60929999999999</v>
      </c>
      <c r="C7159" s="309">
        <v>4.7074267090720197</v>
      </c>
    </row>
    <row r="7160" spans="1:3" x14ac:dyDescent="0.35">
      <c r="A7160" s="302">
        <v>39006</v>
      </c>
      <c r="B7160" s="303">
        <v>159.59440000000001</v>
      </c>
      <c r="C7160" s="308">
        <v>4.7121463134585397</v>
      </c>
    </row>
    <row r="7161" spans="1:3" x14ac:dyDescent="0.35">
      <c r="A7161" s="305">
        <v>39005</v>
      </c>
      <c r="B7161" s="306">
        <v>159.5795</v>
      </c>
      <c r="C7161" s="309">
        <v>4.7168672247909003</v>
      </c>
    </row>
    <row r="7162" spans="1:3" x14ac:dyDescent="0.35">
      <c r="A7162" s="302">
        <v>39004</v>
      </c>
      <c r="B7162" s="303">
        <v>159.55879999999999</v>
      </c>
      <c r="C7162" s="308">
        <v>4.7032837811057604</v>
      </c>
    </row>
    <row r="7163" spans="1:3" x14ac:dyDescent="0.35">
      <c r="A7163" s="305">
        <v>39003</v>
      </c>
      <c r="B7163" s="306">
        <v>159.53809999999999</v>
      </c>
      <c r="C7163" s="309">
        <v>4.6897003374206196</v>
      </c>
    </row>
    <row r="7164" spans="1:3" x14ac:dyDescent="0.35">
      <c r="A7164" s="302">
        <v>39002</v>
      </c>
      <c r="B7164" s="303">
        <v>159.51740000000001</v>
      </c>
      <c r="C7164" s="308">
        <v>4.67611689373547</v>
      </c>
    </row>
    <row r="7165" spans="1:3" x14ac:dyDescent="0.35">
      <c r="A7165" s="305">
        <v>39001</v>
      </c>
      <c r="B7165" s="306">
        <v>159.4967</v>
      </c>
      <c r="C7165" s="309">
        <v>4.6625334500503302</v>
      </c>
    </row>
    <row r="7166" spans="1:3" x14ac:dyDescent="0.35">
      <c r="A7166" s="302">
        <v>39000</v>
      </c>
      <c r="B7166" s="303">
        <v>159.4761</v>
      </c>
      <c r="C7166" s="308">
        <v>4.6490156268660803</v>
      </c>
    </row>
    <row r="7167" spans="1:3" x14ac:dyDescent="0.35">
      <c r="A7167" s="305">
        <v>38999</v>
      </c>
      <c r="B7167" s="306">
        <v>159.4554</v>
      </c>
      <c r="C7167" s="309">
        <v>4.6354321831809404</v>
      </c>
    </row>
    <row r="7168" spans="1:3" x14ac:dyDescent="0.35">
      <c r="A7168" s="302">
        <v>38998</v>
      </c>
      <c r="B7168" s="303">
        <v>159.43469999999999</v>
      </c>
      <c r="C7168" s="308">
        <v>4.6218487394957997</v>
      </c>
    </row>
    <row r="7169" spans="1:3" x14ac:dyDescent="0.35">
      <c r="A7169" s="305">
        <v>38997</v>
      </c>
      <c r="B7169" s="306">
        <v>159.41399999999999</v>
      </c>
      <c r="C7169" s="309">
        <v>4.6082652958106598</v>
      </c>
    </row>
    <row r="7170" spans="1:3" x14ac:dyDescent="0.35">
      <c r="A7170" s="302">
        <v>38996</v>
      </c>
      <c r="B7170" s="303">
        <v>159.39330000000001</v>
      </c>
      <c r="C7170" s="308">
        <v>4.5946818521255102</v>
      </c>
    </row>
    <row r="7171" spans="1:3" x14ac:dyDescent="0.35">
      <c r="A7171" s="305">
        <v>38995</v>
      </c>
      <c r="B7171" s="306">
        <v>159.37260000000001</v>
      </c>
      <c r="C7171" s="309">
        <v>4.5810984084403703</v>
      </c>
    </row>
    <row r="7172" spans="1:3" x14ac:dyDescent="0.35">
      <c r="A7172" s="302">
        <v>38994</v>
      </c>
      <c r="B7172" s="303">
        <v>159.3519</v>
      </c>
      <c r="C7172" s="308">
        <v>4.5675149647552296</v>
      </c>
    </row>
    <row r="7173" spans="1:3" x14ac:dyDescent="0.35">
      <c r="A7173" s="305">
        <v>38993</v>
      </c>
      <c r="B7173" s="306">
        <v>159.3313</v>
      </c>
      <c r="C7173" s="309">
        <v>4.5539971415709797</v>
      </c>
    </row>
    <row r="7174" spans="1:3" x14ac:dyDescent="0.35">
      <c r="A7174" s="302">
        <v>38992</v>
      </c>
      <c r="B7174" s="303">
        <v>159.31059999999999</v>
      </c>
      <c r="C7174" s="308">
        <v>4.5404136978858398</v>
      </c>
    </row>
    <row r="7175" spans="1:3" x14ac:dyDescent="0.35">
      <c r="A7175" s="305">
        <v>38991</v>
      </c>
      <c r="B7175" s="306">
        <v>159.28989999999999</v>
      </c>
      <c r="C7175" s="309">
        <v>4.5268302542007</v>
      </c>
    </row>
    <row r="7176" spans="1:3" x14ac:dyDescent="0.35">
      <c r="A7176" s="302">
        <v>38990</v>
      </c>
      <c r="B7176" s="303">
        <v>159.26929999999999</v>
      </c>
      <c r="C7176" s="308">
        <v>4.5133124310164501</v>
      </c>
    </row>
    <row r="7177" spans="1:3" x14ac:dyDescent="0.35">
      <c r="A7177" s="305">
        <v>38989</v>
      </c>
      <c r="B7177" s="306">
        <v>159.24860000000001</v>
      </c>
      <c r="C7177" s="309">
        <v>4.4997289873313102</v>
      </c>
    </row>
    <row r="7178" spans="1:3" x14ac:dyDescent="0.35">
      <c r="A7178" s="302">
        <v>38988</v>
      </c>
      <c r="B7178" s="303">
        <v>159.22790000000001</v>
      </c>
      <c r="C7178" s="308">
        <v>4.4861455436461597</v>
      </c>
    </row>
    <row r="7179" spans="1:3" x14ac:dyDescent="0.35">
      <c r="A7179" s="305">
        <v>38987</v>
      </c>
      <c r="B7179" s="306">
        <v>159.2073</v>
      </c>
      <c r="C7179" s="309">
        <v>4.4726277204619196</v>
      </c>
    </row>
    <row r="7180" spans="1:3" x14ac:dyDescent="0.35">
      <c r="A7180" s="302">
        <v>38986</v>
      </c>
      <c r="B7180" s="303">
        <v>159.1866</v>
      </c>
      <c r="C7180" s="308">
        <v>4.45904427677677</v>
      </c>
    </row>
    <row r="7181" spans="1:3" x14ac:dyDescent="0.35">
      <c r="A7181" s="305">
        <v>38985</v>
      </c>
      <c r="B7181" s="306">
        <v>159.166</v>
      </c>
      <c r="C7181" s="309">
        <v>4.4455264535925298</v>
      </c>
    </row>
    <row r="7182" spans="1:3" x14ac:dyDescent="0.35">
      <c r="A7182" s="302">
        <v>38984</v>
      </c>
      <c r="B7182" s="303">
        <v>159.14529999999999</v>
      </c>
      <c r="C7182" s="308">
        <v>4.4319430099073802</v>
      </c>
    </row>
    <row r="7183" spans="1:3" x14ac:dyDescent="0.35">
      <c r="A7183" s="305">
        <v>38983</v>
      </c>
      <c r="B7183" s="306">
        <v>159.12469999999999</v>
      </c>
      <c r="C7183" s="309">
        <v>4.4184251867231401</v>
      </c>
    </row>
    <row r="7184" spans="1:3" x14ac:dyDescent="0.35">
      <c r="A7184" s="302">
        <v>38982</v>
      </c>
      <c r="B7184" s="303">
        <v>159.10400000000001</v>
      </c>
      <c r="C7184" s="308">
        <v>4.4048417430379896</v>
      </c>
    </row>
    <row r="7185" spans="1:3" x14ac:dyDescent="0.35">
      <c r="A7185" s="305">
        <v>38981</v>
      </c>
      <c r="B7185" s="306">
        <v>159.08340000000001</v>
      </c>
      <c r="C7185" s="309">
        <v>4.3913239198537504</v>
      </c>
    </row>
    <row r="7186" spans="1:3" x14ac:dyDescent="0.35">
      <c r="A7186" s="302">
        <v>38980</v>
      </c>
      <c r="B7186" s="303">
        <v>159.06280000000001</v>
      </c>
      <c r="C7186" s="308">
        <v>4.3778060966694996</v>
      </c>
    </row>
    <row r="7187" spans="1:3" x14ac:dyDescent="0.35">
      <c r="A7187" s="305">
        <v>38979</v>
      </c>
      <c r="B7187" s="306">
        <v>159.0421</v>
      </c>
      <c r="C7187" s="309">
        <v>4.36422265298435</v>
      </c>
    </row>
    <row r="7188" spans="1:3" x14ac:dyDescent="0.35">
      <c r="A7188" s="302">
        <v>38978</v>
      </c>
      <c r="B7188" s="303">
        <v>159.0215</v>
      </c>
      <c r="C7188" s="308">
        <v>4.3507048298001099</v>
      </c>
    </row>
    <row r="7189" spans="1:3" x14ac:dyDescent="0.35">
      <c r="A7189" s="305">
        <v>38977</v>
      </c>
      <c r="B7189" s="306">
        <v>159.0009</v>
      </c>
      <c r="C7189" s="309">
        <v>4.33718700661586</v>
      </c>
    </row>
    <row r="7190" spans="1:3" x14ac:dyDescent="0.35">
      <c r="A7190" s="302">
        <v>38976</v>
      </c>
      <c r="B7190" s="303">
        <v>158.9802</v>
      </c>
      <c r="C7190" s="308">
        <v>4.3236035629307201</v>
      </c>
    </row>
    <row r="7191" spans="1:3" x14ac:dyDescent="0.35">
      <c r="A7191" s="305">
        <v>38975</v>
      </c>
      <c r="B7191" s="306">
        <v>158.95959999999999</v>
      </c>
      <c r="C7191" s="309">
        <v>4.3100857397464702</v>
      </c>
    </row>
    <row r="7192" spans="1:3" x14ac:dyDescent="0.35">
      <c r="A7192" s="302">
        <v>38974</v>
      </c>
      <c r="B7192" s="303">
        <v>158.93860000000001</v>
      </c>
      <c r="C7192" s="308">
        <v>4.2980164565791901</v>
      </c>
    </row>
    <row r="7193" spans="1:3" x14ac:dyDescent="0.35">
      <c r="A7193" s="305">
        <v>38973</v>
      </c>
      <c r="B7193" s="306">
        <v>158.91759999999999</v>
      </c>
      <c r="C7193" s="309">
        <v>4.2859467774027102</v>
      </c>
    </row>
    <row r="7194" spans="1:3" x14ac:dyDescent="0.35">
      <c r="A7194" s="302">
        <v>38972</v>
      </c>
      <c r="B7194" s="303">
        <v>158.89660000000001</v>
      </c>
      <c r="C7194" s="308">
        <v>4.2738082738345202</v>
      </c>
    </row>
    <row r="7195" spans="1:3" x14ac:dyDescent="0.35">
      <c r="A7195" s="305">
        <v>38971</v>
      </c>
      <c r="B7195" s="306">
        <v>158.87569999999999</v>
      </c>
      <c r="C7195" s="309">
        <v>4.2618034341439097</v>
      </c>
    </row>
    <row r="7196" spans="1:3" x14ac:dyDescent="0.35">
      <c r="A7196" s="302">
        <v>38970</v>
      </c>
      <c r="B7196" s="303">
        <v>158.85470000000001</v>
      </c>
      <c r="C7196" s="308">
        <v>4.2496641599799396</v>
      </c>
    </row>
    <row r="7197" spans="1:3" x14ac:dyDescent="0.35">
      <c r="A7197" s="305">
        <v>38969</v>
      </c>
      <c r="B7197" s="306">
        <v>158.83369999999999</v>
      </c>
      <c r="C7197" s="309">
        <v>4.2375929112475301</v>
      </c>
    </row>
    <row r="7198" spans="1:3" x14ac:dyDescent="0.35">
      <c r="A7198" s="302">
        <v>38968</v>
      </c>
      <c r="B7198" s="303">
        <v>158.81280000000001</v>
      </c>
      <c r="C7198" s="308">
        <v>4.2255184932882299</v>
      </c>
    </row>
    <row r="7199" spans="1:3" x14ac:dyDescent="0.35">
      <c r="A7199" s="305">
        <v>38967</v>
      </c>
      <c r="B7199" s="306">
        <v>158.79179999999999</v>
      </c>
      <c r="C7199" s="309">
        <v>4.2134464602022597</v>
      </c>
    </row>
    <row r="7200" spans="1:3" x14ac:dyDescent="0.35">
      <c r="A7200" s="302">
        <v>38966</v>
      </c>
      <c r="B7200" s="303">
        <v>158.77090000000001</v>
      </c>
      <c r="C7200" s="308">
        <v>4.2014396610338602</v>
      </c>
    </row>
    <row r="7201" spans="1:3" x14ac:dyDescent="0.35">
      <c r="A7201" s="305">
        <v>38965</v>
      </c>
      <c r="B7201" s="306">
        <v>158.7499</v>
      </c>
      <c r="C7201" s="309">
        <v>4.18929845609411</v>
      </c>
    </row>
    <row r="7202" spans="1:3" x14ac:dyDescent="0.35">
      <c r="A7202" s="302">
        <v>38964</v>
      </c>
      <c r="B7202" s="303">
        <v>158.72900000000001</v>
      </c>
      <c r="C7202" s="308">
        <v>4.1772908745683903</v>
      </c>
    </row>
    <row r="7203" spans="1:3" x14ac:dyDescent="0.35">
      <c r="A7203" s="305">
        <v>38963</v>
      </c>
      <c r="B7203" s="306">
        <v>158.708</v>
      </c>
      <c r="C7203" s="309">
        <v>4.1651488987732499</v>
      </c>
    </row>
    <row r="7204" spans="1:3" x14ac:dyDescent="0.35">
      <c r="A7204" s="302">
        <v>38962</v>
      </c>
      <c r="B7204" s="303">
        <v>158.68709999999999</v>
      </c>
      <c r="C7204" s="308">
        <v>4.1531405348143897</v>
      </c>
    </row>
    <row r="7205" spans="1:3" x14ac:dyDescent="0.35">
      <c r="A7205" s="305">
        <v>38961</v>
      </c>
      <c r="B7205" s="306">
        <v>158.6661</v>
      </c>
      <c r="C7205" s="309">
        <v>4.1409977880898197</v>
      </c>
    </row>
    <row r="7206" spans="1:3" x14ac:dyDescent="0.35">
      <c r="A7206" s="302">
        <v>38960</v>
      </c>
      <c r="B7206" s="303">
        <v>158.64519999999999</v>
      </c>
      <c r="C7206" s="308">
        <v>4.1289886416220103</v>
      </c>
    </row>
    <row r="7207" spans="1:3" x14ac:dyDescent="0.35">
      <c r="A7207" s="305">
        <v>38959</v>
      </c>
      <c r="B7207" s="306">
        <v>158.6242</v>
      </c>
      <c r="C7207" s="309">
        <v>4.1169134635580802</v>
      </c>
    </row>
    <row r="7208" spans="1:3" x14ac:dyDescent="0.35">
      <c r="A7208" s="302">
        <v>38958</v>
      </c>
      <c r="B7208" s="303">
        <v>158.60329999999999</v>
      </c>
      <c r="C7208" s="308">
        <v>4.10483519484134</v>
      </c>
    </row>
    <row r="7209" spans="1:3" x14ac:dyDescent="0.35">
      <c r="A7209" s="305">
        <v>38957</v>
      </c>
      <c r="B7209" s="306">
        <v>158.58240000000001</v>
      </c>
      <c r="C7209" s="309">
        <v>4.0928248716253899</v>
      </c>
    </row>
    <row r="7210" spans="1:3" x14ac:dyDescent="0.35">
      <c r="A7210" s="302">
        <v>38956</v>
      </c>
      <c r="B7210" s="303">
        <v>158.56139999999999</v>
      </c>
      <c r="C7210" s="308">
        <v>4.08068019432248</v>
      </c>
    </row>
    <row r="7211" spans="1:3" x14ac:dyDescent="0.35">
      <c r="A7211" s="305">
        <v>38955</v>
      </c>
      <c r="B7211" s="306">
        <v>158.54050000000001</v>
      </c>
      <c r="C7211" s="309">
        <v>4.0686690884075496</v>
      </c>
    </row>
    <row r="7212" spans="1:3" x14ac:dyDescent="0.35">
      <c r="A7212" s="302">
        <v>38954</v>
      </c>
      <c r="B7212" s="303">
        <v>158.5196</v>
      </c>
      <c r="C7212" s="308">
        <v>4.0565892826431398</v>
      </c>
    </row>
    <row r="7213" spans="1:3" x14ac:dyDescent="0.35">
      <c r="A7213" s="305">
        <v>38953</v>
      </c>
      <c r="B7213" s="306">
        <v>158.49870000000001</v>
      </c>
      <c r="C7213" s="309">
        <v>4.0445773950306299</v>
      </c>
    </row>
    <row r="7214" spans="1:3" x14ac:dyDescent="0.35">
      <c r="A7214" s="302">
        <v>38952</v>
      </c>
      <c r="B7214" s="303">
        <v>158.4777</v>
      </c>
      <c r="C7214" s="308">
        <v>4.0324994682764501</v>
      </c>
    </row>
    <row r="7215" spans="1:3" x14ac:dyDescent="0.35">
      <c r="A7215" s="305">
        <v>38951</v>
      </c>
      <c r="B7215" s="306">
        <v>158.45679999999999</v>
      </c>
      <c r="C7215" s="309">
        <v>4.0204185058464299</v>
      </c>
    </row>
    <row r="7216" spans="1:3" x14ac:dyDescent="0.35">
      <c r="A7216" s="302">
        <v>38950</v>
      </c>
      <c r="B7216" s="303">
        <v>158.4359</v>
      </c>
      <c r="C7216" s="308">
        <v>4.0084054410854302</v>
      </c>
    </row>
    <row r="7217" spans="1:3" x14ac:dyDescent="0.35">
      <c r="A7217" s="305">
        <v>38949</v>
      </c>
      <c r="B7217" s="306">
        <v>158.41499999999999</v>
      </c>
      <c r="C7217" s="309">
        <v>3.9963237104265499</v>
      </c>
    </row>
    <row r="7218" spans="1:3" x14ac:dyDescent="0.35">
      <c r="A7218" s="302">
        <v>38948</v>
      </c>
      <c r="B7218" s="303">
        <v>158.39410000000001</v>
      </c>
      <c r="C7218" s="308">
        <v>3.98430986377811</v>
      </c>
    </row>
    <row r="7219" spans="1:3" x14ac:dyDescent="0.35">
      <c r="A7219" s="305">
        <v>38947</v>
      </c>
      <c r="B7219" s="306">
        <v>158.3732</v>
      </c>
      <c r="C7219" s="309">
        <v>3.9722273648165101</v>
      </c>
    </row>
    <row r="7220" spans="1:3" x14ac:dyDescent="0.35">
      <c r="A7220" s="302">
        <v>38946</v>
      </c>
      <c r="B7220" s="303">
        <v>158.35230000000001</v>
      </c>
      <c r="C7220" s="308">
        <v>3.9602127362048698</v>
      </c>
    </row>
    <row r="7221" spans="1:3" x14ac:dyDescent="0.35">
      <c r="A7221" s="305">
        <v>38945</v>
      </c>
      <c r="B7221" s="306">
        <v>158.3314</v>
      </c>
      <c r="C7221" s="309">
        <v>3.9481294688667199</v>
      </c>
    </row>
    <row r="7222" spans="1:3" x14ac:dyDescent="0.35">
      <c r="A7222" s="302">
        <v>38944</v>
      </c>
      <c r="B7222" s="303">
        <v>158.31049999999999</v>
      </c>
      <c r="C7222" s="308">
        <v>3.9361140582161198</v>
      </c>
    </row>
    <row r="7223" spans="1:3" x14ac:dyDescent="0.35">
      <c r="A7223" s="305">
        <v>38943</v>
      </c>
      <c r="B7223" s="306">
        <v>158.29519999999999</v>
      </c>
      <c r="C7223" s="309">
        <v>3.9394440811159401</v>
      </c>
    </row>
    <row r="7224" spans="1:3" x14ac:dyDescent="0.35">
      <c r="A7224" s="302">
        <v>38942</v>
      </c>
      <c r="B7224" s="303">
        <v>158.2799</v>
      </c>
      <c r="C7224" s="308">
        <v>3.94277496125456</v>
      </c>
    </row>
    <row r="7225" spans="1:3" x14ac:dyDescent="0.35">
      <c r="A7225" s="305">
        <v>38941</v>
      </c>
      <c r="B7225" s="306">
        <v>158.2646</v>
      </c>
      <c r="C7225" s="309">
        <v>3.9461066989630602</v>
      </c>
    </row>
    <row r="7226" spans="1:3" x14ac:dyDescent="0.35">
      <c r="A7226" s="302">
        <v>38940</v>
      </c>
      <c r="B7226" s="303">
        <v>158.24930000000001</v>
      </c>
      <c r="C7226" s="308">
        <v>3.9494392945726702</v>
      </c>
    </row>
    <row r="7227" spans="1:3" x14ac:dyDescent="0.35">
      <c r="A7227" s="305">
        <v>38939</v>
      </c>
      <c r="B7227" s="306">
        <v>158.23400000000001</v>
      </c>
      <c r="C7227" s="309">
        <v>3.9527727484147701</v>
      </c>
    </row>
    <row r="7228" spans="1:3" x14ac:dyDescent="0.35">
      <c r="A7228" s="302">
        <v>38938</v>
      </c>
      <c r="B7228" s="303">
        <v>158.21879999999999</v>
      </c>
      <c r="C7228" s="308">
        <v>3.9561727648793399</v>
      </c>
    </row>
    <row r="7229" spans="1:3" x14ac:dyDescent="0.35">
      <c r="A7229" s="305">
        <v>38937</v>
      </c>
      <c r="B7229" s="306">
        <v>158.20349999999999</v>
      </c>
      <c r="C7229" s="309">
        <v>3.9595079446437702</v>
      </c>
    </row>
    <row r="7230" spans="1:3" x14ac:dyDescent="0.35">
      <c r="A7230" s="302">
        <v>38936</v>
      </c>
      <c r="B7230" s="303">
        <v>158.18819999999999</v>
      </c>
      <c r="C7230" s="308">
        <v>3.9628439836381002</v>
      </c>
    </row>
    <row r="7231" spans="1:3" x14ac:dyDescent="0.35">
      <c r="A7231" s="305">
        <v>38935</v>
      </c>
      <c r="B7231" s="306">
        <v>158.1729</v>
      </c>
      <c r="C7231" s="309">
        <v>3.9661808821944202</v>
      </c>
    </row>
    <row r="7232" spans="1:3" x14ac:dyDescent="0.35">
      <c r="A7232" s="302">
        <v>38934</v>
      </c>
      <c r="B7232" s="303">
        <v>158.1576</v>
      </c>
      <c r="C7232" s="308">
        <v>3.9695186406449698</v>
      </c>
    </row>
    <row r="7233" spans="1:3" x14ac:dyDescent="0.35">
      <c r="A7233" s="305">
        <v>38933</v>
      </c>
      <c r="B7233" s="306">
        <v>158.14230000000001</v>
      </c>
      <c r="C7233" s="309">
        <v>3.97285725932218</v>
      </c>
    </row>
    <row r="7234" spans="1:3" x14ac:dyDescent="0.35">
      <c r="A7234" s="302">
        <v>38932</v>
      </c>
      <c r="B7234" s="303">
        <v>158.12700000000001</v>
      </c>
      <c r="C7234" s="308">
        <v>3.9761967385586501</v>
      </c>
    </row>
    <row r="7235" spans="1:3" x14ac:dyDescent="0.35">
      <c r="A7235" s="305">
        <v>38931</v>
      </c>
      <c r="B7235" s="306">
        <v>158.11179999999999</v>
      </c>
      <c r="C7235" s="309">
        <v>3.9795344616123201</v>
      </c>
    </row>
    <row r="7236" spans="1:3" x14ac:dyDescent="0.35">
      <c r="A7236" s="302">
        <v>38930</v>
      </c>
      <c r="B7236" s="303">
        <v>158.09649999999999</v>
      </c>
      <c r="C7236" s="308">
        <v>3.9828756604308402</v>
      </c>
    </row>
    <row r="7237" spans="1:3" x14ac:dyDescent="0.35">
      <c r="A7237" s="305">
        <v>38929</v>
      </c>
      <c r="B7237" s="306">
        <v>158.0812</v>
      </c>
      <c r="C7237" s="309">
        <v>3.9862177208062302</v>
      </c>
    </row>
    <row r="7238" spans="1:3" x14ac:dyDescent="0.35">
      <c r="A7238" s="302">
        <v>38928</v>
      </c>
      <c r="B7238" s="303">
        <v>158.0659</v>
      </c>
      <c r="C7238" s="308">
        <v>3.9895606430717598</v>
      </c>
    </row>
    <row r="7239" spans="1:3" x14ac:dyDescent="0.35">
      <c r="A7239" s="305">
        <v>38927</v>
      </c>
      <c r="B7239" s="306">
        <v>158.05070000000001</v>
      </c>
      <c r="C7239" s="309">
        <v>3.9929018003424099</v>
      </c>
    </row>
    <row r="7240" spans="1:3" x14ac:dyDescent="0.35">
      <c r="A7240" s="302">
        <v>38926</v>
      </c>
      <c r="B7240" s="303">
        <v>158.03540000000001</v>
      </c>
      <c r="C7240" s="308">
        <v>3.9962464448489299</v>
      </c>
    </row>
    <row r="7241" spans="1:3" x14ac:dyDescent="0.35">
      <c r="A7241" s="305">
        <v>38925</v>
      </c>
      <c r="B7241" s="306">
        <v>158.02010000000001</v>
      </c>
      <c r="C7241" s="309">
        <v>3.9995919522452499</v>
      </c>
    </row>
    <row r="7242" spans="1:3" x14ac:dyDescent="0.35">
      <c r="A7242" s="302">
        <v>38924</v>
      </c>
      <c r="B7242" s="303">
        <v>158.00489999999999</v>
      </c>
      <c r="C7242" s="308">
        <v>4.0029356880271996</v>
      </c>
    </row>
    <row r="7243" spans="1:3" x14ac:dyDescent="0.35">
      <c r="A7243" s="305">
        <v>38923</v>
      </c>
      <c r="B7243" s="306">
        <v>157.9896</v>
      </c>
      <c r="C7243" s="309">
        <v>4.00628291966171</v>
      </c>
    </row>
    <row r="7244" spans="1:3" x14ac:dyDescent="0.35">
      <c r="A7244" s="302">
        <v>38922</v>
      </c>
      <c r="B7244" s="303">
        <v>157.9743</v>
      </c>
      <c r="C7244" s="308">
        <v>4.0096310151872201</v>
      </c>
    </row>
    <row r="7245" spans="1:3" x14ac:dyDescent="0.35">
      <c r="A7245" s="305">
        <v>38921</v>
      </c>
      <c r="B7245" s="306">
        <v>157.95910000000001</v>
      </c>
      <c r="C7245" s="309">
        <v>4.0129773324694096</v>
      </c>
    </row>
    <row r="7246" spans="1:3" x14ac:dyDescent="0.35">
      <c r="A7246" s="302">
        <v>38920</v>
      </c>
      <c r="B7246" s="303">
        <v>157.94380000000001</v>
      </c>
      <c r="C7246" s="308">
        <v>4.01632715423339</v>
      </c>
    </row>
    <row r="7247" spans="1:3" x14ac:dyDescent="0.35">
      <c r="A7247" s="305">
        <v>38919</v>
      </c>
      <c r="B7247" s="306">
        <v>157.92850000000001</v>
      </c>
      <c r="C7247" s="309">
        <v>4.0196093283284702</v>
      </c>
    </row>
    <row r="7248" spans="1:3" x14ac:dyDescent="0.35">
      <c r="A7248" s="302">
        <v>38918</v>
      </c>
      <c r="B7248" s="303">
        <v>157.91329999999999</v>
      </c>
      <c r="C7248" s="308">
        <v>4.0230267426671302</v>
      </c>
    </row>
    <row r="7249" spans="1:3" x14ac:dyDescent="0.35">
      <c r="A7249" s="305">
        <v>38917</v>
      </c>
      <c r="B7249" s="306">
        <v>157.898</v>
      </c>
      <c r="C7249" s="309">
        <v>4.0263106229403602</v>
      </c>
    </row>
    <row r="7250" spans="1:3" x14ac:dyDescent="0.35">
      <c r="A7250" s="302">
        <v>38916</v>
      </c>
      <c r="B7250" s="303">
        <v>157.8828</v>
      </c>
      <c r="C7250" s="308">
        <v>4.0297297831544396</v>
      </c>
    </row>
    <row r="7251" spans="1:3" x14ac:dyDescent="0.35">
      <c r="A7251" s="305">
        <v>38915</v>
      </c>
      <c r="B7251" s="306">
        <v>157.86750000000001</v>
      </c>
      <c r="C7251" s="309">
        <v>4.0330153709286796</v>
      </c>
    </row>
    <row r="7252" spans="1:3" x14ac:dyDescent="0.35">
      <c r="A7252" s="302">
        <v>38914</v>
      </c>
      <c r="B7252" s="303">
        <v>157.85230000000001</v>
      </c>
      <c r="C7252" s="308">
        <v>4.0364362783640999</v>
      </c>
    </row>
    <row r="7253" spans="1:3" x14ac:dyDescent="0.35">
      <c r="A7253" s="305">
        <v>38913</v>
      </c>
      <c r="B7253" s="306">
        <v>157.83699999999999</v>
      </c>
      <c r="C7253" s="309">
        <v>4.0397235749635501</v>
      </c>
    </row>
    <row r="7254" spans="1:3" x14ac:dyDescent="0.35">
      <c r="A7254" s="302">
        <v>38912</v>
      </c>
      <c r="B7254" s="303">
        <v>157.81970000000001</v>
      </c>
      <c r="C7254" s="308">
        <v>4.0425163015854304</v>
      </c>
    </row>
    <row r="7255" spans="1:3" x14ac:dyDescent="0.35">
      <c r="A7255" s="305">
        <v>38911</v>
      </c>
      <c r="B7255" s="306">
        <v>157.80240000000001</v>
      </c>
      <c r="C7255" s="309">
        <v>4.0453097905279298</v>
      </c>
    </row>
    <row r="7256" spans="1:3" x14ac:dyDescent="0.35">
      <c r="A7256" s="302">
        <v>38910</v>
      </c>
      <c r="B7256" s="303">
        <v>157.7851</v>
      </c>
      <c r="C7256" s="308">
        <v>4.0481040421032404</v>
      </c>
    </row>
    <row r="7257" spans="1:3" x14ac:dyDescent="0.35">
      <c r="A7257" s="305">
        <v>38909</v>
      </c>
      <c r="B7257" s="306">
        <v>157.76769999999999</v>
      </c>
      <c r="C7257" s="309">
        <v>4.0508331046999997</v>
      </c>
    </row>
    <row r="7258" spans="1:3" x14ac:dyDescent="0.35">
      <c r="A7258" s="302">
        <v>38908</v>
      </c>
      <c r="B7258" s="303">
        <v>157.75040000000001</v>
      </c>
      <c r="C7258" s="308">
        <v>4.0536288734730901</v>
      </c>
    </row>
    <row r="7259" spans="1:3" x14ac:dyDescent="0.35">
      <c r="A7259" s="305">
        <v>38907</v>
      </c>
      <c r="B7259" s="306">
        <v>157.73310000000001</v>
      </c>
      <c r="C7259" s="309">
        <v>4.0563567599019201</v>
      </c>
    </row>
    <row r="7260" spans="1:3" x14ac:dyDescent="0.35">
      <c r="A7260" s="302">
        <v>38906</v>
      </c>
      <c r="B7260" s="303">
        <v>157.7158</v>
      </c>
      <c r="C7260" s="308">
        <v>4.0591540449026002</v>
      </c>
    </row>
    <row r="7261" spans="1:3" x14ac:dyDescent="0.35">
      <c r="A7261" s="305">
        <v>38905</v>
      </c>
      <c r="B7261" s="306">
        <v>157.69839999999999</v>
      </c>
      <c r="C7261" s="309">
        <v>4.0618861061785099</v>
      </c>
    </row>
    <row r="7262" spans="1:3" x14ac:dyDescent="0.35">
      <c r="A7262" s="302">
        <v>38904</v>
      </c>
      <c r="B7262" s="303">
        <v>157.68109999999999</v>
      </c>
      <c r="C7262" s="308">
        <v>4.0646162314062</v>
      </c>
    </row>
    <row r="7263" spans="1:3" x14ac:dyDescent="0.35">
      <c r="A7263" s="305">
        <v>38903</v>
      </c>
      <c r="B7263" s="306">
        <v>157.66380000000001</v>
      </c>
      <c r="C7263" s="309">
        <v>4.0674157896682299</v>
      </c>
    </row>
    <row r="7264" spans="1:3" x14ac:dyDescent="0.35">
      <c r="A7264" s="302">
        <v>38902</v>
      </c>
      <c r="B7264" s="303">
        <v>157.6465</v>
      </c>
      <c r="C7264" s="308">
        <v>4.0702161130545198</v>
      </c>
    </row>
    <row r="7265" spans="1:3" x14ac:dyDescent="0.35">
      <c r="A7265" s="305">
        <v>38901</v>
      </c>
      <c r="B7265" s="306">
        <v>157.6292</v>
      </c>
      <c r="C7265" s="309">
        <v>4.0729484888119201</v>
      </c>
    </row>
    <row r="7266" spans="1:3" x14ac:dyDescent="0.35">
      <c r="A7266" s="302">
        <v>38900</v>
      </c>
      <c r="B7266" s="303">
        <v>157.61189999999999</v>
      </c>
      <c r="C7266" s="308">
        <v>4.0757503321456197</v>
      </c>
    </row>
    <row r="7267" spans="1:3" x14ac:dyDescent="0.35">
      <c r="A7267" s="305">
        <v>38899</v>
      </c>
      <c r="B7267" s="306">
        <v>157.59460000000001</v>
      </c>
      <c r="C7267" s="309">
        <v>4.0784842060771798</v>
      </c>
    </row>
    <row r="7268" spans="1:3" x14ac:dyDescent="0.35">
      <c r="A7268" s="302">
        <v>38898</v>
      </c>
      <c r="B7268" s="303">
        <v>157.57730000000001</v>
      </c>
      <c r="C7268" s="308">
        <v>4.0812875706001996</v>
      </c>
    </row>
    <row r="7269" spans="1:3" x14ac:dyDescent="0.35">
      <c r="A7269" s="305">
        <v>38897</v>
      </c>
      <c r="B7269" s="306">
        <v>157.56</v>
      </c>
      <c r="C7269" s="309">
        <v>4.0840229439342801</v>
      </c>
    </row>
    <row r="7270" spans="1:3" x14ac:dyDescent="0.35">
      <c r="A7270" s="302">
        <v>38896</v>
      </c>
      <c r="B7270" s="303">
        <v>157.5427</v>
      </c>
      <c r="C7270" s="308">
        <v>4.08682783088988</v>
      </c>
    </row>
    <row r="7271" spans="1:3" x14ac:dyDescent="0.35">
      <c r="A7271" s="305">
        <v>38895</v>
      </c>
      <c r="B7271" s="306">
        <v>157.52539999999999</v>
      </c>
      <c r="C7271" s="309">
        <v>4.0895647048562003</v>
      </c>
    </row>
    <row r="7272" spans="1:3" x14ac:dyDescent="0.35">
      <c r="A7272" s="302">
        <v>38894</v>
      </c>
      <c r="B7272" s="303">
        <v>157.50810000000001</v>
      </c>
      <c r="C7272" s="308">
        <v>4.0923711154890103</v>
      </c>
    </row>
    <row r="7273" spans="1:3" x14ac:dyDescent="0.35">
      <c r="A7273" s="305">
        <v>38893</v>
      </c>
      <c r="B7273" s="306">
        <v>157.49080000000001</v>
      </c>
      <c r="C7273" s="309">
        <v>4.0951094913186203</v>
      </c>
    </row>
    <row r="7274" spans="1:3" x14ac:dyDescent="0.35">
      <c r="A7274" s="302">
        <v>38892</v>
      </c>
      <c r="B7274" s="303">
        <v>157.4735</v>
      </c>
      <c r="C7274" s="308">
        <v>4.0978486129519496</v>
      </c>
    </row>
    <row r="7275" spans="1:3" x14ac:dyDescent="0.35">
      <c r="A7275" s="305">
        <v>38891</v>
      </c>
      <c r="B7275" s="306">
        <v>157.4562</v>
      </c>
      <c r="C7275" s="309">
        <v>4.1006573057999196</v>
      </c>
    </row>
    <row r="7276" spans="1:3" x14ac:dyDescent="0.35">
      <c r="A7276" s="302">
        <v>38890</v>
      </c>
      <c r="B7276" s="303">
        <v>157.43889999999999</v>
      </c>
      <c r="C7276" s="308">
        <v>4.1033979311420996</v>
      </c>
    </row>
    <row r="7277" spans="1:3" x14ac:dyDescent="0.35">
      <c r="A7277" s="305">
        <v>38889</v>
      </c>
      <c r="B7277" s="306">
        <v>157.42160000000001</v>
      </c>
      <c r="C7277" s="309">
        <v>4.1061393032062101</v>
      </c>
    </row>
    <row r="7278" spans="1:3" x14ac:dyDescent="0.35">
      <c r="A7278" s="302">
        <v>38888</v>
      </c>
      <c r="B7278" s="303">
        <v>157.40430000000001</v>
      </c>
      <c r="C7278" s="308">
        <v>4.1088814222974799</v>
      </c>
    </row>
    <row r="7279" spans="1:3" x14ac:dyDescent="0.35">
      <c r="A7279" s="305">
        <v>38887</v>
      </c>
      <c r="B7279" s="306">
        <v>157.387</v>
      </c>
      <c r="C7279" s="309">
        <v>4.1116931586881904</v>
      </c>
    </row>
    <row r="7280" spans="1:3" x14ac:dyDescent="0.35">
      <c r="A7280" s="302">
        <v>38886</v>
      </c>
      <c r="B7280" s="303">
        <v>157.36969999999999</v>
      </c>
      <c r="C7280" s="308">
        <v>4.1144367839513798</v>
      </c>
    </row>
    <row r="7281" spans="1:3" x14ac:dyDescent="0.35">
      <c r="A7281" s="305">
        <v>38885</v>
      </c>
      <c r="B7281" s="306">
        <v>157.35249999999999</v>
      </c>
      <c r="C7281" s="309">
        <v>4.1172473253177202</v>
      </c>
    </row>
    <row r="7282" spans="1:3" x14ac:dyDescent="0.35">
      <c r="A7282" s="302">
        <v>38884</v>
      </c>
      <c r="B7282" s="303">
        <v>157.33519999999999</v>
      </c>
      <c r="C7282" s="308">
        <v>4.1199924558019196</v>
      </c>
    </row>
    <row r="7283" spans="1:3" x14ac:dyDescent="0.35">
      <c r="A7283" s="305">
        <v>38883</v>
      </c>
      <c r="B7283" s="306">
        <v>157.31790000000001</v>
      </c>
      <c r="C7283" s="309">
        <v>4.1227383348478899</v>
      </c>
    </row>
    <row r="7284" spans="1:3" x14ac:dyDescent="0.35">
      <c r="A7284" s="302">
        <v>38882</v>
      </c>
      <c r="B7284" s="303">
        <v>157.29509999999999</v>
      </c>
      <c r="C7284" s="308">
        <v>4.1223956178529502</v>
      </c>
    </row>
    <row r="7285" spans="1:3" x14ac:dyDescent="0.35">
      <c r="A7285" s="305">
        <v>38881</v>
      </c>
      <c r="B7285" s="306">
        <v>157.2723</v>
      </c>
      <c r="C7285" s="309">
        <v>4.1220528037466702</v>
      </c>
    </row>
    <row r="7286" spans="1:3" x14ac:dyDescent="0.35">
      <c r="A7286" s="302">
        <v>38880</v>
      </c>
      <c r="B7286" s="303">
        <v>157.24950000000001</v>
      </c>
      <c r="C7286" s="308">
        <v>4.1217098924877904</v>
      </c>
    </row>
    <row r="7287" spans="1:3" x14ac:dyDescent="0.35">
      <c r="A7287" s="305">
        <v>38879</v>
      </c>
      <c r="B7287" s="306">
        <v>157.22669999999999</v>
      </c>
      <c r="C7287" s="309">
        <v>4.1213668840349804</v>
      </c>
    </row>
    <row r="7288" spans="1:3" x14ac:dyDescent="0.35">
      <c r="A7288" s="302">
        <v>38878</v>
      </c>
      <c r="B7288" s="303">
        <v>157.20400000000001</v>
      </c>
      <c r="C7288" s="308">
        <v>4.1210900114516997</v>
      </c>
    </row>
    <row r="7289" spans="1:3" x14ac:dyDescent="0.35">
      <c r="A7289" s="305">
        <v>38877</v>
      </c>
      <c r="B7289" s="306">
        <v>157.18119999999999</v>
      </c>
      <c r="C7289" s="309">
        <v>4.1207468178762001</v>
      </c>
    </row>
    <row r="7290" spans="1:3" x14ac:dyDescent="0.35">
      <c r="A7290" s="302">
        <v>38876</v>
      </c>
      <c r="B7290" s="303">
        <v>157.1584</v>
      </c>
      <c r="C7290" s="308">
        <v>4.1203345453003601</v>
      </c>
    </row>
    <row r="7291" spans="1:3" x14ac:dyDescent="0.35">
      <c r="A7291" s="305">
        <v>38875</v>
      </c>
      <c r="B7291" s="306">
        <v>157.13570000000001</v>
      </c>
      <c r="C7291" s="309">
        <v>4.1200574087350903</v>
      </c>
    </row>
    <row r="7292" spans="1:3" x14ac:dyDescent="0.35">
      <c r="A7292" s="302">
        <v>38874</v>
      </c>
      <c r="B7292" s="303">
        <v>157.1129</v>
      </c>
      <c r="C7292" s="308">
        <v>4.1197139229298996</v>
      </c>
    </row>
    <row r="7293" spans="1:3" x14ac:dyDescent="0.35">
      <c r="A7293" s="305">
        <v>38873</v>
      </c>
      <c r="B7293" s="306">
        <v>157.09020000000001</v>
      </c>
      <c r="C7293" s="309">
        <v>4.1193676093669502</v>
      </c>
    </row>
    <row r="7294" spans="1:3" x14ac:dyDescent="0.35">
      <c r="A7294" s="302">
        <v>38872</v>
      </c>
      <c r="B7294" s="303">
        <v>157.06739999999999</v>
      </c>
      <c r="C7294" s="308">
        <v>4.1190239284816998</v>
      </c>
    </row>
    <row r="7295" spans="1:3" x14ac:dyDescent="0.35">
      <c r="A7295" s="305">
        <v>38871</v>
      </c>
      <c r="B7295" s="306">
        <v>157.04470000000001</v>
      </c>
      <c r="C7295" s="309">
        <v>4.1187464488707004</v>
      </c>
    </row>
    <row r="7296" spans="1:3" x14ac:dyDescent="0.35">
      <c r="A7296" s="302">
        <v>38870</v>
      </c>
      <c r="B7296" s="303">
        <v>157.02189999999999</v>
      </c>
      <c r="C7296" s="308">
        <v>4.1183335433091797</v>
      </c>
    </row>
    <row r="7297" spans="1:3" x14ac:dyDescent="0.35">
      <c r="A7297" s="305">
        <v>38869</v>
      </c>
      <c r="B7297" s="306">
        <v>156.9992</v>
      </c>
      <c r="C7297" s="309">
        <v>4.1180558871434103</v>
      </c>
    </row>
    <row r="7298" spans="1:3" x14ac:dyDescent="0.35">
      <c r="A7298" s="302">
        <v>38868</v>
      </c>
      <c r="B7298" s="303">
        <v>156.97649999999999</v>
      </c>
      <c r="C7298" s="308">
        <v>4.1177090940204302</v>
      </c>
    </row>
    <row r="7299" spans="1:3" x14ac:dyDescent="0.35">
      <c r="A7299" s="305">
        <v>38867</v>
      </c>
      <c r="B7299" s="306">
        <v>156.9537</v>
      </c>
      <c r="C7299" s="309">
        <v>4.1173649342042902</v>
      </c>
    </row>
    <row r="7300" spans="1:3" x14ac:dyDescent="0.35">
      <c r="A7300" s="302">
        <v>38866</v>
      </c>
      <c r="B7300" s="303">
        <v>156.93100000000001</v>
      </c>
      <c r="C7300" s="308">
        <v>4.1170179451931199</v>
      </c>
    </row>
    <row r="7301" spans="1:3" x14ac:dyDescent="0.35">
      <c r="A7301" s="305">
        <v>38865</v>
      </c>
      <c r="B7301" s="306">
        <v>156.9083</v>
      </c>
      <c r="C7301" s="309">
        <v>4.1167399448721396</v>
      </c>
    </row>
    <row r="7302" spans="1:3" x14ac:dyDescent="0.35">
      <c r="A7302" s="302">
        <v>38864</v>
      </c>
      <c r="B7302" s="303">
        <v>156.88550000000001</v>
      </c>
      <c r="C7302" s="308">
        <v>4.1163264046550703</v>
      </c>
    </row>
    <row r="7303" spans="1:3" x14ac:dyDescent="0.35">
      <c r="A7303" s="305">
        <v>38863</v>
      </c>
      <c r="B7303" s="306">
        <v>156.86279999999999</v>
      </c>
      <c r="C7303" s="309">
        <v>4.1160482273175303</v>
      </c>
    </row>
    <row r="7304" spans="1:3" x14ac:dyDescent="0.35">
      <c r="A7304" s="302">
        <v>38862</v>
      </c>
      <c r="B7304" s="303">
        <v>156.84010000000001</v>
      </c>
      <c r="C7304" s="308">
        <v>4.1157008554157501</v>
      </c>
    </row>
    <row r="7305" spans="1:3" x14ac:dyDescent="0.35">
      <c r="A7305" s="305">
        <v>38861</v>
      </c>
      <c r="B7305" s="306">
        <v>156.81739999999999</v>
      </c>
      <c r="C7305" s="309">
        <v>4.1153533852657302</v>
      </c>
    </row>
    <row r="7306" spans="1:3" x14ac:dyDescent="0.35">
      <c r="A7306" s="302">
        <v>38860</v>
      </c>
      <c r="B7306" s="303">
        <v>156.79470000000001</v>
      </c>
      <c r="C7306" s="308">
        <v>4.1150749514434199</v>
      </c>
    </row>
    <row r="7307" spans="1:3" x14ac:dyDescent="0.35">
      <c r="A7307" s="305">
        <v>38859</v>
      </c>
      <c r="B7307" s="306">
        <v>156.77199999999999</v>
      </c>
      <c r="C7307" s="309">
        <v>4.1147272942204696</v>
      </c>
    </row>
    <row r="7308" spans="1:3" x14ac:dyDescent="0.35">
      <c r="A7308" s="302">
        <v>38858</v>
      </c>
      <c r="B7308" s="303">
        <v>156.74930000000001</v>
      </c>
      <c r="C7308" s="308">
        <v>4.1143795386267703</v>
      </c>
    </row>
    <row r="7309" spans="1:3" x14ac:dyDescent="0.35">
      <c r="A7309" s="305">
        <v>38857</v>
      </c>
      <c r="B7309" s="306">
        <v>156.72659999999999</v>
      </c>
      <c r="C7309" s="309">
        <v>4.1140316846205804</v>
      </c>
    </row>
    <row r="7310" spans="1:3" x14ac:dyDescent="0.35">
      <c r="A7310" s="302">
        <v>38856</v>
      </c>
      <c r="B7310" s="303">
        <v>156.7039</v>
      </c>
      <c r="C7310" s="308">
        <v>4.11375290508012</v>
      </c>
    </row>
    <row r="7311" spans="1:3" x14ac:dyDescent="0.35">
      <c r="A7311" s="305">
        <v>38855</v>
      </c>
      <c r="B7311" s="306">
        <v>156.68119999999999</v>
      </c>
      <c r="C7311" s="309">
        <v>4.1134048636827902</v>
      </c>
    </row>
    <row r="7312" spans="1:3" x14ac:dyDescent="0.35">
      <c r="A7312" s="302">
        <v>38854</v>
      </c>
      <c r="B7312" s="303">
        <v>156.6585</v>
      </c>
      <c r="C7312" s="308">
        <v>4.1130567237501801</v>
      </c>
    </row>
    <row r="7313" spans="1:3" x14ac:dyDescent="0.35">
      <c r="A7313" s="305">
        <v>38853</v>
      </c>
      <c r="B7313" s="306">
        <v>156.63579999999999</v>
      </c>
      <c r="C7313" s="309">
        <v>4.1127084852404403</v>
      </c>
    </row>
    <row r="7314" spans="1:3" x14ac:dyDescent="0.35">
      <c r="A7314" s="302">
        <v>38852</v>
      </c>
      <c r="B7314" s="303">
        <v>156.6131</v>
      </c>
      <c r="C7314" s="308">
        <v>4.1123601481117102</v>
      </c>
    </row>
    <row r="7315" spans="1:3" x14ac:dyDescent="0.35">
      <c r="A7315" s="305">
        <v>38851</v>
      </c>
      <c r="B7315" s="306">
        <v>156.57669999999999</v>
      </c>
      <c r="C7315" s="309">
        <v>4.1147400800326599</v>
      </c>
    </row>
    <row r="7316" spans="1:3" x14ac:dyDescent="0.35">
      <c r="A7316" s="302">
        <v>38850</v>
      </c>
      <c r="B7316" s="303">
        <v>156.5403</v>
      </c>
      <c r="C7316" s="308">
        <v>4.11719047742569</v>
      </c>
    </row>
    <row r="7317" spans="1:3" x14ac:dyDescent="0.35">
      <c r="A7317" s="305">
        <v>38849</v>
      </c>
      <c r="B7317" s="306">
        <v>156.50389999999999</v>
      </c>
      <c r="C7317" s="309">
        <v>4.1195728609283204</v>
      </c>
    </row>
    <row r="7318" spans="1:3" x14ac:dyDescent="0.35">
      <c r="A7318" s="302">
        <v>38848</v>
      </c>
      <c r="B7318" s="303">
        <v>156.4675</v>
      </c>
      <c r="C7318" s="308">
        <v>4.1219564619929203</v>
      </c>
    </row>
    <row r="7319" spans="1:3" x14ac:dyDescent="0.35">
      <c r="A7319" s="305">
        <v>38847</v>
      </c>
      <c r="B7319" s="306">
        <v>156.43109999999999</v>
      </c>
      <c r="C7319" s="309">
        <v>4.1243412815530904</v>
      </c>
    </row>
    <row r="7320" spans="1:3" x14ac:dyDescent="0.35">
      <c r="A7320" s="302">
        <v>38846</v>
      </c>
      <c r="B7320" s="303">
        <v>156.3947</v>
      </c>
      <c r="C7320" s="308">
        <v>4.12679664758942</v>
      </c>
    </row>
    <row r="7321" spans="1:3" x14ac:dyDescent="0.35">
      <c r="A7321" s="305">
        <v>38845</v>
      </c>
      <c r="B7321" s="306">
        <v>156.35839999999999</v>
      </c>
      <c r="C7321" s="309">
        <v>4.1292505227826704</v>
      </c>
    </row>
    <row r="7322" spans="1:3" x14ac:dyDescent="0.35">
      <c r="A7322" s="302">
        <v>38844</v>
      </c>
      <c r="B7322" s="303">
        <v>156.322</v>
      </c>
      <c r="C7322" s="308">
        <v>4.1315696740667596</v>
      </c>
    </row>
    <row r="7323" spans="1:3" x14ac:dyDescent="0.35">
      <c r="A7323" s="305">
        <v>38843</v>
      </c>
      <c r="B7323" s="306">
        <v>156.28569999999999</v>
      </c>
      <c r="C7323" s="309">
        <v>4.1340260245613498</v>
      </c>
    </row>
    <row r="7324" spans="1:3" x14ac:dyDescent="0.35">
      <c r="A7324" s="302">
        <v>38842</v>
      </c>
      <c r="B7324" s="303">
        <v>156.24930000000001</v>
      </c>
      <c r="C7324" s="308">
        <v>4.1364169847423602</v>
      </c>
    </row>
    <row r="7325" spans="1:3" x14ac:dyDescent="0.35">
      <c r="A7325" s="305">
        <v>38841</v>
      </c>
      <c r="B7325" s="306">
        <v>156.21299999999999</v>
      </c>
      <c r="C7325" s="309">
        <v>4.1388064099367599</v>
      </c>
    </row>
    <row r="7326" spans="1:3" x14ac:dyDescent="0.35">
      <c r="A7326" s="302">
        <v>38840</v>
      </c>
      <c r="B7326" s="303">
        <v>156.17670000000001</v>
      </c>
      <c r="C7326" s="308">
        <v>4.1412664987177097</v>
      </c>
    </row>
    <row r="7327" spans="1:3" x14ac:dyDescent="0.35">
      <c r="A7327" s="305">
        <v>38839</v>
      </c>
      <c r="B7327" s="306">
        <v>156.1404</v>
      </c>
      <c r="C7327" s="309">
        <v>4.1436583851304496</v>
      </c>
    </row>
    <row r="7328" spans="1:3" x14ac:dyDescent="0.35">
      <c r="A7328" s="302">
        <v>38838</v>
      </c>
      <c r="B7328" s="303">
        <v>156.10409999999999</v>
      </c>
      <c r="C7328" s="308">
        <v>4.1461209757855002</v>
      </c>
    </row>
    <row r="7329" spans="1:3" x14ac:dyDescent="0.35">
      <c r="A7329" s="305">
        <v>38837</v>
      </c>
      <c r="B7329" s="306">
        <v>156.06780000000001</v>
      </c>
      <c r="C7329" s="309">
        <v>4.1485153272045903</v>
      </c>
    </row>
    <row r="7330" spans="1:3" x14ac:dyDescent="0.35">
      <c r="A7330" s="302">
        <v>38836</v>
      </c>
      <c r="B7330" s="303">
        <v>156.03149999999999</v>
      </c>
      <c r="C7330" s="308">
        <v>4.1509109028661797</v>
      </c>
    </row>
    <row r="7331" spans="1:3" x14ac:dyDescent="0.35">
      <c r="A7331" s="305">
        <v>38835</v>
      </c>
      <c r="B7331" s="306">
        <v>155.99520000000001</v>
      </c>
      <c r="C7331" s="309">
        <v>4.1533077037094399</v>
      </c>
    </row>
    <row r="7332" spans="1:3" x14ac:dyDescent="0.35">
      <c r="A7332" s="302">
        <v>38834</v>
      </c>
      <c r="B7332" s="303">
        <v>155.959</v>
      </c>
      <c r="C7332" s="308">
        <v>4.1557725147475901</v>
      </c>
    </row>
    <row r="7333" spans="1:3" x14ac:dyDescent="0.35">
      <c r="A7333" s="305">
        <v>38833</v>
      </c>
      <c r="B7333" s="306">
        <v>155.92269999999999</v>
      </c>
      <c r="C7333" s="309">
        <v>4.1581717858621996</v>
      </c>
    </row>
    <row r="7334" spans="1:3" x14ac:dyDescent="0.35">
      <c r="A7334" s="302">
        <v>38832</v>
      </c>
      <c r="B7334" s="303">
        <v>155.88640000000001</v>
      </c>
      <c r="C7334" s="308">
        <v>4.1605026867602399</v>
      </c>
    </row>
    <row r="7335" spans="1:3" x14ac:dyDescent="0.35">
      <c r="A7335" s="305">
        <v>38831</v>
      </c>
      <c r="B7335" s="306">
        <v>155.8502</v>
      </c>
      <c r="C7335" s="309">
        <v>4.1629712307388997</v>
      </c>
    </row>
    <row r="7336" spans="1:3" x14ac:dyDescent="0.35">
      <c r="A7336" s="302">
        <v>38830</v>
      </c>
      <c r="B7336" s="303">
        <v>155.81399999999999</v>
      </c>
      <c r="C7336" s="308">
        <v>4.1653714017540704</v>
      </c>
    </row>
    <row r="7337" spans="1:3" x14ac:dyDescent="0.35">
      <c r="A7337" s="305">
        <v>38829</v>
      </c>
      <c r="B7337" s="306">
        <v>155.77770000000001</v>
      </c>
      <c r="C7337" s="309">
        <v>4.16777558594403</v>
      </c>
    </row>
    <row r="7338" spans="1:3" x14ac:dyDescent="0.35">
      <c r="A7338" s="302">
        <v>38828</v>
      </c>
      <c r="B7338" s="303">
        <v>155.7415</v>
      </c>
      <c r="C7338" s="308">
        <v>4.1701782126297902</v>
      </c>
    </row>
    <row r="7339" spans="1:3" x14ac:dyDescent="0.35">
      <c r="A7339" s="305">
        <v>38827</v>
      </c>
      <c r="B7339" s="306">
        <v>155.70529999999999</v>
      </c>
      <c r="C7339" s="309">
        <v>4.1725820674041199</v>
      </c>
    </row>
    <row r="7340" spans="1:3" x14ac:dyDescent="0.35">
      <c r="A7340" s="302">
        <v>38826</v>
      </c>
      <c r="B7340" s="303">
        <v>155.66909999999999</v>
      </c>
      <c r="C7340" s="308">
        <v>4.1750568659769796</v>
      </c>
    </row>
    <row r="7341" spans="1:3" x14ac:dyDescent="0.35">
      <c r="A7341" s="305">
        <v>38825</v>
      </c>
      <c r="B7341" s="306">
        <v>155.63290000000001</v>
      </c>
      <c r="C7341" s="309">
        <v>4.17746319919193</v>
      </c>
    </row>
    <row r="7342" spans="1:3" x14ac:dyDescent="0.35">
      <c r="A7342" s="302">
        <v>38824</v>
      </c>
      <c r="B7342" s="303">
        <v>155.5967</v>
      </c>
      <c r="C7342" s="308">
        <v>4.1798010096817002</v>
      </c>
    </row>
    <row r="7343" spans="1:3" x14ac:dyDescent="0.35">
      <c r="A7343" s="305">
        <v>38823</v>
      </c>
      <c r="B7343" s="306">
        <v>155.56059999999999</v>
      </c>
      <c r="C7343" s="309">
        <v>4.1822767583872604</v>
      </c>
    </row>
    <row r="7344" spans="1:3" x14ac:dyDescent="0.35">
      <c r="A7344" s="302">
        <v>38822</v>
      </c>
      <c r="B7344" s="303">
        <v>155.52440000000001</v>
      </c>
      <c r="C7344" s="308">
        <v>4.1846867848893599</v>
      </c>
    </row>
    <row r="7345" spans="1:3" x14ac:dyDescent="0.35">
      <c r="A7345" s="305">
        <v>38821</v>
      </c>
      <c r="B7345" s="306">
        <v>155.4914</v>
      </c>
      <c r="C7345" s="309">
        <v>4.1967128307088402</v>
      </c>
    </row>
    <row r="7346" spans="1:3" x14ac:dyDescent="0.35">
      <c r="A7346" s="302">
        <v>38820</v>
      </c>
      <c r="B7346" s="303">
        <v>155.45840000000001</v>
      </c>
      <c r="C7346" s="308">
        <v>4.2086769062051896</v>
      </c>
    </row>
    <row r="7347" spans="1:3" x14ac:dyDescent="0.35">
      <c r="A7347" s="305">
        <v>38819</v>
      </c>
      <c r="B7347" s="306">
        <v>155.4255</v>
      </c>
      <c r="C7347" s="309">
        <v>4.2207857521239696</v>
      </c>
    </row>
    <row r="7348" spans="1:3" x14ac:dyDescent="0.35">
      <c r="A7348" s="302">
        <v>38818</v>
      </c>
      <c r="B7348" s="303">
        <v>155.39250000000001</v>
      </c>
      <c r="C7348" s="308">
        <v>4.23276554813385</v>
      </c>
    </row>
    <row r="7349" spans="1:3" x14ac:dyDescent="0.35">
      <c r="A7349" s="305">
        <v>38817</v>
      </c>
      <c r="B7349" s="306">
        <v>155.3595</v>
      </c>
      <c r="C7349" s="309">
        <v>4.2447531895534798</v>
      </c>
    </row>
    <row r="7350" spans="1:3" x14ac:dyDescent="0.35">
      <c r="A7350" s="302">
        <v>38816</v>
      </c>
      <c r="B7350" s="303">
        <v>155.32650000000001</v>
      </c>
      <c r="C7350" s="308">
        <v>4.2567486840921802</v>
      </c>
    </row>
    <row r="7351" spans="1:3" x14ac:dyDescent="0.35">
      <c r="A7351" s="305">
        <v>38815</v>
      </c>
      <c r="B7351" s="306">
        <v>155.2936</v>
      </c>
      <c r="C7351" s="309">
        <v>4.2687491733020702</v>
      </c>
    </row>
    <row r="7352" spans="1:3" x14ac:dyDescent="0.35">
      <c r="A7352" s="302">
        <v>38814</v>
      </c>
      <c r="B7352" s="303">
        <v>155.26060000000001</v>
      </c>
      <c r="C7352" s="308">
        <v>4.2807603882404903</v>
      </c>
    </row>
    <row r="7353" spans="1:3" x14ac:dyDescent="0.35">
      <c r="A7353" s="305">
        <v>38813</v>
      </c>
      <c r="B7353" s="306">
        <v>155.2277</v>
      </c>
      <c r="C7353" s="309">
        <v>4.2927765952872399</v>
      </c>
    </row>
    <row r="7354" spans="1:3" x14ac:dyDescent="0.35">
      <c r="A7354" s="302">
        <v>38812</v>
      </c>
      <c r="B7354" s="303">
        <v>155.19479999999999</v>
      </c>
      <c r="C7354" s="308">
        <v>4.3048006683258304</v>
      </c>
    </row>
    <row r="7355" spans="1:3" x14ac:dyDescent="0.35">
      <c r="A7355" s="305">
        <v>38811</v>
      </c>
      <c r="B7355" s="306">
        <v>155.1618</v>
      </c>
      <c r="C7355" s="309">
        <v>4.3167653841240803</v>
      </c>
    </row>
    <row r="7356" spans="1:3" x14ac:dyDescent="0.35">
      <c r="A7356" s="302">
        <v>38810</v>
      </c>
      <c r="B7356" s="303">
        <v>155.12889999999999</v>
      </c>
      <c r="C7356" s="308">
        <v>4.3288051903158404</v>
      </c>
    </row>
    <row r="7357" spans="1:3" x14ac:dyDescent="0.35">
      <c r="A7357" s="305">
        <v>38809</v>
      </c>
      <c r="B7357" s="306">
        <v>155.096</v>
      </c>
      <c r="C7357" s="309">
        <v>4.3408528856943702</v>
      </c>
    </row>
    <row r="7358" spans="1:3" x14ac:dyDescent="0.35">
      <c r="A7358" s="302">
        <v>38808</v>
      </c>
      <c r="B7358" s="303">
        <v>155.06309999999999</v>
      </c>
      <c r="C7358" s="308">
        <v>4.35283825162354</v>
      </c>
    </row>
    <row r="7359" spans="1:3" x14ac:dyDescent="0.35">
      <c r="A7359" s="305">
        <v>38807</v>
      </c>
      <c r="B7359" s="306">
        <v>155.03020000000001</v>
      </c>
      <c r="C7359" s="309">
        <v>4.36490171751164</v>
      </c>
    </row>
    <row r="7360" spans="1:3" x14ac:dyDescent="0.35">
      <c r="A7360" s="302">
        <v>38806</v>
      </c>
      <c r="B7360" s="303">
        <v>154.9973</v>
      </c>
      <c r="C7360" s="308">
        <v>4.3769028072488698</v>
      </c>
    </row>
    <row r="7361" spans="1:3" x14ac:dyDescent="0.35">
      <c r="A7361" s="305">
        <v>38805</v>
      </c>
      <c r="B7361" s="306">
        <v>154.96440000000001</v>
      </c>
      <c r="C7361" s="309">
        <v>4.3889117549382197</v>
      </c>
    </row>
    <row r="7362" spans="1:3" x14ac:dyDescent="0.35">
      <c r="A7362" s="302">
        <v>38804</v>
      </c>
      <c r="B7362" s="303">
        <v>154.9315</v>
      </c>
      <c r="C7362" s="308">
        <v>4.4009285682999701</v>
      </c>
    </row>
    <row r="7363" spans="1:3" x14ac:dyDescent="0.35">
      <c r="A7363" s="305">
        <v>38803</v>
      </c>
      <c r="B7363" s="306">
        <v>154.89859999999999</v>
      </c>
      <c r="C7363" s="309">
        <v>4.4129532550644797</v>
      </c>
    </row>
    <row r="7364" spans="1:3" x14ac:dyDescent="0.35">
      <c r="A7364" s="302">
        <v>38802</v>
      </c>
      <c r="B7364" s="303">
        <v>154.86580000000001</v>
      </c>
      <c r="C7364" s="308">
        <v>4.4249828392336301</v>
      </c>
    </row>
    <row r="7365" spans="1:3" x14ac:dyDescent="0.35">
      <c r="A7365" s="305">
        <v>38801</v>
      </c>
      <c r="B7365" s="306">
        <v>154.8329</v>
      </c>
      <c r="C7365" s="309">
        <v>4.4370232869357302</v>
      </c>
    </row>
    <row r="7366" spans="1:3" x14ac:dyDescent="0.35">
      <c r="A7366" s="302">
        <v>38800</v>
      </c>
      <c r="B7366" s="303">
        <v>154.80009999999999</v>
      </c>
      <c r="C7366" s="308">
        <v>4.4490686293362698</v>
      </c>
    </row>
    <row r="7367" spans="1:3" x14ac:dyDescent="0.35">
      <c r="A7367" s="305">
        <v>38799</v>
      </c>
      <c r="B7367" s="306">
        <v>154.7672</v>
      </c>
      <c r="C7367" s="309">
        <v>4.4610543623082997</v>
      </c>
    </row>
    <row r="7368" spans="1:3" x14ac:dyDescent="0.35">
      <c r="A7368" s="302">
        <v>38798</v>
      </c>
      <c r="B7368" s="303">
        <v>154.73439999999999</v>
      </c>
      <c r="C7368" s="308">
        <v>4.4731154627022098</v>
      </c>
    </row>
    <row r="7369" spans="1:3" x14ac:dyDescent="0.35">
      <c r="A7369" s="305">
        <v>38797</v>
      </c>
      <c r="B7369" s="306">
        <v>154.70150000000001</v>
      </c>
      <c r="C7369" s="309">
        <v>4.4851169249389402</v>
      </c>
    </row>
    <row r="7370" spans="1:3" x14ac:dyDescent="0.35">
      <c r="A7370" s="302">
        <v>38796</v>
      </c>
      <c r="B7370" s="303">
        <v>154.6687</v>
      </c>
      <c r="C7370" s="308">
        <v>4.4971232140009896</v>
      </c>
    </row>
    <row r="7371" spans="1:3" x14ac:dyDescent="0.35">
      <c r="A7371" s="305">
        <v>38795</v>
      </c>
      <c r="B7371" s="306">
        <v>154.63589999999999</v>
      </c>
      <c r="C7371" s="309">
        <v>4.5092079892460299</v>
      </c>
    </row>
    <row r="7372" spans="1:3" x14ac:dyDescent="0.35">
      <c r="A7372" s="302">
        <v>38794</v>
      </c>
      <c r="B7372" s="303">
        <v>154.60310000000001</v>
      </c>
      <c r="C7372" s="308">
        <v>4.5212300266030301</v>
      </c>
    </row>
    <row r="7373" spans="1:3" x14ac:dyDescent="0.35">
      <c r="A7373" s="305">
        <v>38793</v>
      </c>
      <c r="B7373" s="306">
        <v>154.5703</v>
      </c>
      <c r="C7373" s="309">
        <v>4.5332599340894602</v>
      </c>
    </row>
    <row r="7374" spans="1:3" x14ac:dyDescent="0.35">
      <c r="A7374" s="302">
        <v>38792</v>
      </c>
      <c r="B7374" s="303">
        <v>154.53749999999999</v>
      </c>
      <c r="C7374" s="308">
        <v>4.5452977194360402</v>
      </c>
    </row>
    <row r="7375" spans="1:3" x14ac:dyDescent="0.35">
      <c r="A7375" s="305">
        <v>38791</v>
      </c>
      <c r="B7375" s="306">
        <v>154.50470000000001</v>
      </c>
      <c r="C7375" s="309">
        <v>4.5573433903835898</v>
      </c>
    </row>
    <row r="7376" spans="1:3" x14ac:dyDescent="0.35">
      <c r="A7376" s="302">
        <v>38790</v>
      </c>
      <c r="B7376" s="303">
        <v>154.47499999999999</v>
      </c>
      <c r="C7376" s="308">
        <v>4.5677437871969397</v>
      </c>
    </row>
    <row r="7377" spans="1:3" x14ac:dyDescent="0.35">
      <c r="A7377" s="305">
        <v>38789</v>
      </c>
      <c r="B7377" s="306">
        <v>154.4453</v>
      </c>
      <c r="C7377" s="309">
        <v>4.5781502544959096</v>
      </c>
    </row>
    <row r="7378" spans="1:3" x14ac:dyDescent="0.35">
      <c r="A7378" s="302">
        <v>38788</v>
      </c>
      <c r="B7378" s="303">
        <v>154.41560000000001</v>
      </c>
      <c r="C7378" s="308">
        <v>4.5885627975968699</v>
      </c>
    </row>
    <row r="7379" spans="1:3" x14ac:dyDescent="0.35">
      <c r="A7379" s="305">
        <v>38787</v>
      </c>
      <c r="B7379" s="306">
        <v>154.38589999999999</v>
      </c>
      <c r="C7379" s="309">
        <v>4.5989105543435498</v>
      </c>
    </row>
    <row r="7380" spans="1:3" x14ac:dyDescent="0.35">
      <c r="A7380" s="302">
        <v>38786</v>
      </c>
      <c r="B7380" s="303">
        <v>154.3562</v>
      </c>
      <c r="C7380" s="308">
        <v>4.6093352372574499</v>
      </c>
    </row>
    <row r="7381" spans="1:3" x14ac:dyDescent="0.35">
      <c r="A7381" s="305">
        <v>38785</v>
      </c>
      <c r="B7381" s="306">
        <v>154.32650000000001</v>
      </c>
      <c r="C7381" s="309">
        <v>4.6196950890063802</v>
      </c>
    </row>
    <row r="7382" spans="1:3" x14ac:dyDescent="0.35">
      <c r="A7382" s="302">
        <v>38784</v>
      </c>
      <c r="B7382" s="303">
        <v>154.29689999999999</v>
      </c>
      <c r="C7382" s="308">
        <v>4.6301287932574304</v>
      </c>
    </row>
    <row r="7383" spans="1:3" x14ac:dyDescent="0.35">
      <c r="A7383" s="305">
        <v>38783</v>
      </c>
      <c r="B7383" s="306">
        <v>154.2672</v>
      </c>
      <c r="C7383" s="309">
        <v>4.6405007532597704</v>
      </c>
    </row>
    <row r="7384" spans="1:3" x14ac:dyDescent="0.35">
      <c r="A7384" s="302">
        <v>38782</v>
      </c>
      <c r="B7384" s="303">
        <v>154.23750000000001</v>
      </c>
      <c r="C7384" s="308">
        <v>4.6508787654470103</v>
      </c>
    </row>
    <row r="7385" spans="1:3" x14ac:dyDescent="0.35">
      <c r="A7385" s="305">
        <v>38781</v>
      </c>
      <c r="B7385" s="306">
        <v>154.2079</v>
      </c>
      <c r="C7385" s="309">
        <v>4.6613307053961597</v>
      </c>
    </row>
    <row r="7386" spans="1:3" x14ac:dyDescent="0.35">
      <c r="A7386" s="302">
        <v>38780</v>
      </c>
      <c r="B7386" s="303">
        <v>154.1782</v>
      </c>
      <c r="C7386" s="308">
        <v>4.6717208576690998</v>
      </c>
    </row>
    <row r="7387" spans="1:3" x14ac:dyDescent="0.35">
      <c r="A7387" s="305">
        <v>38779</v>
      </c>
      <c r="B7387" s="306">
        <v>154.14850000000001</v>
      </c>
      <c r="C7387" s="309">
        <v>4.6820459885639796</v>
      </c>
    </row>
    <row r="7388" spans="1:3" x14ac:dyDescent="0.35">
      <c r="A7388" s="302">
        <v>38778</v>
      </c>
      <c r="B7388" s="303">
        <v>154.1189</v>
      </c>
      <c r="C7388" s="308">
        <v>4.6925161842525398</v>
      </c>
    </row>
    <row r="7389" spans="1:3" x14ac:dyDescent="0.35">
      <c r="A7389" s="305">
        <v>38777</v>
      </c>
      <c r="B7389" s="306">
        <v>154.08930000000001</v>
      </c>
      <c r="C7389" s="309">
        <v>4.7029213532008596</v>
      </c>
    </row>
    <row r="7390" spans="1:3" x14ac:dyDescent="0.35">
      <c r="A7390" s="302">
        <v>38776</v>
      </c>
      <c r="B7390" s="303">
        <v>154.05959999999999</v>
      </c>
      <c r="C7390" s="308">
        <v>4.7132646208807198</v>
      </c>
    </row>
    <row r="7391" spans="1:3" x14ac:dyDescent="0.35">
      <c r="A7391" s="305">
        <v>38775</v>
      </c>
      <c r="B7391" s="306">
        <v>154.03</v>
      </c>
      <c r="C7391" s="309">
        <v>4.7236819114196598</v>
      </c>
    </row>
    <row r="7392" spans="1:3" x14ac:dyDescent="0.35">
      <c r="A7392" s="302">
        <v>38774</v>
      </c>
      <c r="B7392" s="303">
        <v>154.00040000000001</v>
      </c>
      <c r="C7392" s="308">
        <v>4.73410528062547</v>
      </c>
    </row>
    <row r="7393" spans="1:3" x14ac:dyDescent="0.35">
      <c r="A7393" s="305">
        <v>38773</v>
      </c>
      <c r="B7393" s="306">
        <v>153.9708</v>
      </c>
      <c r="C7393" s="309">
        <v>4.7445347338201902</v>
      </c>
    </row>
    <row r="7394" spans="1:3" x14ac:dyDescent="0.35">
      <c r="A7394" s="302">
        <v>38772</v>
      </c>
      <c r="B7394" s="303">
        <v>153.94110000000001</v>
      </c>
      <c r="C7394" s="308">
        <v>4.7549022276419199</v>
      </c>
    </row>
    <row r="7395" spans="1:3" x14ac:dyDescent="0.35">
      <c r="A7395" s="305">
        <v>38771</v>
      </c>
      <c r="B7395" s="306">
        <v>153.91149999999999</v>
      </c>
      <c r="C7395" s="309">
        <v>4.7652725327205401</v>
      </c>
    </row>
    <row r="7396" spans="1:3" x14ac:dyDescent="0.35">
      <c r="A7396" s="302">
        <v>38770</v>
      </c>
      <c r="B7396" s="303">
        <v>153.8819</v>
      </c>
      <c r="C7396" s="308">
        <v>4.7757202220498796</v>
      </c>
    </row>
    <row r="7397" spans="1:3" x14ac:dyDescent="0.35">
      <c r="A7397" s="305">
        <v>38769</v>
      </c>
      <c r="B7397" s="306">
        <v>153.85230000000001</v>
      </c>
      <c r="C7397" s="309">
        <v>4.7861026486615703</v>
      </c>
    </row>
    <row r="7398" spans="1:3" x14ac:dyDescent="0.35">
      <c r="A7398" s="302">
        <v>38768</v>
      </c>
      <c r="B7398" s="303">
        <v>153.8228</v>
      </c>
      <c r="C7398" s="308">
        <v>4.79655925816669</v>
      </c>
    </row>
    <row r="7399" spans="1:3" x14ac:dyDescent="0.35">
      <c r="A7399" s="305">
        <v>38767</v>
      </c>
      <c r="B7399" s="306">
        <v>153.79320000000001</v>
      </c>
      <c r="C7399" s="309">
        <v>4.8069538195237103</v>
      </c>
    </row>
    <row r="7400" spans="1:3" x14ac:dyDescent="0.35">
      <c r="A7400" s="302">
        <v>38766</v>
      </c>
      <c r="B7400" s="303">
        <v>153.7636</v>
      </c>
      <c r="C7400" s="308">
        <v>4.8173544462826996</v>
      </c>
    </row>
    <row r="7401" spans="1:3" x14ac:dyDescent="0.35">
      <c r="A7401" s="305">
        <v>38765</v>
      </c>
      <c r="B7401" s="306">
        <v>153.73400000000001</v>
      </c>
      <c r="C7401" s="309">
        <v>4.8277611437540999</v>
      </c>
    </row>
    <row r="7402" spans="1:3" x14ac:dyDescent="0.35">
      <c r="A7402" s="302">
        <v>38764</v>
      </c>
      <c r="B7402" s="303">
        <v>153.7045</v>
      </c>
      <c r="C7402" s="308">
        <v>4.8381706172516203</v>
      </c>
    </row>
    <row r="7403" spans="1:3" x14ac:dyDescent="0.35">
      <c r="A7403" s="305">
        <v>38763</v>
      </c>
      <c r="B7403" s="306">
        <v>153.67490000000001</v>
      </c>
      <c r="C7403" s="309">
        <v>4.8485894640318099</v>
      </c>
    </row>
    <row r="7404" spans="1:3" x14ac:dyDescent="0.35">
      <c r="A7404" s="302">
        <v>38762</v>
      </c>
      <c r="B7404" s="303">
        <v>153.67140000000001</v>
      </c>
      <c r="C7404" s="308">
        <v>4.8563603090187799</v>
      </c>
    </row>
    <row r="7405" spans="1:3" x14ac:dyDescent="0.35">
      <c r="A7405" s="305">
        <v>38761</v>
      </c>
      <c r="B7405" s="306">
        <v>153.66800000000001</v>
      </c>
      <c r="C7405" s="309">
        <v>4.86412934070606</v>
      </c>
    </row>
    <row r="7406" spans="1:3" x14ac:dyDescent="0.35">
      <c r="A7406" s="302">
        <v>38760</v>
      </c>
      <c r="B7406" s="303">
        <v>153.6645</v>
      </c>
      <c r="C7406" s="308">
        <v>4.8719031925413896</v>
      </c>
    </row>
    <row r="7407" spans="1:3" x14ac:dyDescent="0.35">
      <c r="A7407" s="305">
        <v>38759</v>
      </c>
      <c r="B7407" s="306">
        <v>153.661</v>
      </c>
      <c r="C7407" s="309">
        <v>4.8796785512692802</v>
      </c>
    </row>
    <row r="7408" spans="1:3" x14ac:dyDescent="0.35">
      <c r="A7408" s="302">
        <v>38758</v>
      </c>
      <c r="B7408" s="303">
        <v>153.6576</v>
      </c>
      <c r="C7408" s="308">
        <v>4.8874520811262396</v>
      </c>
    </row>
    <row r="7409" spans="1:3" x14ac:dyDescent="0.35">
      <c r="A7409" s="305">
        <v>38757</v>
      </c>
      <c r="B7409" s="306">
        <v>153.6541</v>
      </c>
      <c r="C7409" s="309">
        <v>4.8952304493205396</v>
      </c>
    </row>
    <row r="7410" spans="1:3" x14ac:dyDescent="0.35">
      <c r="A7410" s="302">
        <v>38756</v>
      </c>
      <c r="B7410" s="303">
        <v>153.6506</v>
      </c>
      <c r="C7410" s="308">
        <v>4.9029387045612998</v>
      </c>
    </row>
    <row r="7411" spans="1:3" x14ac:dyDescent="0.35">
      <c r="A7411" s="305">
        <v>38755</v>
      </c>
      <c r="B7411" s="306">
        <v>153.64709999999999</v>
      </c>
      <c r="C7411" s="309">
        <v>4.91072007734794</v>
      </c>
    </row>
    <row r="7412" spans="1:3" x14ac:dyDescent="0.35">
      <c r="A7412" s="302">
        <v>38754</v>
      </c>
      <c r="B7412" s="303">
        <v>153.6437</v>
      </c>
      <c r="C7412" s="308">
        <v>4.9184996005217103</v>
      </c>
    </row>
    <row r="7413" spans="1:3" x14ac:dyDescent="0.35">
      <c r="A7413" s="305">
        <v>38753</v>
      </c>
      <c r="B7413" s="306">
        <v>153.64019999999999</v>
      </c>
      <c r="C7413" s="309">
        <v>4.92628398626481</v>
      </c>
    </row>
    <row r="7414" spans="1:3" x14ac:dyDescent="0.35">
      <c r="A7414" s="302">
        <v>38752</v>
      </c>
      <c r="B7414" s="303">
        <v>153.63669999999999</v>
      </c>
      <c r="C7414" s="308">
        <v>4.9339982119037504</v>
      </c>
    </row>
    <row r="7415" spans="1:3" x14ac:dyDescent="0.35">
      <c r="A7415" s="305">
        <v>38751</v>
      </c>
      <c r="B7415" s="306">
        <v>153.63329999999999</v>
      </c>
      <c r="C7415" s="309">
        <v>4.9418539124376304</v>
      </c>
    </row>
    <row r="7416" spans="1:3" x14ac:dyDescent="0.35">
      <c r="A7416" s="302">
        <v>38750</v>
      </c>
      <c r="B7416" s="303">
        <v>153.62979999999999</v>
      </c>
      <c r="C7416" s="308">
        <v>4.9495711291640401</v>
      </c>
    </row>
    <row r="7417" spans="1:3" x14ac:dyDescent="0.35">
      <c r="A7417" s="305">
        <v>38749</v>
      </c>
      <c r="B7417" s="306">
        <v>153.62629999999999</v>
      </c>
      <c r="C7417" s="309">
        <v>4.9573615394390398</v>
      </c>
    </row>
    <row r="7418" spans="1:3" x14ac:dyDescent="0.35">
      <c r="A7418" s="302">
        <v>38748</v>
      </c>
      <c r="B7418" s="303">
        <v>153.62289999999999</v>
      </c>
      <c r="C7418" s="308">
        <v>4.9651500689072696</v>
      </c>
    </row>
    <row r="7419" spans="1:3" x14ac:dyDescent="0.35">
      <c r="A7419" s="305">
        <v>38747</v>
      </c>
      <c r="B7419" s="306">
        <v>153.61940000000001</v>
      </c>
      <c r="C7419" s="309">
        <v>4.9728717661368602</v>
      </c>
    </row>
    <row r="7420" spans="1:3" x14ac:dyDescent="0.35">
      <c r="A7420" s="302">
        <v>38746</v>
      </c>
      <c r="B7420" s="303">
        <v>153.61590000000001</v>
      </c>
      <c r="C7420" s="308">
        <v>4.9806666949137499</v>
      </c>
    </row>
    <row r="7421" spans="1:3" x14ac:dyDescent="0.35">
      <c r="A7421" s="305">
        <v>38745</v>
      </c>
      <c r="B7421" s="306">
        <v>153.61250000000001</v>
      </c>
      <c r="C7421" s="309">
        <v>4.9884597272845896</v>
      </c>
    </row>
    <row r="7422" spans="1:3" x14ac:dyDescent="0.35">
      <c r="A7422" s="302">
        <v>38744</v>
      </c>
      <c r="B7422" s="303">
        <v>153.60900000000001</v>
      </c>
      <c r="C7422" s="308">
        <v>4.9962576768888498</v>
      </c>
    </row>
    <row r="7423" spans="1:3" x14ac:dyDescent="0.35">
      <c r="A7423" s="305">
        <v>38743</v>
      </c>
      <c r="B7423" s="306">
        <v>153.60550000000001</v>
      </c>
      <c r="C7423" s="309">
        <v>5.0039853601248003</v>
      </c>
    </row>
    <row r="7424" spans="1:3" x14ac:dyDescent="0.35">
      <c r="A7424" s="302">
        <v>38742</v>
      </c>
      <c r="B7424" s="303">
        <v>153.60210000000001</v>
      </c>
      <c r="C7424" s="308">
        <v>5.0117828993110702</v>
      </c>
    </row>
    <row r="7425" spans="1:3" x14ac:dyDescent="0.35">
      <c r="A7425" s="305">
        <v>38741</v>
      </c>
      <c r="B7425" s="306">
        <v>153.5986</v>
      </c>
      <c r="C7425" s="309">
        <v>5.0195853739750103</v>
      </c>
    </row>
    <row r="7426" spans="1:3" x14ac:dyDescent="0.35">
      <c r="A7426" s="302">
        <v>38740</v>
      </c>
      <c r="B7426" s="303">
        <v>153.5951</v>
      </c>
      <c r="C7426" s="308">
        <v>5.0273175468227498</v>
      </c>
    </row>
    <row r="7427" spans="1:3" x14ac:dyDescent="0.35">
      <c r="A7427" s="305">
        <v>38739</v>
      </c>
      <c r="B7427" s="306">
        <v>153.5917</v>
      </c>
      <c r="C7427" s="309">
        <v>5.0351195967418203</v>
      </c>
    </row>
    <row r="7428" spans="1:3" x14ac:dyDescent="0.35">
      <c r="A7428" s="302">
        <v>38738</v>
      </c>
      <c r="B7428" s="303">
        <v>153.5882</v>
      </c>
      <c r="C7428" s="308">
        <v>5.0429266004033799</v>
      </c>
    </row>
    <row r="7429" spans="1:3" x14ac:dyDescent="0.35">
      <c r="A7429" s="305">
        <v>38737</v>
      </c>
      <c r="B7429" s="306">
        <v>153.5847</v>
      </c>
      <c r="C7429" s="309">
        <v>5.0506632667718199</v>
      </c>
    </row>
    <row r="7430" spans="1:3" x14ac:dyDescent="0.35">
      <c r="A7430" s="302">
        <v>38736</v>
      </c>
      <c r="B7430" s="303">
        <v>153.5813</v>
      </c>
      <c r="C7430" s="308">
        <v>5.0584698313455796</v>
      </c>
    </row>
    <row r="7431" spans="1:3" x14ac:dyDescent="0.35">
      <c r="A7431" s="305">
        <v>38735</v>
      </c>
      <c r="B7431" s="306">
        <v>153.5778</v>
      </c>
      <c r="C7431" s="309">
        <v>5.0662094896163703</v>
      </c>
    </row>
    <row r="7432" spans="1:3" x14ac:dyDescent="0.35">
      <c r="A7432" s="302">
        <v>38734</v>
      </c>
      <c r="B7432" s="303">
        <v>153.57429999999999</v>
      </c>
      <c r="C7432" s="308">
        <v>5.07402253174984</v>
      </c>
    </row>
    <row r="7433" spans="1:3" x14ac:dyDescent="0.35">
      <c r="A7433" s="305">
        <v>38733</v>
      </c>
      <c r="B7433" s="306">
        <v>153.57089999999999</v>
      </c>
      <c r="C7433" s="309">
        <v>5.0818336149047401</v>
      </c>
    </row>
    <row r="7434" spans="1:3" x14ac:dyDescent="0.35">
      <c r="A7434" s="302">
        <v>38732</v>
      </c>
      <c r="B7434" s="303">
        <v>153.56739999999999</v>
      </c>
      <c r="C7434" s="308">
        <v>5.0895777732156304</v>
      </c>
    </row>
    <row r="7435" spans="1:3" x14ac:dyDescent="0.35">
      <c r="A7435" s="305">
        <v>38731</v>
      </c>
      <c r="B7435" s="306">
        <v>153.56200000000001</v>
      </c>
      <c r="C7435" s="309">
        <v>5.0953757541911697</v>
      </c>
    </row>
    <row r="7436" spans="1:3" x14ac:dyDescent="0.35">
      <c r="A7436" s="302">
        <v>38730</v>
      </c>
      <c r="B7436" s="303">
        <v>153.5565</v>
      </c>
      <c r="C7436" s="308">
        <v>5.10103440227729</v>
      </c>
    </row>
    <row r="7437" spans="1:3" x14ac:dyDescent="0.35">
      <c r="A7437" s="305">
        <v>38729</v>
      </c>
      <c r="B7437" s="306">
        <v>153.55109999999999</v>
      </c>
      <c r="C7437" s="309">
        <v>5.1068344621998003</v>
      </c>
    </row>
    <row r="7438" spans="1:3" x14ac:dyDescent="0.35">
      <c r="A7438" s="302">
        <v>38728</v>
      </c>
      <c r="B7438" s="303">
        <v>153.54570000000001</v>
      </c>
      <c r="C7438" s="308">
        <v>5.1126355703452901</v>
      </c>
    </row>
    <row r="7439" spans="1:3" x14ac:dyDescent="0.35">
      <c r="A7439" s="305">
        <v>38727</v>
      </c>
      <c r="B7439" s="306">
        <v>153.5402</v>
      </c>
      <c r="C7439" s="309">
        <v>5.1183692639053699</v>
      </c>
    </row>
    <row r="7440" spans="1:3" x14ac:dyDescent="0.35">
      <c r="A7440" s="302">
        <v>38726</v>
      </c>
      <c r="B7440" s="303">
        <v>153.53479999999999</v>
      </c>
      <c r="C7440" s="308">
        <v>5.1241004854468599</v>
      </c>
    </row>
    <row r="7441" spans="1:3" x14ac:dyDescent="0.35">
      <c r="A7441" s="305">
        <v>38725</v>
      </c>
      <c r="B7441" s="306">
        <v>153.52930000000001</v>
      </c>
      <c r="C7441" s="309">
        <v>5.1298362478755504</v>
      </c>
    </row>
    <row r="7442" spans="1:3" x14ac:dyDescent="0.35">
      <c r="A7442" s="302">
        <v>38724</v>
      </c>
      <c r="B7442" s="303">
        <v>153.5239</v>
      </c>
      <c r="C7442" s="308">
        <v>5.1356415288930801</v>
      </c>
    </row>
    <row r="7443" spans="1:3" x14ac:dyDescent="0.35">
      <c r="A7443" s="305">
        <v>38723</v>
      </c>
      <c r="B7443" s="306">
        <v>153.51840000000001</v>
      </c>
      <c r="C7443" s="309">
        <v>5.1413793717476901</v>
      </c>
    </row>
    <row r="7444" spans="1:3" x14ac:dyDescent="0.35">
      <c r="A7444" s="302">
        <v>38722</v>
      </c>
      <c r="B7444" s="303">
        <v>153.51300000000001</v>
      </c>
      <c r="C7444" s="308">
        <v>5.1471147266783204</v>
      </c>
    </row>
    <row r="7445" spans="1:3" x14ac:dyDescent="0.35">
      <c r="A7445" s="305">
        <v>38721</v>
      </c>
      <c r="B7445" s="306">
        <v>153.50749999999999</v>
      </c>
      <c r="C7445" s="309">
        <v>5.1528546406448301</v>
      </c>
    </row>
    <row r="7446" spans="1:3" x14ac:dyDescent="0.35">
      <c r="A7446" s="302">
        <v>38720</v>
      </c>
      <c r="B7446" s="303">
        <v>153.50210000000001</v>
      </c>
      <c r="C7446" s="308">
        <v>5.1586640990491999</v>
      </c>
    </row>
    <row r="7447" spans="1:3" x14ac:dyDescent="0.35">
      <c r="A7447" s="305">
        <v>38719</v>
      </c>
      <c r="B7447" s="306">
        <v>153.4967</v>
      </c>
      <c r="C7447" s="309">
        <v>5.1644025574340198</v>
      </c>
    </row>
    <row r="7448" spans="1:3" x14ac:dyDescent="0.35">
      <c r="A7448" s="302">
        <v>38718</v>
      </c>
      <c r="B7448" s="303">
        <v>153.49119999999999</v>
      </c>
      <c r="C7448" s="308">
        <v>5.1701455884932503</v>
      </c>
    </row>
    <row r="7449" spans="1:3" x14ac:dyDescent="0.35">
      <c r="A7449" s="305">
        <v>38717</v>
      </c>
      <c r="B7449" s="306">
        <v>153.48580000000001</v>
      </c>
      <c r="C7449" s="309">
        <v>5.1759581833780599</v>
      </c>
    </row>
    <row r="7450" spans="1:3" x14ac:dyDescent="0.35">
      <c r="A7450" s="302">
        <v>38716</v>
      </c>
      <c r="B7450" s="303">
        <v>153.4803</v>
      </c>
      <c r="C7450" s="308">
        <v>5.1816312167067702</v>
      </c>
    </row>
    <row r="7451" spans="1:3" x14ac:dyDescent="0.35">
      <c r="A7451" s="305">
        <v>38715</v>
      </c>
      <c r="B7451" s="306">
        <v>153.47489999999999</v>
      </c>
      <c r="C7451" s="309">
        <v>5.18744589842371</v>
      </c>
    </row>
    <row r="7452" spans="1:3" x14ac:dyDescent="0.35">
      <c r="A7452" s="302">
        <v>38714</v>
      </c>
      <c r="B7452" s="303">
        <v>153.46940000000001</v>
      </c>
      <c r="C7452" s="308">
        <v>5.1931209859280401</v>
      </c>
    </row>
    <row r="7453" spans="1:3" x14ac:dyDescent="0.35">
      <c r="A7453" s="305">
        <v>38713</v>
      </c>
      <c r="B7453" s="306">
        <v>153.464</v>
      </c>
      <c r="C7453" s="309">
        <v>5.1989377556042697</v>
      </c>
    </row>
    <row r="7454" spans="1:3" x14ac:dyDescent="0.35">
      <c r="A7454" s="302">
        <v>38712</v>
      </c>
      <c r="B7454" s="303">
        <v>153.45859999999999</v>
      </c>
      <c r="C7454" s="308">
        <v>5.20468345413998</v>
      </c>
    </row>
    <row r="7455" spans="1:3" x14ac:dyDescent="0.35">
      <c r="A7455" s="305">
        <v>38711</v>
      </c>
      <c r="B7455" s="306">
        <v>153.45310000000001</v>
      </c>
      <c r="C7455" s="309">
        <v>5.2104337571604402</v>
      </c>
    </row>
    <row r="7456" spans="1:3" x14ac:dyDescent="0.35">
      <c r="A7456" s="302">
        <v>38710</v>
      </c>
      <c r="B7456" s="303">
        <v>153.4477</v>
      </c>
      <c r="C7456" s="308">
        <v>5.2162536692532901</v>
      </c>
    </row>
    <row r="7457" spans="1:3" x14ac:dyDescent="0.35">
      <c r="A7457" s="305">
        <v>38709</v>
      </c>
      <c r="B7457" s="306">
        <v>153.44220000000001</v>
      </c>
      <c r="C7457" s="309">
        <v>5.2219339053345299</v>
      </c>
    </row>
    <row r="7458" spans="1:3" x14ac:dyDescent="0.35">
      <c r="A7458" s="302">
        <v>38708</v>
      </c>
      <c r="B7458" s="303">
        <v>153.43680000000001</v>
      </c>
      <c r="C7458" s="308">
        <v>5.2277559082118303</v>
      </c>
    </row>
    <row r="7459" spans="1:3" x14ac:dyDescent="0.35">
      <c r="A7459" s="305">
        <v>38707</v>
      </c>
      <c r="B7459" s="306">
        <v>153.43129999999999</v>
      </c>
      <c r="C7459" s="309">
        <v>5.2334382023704897</v>
      </c>
    </row>
    <row r="7460" spans="1:3" x14ac:dyDescent="0.35">
      <c r="A7460" s="302">
        <v>38706</v>
      </c>
      <c r="B7460" s="303">
        <v>153.42590000000001</v>
      </c>
      <c r="C7460" s="308">
        <v>5.2392622971622398</v>
      </c>
    </row>
    <row r="7461" spans="1:3" x14ac:dyDescent="0.35">
      <c r="A7461" s="305">
        <v>38705</v>
      </c>
      <c r="B7461" s="306">
        <v>153.4205</v>
      </c>
      <c r="C7461" s="309">
        <v>5.2450152495702298</v>
      </c>
    </row>
    <row r="7462" spans="1:3" x14ac:dyDescent="0.35">
      <c r="A7462" s="302">
        <v>38704</v>
      </c>
      <c r="B7462" s="303">
        <v>153.41499999999999</v>
      </c>
      <c r="C7462" s="308">
        <v>5.2507728383508896</v>
      </c>
    </row>
    <row r="7463" spans="1:3" x14ac:dyDescent="0.35">
      <c r="A7463" s="305">
        <v>38703</v>
      </c>
      <c r="B7463" s="306">
        <v>153.40960000000001</v>
      </c>
      <c r="C7463" s="309">
        <v>5.25652786344678</v>
      </c>
    </row>
    <row r="7464" spans="1:3" x14ac:dyDescent="0.35">
      <c r="A7464" s="302">
        <v>38702</v>
      </c>
      <c r="B7464" s="303">
        <v>153.4041</v>
      </c>
      <c r="C7464" s="308">
        <v>5.2622875340257798</v>
      </c>
    </row>
    <row r="7465" spans="1:3" x14ac:dyDescent="0.35">
      <c r="A7465" s="305">
        <v>38701</v>
      </c>
      <c r="B7465" s="306">
        <v>153.39869999999999</v>
      </c>
      <c r="C7465" s="309">
        <v>5.2680446329311996</v>
      </c>
    </row>
    <row r="7466" spans="1:3" x14ac:dyDescent="0.35">
      <c r="A7466" s="302">
        <v>38700</v>
      </c>
      <c r="B7466" s="303">
        <v>153.387</v>
      </c>
      <c r="C7466" s="308">
        <v>5.2596544802621397</v>
      </c>
    </row>
    <row r="7467" spans="1:3" x14ac:dyDescent="0.35">
      <c r="A7467" s="305">
        <v>38699</v>
      </c>
      <c r="B7467" s="306">
        <v>153.37520000000001</v>
      </c>
      <c r="C7467" s="309">
        <v>5.2511957618220899</v>
      </c>
    </row>
    <row r="7468" spans="1:3" x14ac:dyDescent="0.35">
      <c r="A7468" s="302">
        <v>38698</v>
      </c>
      <c r="B7468" s="303">
        <v>153.36349999999999</v>
      </c>
      <c r="C7468" s="308">
        <v>5.24280572453997</v>
      </c>
    </row>
    <row r="7469" spans="1:3" x14ac:dyDescent="0.35">
      <c r="A7469" s="305">
        <v>38697</v>
      </c>
      <c r="B7469" s="306">
        <v>153.35169999999999</v>
      </c>
      <c r="C7469" s="309">
        <v>5.2343471219565796</v>
      </c>
    </row>
    <row r="7470" spans="1:3" x14ac:dyDescent="0.35">
      <c r="A7470" s="302">
        <v>38696</v>
      </c>
      <c r="B7470" s="303">
        <v>153.34</v>
      </c>
      <c r="C7470" s="308">
        <v>5.2259572000590202</v>
      </c>
    </row>
    <row r="7471" spans="1:3" x14ac:dyDescent="0.35">
      <c r="A7471" s="305">
        <v>38695</v>
      </c>
      <c r="B7471" s="306">
        <v>153.32820000000001</v>
      </c>
      <c r="C7471" s="309">
        <v>5.2175709161577704</v>
      </c>
    </row>
    <row r="7472" spans="1:3" x14ac:dyDescent="0.35">
      <c r="A7472" s="302">
        <v>38694</v>
      </c>
      <c r="B7472" s="303">
        <v>153.31649999999999</v>
      </c>
      <c r="C7472" s="308">
        <v>5.2091811036373903</v>
      </c>
    </row>
    <row r="7473" spans="1:3" x14ac:dyDescent="0.35">
      <c r="A7473" s="305">
        <v>38693</v>
      </c>
      <c r="B7473" s="306">
        <v>153.3048</v>
      </c>
      <c r="C7473" s="309">
        <v>5.2007913486895596</v>
      </c>
    </row>
    <row r="7474" spans="1:3" x14ac:dyDescent="0.35">
      <c r="A7474" s="302">
        <v>38692</v>
      </c>
      <c r="B7474" s="303">
        <v>153.29300000000001</v>
      </c>
      <c r="C7474" s="308">
        <v>5.1923330295677399</v>
      </c>
    </row>
    <row r="7475" spans="1:3" x14ac:dyDescent="0.35">
      <c r="A7475" s="305">
        <v>38691</v>
      </c>
      <c r="B7475" s="306">
        <v>153.28129999999999</v>
      </c>
      <c r="C7475" s="309">
        <v>5.1839433899986904</v>
      </c>
    </row>
    <row r="7476" spans="1:3" x14ac:dyDescent="0.35">
      <c r="A7476" s="302">
        <v>38690</v>
      </c>
      <c r="B7476" s="303">
        <v>153.26949999999999</v>
      </c>
      <c r="C7476" s="308">
        <v>5.17548518672535</v>
      </c>
    </row>
    <row r="7477" spans="1:3" x14ac:dyDescent="0.35">
      <c r="A7477" s="305">
        <v>38689</v>
      </c>
      <c r="B7477" s="306">
        <v>153.2578</v>
      </c>
      <c r="C7477" s="309">
        <v>5.1670956625327102</v>
      </c>
    </row>
    <row r="7478" spans="1:3" x14ac:dyDescent="0.35">
      <c r="A7478" s="302">
        <v>38688</v>
      </c>
      <c r="B7478" s="303">
        <v>153.24610000000001</v>
      </c>
      <c r="C7478" s="308">
        <v>5.1587783567090302</v>
      </c>
    </row>
    <row r="7479" spans="1:3" x14ac:dyDescent="0.35">
      <c r="A7479" s="305">
        <v>38687</v>
      </c>
      <c r="B7479" s="306">
        <v>153.23429999999999</v>
      </c>
      <c r="C7479" s="309">
        <v>5.1503203210346902</v>
      </c>
    </row>
    <row r="7480" spans="1:3" x14ac:dyDescent="0.35">
      <c r="A7480" s="302">
        <v>38686</v>
      </c>
      <c r="B7480" s="303">
        <v>153.2226</v>
      </c>
      <c r="C7480" s="308">
        <v>5.1419309637800996</v>
      </c>
    </row>
    <row r="7481" spans="1:3" x14ac:dyDescent="0.35">
      <c r="A7481" s="305">
        <v>38685</v>
      </c>
      <c r="B7481" s="306">
        <v>153.21090000000001</v>
      </c>
      <c r="C7481" s="309">
        <v>5.1335416640934097</v>
      </c>
    </row>
    <row r="7482" spans="1:3" x14ac:dyDescent="0.35">
      <c r="A7482" s="302">
        <v>38684</v>
      </c>
      <c r="B7482" s="303">
        <v>153.19909999999999</v>
      </c>
      <c r="C7482" s="308">
        <v>5.1250838020645002</v>
      </c>
    </row>
    <row r="7483" spans="1:3" x14ac:dyDescent="0.35">
      <c r="A7483" s="305">
        <v>38683</v>
      </c>
      <c r="B7483" s="306">
        <v>153.1874</v>
      </c>
      <c r="C7483" s="309">
        <v>5.1166946177472399</v>
      </c>
    </row>
    <row r="7484" spans="1:3" x14ac:dyDescent="0.35">
      <c r="A7484" s="302">
        <v>38682</v>
      </c>
      <c r="B7484" s="303">
        <v>153.17570000000001</v>
      </c>
      <c r="C7484" s="308">
        <v>5.1083054909961003</v>
      </c>
    </row>
    <row r="7485" spans="1:3" x14ac:dyDescent="0.35">
      <c r="A7485" s="305">
        <v>38681</v>
      </c>
      <c r="B7485" s="306">
        <v>153.16390000000001</v>
      </c>
      <c r="C7485" s="309">
        <v>5.09991992133489</v>
      </c>
    </row>
    <row r="7486" spans="1:3" x14ac:dyDescent="0.35">
      <c r="A7486" s="302">
        <v>38680</v>
      </c>
      <c r="B7486" s="303">
        <v>153.15219999999999</v>
      </c>
      <c r="C7486" s="308">
        <v>5.0915309039457304</v>
      </c>
    </row>
    <row r="7487" spans="1:3" x14ac:dyDescent="0.35">
      <c r="A7487" s="305">
        <v>38679</v>
      </c>
      <c r="B7487" s="306">
        <v>153.1405</v>
      </c>
      <c r="C7487" s="309">
        <v>5.08314194412098</v>
      </c>
    </row>
    <row r="7488" spans="1:3" x14ac:dyDescent="0.35">
      <c r="A7488" s="302">
        <v>38678</v>
      </c>
      <c r="B7488" s="303">
        <v>153.12880000000001</v>
      </c>
      <c r="C7488" s="308">
        <v>5.0747530418600597</v>
      </c>
    </row>
    <row r="7489" spans="1:3" x14ac:dyDescent="0.35">
      <c r="A7489" s="305">
        <v>38677</v>
      </c>
      <c r="B7489" s="306">
        <v>153.11699999999999</v>
      </c>
      <c r="C7489" s="309">
        <v>5.0662955788537598</v>
      </c>
    </row>
    <row r="7490" spans="1:3" x14ac:dyDescent="0.35">
      <c r="A7490" s="302">
        <v>38676</v>
      </c>
      <c r="B7490" s="303">
        <v>153.1053</v>
      </c>
      <c r="C7490" s="308">
        <v>5.0579067919541201</v>
      </c>
    </row>
    <row r="7491" spans="1:3" x14ac:dyDescent="0.35">
      <c r="A7491" s="305">
        <v>38675</v>
      </c>
      <c r="B7491" s="306">
        <v>153.09360000000001</v>
      </c>
      <c r="C7491" s="309">
        <v>5.0495180626165199</v>
      </c>
    </row>
    <row r="7492" spans="1:3" x14ac:dyDescent="0.35">
      <c r="A7492" s="302">
        <v>38674</v>
      </c>
      <c r="B7492" s="303">
        <v>153.08189999999999</v>
      </c>
      <c r="C7492" s="308">
        <v>5.0412014675942904</v>
      </c>
    </row>
    <row r="7493" spans="1:3" x14ac:dyDescent="0.35">
      <c r="A7493" s="305">
        <v>38673</v>
      </c>
      <c r="B7493" s="306">
        <v>153.0701</v>
      </c>
      <c r="C7493" s="309">
        <v>5.0327442299616596</v>
      </c>
    </row>
    <row r="7494" spans="1:3" x14ac:dyDescent="0.35">
      <c r="A7494" s="302">
        <v>38672</v>
      </c>
      <c r="B7494" s="303">
        <v>153.05840000000001</v>
      </c>
      <c r="C7494" s="308">
        <v>5.0243556675387904</v>
      </c>
    </row>
    <row r="7495" spans="1:3" x14ac:dyDescent="0.35">
      <c r="A7495" s="305">
        <v>38671</v>
      </c>
      <c r="B7495" s="306">
        <v>153.04669999999999</v>
      </c>
      <c r="C7495" s="309">
        <v>5.0159671626756799</v>
      </c>
    </row>
    <row r="7496" spans="1:3" x14ac:dyDescent="0.35">
      <c r="A7496" s="302">
        <v>38670</v>
      </c>
      <c r="B7496" s="303">
        <v>153.02549999999999</v>
      </c>
      <c r="C7496" s="308">
        <v>5.0115802295458796</v>
      </c>
    </row>
    <row r="7497" spans="1:3" x14ac:dyDescent="0.35">
      <c r="A7497" s="305">
        <v>38669</v>
      </c>
      <c r="B7497" s="306">
        <v>153.0043</v>
      </c>
      <c r="C7497" s="309">
        <v>5.0071924473812102</v>
      </c>
    </row>
    <row r="7498" spans="1:3" x14ac:dyDescent="0.35">
      <c r="A7498" s="302">
        <v>38668</v>
      </c>
      <c r="B7498" s="303">
        <v>152.98310000000001</v>
      </c>
      <c r="C7498" s="308">
        <v>5.0027317453519098</v>
      </c>
    </row>
    <row r="7499" spans="1:3" x14ac:dyDescent="0.35">
      <c r="A7499" s="305">
        <v>38667</v>
      </c>
      <c r="B7499" s="306">
        <v>152.96199999999999</v>
      </c>
      <c r="C7499" s="309">
        <v>4.9984109038764997</v>
      </c>
    </row>
    <row r="7500" spans="1:3" x14ac:dyDescent="0.35">
      <c r="A7500" s="302">
        <v>38666</v>
      </c>
      <c r="B7500" s="303">
        <v>152.9408</v>
      </c>
      <c r="C7500" s="308">
        <v>4.9940205758096301</v>
      </c>
    </row>
    <row r="7501" spans="1:3" x14ac:dyDescent="0.35">
      <c r="A7501" s="305">
        <v>38665</v>
      </c>
      <c r="B7501" s="306">
        <v>152.9196</v>
      </c>
      <c r="C7501" s="309">
        <v>4.9896293977223802</v>
      </c>
    </row>
    <row r="7502" spans="1:3" x14ac:dyDescent="0.35">
      <c r="A7502" s="302">
        <v>38664</v>
      </c>
      <c r="B7502" s="303">
        <v>152.89850000000001</v>
      </c>
      <c r="C7502" s="308">
        <v>4.98523394633684</v>
      </c>
    </row>
    <row r="7503" spans="1:3" x14ac:dyDescent="0.35">
      <c r="A7503" s="305">
        <v>38663</v>
      </c>
      <c r="B7503" s="306">
        <v>152.87729999999999</v>
      </c>
      <c r="C7503" s="309">
        <v>4.9808410701532697</v>
      </c>
    </row>
    <row r="7504" spans="1:3" x14ac:dyDescent="0.35">
      <c r="A7504" s="302">
        <v>38662</v>
      </c>
      <c r="B7504" s="303">
        <v>152.8561</v>
      </c>
      <c r="C7504" s="308">
        <v>4.9764473432094896</v>
      </c>
    </row>
    <row r="7505" spans="1:3" x14ac:dyDescent="0.35">
      <c r="A7505" s="305">
        <v>38661</v>
      </c>
      <c r="B7505" s="306">
        <v>152.83500000000001</v>
      </c>
      <c r="C7505" s="309">
        <v>4.9721214485582701</v>
      </c>
    </row>
    <row r="7506" spans="1:3" x14ac:dyDescent="0.35">
      <c r="A7506" s="302">
        <v>38660</v>
      </c>
      <c r="B7506" s="303">
        <v>152.81379999999999</v>
      </c>
      <c r="C7506" s="308">
        <v>4.9676539237734403</v>
      </c>
    </row>
    <row r="7507" spans="1:3" x14ac:dyDescent="0.35">
      <c r="A7507" s="305">
        <v>38659</v>
      </c>
      <c r="B7507" s="306">
        <v>152.7927</v>
      </c>
      <c r="C7507" s="309">
        <v>4.9633263423135796</v>
      </c>
    </row>
    <row r="7508" spans="1:3" x14ac:dyDescent="0.35">
      <c r="A7508" s="302">
        <v>38658</v>
      </c>
      <c r="B7508" s="303">
        <v>152.7715</v>
      </c>
      <c r="C7508" s="308">
        <v>4.9589292192017203</v>
      </c>
    </row>
    <row r="7509" spans="1:3" x14ac:dyDescent="0.35">
      <c r="A7509" s="305">
        <v>38657</v>
      </c>
      <c r="B7509" s="306">
        <v>152.75040000000001</v>
      </c>
      <c r="C7509" s="309">
        <v>4.9545278398456496</v>
      </c>
    </row>
    <row r="7510" spans="1:3" x14ac:dyDescent="0.35">
      <c r="A7510" s="302">
        <v>38656</v>
      </c>
      <c r="B7510" s="303">
        <v>152.72929999999999</v>
      </c>
      <c r="C7510" s="308">
        <v>4.9501977316690198</v>
      </c>
    </row>
    <row r="7511" spans="1:3" x14ac:dyDescent="0.35">
      <c r="A7511" s="305">
        <v>38655</v>
      </c>
      <c r="B7511" s="306">
        <v>152.7081</v>
      </c>
      <c r="C7511" s="309">
        <v>4.9457259391869401</v>
      </c>
    </row>
    <row r="7512" spans="1:3" x14ac:dyDescent="0.35">
      <c r="A7512" s="302">
        <v>38654</v>
      </c>
      <c r="B7512" s="303">
        <v>152.68700000000001</v>
      </c>
      <c r="C7512" s="308">
        <v>4.9413941417509903</v>
      </c>
    </row>
    <row r="7513" spans="1:3" x14ac:dyDescent="0.35">
      <c r="A7513" s="305">
        <v>38653</v>
      </c>
      <c r="B7513" s="306">
        <v>152.66589999999999</v>
      </c>
      <c r="C7513" s="309">
        <v>4.9370615046537996</v>
      </c>
    </row>
    <row r="7514" spans="1:3" x14ac:dyDescent="0.35">
      <c r="A7514" s="302">
        <v>38652</v>
      </c>
      <c r="B7514" s="303">
        <v>152.6447</v>
      </c>
      <c r="C7514" s="308">
        <v>4.9325871506908996</v>
      </c>
    </row>
    <row r="7515" spans="1:3" x14ac:dyDescent="0.35">
      <c r="A7515" s="305">
        <v>38651</v>
      </c>
      <c r="B7515" s="306">
        <v>152.62360000000001</v>
      </c>
      <c r="C7515" s="309">
        <v>4.9282528228622997</v>
      </c>
    </row>
    <row r="7516" spans="1:3" x14ac:dyDescent="0.35">
      <c r="A7516" s="302">
        <v>38650</v>
      </c>
      <c r="B7516" s="303">
        <v>152.60249999999999</v>
      </c>
      <c r="C7516" s="308">
        <v>4.9238455128257996</v>
      </c>
    </row>
    <row r="7517" spans="1:3" x14ac:dyDescent="0.35">
      <c r="A7517" s="305">
        <v>38649</v>
      </c>
      <c r="B7517" s="306">
        <v>152.5814</v>
      </c>
      <c r="C7517" s="309">
        <v>4.9195094999487701</v>
      </c>
    </row>
    <row r="7518" spans="1:3" x14ac:dyDescent="0.35">
      <c r="A7518" s="302">
        <v>38648</v>
      </c>
      <c r="B7518" s="303">
        <v>152.56020000000001</v>
      </c>
      <c r="C7518" s="308">
        <v>4.9150317268526704</v>
      </c>
    </row>
    <row r="7519" spans="1:3" x14ac:dyDescent="0.35">
      <c r="A7519" s="305">
        <v>38647</v>
      </c>
      <c r="B7519" s="306">
        <v>152.53909999999999</v>
      </c>
      <c r="C7519" s="309">
        <v>4.9106940212793804</v>
      </c>
    </row>
    <row r="7520" spans="1:3" x14ac:dyDescent="0.35">
      <c r="A7520" s="302">
        <v>38646</v>
      </c>
      <c r="B7520" s="303">
        <v>152.518</v>
      </c>
      <c r="C7520" s="308">
        <v>4.9062833167108</v>
      </c>
    </row>
    <row r="7521" spans="1:3" x14ac:dyDescent="0.35">
      <c r="A7521" s="305">
        <v>38645</v>
      </c>
      <c r="B7521" s="306">
        <v>152.49690000000001</v>
      </c>
      <c r="C7521" s="309">
        <v>4.9019439241278704</v>
      </c>
    </row>
    <row r="7522" spans="1:3" x14ac:dyDescent="0.35">
      <c r="A7522" s="302">
        <v>38644</v>
      </c>
      <c r="B7522" s="303">
        <v>152.47579999999999</v>
      </c>
      <c r="C7522" s="308">
        <v>4.8975315241312902</v>
      </c>
    </row>
    <row r="7523" spans="1:3" x14ac:dyDescent="0.35">
      <c r="A7523" s="305">
        <v>38643</v>
      </c>
      <c r="B7523" s="306">
        <v>152.4547</v>
      </c>
      <c r="C7523" s="309">
        <v>4.89319044355826</v>
      </c>
    </row>
    <row r="7524" spans="1:3" x14ac:dyDescent="0.35">
      <c r="A7524" s="302">
        <v>38642</v>
      </c>
      <c r="B7524" s="303">
        <v>152.43360000000001</v>
      </c>
      <c r="C7524" s="308">
        <v>4.8887763471521097</v>
      </c>
    </row>
    <row r="7525" spans="1:3" x14ac:dyDescent="0.35">
      <c r="A7525" s="305">
        <v>38641</v>
      </c>
      <c r="B7525" s="306">
        <v>152.41249999999999</v>
      </c>
      <c r="C7525" s="309">
        <v>4.8844335776077701</v>
      </c>
    </row>
    <row r="7526" spans="1:3" x14ac:dyDescent="0.35">
      <c r="A7526" s="302">
        <v>38640</v>
      </c>
      <c r="B7526" s="303">
        <v>152.3914</v>
      </c>
      <c r="C7526" s="308">
        <v>4.8800177838097101</v>
      </c>
    </row>
    <row r="7527" spans="1:3" x14ac:dyDescent="0.35">
      <c r="A7527" s="305">
        <v>38639</v>
      </c>
      <c r="B7527" s="306">
        <v>152.3914</v>
      </c>
      <c r="C7527" s="309">
        <v>4.8811005153503899</v>
      </c>
    </row>
    <row r="7528" spans="1:3" x14ac:dyDescent="0.35">
      <c r="A7528" s="302">
        <v>38638</v>
      </c>
      <c r="B7528" s="303">
        <v>152.3914</v>
      </c>
      <c r="C7528" s="308">
        <v>4.8821110849579297</v>
      </c>
    </row>
    <row r="7529" spans="1:3" x14ac:dyDescent="0.35">
      <c r="A7529" s="305">
        <v>38637</v>
      </c>
      <c r="B7529" s="306">
        <v>152.3914</v>
      </c>
      <c r="C7529" s="309">
        <v>4.8831938597197597</v>
      </c>
    </row>
    <row r="7530" spans="1:3" x14ac:dyDescent="0.35">
      <c r="A7530" s="302">
        <v>38636</v>
      </c>
      <c r="B7530" s="303">
        <v>152.3914</v>
      </c>
      <c r="C7530" s="308">
        <v>4.8842044696682398</v>
      </c>
    </row>
    <row r="7531" spans="1:3" x14ac:dyDescent="0.35">
      <c r="A7531" s="305">
        <v>38635</v>
      </c>
      <c r="B7531" s="306">
        <v>152.3914</v>
      </c>
      <c r="C7531" s="309">
        <v>4.88528728765381</v>
      </c>
    </row>
    <row r="7532" spans="1:3" x14ac:dyDescent="0.35">
      <c r="A7532" s="302">
        <v>38634</v>
      </c>
      <c r="B7532" s="303">
        <v>152.3914</v>
      </c>
      <c r="C7532" s="308">
        <v>4.8862979379456499</v>
      </c>
    </row>
    <row r="7533" spans="1:3" x14ac:dyDescent="0.35">
      <c r="A7533" s="305">
        <v>38633</v>
      </c>
      <c r="B7533" s="306">
        <v>152.3914</v>
      </c>
      <c r="C7533" s="309">
        <v>4.8873807991575502</v>
      </c>
    </row>
    <row r="7534" spans="1:3" x14ac:dyDescent="0.35">
      <c r="A7534" s="302">
        <v>38632</v>
      </c>
      <c r="B7534" s="303">
        <v>152.3914</v>
      </c>
      <c r="C7534" s="308">
        <v>4.8883914897951701</v>
      </c>
    </row>
    <row r="7535" spans="1:3" x14ac:dyDescent="0.35">
      <c r="A7535" s="305">
        <v>38631</v>
      </c>
      <c r="B7535" s="306">
        <v>152.3914</v>
      </c>
      <c r="C7535" s="309">
        <v>4.8894743942359797</v>
      </c>
    </row>
    <row r="7536" spans="1:3" x14ac:dyDescent="0.35">
      <c r="A7536" s="302">
        <v>38630</v>
      </c>
      <c r="B7536" s="303">
        <v>152.3914</v>
      </c>
      <c r="C7536" s="308">
        <v>4.8905573210375897</v>
      </c>
    </row>
    <row r="7537" spans="1:3" x14ac:dyDescent="0.35">
      <c r="A7537" s="305">
        <v>38629</v>
      </c>
      <c r="B7537" s="306">
        <v>152.3914</v>
      </c>
      <c r="C7537" s="309">
        <v>4.8915680728941204</v>
      </c>
    </row>
    <row r="7538" spans="1:3" x14ac:dyDescent="0.35">
      <c r="A7538" s="302">
        <v>38628</v>
      </c>
      <c r="B7538" s="303">
        <v>152.3914</v>
      </c>
      <c r="C7538" s="308">
        <v>4.8926510429285699</v>
      </c>
    </row>
    <row r="7539" spans="1:3" x14ac:dyDescent="0.35">
      <c r="A7539" s="305">
        <v>38627</v>
      </c>
      <c r="B7539" s="306">
        <v>152.3914</v>
      </c>
      <c r="C7539" s="309">
        <v>4.8936618351369496</v>
      </c>
    </row>
    <row r="7540" spans="1:3" x14ac:dyDescent="0.35">
      <c r="A7540" s="302">
        <v>38626</v>
      </c>
      <c r="B7540" s="303">
        <v>152.3914</v>
      </c>
      <c r="C7540" s="308">
        <v>4.8947448484068401</v>
      </c>
    </row>
    <row r="7541" spans="1:3" x14ac:dyDescent="0.35">
      <c r="A7541" s="305">
        <v>38625</v>
      </c>
      <c r="B7541" s="306">
        <v>152.3914</v>
      </c>
      <c r="C7541" s="309">
        <v>4.8957556809694998</v>
      </c>
    </row>
    <row r="7542" spans="1:3" x14ac:dyDescent="0.35">
      <c r="A7542" s="302">
        <v>38624</v>
      </c>
      <c r="B7542" s="303">
        <v>152.3914</v>
      </c>
      <c r="C7542" s="308">
        <v>4.8968387374774096</v>
      </c>
    </row>
    <row r="7543" spans="1:3" x14ac:dyDescent="0.35">
      <c r="A7543" s="305">
        <v>38623</v>
      </c>
      <c r="B7543" s="306">
        <v>152.3914</v>
      </c>
      <c r="C7543" s="309">
        <v>4.8978496103967597</v>
      </c>
    </row>
    <row r="7544" spans="1:3" x14ac:dyDescent="0.35">
      <c r="A7544" s="302">
        <v>38622</v>
      </c>
      <c r="B7544" s="303">
        <v>152.3914</v>
      </c>
      <c r="C7544" s="308">
        <v>4.8989327101452798</v>
      </c>
    </row>
    <row r="7545" spans="1:3" x14ac:dyDescent="0.35">
      <c r="A7545" s="305">
        <v>38621</v>
      </c>
      <c r="B7545" s="306">
        <v>152.3914</v>
      </c>
      <c r="C7545" s="309">
        <v>4.8999436234237397</v>
      </c>
    </row>
    <row r="7546" spans="1:3" x14ac:dyDescent="0.35">
      <c r="A7546" s="302">
        <v>38620</v>
      </c>
      <c r="B7546" s="303">
        <v>152.3914</v>
      </c>
      <c r="C7546" s="308">
        <v>4.9010267664154599</v>
      </c>
    </row>
    <row r="7547" spans="1:3" x14ac:dyDescent="0.35">
      <c r="A7547" s="305">
        <v>38619</v>
      </c>
      <c r="B7547" s="306">
        <v>152.3914</v>
      </c>
      <c r="C7547" s="309">
        <v>4.9020377200554597</v>
      </c>
    </row>
    <row r="7548" spans="1:3" x14ac:dyDescent="0.35">
      <c r="A7548" s="302">
        <v>38618</v>
      </c>
      <c r="B7548" s="303">
        <v>152.3914</v>
      </c>
      <c r="C7548" s="308">
        <v>4.9031209062929602</v>
      </c>
    </row>
    <row r="7549" spans="1:3" x14ac:dyDescent="0.35">
      <c r="A7549" s="305">
        <v>38617</v>
      </c>
      <c r="B7549" s="306">
        <v>152.3914</v>
      </c>
      <c r="C7549" s="309">
        <v>4.9041319002968997</v>
      </c>
    </row>
    <row r="7550" spans="1:3" x14ac:dyDescent="0.35">
      <c r="A7550" s="302">
        <v>38616</v>
      </c>
      <c r="B7550" s="303">
        <v>152.3914</v>
      </c>
      <c r="C7550" s="308">
        <v>4.9052151297827802</v>
      </c>
    </row>
    <row r="7551" spans="1:3" x14ac:dyDescent="0.35">
      <c r="A7551" s="305">
        <v>38615</v>
      </c>
      <c r="B7551" s="306">
        <v>152.3914</v>
      </c>
      <c r="C7551" s="309">
        <v>4.9062261641530904</v>
      </c>
    </row>
    <row r="7552" spans="1:3" x14ac:dyDescent="0.35">
      <c r="A7552" s="302">
        <v>38614</v>
      </c>
      <c r="B7552" s="303">
        <v>152.3914</v>
      </c>
      <c r="C7552" s="308">
        <v>4.9073094368899399</v>
      </c>
    </row>
    <row r="7553" spans="1:3" x14ac:dyDescent="0.35">
      <c r="A7553" s="305">
        <v>38613</v>
      </c>
      <c r="B7553" s="306">
        <v>152.3914</v>
      </c>
      <c r="C7553" s="309">
        <v>4.9083205116290296</v>
      </c>
    </row>
    <row r="7554" spans="1:3" x14ac:dyDescent="0.35">
      <c r="A7554" s="302">
        <v>38612</v>
      </c>
      <c r="B7554" s="303">
        <v>152.3914</v>
      </c>
      <c r="C7554" s="308">
        <v>4.9094038276194398</v>
      </c>
    </row>
    <row r="7555" spans="1:3" x14ac:dyDescent="0.35">
      <c r="A7555" s="305">
        <v>38611</v>
      </c>
      <c r="B7555" s="306">
        <v>152.3914</v>
      </c>
      <c r="C7555" s="309">
        <v>4.9104149427297203</v>
      </c>
    </row>
    <row r="7556" spans="1:3" x14ac:dyDescent="0.35">
      <c r="A7556" s="302">
        <v>38610</v>
      </c>
      <c r="B7556" s="303">
        <v>152.3914</v>
      </c>
      <c r="C7556" s="308">
        <v>4.9114983019762901</v>
      </c>
    </row>
    <row r="7557" spans="1:3" x14ac:dyDescent="0.35">
      <c r="A7557" s="305">
        <v>38609</v>
      </c>
      <c r="B7557" s="306">
        <v>152.38890000000001</v>
      </c>
      <c r="C7557" s="309">
        <v>4.9087660963041699</v>
      </c>
    </row>
    <row r="7558" spans="1:3" x14ac:dyDescent="0.35">
      <c r="A7558" s="302">
        <v>38608</v>
      </c>
      <c r="B7558" s="303">
        <v>152.38640000000001</v>
      </c>
      <c r="C7558" s="308">
        <v>4.9060339432975004</v>
      </c>
    </row>
    <row r="7559" spans="1:3" x14ac:dyDescent="0.35">
      <c r="A7559" s="305">
        <v>38607</v>
      </c>
      <c r="B7559" s="306">
        <v>152.38399999999999</v>
      </c>
      <c r="C7559" s="309">
        <v>4.9033706844149103</v>
      </c>
    </row>
    <row r="7560" spans="1:3" x14ac:dyDescent="0.35">
      <c r="A7560" s="302">
        <v>38606</v>
      </c>
      <c r="B7560" s="303">
        <v>152.38149999999999</v>
      </c>
      <c r="C7560" s="308">
        <v>4.9006386360710597</v>
      </c>
    </row>
    <row r="7561" spans="1:3" x14ac:dyDescent="0.35">
      <c r="A7561" s="305">
        <v>38605</v>
      </c>
      <c r="B7561" s="306">
        <v>152.37909999999999</v>
      </c>
      <c r="C7561" s="309">
        <v>4.8979754805213398</v>
      </c>
    </row>
    <row r="7562" spans="1:3" x14ac:dyDescent="0.35">
      <c r="A7562" s="302">
        <v>38604</v>
      </c>
      <c r="B7562" s="303">
        <v>152.3766</v>
      </c>
      <c r="C7562" s="308">
        <v>4.8952435368342799</v>
      </c>
    </row>
    <row r="7563" spans="1:3" x14ac:dyDescent="0.35">
      <c r="A7563" s="305">
        <v>38603</v>
      </c>
      <c r="B7563" s="306">
        <v>152.3742</v>
      </c>
      <c r="C7563" s="309">
        <v>4.8925082778607702</v>
      </c>
    </row>
    <row r="7564" spans="1:3" x14ac:dyDescent="0.35">
      <c r="A7564" s="302">
        <v>38602</v>
      </c>
      <c r="B7564" s="303">
        <v>152.3717</v>
      </c>
      <c r="C7564" s="308">
        <v>4.8897764414008797</v>
      </c>
    </row>
    <row r="7565" spans="1:3" x14ac:dyDescent="0.35">
      <c r="A7565" s="305">
        <v>38601</v>
      </c>
      <c r="B7565" s="306">
        <v>152.36920000000001</v>
      </c>
      <c r="C7565" s="309">
        <v>4.8870446575957303</v>
      </c>
    </row>
    <row r="7566" spans="1:3" x14ac:dyDescent="0.35">
      <c r="A7566" s="302">
        <v>38600</v>
      </c>
      <c r="B7566" s="303">
        <v>152.36680000000001</v>
      </c>
      <c r="C7566" s="308">
        <v>4.8843817632125299</v>
      </c>
    </row>
    <row r="7567" spans="1:3" x14ac:dyDescent="0.35">
      <c r="A7567" s="305">
        <v>38599</v>
      </c>
      <c r="B7567" s="306">
        <v>152.36429999999999</v>
      </c>
      <c r="C7567" s="309">
        <v>4.8816500840488803</v>
      </c>
    </row>
    <row r="7568" spans="1:3" x14ac:dyDescent="0.35">
      <c r="A7568" s="302">
        <v>38598</v>
      </c>
      <c r="B7568" s="303">
        <v>152.36189999999999</v>
      </c>
      <c r="C7568" s="308">
        <v>4.8789872929774099</v>
      </c>
    </row>
    <row r="7569" spans="1:3" x14ac:dyDescent="0.35">
      <c r="A7569" s="305">
        <v>38597</v>
      </c>
      <c r="B7569" s="306">
        <v>152.35939999999999</v>
      </c>
      <c r="C7569" s="309">
        <v>4.8762557184492401</v>
      </c>
    </row>
    <row r="7570" spans="1:3" x14ac:dyDescent="0.35">
      <c r="A7570" s="302">
        <v>38596</v>
      </c>
      <c r="B7570" s="303">
        <v>152.357</v>
      </c>
      <c r="C7570" s="308">
        <v>4.8735930306834998</v>
      </c>
    </row>
    <row r="7571" spans="1:3" x14ac:dyDescent="0.35">
      <c r="A7571" s="305">
        <v>38595</v>
      </c>
      <c r="B7571" s="306">
        <v>152.3545</v>
      </c>
      <c r="C7571" s="309">
        <v>4.8708615607847596</v>
      </c>
    </row>
    <row r="7572" spans="1:3" x14ac:dyDescent="0.35">
      <c r="A7572" s="302">
        <v>38594</v>
      </c>
      <c r="B7572" s="303">
        <v>152.352</v>
      </c>
      <c r="C7572" s="308">
        <v>4.8681301435301298</v>
      </c>
    </row>
    <row r="7573" spans="1:3" x14ac:dyDescent="0.35">
      <c r="A7573" s="305">
        <v>38593</v>
      </c>
      <c r="B7573" s="306">
        <v>152.34960000000001</v>
      </c>
      <c r="C7573" s="309">
        <v>4.8654676110434298</v>
      </c>
    </row>
    <row r="7574" spans="1:3" x14ac:dyDescent="0.35">
      <c r="A7574" s="302">
        <v>38592</v>
      </c>
      <c r="B7574" s="303">
        <v>152.34710000000001</v>
      </c>
      <c r="C7574" s="308">
        <v>4.8627362984091702</v>
      </c>
    </row>
    <row r="7575" spans="1:3" x14ac:dyDescent="0.35">
      <c r="A7575" s="305">
        <v>38591</v>
      </c>
      <c r="B7575" s="306">
        <v>152.34469999999999</v>
      </c>
      <c r="C7575" s="309">
        <v>4.8600738692132204</v>
      </c>
    </row>
    <row r="7576" spans="1:3" x14ac:dyDescent="0.35">
      <c r="A7576" s="302">
        <v>38590</v>
      </c>
      <c r="B7576" s="303">
        <v>152.34219999999999</v>
      </c>
      <c r="C7576" s="308">
        <v>4.8573426611932904</v>
      </c>
    </row>
    <row r="7577" spans="1:3" x14ac:dyDescent="0.35">
      <c r="A7577" s="305">
        <v>38589</v>
      </c>
      <c r="B7577" s="306">
        <v>152.3398</v>
      </c>
      <c r="C7577" s="309">
        <v>4.8546803352821302</v>
      </c>
    </row>
    <row r="7578" spans="1:3" x14ac:dyDescent="0.35">
      <c r="A7578" s="302">
        <v>38588</v>
      </c>
      <c r="B7578" s="303">
        <v>152.3373</v>
      </c>
      <c r="C7578" s="308">
        <v>4.8519492318704902</v>
      </c>
    </row>
    <row r="7579" spans="1:3" x14ac:dyDescent="0.35">
      <c r="A7579" s="305">
        <v>38587</v>
      </c>
      <c r="B7579" s="306">
        <v>152.3348</v>
      </c>
      <c r="C7579" s="309">
        <v>4.8492181810923602</v>
      </c>
    </row>
    <row r="7580" spans="1:3" x14ac:dyDescent="0.35">
      <c r="A7580" s="302">
        <v>38586</v>
      </c>
      <c r="B7580" s="303">
        <v>152.33240000000001</v>
      </c>
      <c r="C7580" s="308">
        <v>4.8464838472333804</v>
      </c>
    </row>
    <row r="7581" spans="1:3" x14ac:dyDescent="0.35">
      <c r="A7581" s="305">
        <v>38585</v>
      </c>
      <c r="B7581" s="306">
        <v>152.32990000000001</v>
      </c>
      <c r="C7581" s="309">
        <v>4.84375290362944</v>
      </c>
    </row>
    <row r="7582" spans="1:3" x14ac:dyDescent="0.35">
      <c r="A7582" s="302">
        <v>38584</v>
      </c>
      <c r="B7582" s="303">
        <v>152.32749999999999</v>
      </c>
      <c r="C7582" s="308">
        <v>4.8410908387631402</v>
      </c>
    </row>
    <row r="7583" spans="1:3" x14ac:dyDescent="0.35">
      <c r="A7583" s="305">
        <v>38583</v>
      </c>
      <c r="B7583" s="306">
        <v>152.32499999999999</v>
      </c>
      <c r="C7583" s="309">
        <v>4.83835999975223</v>
      </c>
    </row>
    <row r="7584" spans="1:3" x14ac:dyDescent="0.35">
      <c r="A7584" s="302">
        <v>38582</v>
      </c>
      <c r="B7584" s="303">
        <v>152.32259999999999</v>
      </c>
      <c r="C7584" s="308">
        <v>4.8356980381495802</v>
      </c>
    </row>
    <row r="7585" spans="1:3" x14ac:dyDescent="0.35">
      <c r="A7585" s="305">
        <v>38581</v>
      </c>
      <c r="B7585" s="306">
        <v>152.3201</v>
      </c>
      <c r="C7585" s="309">
        <v>4.8329673037256597</v>
      </c>
    </row>
    <row r="7586" spans="1:3" x14ac:dyDescent="0.35">
      <c r="A7586" s="302">
        <v>38580</v>
      </c>
      <c r="B7586" s="303">
        <v>152.3177</v>
      </c>
      <c r="C7586" s="308">
        <v>4.8303054453806702</v>
      </c>
    </row>
    <row r="7587" spans="1:3" x14ac:dyDescent="0.35">
      <c r="A7587" s="305">
        <v>38579</v>
      </c>
      <c r="B7587" s="306">
        <v>152.3152</v>
      </c>
      <c r="C7587" s="309">
        <v>4.8275748155377096</v>
      </c>
    </row>
    <row r="7588" spans="1:3" x14ac:dyDescent="0.35">
      <c r="A7588" s="302">
        <v>38578</v>
      </c>
      <c r="B7588" s="303">
        <v>152.29560000000001</v>
      </c>
      <c r="C7588" s="308">
        <v>4.8342875158236902</v>
      </c>
    </row>
    <row r="7589" spans="1:3" x14ac:dyDescent="0.35">
      <c r="A7589" s="305">
        <v>38577</v>
      </c>
      <c r="B7589" s="306">
        <v>152.27600000000001</v>
      </c>
      <c r="C7589" s="309">
        <v>4.8410749866087999</v>
      </c>
    </row>
    <row r="7590" spans="1:3" x14ac:dyDescent="0.35">
      <c r="A7590" s="302">
        <v>38576</v>
      </c>
      <c r="B7590" s="303">
        <v>152.25640000000001</v>
      </c>
      <c r="C7590" s="308">
        <v>4.8477928831827803</v>
      </c>
    </row>
    <row r="7591" spans="1:3" x14ac:dyDescent="0.35">
      <c r="A7591" s="305">
        <v>38575</v>
      </c>
      <c r="B7591" s="306">
        <v>152.23679999999999</v>
      </c>
      <c r="C7591" s="309">
        <v>4.8545133708844901</v>
      </c>
    </row>
    <row r="7592" spans="1:3" x14ac:dyDescent="0.35">
      <c r="A7592" s="302">
        <v>38574</v>
      </c>
      <c r="B7592" s="303">
        <v>152.21719999999999</v>
      </c>
      <c r="C7592" s="308">
        <v>4.8612364512133501</v>
      </c>
    </row>
    <row r="7593" spans="1:3" x14ac:dyDescent="0.35">
      <c r="A7593" s="305">
        <v>38573</v>
      </c>
      <c r="B7593" s="306">
        <v>152.19759999999999</v>
      </c>
      <c r="C7593" s="309">
        <v>4.8679621256698997</v>
      </c>
    </row>
    <row r="7594" spans="1:3" x14ac:dyDescent="0.35">
      <c r="A7594" s="302">
        <v>38572</v>
      </c>
      <c r="B7594" s="303">
        <v>152.178</v>
      </c>
      <c r="C7594" s="308">
        <v>4.8746903957558896</v>
      </c>
    </row>
    <row r="7595" spans="1:3" x14ac:dyDescent="0.35">
      <c r="A7595" s="305">
        <v>38571</v>
      </c>
      <c r="B7595" s="306">
        <v>152.1584</v>
      </c>
      <c r="C7595" s="309">
        <v>4.8814212629741798</v>
      </c>
    </row>
    <row r="7596" spans="1:3" x14ac:dyDescent="0.35">
      <c r="A7596" s="302">
        <v>38570</v>
      </c>
      <c r="B7596" s="303">
        <v>152.1388</v>
      </c>
      <c r="C7596" s="308">
        <v>4.8881547288288196</v>
      </c>
    </row>
    <row r="7597" spans="1:3" x14ac:dyDescent="0.35">
      <c r="A7597" s="305">
        <v>38569</v>
      </c>
      <c r="B7597" s="306">
        <v>152.11920000000001</v>
      </c>
      <c r="C7597" s="309">
        <v>4.8948907948250104</v>
      </c>
    </row>
    <row r="7598" spans="1:3" x14ac:dyDescent="0.35">
      <c r="A7598" s="302">
        <v>38568</v>
      </c>
      <c r="B7598" s="303">
        <v>152.09960000000001</v>
      </c>
      <c r="C7598" s="308">
        <v>4.9016294624691197</v>
      </c>
    </row>
    <row r="7599" spans="1:3" x14ac:dyDescent="0.35">
      <c r="A7599" s="305">
        <v>38567</v>
      </c>
      <c r="B7599" s="306">
        <v>152.08000000000001</v>
      </c>
      <c r="C7599" s="309">
        <v>4.9083707332686703</v>
      </c>
    </row>
    <row r="7600" spans="1:3" x14ac:dyDescent="0.35">
      <c r="A7600" s="302">
        <v>38566</v>
      </c>
      <c r="B7600" s="303">
        <v>152.06049999999999</v>
      </c>
      <c r="C7600" s="308">
        <v>4.9151112175177198</v>
      </c>
    </row>
    <row r="7601" spans="1:3" x14ac:dyDescent="0.35">
      <c r="A7601" s="305">
        <v>38565</v>
      </c>
      <c r="B7601" s="306">
        <v>152.04089999999999</v>
      </c>
      <c r="C7601" s="309">
        <v>4.92185769384447</v>
      </c>
    </row>
    <row r="7602" spans="1:3" x14ac:dyDescent="0.35">
      <c r="A7602" s="302">
        <v>38564</v>
      </c>
      <c r="B7602" s="303">
        <v>152.0213</v>
      </c>
      <c r="C7602" s="308">
        <v>4.9286067778523996</v>
      </c>
    </row>
    <row r="7603" spans="1:3" x14ac:dyDescent="0.35">
      <c r="A7603" s="305">
        <v>38563</v>
      </c>
      <c r="B7603" s="306">
        <v>152.0017</v>
      </c>
      <c r="C7603" s="309">
        <v>4.9352860282990703</v>
      </c>
    </row>
    <row r="7604" spans="1:3" x14ac:dyDescent="0.35">
      <c r="A7604" s="302">
        <v>38562</v>
      </c>
      <c r="B7604" s="303">
        <v>151.98220000000001</v>
      </c>
      <c r="C7604" s="308">
        <v>4.9421093624848798</v>
      </c>
    </row>
    <row r="7605" spans="1:3" x14ac:dyDescent="0.35">
      <c r="A7605" s="305">
        <v>38561</v>
      </c>
      <c r="B7605" s="306">
        <v>151.96260000000001</v>
      </c>
      <c r="C7605" s="309">
        <v>4.9487937932372903</v>
      </c>
    </row>
    <row r="7606" spans="1:3" x14ac:dyDescent="0.35">
      <c r="A7606" s="302">
        <v>38560</v>
      </c>
      <c r="B7606" s="303">
        <v>151.94300000000001</v>
      </c>
      <c r="C7606" s="308">
        <v>4.9555532990856497</v>
      </c>
    </row>
    <row r="7607" spans="1:3" x14ac:dyDescent="0.35">
      <c r="A7607" s="305">
        <v>38559</v>
      </c>
      <c r="B7607" s="306">
        <v>151.92349999999999</v>
      </c>
      <c r="C7607" s="309">
        <v>4.9623119917645999</v>
      </c>
    </row>
    <row r="7608" spans="1:3" x14ac:dyDescent="0.35">
      <c r="A7608" s="302">
        <v>38558</v>
      </c>
      <c r="B7608" s="303">
        <v>151.90389999999999</v>
      </c>
      <c r="C7608" s="308">
        <v>4.9690041882870304</v>
      </c>
    </row>
    <row r="7609" spans="1:3" x14ac:dyDescent="0.35">
      <c r="A7609" s="305">
        <v>38557</v>
      </c>
      <c r="B7609" s="306">
        <v>151.8843</v>
      </c>
      <c r="C7609" s="309">
        <v>4.9756989657546198</v>
      </c>
    </row>
    <row r="7610" spans="1:3" x14ac:dyDescent="0.35">
      <c r="A7610" s="302">
        <v>38556</v>
      </c>
      <c r="B7610" s="303">
        <v>151.8648</v>
      </c>
      <c r="C7610" s="308">
        <v>4.9825380278340798</v>
      </c>
    </row>
    <row r="7611" spans="1:3" x14ac:dyDescent="0.35">
      <c r="A7611" s="305">
        <v>38555</v>
      </c>
      <c r="B7611" s="306">
        <v>151.84520000000001</v>
      </c>
      <c r="C7611" s="309">
        <v>4.98923800364103</v>
      </c>
    </row>
    <row r="7612" spans="1:3" x14ac:dyDescent="0.35">
      <c r="A7612" s="302">
        <v>38554</v>
      </c>
      <c r="B7612" s="303">
        <v>151.82570000000001</v>
      </c>
      <c r="C7612" s="308">
        <v>4.9960097205144596</v>
      </c>
    </row>
    <row r="7613" spans="1:3" x14ac:dyDescent="0.35">
      <c r="A7613" s="305">
        <v>38553</v>
      </c>
      <c r="B7613" s="306">
        <v>151.80609999999999</v>
      </c>
      <c r="C7613" s="309">
        <v>5.0027148820496103</v>
      </c>
    </row>
    <row r="7614" spans="1:3" x14ac:dyDescent="0.35">
      <c r="A7614" s="302">
        <v>38552</v>
      </c>
      <c r="B7614" s="303">
        <v>151.78659999999999</v>
      </c>
      <c r="C7614" s="308">
        <v>5.00949181434786</v>
      </c>
    </row>
    <row r="7615" spans="1:3" x14ac:dyDescent="0.35">
      <c r="A7615" s="305">
        <v>38551</v>
      </c>
      <c r="B7615" s="306">
        <v>151.767</v>
      </c>
      <c r="C7615" s="309">
        <v>5.01620216762376</v>
      </c>
    </row>
    <row r="7616" spans="1:3" x14ac:dyDescent="0.35">
      <c r="A7616" s="302">
        <v>38550</v>
      </c>
      <c r="B7616" s="303">
        <v>151.7475</v>
      </c>
      <c r="C7616" s="308">
        <v>5.0229116360382298</v>
      </c>
    </row>
    <row r="7617" spans="1:3" x14ac:dyDescent="0.35">
      <c r="A7617" s="305">
        <v>38549</v>
      </c>
      <c r="B7617" s="306">
        <v>151.72790000000001</v>
      </c>
      <c r="C7617" s="309">
        <v>5.0296271683903004</v>
      </c>
    </row>
    <row r="7618" spans="1:3" x14ac:dyDescent="0.35">
      <c r="A7618" s="302">
        <v>38548</v>
      </c>
      <c r="B7618" s="303">
        <v>151.70840000000001</v>
      </c>
      <c r="C7618" s="308">
        <v>5.0364145309175603</v>
      </c>
    </row>
    <row r="7619" spans="1:3" x14ac:dyDescent="0.35">
      <c r="A7619" s="305">
        <v>38547</v>
      </c>
      <c r="B7619" s="306">
        <v>151.68770000000001</v>
      </c>
      <c r="C7619" s="309">
        <v>5.0353908644344996</v>
      </c>
    </row>
    <row r="7620" spans="1:3" x14ac:dyDescent="0.35">
      <c r="A7620" s="302">
        <v>38546</v>
      </c>
      <c r="B7620" s="303">
        <v>151.667</v>
      </c>
      <c r="C7620" s="308">
        <v>5.0342941987955498</v>
      </c>
    </row>
    <row r="7621" spans="1:3" x14ac:dyDescent="0.35">
      <c r="A7621" s="305">
        <v>38545</v>
      </c>
      <c r="B7621" s="306">
        <v>151.6463</v>
      </c>
      <c r="C7621" s="309">
        <v>5.0332700047721497</v>
      </c>
    </row>
    <row r="7622" spans="1:3" x14ac:dyDescent="0.35">
      <c r="A7622" s="302">
        <v>38544</v>
      </c>
      <c r="B7622" s="303">
        <v>151.62559999999999</v>
      </c>
      <c r="C7622" s="308">
        <v>5.0322455510837401</v>
      </c>
    </row>
    <row r="7623" spans="1:3" x14ac:dyDescent="0.35">
      <c r="A7623" s="305">
        <v>38543</v>
      </c>
      <c r="B7623" s="306">
        <v>151.60489999999999</v>
      </c>
      <c r="C7623" s="309">
        <v>5.0311480725051796</v>
      </c>
    </row>
    <row r="7624" spans="1:3" x14ac:dyDescent="0.35">
      <c r="A7624" s="302">
        <v>38542</v>
      </c>
      <c r="B7624" s="303">
        <v>151.58430000000001</v>
      </c>
      <c r="C7624" s="308">
        <v>5.0301196053895199</v>
      </c>
    </row>
    <row r="7625" spans="1:3" x14ac:dyDescent="0.35">
      <c r="A7625" s="305">
        <v>38541</v>
      </c>
      <c r="B7625" s="306">
        <v>151.56360000000001</v>
      </c>
      <c r="C7625" s="309">
        <v>5.0290943638635301</v>
      </c>
    </row>
    <row r="7626" spans="1:3" x14ac:dyDescent="0.35">
      <c r="A7626" s="302">
        <v>38540</v>
      </c>
      <c r="B7626" s="303">
        <v>151.5429</v>
      </c>
      <c r="C7626" s="308">
        <v>5.0279960717481202</v>
      </c>
    </row>
    <row r="7627" spans="1:3" x14ac:dyDescent="0.35">
      <c r="A7627" s="305">
        <v>38539</v>
      </c>
      <c r="B7627" s="306">
        <v>151.5223</v>
      </c>
      <c r="C7627" s="309">
        <v>5.0270396160526998</v>
      </c>
    </row>
    <row r="7628" spans="1:3" x14ac:dyDescent="0.35">
      <c r="A7628" s="302">
        <v>38538</v>
      </c>
      <c r="B7628" s="303">
        <v>151.5016</v>
      </c>
      <c r="C7628" s="308">
        <v>5.0259407867919696</v>
      </c>
    </row>
    <row r="7629" spans="1:3" x14ac:dyDescent="0.35">
      <c r="A7629" s="305">
        <v>38537</v>
      </c>
      <c r="B7629" s="306">
        <v>151.48089999999999</v>
      </c>
      <c r="C7629" s="309">
        <v>5.0249144961669696</v>
      </c>
    </row>
    <row r="7630" spans="1:3" x14ac:dyDescent="0.35">
      <c r="A7630" s="302">
        <v>38536</v>
      </c>
      <c r="B7630" s="303">
        <v>151.46029999999999</v>
      </c>
      <c r="C7630" s="308">
        <v>5.0238844614745597</v>
      </c>
    </row>
    <row r="7631" spans="1:3" x14ac:dyDescent="0.35">
      <c r="A7631" s="305">
        <v>38535</v>
      </c>
      <c r="B7631" s="306">
        <v>151.43960000000001</v>
      </c>
      <c r="C7631" s="309">
        <v>5.0227848171493301</v>
      </c>
    </row>
    <row r="7632" spans="1:3" x14ac:dyDescent="0.35">
      <c r="A7632" s="302">
        <v>38534</v>
      </c>
      <c r="B7632" s="303">
        <v>151.41900000000001</v>
      </c>
      <c r="C7632" s="308">
        <v>5.0217542535756001</v>
      </c>
    </row>
    <row r="7633" spans="1:3" x14ac:dyDescent="0.35">
      <c r="A7633" s="305">
        <v>38533</v>
      </c>
      <c r="B7633" s="306">
        <v>151.39830000000001</v>
      </c>
      <c r="C7633" s="309">
        <v>5.0207269125224396</v>
      </c>
    </row>
    <row r="7634" spans="1:3" x14ac:dyDescent="0.35">
      <c r="A7634" s="302">
        <v>38532</v>
      </c>
      <c r="B7634" s="303">
        <v>151.3777</v>
      </c>
      <c r="C7634" s="308">
        <v>5.0196958281474799</v>
      </c>
    </row>
    <row r="7635" spans="1:3" x14ac:dyDescent="0.35">
      <c r="A7635" s="305">
        <v>38531</v>
      </c>
      <c r="B7635" s="306">
        <v>151.357</v>
      </c>
      <c r="C7635" s="309">
        <v>5.0185950986650401</v>
      </c>
    </row>
    <row r="7636" spans="1:3" x14ac:dyDescent="0.35">
      <c r="A7636" s="302">
        <v>38530</v>
      </c>
      <c r="B7636" s="303">
        <v>151.3364</v>
      </c>
      <c r="C7636" s="308">
        <v>5.0175634846064501</v>
      </c>
    </row>
    <row r="7637" spans="1:3" x14ac:dyDescent="0.35">
      <c r="A7637" s="305">
        <v>38529</v>
      </c>
      <c r="B7637" s="306">
        <v>151.31569999999999</v>
      </c>
      <c r="C7637" s="309">
        <v>5.0165350915242497</v>
      </c>
    </row>
    <row r="7638" spans="1:3" x14ac:dyDescent="0.35">
      <c r="A7638" s="302">
        <v>38528</v>
      </c>
      <c r="B7638" s="303">
        <v>151.29509999999999</v>
      </c>
      <c r="C7638" s="308">
        <v>5.0155029558691497</v>
      </c>
    </row>
    <row r="7639" spans="1:3" x14ac:dyDescent="0.35">
      <c r="A7639" s="305">
        <v>38527</v>
      </c>
      <c r="B7639" s="306">
        <v>151.27449999999999</v>
      </c>
      <c r="C7639" s="309">
        <v>5.0144705594056598</v>
      </c>
    </row>
    <row r="7640" spans="1:3" x14ac:dyDescent="0.35">
      <c r="A7640" s="302">
        <v>38526</v>
      </c>
      <c r="B7640" s="303">
        <v>151.25380000000001</v>
      </c>
      <c r="C7640" s="308">
        <v>5.0133684734529398</v>
      </c>
    </row>
    <row r="7641" spans="1:3" x14ac:dyDescent="0.35">
      <c r="A7641" s="305">
        <v>38525</v>
      </c>
      <c r="B7641" s="306">
        <v>151.23320000000001</v>
      </c>
      <c r="C7641" s="309">
        <v>5.0123355463018697</v>
      </c>
    </row>
    <row r="7642" spans="1:3" x14ac:dyDescent="0.35">
      <c r="A7642" s="302">
        <v>38524</v>
      </c>
      <c r="B7642" s="303">
        <v>151.21260000000001</v>
      </c>
      <c r="C7642" s="308">
        <v>5.0113023580434204</v>
      </c>
    </row>
    <row r="7643" spans="1:3" x14ac:dyDescent="0.35">
      <c r="A7643" s="305">
        <v>38523</v>
      </c>
      <c r="B7643" s="306">
        <v>151.19200000000001</v>
      </c>
      <c r="C7643" s="309">
        <v>5.0102689085785803</v>
      </c>
    </row>
    <row r="7644" spans="1:3" x14ac:dyDescent="0.35">
      <c r="A7644" s="302">
        <v>38522</v>
      </c>
      <c r="B7644" s="303">
        <v>151.1713</v>
      </c>
      <c r="C7644" s="308">
        <v>5.0091657341166096</v>
      </c>
    </row>
    <row r="7645" spans="1:3" x14ac:dyDescent="0.35">
      <c r="A7645" s="305">
        <v>38521</v>
      </c>
      <c r="B7645" s="306">
        <v>151.1507</v>
      </c>
      <c r="C7645" s="309">
        <v>5.0081317531587404</v>
      </c>
    </row>
    <row r="7646" spans="1:3" x14ac:dyDescent="0.35">
      <c r="A7646" s="302">
        <v>38520</v>
      </c>
      <c r="B7646" s="303">
        <v>151.1301</v>
      </c>
      <c r="C7646" s="308">
        <v>5.0070975106948996</v>
      </c>
    </row>
    <row r="7647" spans="1:3" x14ac:dyDescent="0.35">
      <c r="A7647" s="305">
        <v>38519</v>
      </c>
      <c r="B7647" s="306">
        <v>151.1095</v>
      </c>
      <c r="C7647" s="309">
        <v>5.0060630066258804</v>
      </c>
    </row>
    <row r="7648" spans="1:3" x14ac:dyDescent="0.35">
      <c r="A7648" s="302">
        <v>38518</v>
      </c>
      <c r="B7648" s="303">
        <v>151.0889</v>
      </c>
      <c r="C7648" s="308">
        <v>5.0050282408523898</v>
      </c>
    </row>
    <row r="7649" spans="1:3" x14ac:dyDescent="0.35">
      <c r="A7649" s="305">
        <v>38517</v>
      </c>
      <c r="B7649" s="306">
        <v>151.0675</v>
      </c>
      <c r="C7649" s="309">
        <v>5.0056997483769603</v>
      </c>
    </row>
    <row r="7650" spans="1:3" x14ac:dyDescent="0.35">
      <c r="A7650" s="302">
        <v>38516</v>
      </c>
      <c r="B7650" s="303">
        <v>151.0461</v>
      </c>
      <c r="C7650" s="308">
        <v>5.0063714547703198</v>
      </c>
    </row>
    <row r="7651" spans="1:3" x14ac:dyDescent="0.35">
      <c r="A7651" s="305">
        <v>38515</v>
      </c>
      <c r="B7651" s="306">
        <v>151.0247</v>
      </c>
      <c r="C7651" s="309">
        <v>5.00704336012081</v>
      </c>
    </row>
    <row r="7652" spans="1:3" x14ac:dyDescent="0.35">
      <c r="A7652" s="302">
        <v>38514</v>
      </c>
      <c r="B7652" s="303">
        <v>151.0033</v>
      </c>
      <c r="C7652" s="308">
        <v>5.0077154645168598</v>
      </c>
    </row>
    <row r="7653" spans="1:3" x14ac:dyDescent="0.35">
      <c r="A7653" s="305">
        <v>38513</v>
      </c>
      <c r="B7653" s="306">
        <v>150.9819</v>
      </c>
      <c r="C7653" s="309">
        <v>5.0083877680469202</v>
      </c>
    </row>
    <row r="7654" spans="1:3" x14ac:dyDescent="0.35">
      <c r="A7654" s="302">
        <v>38512</v>
      </c>
      <c r="B7654" s="303">
        <v>150.9605</v>
      </c>
      <c r="C7654" s="308">
        <v>5.0090602707994902</v>
      </c>
    </row>
    <row r="7655" spans="1:3" x14ac:dyDescent="0.35">
      <c r="A7655" s="305">
        <v>38511</v>
      </c>
      <c r="B7655" s="306">
        <v>150.9392</v>
      </c>
      <c r="C7655" s="309">
        <v>5.0098025437914204</v>
      </c>
    </row>
    <row r="7656" spans="1:3" x14ac:dyDescent="0.35">
      <c r="A7656" s="302">
        <v>38510</v>
      </c>
      <c r="B7656" s="303">
        <v>150.9178</v>
      </c>
      <c r="C7656" s="308">
        <v>5.0104754555657696</v>
      </c>
    </row>
    <row r="7657" spans="1:3" x14ac:dyDescent="0.35">
      <c r="A7657" s="305">
        <v>38509</v>
      </c>
      <c r="B7657" s="306">
        <v>150.8964</v>
      </c>
      <c r="C7657" s="309">
        <v>5.0110754879930299</v>
      </c>
    </row>
    <row r="7658" spans="1:3" x14ac:dyDescent="0.35">
      <c r="A7658" s="302">
        <v>38508</v>
      </c>
      <c r="B7658" s="303">
        <v>150.8751</v>
      </c>
      <c r="C7658" s="308">
        <v>5.0118183893581598</v>
      </c>
    </row>
    <row r="7659" spans="1:3" x14ac:dyDescent="0.35">
      <c r="A7659" s="305">
        <v>38507</v>
      </c>
      <c r="B7659" s="306">
        <v>150.8537</v>
      </c>
      <c r="C7659" s="309">
        <v>5.01249189888697</v>
      </c>
    </row>
    <row r="7660" spans="1:3" x14ac:dyDescent="0.35">
      <c r="A7660" s="302">
        <v>38506</v>
      </c>
      <c r="B7660" s="303">
        <v>150.8323</v>
      </c>
      <c r="C7660" s="308">
        <v>5.0130924954693201</v>
      </c>
    </row>
    <row r="7661" spans="1:3" x14ac:dyDescent="0.35">
      <c r="A7661" s="305">
        <v>38505</v>
      </c>
      <c r="B7661" s="306">
        <v>150.81100000000001</v>
      </c>
      <c r="C7661" s="309">
        <v>5.0138360260315</v>
      </c>
    </row>
    <row r="7662" spans="1:3" x14ac:dyDescent="0.35">
      <c r="A7662" s="302">
        <v>38504</v>
      </c>
      <c r="B7662" s="303">
        <v>150.78960000000001</v>
      </c>
      <c r="C7662" s="308">
        <v>5.01451013411166</v>
      </c>
    </row>
    <row r="7663" spans="1:3" x14ac:dyDescent="0.35">
      <c r="A7663" s="305">
        <v>38503</v>
      </c>
      <c r="B7663" s="306">
        <v>150.76830000000001</v>
      </c>
      <c r="C7663" s="309">
        <v>5.01518094897125</v>
      </c>
    </row>
    <row r="7664" spans="1:3" x14ac:dyDescent="0.35">
      <c r="A7664" s="302">
        <v>38502</v>
      </c>
      <c r="B7664" s="303">
        <v>150.74690000000001</v>
      </c>
      <c r="C7664" s="308">
        <v>5.0158554561996498</v>
      </c>
    </row>
    <row r="7665" spans="1:3" x14ac:dyDescent="0.35">
      <c r="A7665" s="305">
        <v>38501</v>
      </c>
      <c r="B7665" s="306">
        <v>150.72559999999999</v>
      </c>
      <c r="C7665" s="309">
        <v>5.0165266684131602</v>
      </c>
    </row>
    <row r="7666" spans="1:3" x14ac:dyDescent="0.35">
      <c r="A7666" s="302">
        <v>38500</v>
      </c>
      <c r="B7666" s="303">
        <v>150.70419999999999</v>
      </c>
      <c r="C7666" s="308">
        <v>5.0172015751444397</v>
      </c>
    </row>
    <row r="7667" spans="1:3" x14ac:dyDescent="0.35">
      <c r="A7667" s="305">
        <v>38499</v>
      </c>
      <c r="B7667" s="306">
        <v>150.68289999999999</v>
      </c>
      <c r="C7667" s="309">
        <v>5.0178731850649996</v>
      </c>
    </row>
    <row r="7668" spans="1:3" x14ac:dyDescent="0.35">
      <c r="A7668" s="302">
        <v>38498</v>
      </c>
      <c r="B7668" s="303">
        <v>150.66149999999999</v>
      </c>
      <c r="C7668" s="308">
        <v>5.0185484916542196</v>
      </c>
    </row>
    <row r="7669" spans="1:3" x14ac:dyDescent="0.35">
      <c r="A7669" s="305">
        <v>38497</v>
      </c>
      <c r="B7669" s="306">
        <v>150.64019999999999</v>
      </c>
      <c r="C7669" s="309">
        <v>5.0192204996353897</v>
      </c>
    </row>
    <row r="7670" spans="1:3" x14ac:dyDescent="0.35">
      <c r="A7670" s="302">
        <v>38496</v>
      </c>
      <c r="B7670" s="303">
        <v>150.6189</v>
      </c>
      <c r="C7670" s="308">
        <v>5.0198927062866003</v>
      </c>
    </row>
    <row r="7671" spans="1:3" x14ac:dyDescent="0.35">
      <c r="A7671" s="305">
        <v>38495</v>
      </c>
      <c r="B7671" s="306">
        <v>150.5975</v>
      </c>
      <c r="C7671" s="309">
        <v>5.0205686128337801</v>
      </c>
    </row>
    <row r="7672" spans="1:3" x14ac:dyDescent="0.35">
      <c r="A7672" s="302">
        <v>38494</v>
      </c>
      <c r="B7672" s="303">
        <v>150.5762</v>
      </c>
      <c r="C7672" s="308">
        <v>5.0212412180762698</v>
      </c>
    </row>
    <row r="7673" spans="1:3" x14ac:dyDescent="0.35">
      <c r="A7673" s="305">
        <v>38493</v>
      </c>
      <c r="B7673" s="306">
        <v>150.5549</v>
      </c>
      <c r="C7673" s="309">
        <v>5.02191402225374</v>
      </c>
    </row>
    <row r="7674" spans="1:3" x14ac:dyDescent="0.35">
      <c r="A7674" s="302">
        <v>38492</v>
      </c>
      <c r="B7674" s="303">
        <v>150.53360000000001</v>
      </c>
      <c r="C7674" s="308">
        <v>5.02258702545444</v>
      </c>
    </row>
    <row r="7675" spans="1:3" x14ac:dyDescent="0.35">
      <c r="A7675" s="305">
        <v>38491</v>
      </c>
      <c r="B7675" s="306">
        <v>150.51220000000001</v>
      </c>
      <c r="C7675" s="309">
        <v>5.0232637328592196</v>
      </c>
    </row>
    <row r="7676" spans="1:3" x14ac:dyDescent="0.35">
      <c r="A7676" s="302">
        <v>38490</v>
      </c>
      <c r="B7676" s="303">
        <v>150.49090000000001</v>
      </c>
      <c r="C7676" s="308">
        <v>5.0239371353599598</v>
      </c>
    </row>
    <row r="7677" spans="1:3" x14ac:dyDescent="0.35">
      <c r="A7677" s="305">
        <v>38489</v>
      </c>
      <c r="B7677" s="306">
        <v>150.46960000000001</v>
      </c>
      <c r="C7677" s="309">
        <v>5.0246107371495103</v>
      </c>
    </row>
    <row r="7678" spans="1:3" x14ac:dyDescent="0.35">
      <c r="A7678" s="302">
        <v>38488</v>
      </c>
      <c r="B7678" s="303">
        <v>150.44829999999999</v>
      </c>
      <c r="C7678" s="308">
        <v>5.02528453831634</v>
      </c>
    </row>
    <row r="7679" spans="1:3" x14ac:dyDescent="0.35">
      <c r="A7679" s="305">
        <v>38487</v>
      </c>
      <c r="B7679" s="306">
        <v>150.42699999999999</v>
      </c>
      <c r="C7679" s="309">
        <v>5.0259585389489798</v>
      </c>
    </row>
    <row r="7680" spans="1:3" x14ac:dyDescent="0.35">
      <c r="A7680" s="302">
        <v>38486</v>
      </c>
      <c r="B7680" s="303">
        <v>150.3886</v>
      </c>
      <c r="C7680" s="308">
        <v>5.0332479175091303</v>
      </c>
    </row>
    <row r="7681" spans="1:3" x14ac:dyDescent="0.35">
      <c r="A7681" s="305">
        <v>38485</v>
      </c>
      <c r="B7681" s="306">
        <v>150.3501</v>
      </c>
      <c r="C7681" s="309">
        <v>5.0405455537522901</v>
      </c>
    </row>
    <row r="7682" spans="1:3" x14ac:dyDescent="0.35">
      <c r="A7682" s="302">
        <v>38484</v>
      </c>
      <c r="B7682" s="303">
        <v>150.3117</v>
      </c>
      <c r="C7682" s="308">
        <v>5.0478444154958302</v>
      </c>
    </row>
    <row r="7683" spans="1:3" x14ac:dyDescent="0.35">
      <c r="A7683" s="305">
        <v>38483</v>
      </c>
      <c r="B7683" s="306">
        <v>150.27330000000001</v>
      </c>
      <c r="C7683" s="309">
        <v>5.0551480226478498</v>
      </c>
    </row>
    <row r="7684" spans="1:3" x14ac:dyDescent="0.35">
      <c r="A7684" s="302">
        <v>38482</v>
      </c>
      <c r="B7684" s="303">
        <v>150.23490000000001</v>
      </c>
      <c r="C7684" s="308">
        <v>5.0624563798377302</v>
      </c>
    </row>
    <row r="7685" spans="1:3" x14ac:dyDescent="0.35">
      <c r="A7685" s="305">
        <v>38481</v>
      </c>
      <c r="B7685" s="306">
        <v>150.19640000000001</v>
      </c>
      <c r="C7685" s="309">
        <v>5.0696995368287903</v>
      </c>
    </row>
    <row r="7686" spans="1:3" x14ac:dyDescent="0.35">
      <c r="A7686" s="302">
        <v>38480</v>
      </c>
      <c r="B7686" s="303">
        <v>150.15799999999999</v>
      </c>
      <c r="C7686" s="308">
        <v>5.0769438548832797</v>
      </c>
    </row>
    <row r="7687" spans="1:3" x14ac:dyDescent="0.35">
      <c r="A7687" s="305">
        <v>38479</v>
      </c>
      <c r="B7687" s="306">
        <v>150.11969999999999</v>
      </c>
      <c r="C7687" s="309">
        <v>5.0843364385494798</v>
      </c>
    </row>
    <row r="7688" spans="1:3" x14ac:dyDescent="0.35">
      <c r="A7688" s="302">
        <v>38478</v>
      </c>
      <c r="B7688" s="303">
        <v>150.0813</v>
      </c>
      <c r="C7688" s="308">
        <v>5.0915902247741798</v>
      </c>
    </row>
    <row r="7689" spans="1:3" x14ac:dyDescent="0.35">
      <c r="A7689" s="305">
        <v>38477</v>
      </c>
      <c r="B7689" s="306">
        <v>150.0429</v>
      </c>
      <c r="C7689" s="309">
        <v>5.0988487261458797</v>
      </c>
    </row>
    <row r="7690" spans="1:3" x14ac:dyDescent="0.35">
      <c r="A7690" s="302">
        <v>38476</v>
      </c>
      <c r="B7690" s="303">
        <v>150.00460000000001</v>
      </c>
      <c r="C7690" s="308">
        <v>5.10618201590278</v>
      </c>
    </row>
    <row r="7691" spans="1:3" x14ac:dyDescent="0.35">
      <c r="A7691" s="305">
        <v>38475</v>
      </c>
      <c r="B7691" s="306">
        <v>149.96619999999999</v>
      </c>
      <c r="C7691" s="309">
        <v>5.1134499841593399</v>
      </c>
    </row>
    <row r="7692" spans="1:3" x14ac:dyDescent="0.35">
      <c r="A7692" s="302">
        <v>38474</v>
      </c>
      <c r="B7692" s="303">
        <v>149.92789999999999</v>
      </c>
      <c r="C7692" s="308">
        <v>5.1207927956226298</v>
      </c>
    </row>
    <row r="7693" spans="1:3" x14ac:dyDescent="0.35">
      <c r="A7693" s="305">
        <v>38473</v>
      </c>
      <c r="B7693" s="306">
        <v>149.8895</v>
      </c>
      <c r="C7693" s="309">
        <v>5.1279965155939102</v>
      </c>
    </row>
    <row r="7694" spans="1:3" x14ac:dyDescent="0.35">
      <c r="A7694" s="302">
        <v>38472</v>
      </c>
      <c r="B7694" s="303">
        <v>149.85120000000001</v>
      </c>
      <c r="C7694" s="308">
        <v>5.1353488381882801</v>
      </c>
    </row>
    <row r="7695" spans="1:3" x14ac:dyDescent="0.35">
      <c r="A7695" s="305">
        <v>38471</v>
      </c>
      <c r="B7695" s="306">
        <v>149.81290000000001</v>
      </c>
      <c r="C7695" s="309">
        <v>5.1426321573999898</v>
      </c>
    </row>
    <row r="7696" spans="1:3" x14ac:dyDescent="0.35">
      <c r="A7696" s="302">
        <v>38470</v>
      </c>
      <c r="B7696" s="303">
        <v>149.77459999999999</v>
      </c>
      <c r="C7696" s="308">
        <v>5.14992021151496</v>
      </c>
    </row>
    <row r="7697" spans="1:3" x14ac:dyDescent="0.35">
      <c r="A7697" s="305">
        <v>38469</v>
      </c>
      <c r="B7697" s="306">
        <v>149.7363</v>
      </c>
      <c r="C7697" s="309">
        <v>5.1572130051519496</v>
      </c>
    </row>
    <row r="7698" spans="1:3" x14ac:dyDescent="0.35">
      <c r="A7698" s="302">
        <v>38468</v>
      </c>
      <c r="B7698" s="303">
        <v>149.69800000000001</v>
      </c>
      <c r="C7698" s="308">
        <v>5.1645105429357203</v>
      </c>
    </row>
    <row r="7699" spans="1:3" x14ac:dyDescent="0.35">
      <c r="A7699" s="305">
        <v>38467</v>
      </c>
      <c r="B7699" s="306">
        <v>149.65979999999999</v>
      </c>
      <c r="C7699" s="309">
        <v>5.1718831034671799</v>
      </c>
    </row>
    <row r="7700" spans="1:3" x14ac:dyDescent="0.35">
      <c r="A7700" s="302">
        <v>38466</v>
      </c>
      <c r="B7700" s="303">
        <v>149.6215</v>
      </c>
      <c r="C7700" s="308">
        <v>5.1791162287176498</v>
      </c>
    </row>
    <row r="7701" spans="1:3" x14ac:dyDescent="0.35">
      <c r="A7701" s="305">
        <v>38465</v>
      </c>
      <c r="B7701" s="306">
        <v>149.58330000000001</v>
      </c>
      <c r="C7701" s="309">
        <v>5.1864983401039497</v>
      </c>
    </row>
    <row r="7702" spans="1:3" x14ac:dyDescent="0.35">
      <c r="A7702" s="302">
        <v>38464</v>
      </c>
      <c r="B7702" s="303">
        <v>149.54499999999999</v>
      </c>
      <c r="C7702" s="308">
        <v>5.1937409214168397</v>
      </c>
    </row>
    <row r="7703" spans="1:3" x14ac:dyDescent="0.35">
      <c r="A7703" s="305">
        <v>38463</v>
      </c>
      <c r="B7703" s="306">
        <v>149.5068</v>
      </c>
      <c r="C7703" s="309">
        <v>5.2010585770849396</v>
      </c>
    </row>
    <row r="7704" spans="1:3" x14ac:dyDescent="0.35">
      <c r="A7704" s="302">
        <v>38462</v>
      </c>
      <c r="B7704" s="303">
        <v>149.46860000000001</v>
      </c>
      <c r="C7704" s="308">
        <v>5.20838099206654</v>
      </c>
    </row>
    <row r="7705" spans="1:3" x14ac:dyDescent="0.35">
      <c r="A7705" s="305">
        <v>38461</v>
      </c>
      <c r="B7705" s="306">
        <v>149.43029999999999</v>
      </c>
      <c r="C7705" s="309">
        <v>5.2155636763059503</v>
      </c>
    </row>
    <row r="7706" spans="1:3" x14ac:dyDescent="0.35">
      <c r="A7706" s="302">
        <v>38460</v>
      </c>
      <c r="B7706" s="303">
        <v>149.3921</v>
      </c>
      <c r="C7706" s="308">
        <v>5.2228955716708603</v>
      </c>
    </row>
    <row r="7707" spans="1:3" x14ac:dyDescent="0.35">
      <c r="A7707" s="305">
        <v>38459</v>
      </c>
      <c r="B7707" s="306">
        <v>149.35400000000001</v>
      </c>
      <c r="C7707" s="309">
        <v>5.2303026972337197</v>
      </c>
    </row>
    <row r="7708" spans="1:3" x14ac:dyDescent="0.35">
      <c r="A7708" s="302">
        <v>38458</v>
      </c>
      <c r="B7708" s="303">
        <v>149.3158</v>
      </c>
      <c r="C7708" s="308">
        <v>5.2375699953130903</v>
      </c>
    </row>
    <row r="7709" spans="1:3" x14ac:dyDescent="0.35">
      <c r="A7709" s="305">
        <v>38457</v>
      </c>
      <c r="B7709" s="306">
        <v>149.27760000000001</v>
      </c>
      <c r="C7709" s="309">
        <v>5.2448420173944399</v>
      </c>
    </row>
    <row r="7710" spans="1:3" x14ac:dyDescent="0.35">
      <c r="A7710" s="302">
        <v>38456</v>
      </c>
      <c r="B7710" s="303">
        <v>149.2287</v>
      </c>
      <c r="C7710" s="308">
        <v>5.2508819766433099</v>
      </c>
    </row>
    <row r="7711" spans="1:3" x14ac:dyDescent="0.35">
      <c r="A7711" s="305">
        <v>38455</v>
      </c>
      <c r="B7711" s="306">
        <v>149.1799</v>
      </c>
      <c r="C7711" s="309">
        <v>5.2569228804488599</v>
      </c>
    </row>
    <row r="7712" spans="1:3" x14ac:dyDescent="0.35">
      <c r="A7712" s="302">
        <v>38454</v>
      </c>
      <c r="B7712" s="303">
        <v>149.131</v>
      </c>
      <c r="C7712" s="308">
        <v>5.2629721467559101</v>
      </c>
    </row>
    <row r="7713" spans="1:3" x14ac:dyDescent="0.35">
      <c r="A7713" s="305">
        <v>38453</v>
      </c>
      <c r="B7713" s="306">
        <v>149.0822</v>
      </c>
      <c r="C7713" s="309">
        <v>5.26902235698015</v>
      </c>
    </row>
    <row r="7714" spans="1:3" x14ac:dyDescent="0.35">
      <c r="A7714" s="302">
        <v>38452</v>
      </c>
      <c r="B7714" s="303">
        <v>149.0334</v>
      </c>
      <c r="C7714" s="308">
        <v>5.2750772256273901</v>
      </c>
    </row>
    <row r="7715" spans="1:3" x14ac:dyDescent="0.35">
      <c r="A7715" s="305">
        <v>38451</v>
      </c>
      <c r="B7715" s="306">
        <v>148.9846</v>
      </c>
      <c r="C7715" s="309">
        <v>5.2810623603910098</v>
      </c>
    </row>
    <row r="7716" spans="1:3" x14ac:dyDescent="0.35">
      <c r="A7716" s="302">
        <v>38450</v>
      </c>
      <c r="B7716" s="303">
        <v>148.9359</v>
      </c>
      <c r="C7716" s="308">
        <v>5.2871972220494197</v>
      </c>
    </row>
    <row r="7717" spans="1:3" x14ac:dyDescent="0.35">
      <c r="A7717" s="305">
        <v>38449</v>
      </c>
      <c r="B7717" s="306">
        <v>148.8871</v>
      </c>
      <c r="C7717" s="309">
        <v>5.2931916289964001</v>
      </c>
    </row>
    <row r="7718" spans="1:3" x14ac:dyDescent="0.35">
      <c r="A7718" s="302">
        <v>38448</v>
      </c>
      <c r="B7718" s="303">
        <v>148.83840000000001</v>
      </c>
      <c r="C7718" s="308">
        <v>5.2992613974021596</v>
      </c>
    </row>
    <row r="7719" spans="1:3" x14ac:dyDescent="0.35">
      <c r="A7719" s="305">
        <v>38447</v>
      </c>
      <c r="B7719" s="306">
        <v>148.78970000000001</v>
      </c>
      <c r="C7719" s="309">
        <v>5.3053358396983299</v>
      </c>
    </row>
    <row r="7720" spans="1:3" x14ac:dyDescent="0.35">
      <c r="A7720" s="302">
        <v>38446</v>
      </c>
      <c r="B7720" s="303">
        <v>148.74100000000001</v>
      </c>
      <c r="C7720" s="308">
        <v>5.3113403988833099</v>
      </c>
    </row>
    <row r="7721" spans="1:3" x14ac:dyDescent="0.35">
      <c r="A7721" s="305">
        <v>38445</v>
      </c>
      <c r="B7721" s="306">
        <v>148.69229999999999</v>
      </c>
      <c r="C7721" s="309">
        <v>5.3174241721317204</v>
      </c>
    </row>
    <row r="7722" spans="1:3" x14ac:dyDescent="0.35">
      <c r="A7722" s="302">
        <v>38444</v>
      </c>
      <c r="B7722" s="303">
        <v>148.64359999999999</v>
      </c>
      <c r="C7722" s="308">
        <v>5.3234380070657998</v>
      </c>
    </row>
    <row r="7723" spans="1:3" x14ac:dyDescent="0.35">
      <c r="A7723" s="305">
        <v>38443</v>
      </c>
      <c r="B7723" s="306">
        <v>148.595</v>
      </c>
      <c r="C7723" s="309">
        <v>5.3295273550553803</v>
      </c>
    </row>
    <row r="7724" spans="1:3" x14ac:dyDescent="0.35">
      <c r="A7724" s="302">
        <v>38442</v>
      </c>
      <c r="B7724" s="303">
        <v>148.5463</v>
      </c>
      <c r="C7724" s="308">
        <v>5.3354757871284004</v>
      </c>
    </row>
    <row r="7725" spans="1:3" x14ac:dyDescent="0.35">
      <c r="A7725" s="305">
        <v>38441</v>
      </c>
      <c r="B7725" s="306">
        <v>148.49770000000001</v>
      </c>
      <c r="C7725" s="309">
        <v>5.3415744588480498</v>
      </c>
    </row>
    <row r="7726" spans="1:3" x14ac:dyDescent="0.35">
      <c r="A7726" s="302">
        <v>38440</v>
      </c>
      <c r="B7726" s="303">
        <v>148.44909999999999</v>
      </c>
      <c r="C7726" s="308">
        <v>5.3476030702501403</v>
      </c>
    </row>
    <row r="7727" spans="1:3" x14ac:dyDescent="0.35">
      <c r="A7727" s="305">
        <v>38439</v>
      </c>
      <c r="B7727" s="306">
        <v>148.40049999999999</v>
      </c>
      <c r="C7727" s="309">
        <v>5.3536363210406996</v>
      </c>
    </row>
    <row r="7728" spans="1:3" x14ac:dyDescent="0.35">
      <c r="A7728" s="302">
        <v>38438</v>
      </c>
      <c r="B7728" s="303">
        <v>148.3519</v>
      </c>
      <c r="C7728" s="308">
        <v>5.35967421657723</v>
      </c>
    </row>
    <row r="7729" spans="1:3" x14ac:dyDescent="0.35">
      <c r="A7729" s="305">
        <v>38437</v>
      </c>
      <c r="B7729" s="306">
        <v>148.30340000000001</v>
      </c>
      <c r="C7729" s="309">
        <v>5.3657878096780802</v>
      </c>
    </row>
    <row r="7730" spans="1:3" x14ac:dyDescent="0.35">
      <c r="A7730" s="302">
        <v>38436</v>
      </c>
      <c r="B7730" s="303">
        <v>148.25479999999999</v>
      </c>
      <c r="C7730" s="308">
        <v>5.3717601453905504</v>
      </c>
    </row>
    <row r="7731" spans="1:3" x14ac:dyDescent="0.35">
      <c r="A7731" s="305">
        <v>38435</v>
      </c>
      <c r="B7731" s="306">
        <v>148.2063</v>
      </c>
      <c r="C7731" s="309">
        <v>5.3778831037800003</v>
      </c>
    </row>
    <row r="7732" spans="1:3" x14ac:dyDescent="0.35">
      <c r="A7732" s="302">
        <v>38434</v>
      </c>
      <c r="B7732" s="303">
        <v>148.15780000000001</v>
      </c>
      <c r="C7732" s="308">
        <v>5.3839358240995399</v>
      </c>
    </row>
    <row r="7733" spans="1:3" x14ac:dyDescent="0.35">
      <c r="A7733" s="305">
        <v>38433</v>
      </c>
      <c r="B7733" s="306">
        <v>148.10929999999999</v>
      </c>
      <c r="C7733" s="309">
        <v>5.38999320451562</v>
      </c>
    </row>
    <row r="7734" spans="1:3" x14ac:dyDescent="0.35">
      <c r="A7734" s="302">
        <v>38432</v>
      </c>
      <c r="B7734" s="303">
        <v>148.0608</v>
      </c>
      <c r="C7734" s="308">
        <v>5.3959802250134397</v>
      </c>
    </row>
    <row r="7735" spans="1:3" x14ac:dyDescent="0.35">
      <c r="A7735" s="305">
        <v>38431</v>
      </c>
      <c r="B7735" s="306">
        <v>148.01240000000001</v>
      </c>
      <c r="C7735" s="309">
        <v>5.4021181202394999</v>
      </c>
    </row>
    <row r="7736" spans="1:3" x14ac:dyDescent="0.35">
      <c r="A7736" s="302">
        <v>38430</v>
      </c>
      <c r="B7736" s="303">
        <v>147.9639</v>
      </c>
      <c r="C7736" s="308">
        <v>5.4081144156543601</v>
      </c>
    </row>
    <row r="7737" spans="1:3" x14ac:dyDescent="0.35">
      <c r="A7737" s="305">
        <v>38429</v>
      </c>
      <c r="B7737" s="306">
        <v>147.91550000000001</v>
      </c>
      <c r="C7737" s="309">
        <v>5.4141865927775701</v>
      </c>
    </row>
    <row r="7738" spans="1:3" x14ac:dyDescent="0.35">
      <c r="A7738" s="302">
        <v>38428</v>
      </c>
      <c r="B7738" s="303">
        <v>147.86709999999999</v>
      </c>
      <c r="C7738" s="308">
        <v>5.4202634453218401</v>
      </c>
    </row>
    <row r="7739" spans="1:3" x14ac:dyDescent="0.35">
      <c r="A7739" s="305">
        <v>38427</v>
      </c>
      <c r="B7739" s="306">
        <v>147.81870000000001</v>
      </c>
      <c r="C7739" s="309">
        <v>5.42634497868917</v>
      </c>
    </row>
    <row r="7740" spans="1:3" x14ac:dyDescent="0.35">
      <c r="A7740" s="302">
        <v>38426</v>
      </c>
      <c r="B7740" s="303">
        <v>147.77029999999999</v>
      </c>
      <c r="C7740" s="308">
        <v>5.4323559735010498</v>
      </c>
    </row>
    <row r="7741" spans="1:3" x14ac:dyDescent="0.35">
      <c r="A7741" s="305">
        <v>38425</v>
      </c>
      <c r="B7741" s="306">
        <v>147.72720000000001</v>
      </c>
      <c r="C7741" s="309">
        <v>5.4338012628315404</v>
      </c>
    </row>
    <row r="7742" spans="1:3" x14ac:dyDescent="0.35">
      <c r="A7742" s="302">
        <v>38424</v>
      </c>
      <c r="B7742" s="303">
        <v>147.6841</v>
      </c>
      <c r="C7742" s="308">
        <v>5.4352474354059304</v>
      </c>
    </row>
    <row r="7743" spans="1:3" x14ac:dyDescent="0.35">
      <c r="A7743" s="305">
        <v>38423</v>
      </c>
      <c r="B7743" s="306">
        <v>147.64099999999999</v>
      </c>
      <c r="C7743" s="309">
        <v>5.4366944920340998</v>
      </c>
    </row>
    <row r="7744" spans="1:3" x14ac:dyDescent="0.35">
      <c r="A7744" s="302">
        <v>38422</v>
      </c>
      <c r="B7744" s="303">
        <v>147.59800000000001</v>
      </c>
      <c r="C7744" s="308">
        <v>5.4382138695991697</v>
      </c>
    </row>
    <row r="7745" spans="1:3" x14ac:dyDescent="0.35">
      <c r="A7745" s="305">
        <v>38421</v>
      </c>
      <c r="B7745" s="306">
        <v>147.5549</v>
      </c>
      <c r="C7745" s="309">
        <v>5.43966271861657</v>
      </c>
    </row>
    <row r="7746" spans="1:3" x14ac:dyDescent="0.35">
      <c r="A7746" s="302">
        <v>38420</v>
      </c>
      <c r="B7746" s="303">
        <v>147.5119</v>
      </c>
      <c r="C7746" s="308">
        <v>5.4411085648442699</v>
      </c>
    </row>
    <row r="7747" spans="1:3" x14ac:dyDescent="0.35">
      <c r="A7747" s="305">
        <v>38419</v>
      </c>
      <c r="B7747" s="306">
        <v>147.46889999999999</v>
      </c>
      <c r="C7747" s="309">
        <v>5.4426306870589203</v>
      </c>
    </row>
    <row r="7748" spans="1:3" x14ac:dyDescent="0.35">
      <c r="A7748" s="302">
        <v>38418</v>
      </c>
      <c r="B7748" s="303">
        <v>147.42590000000001</v>
      </c>
      <c r="C7748" s="308">
        <v>5.4440783238910502</v>
      </c>
    </row>
    <row r="7749" spans="1:3" x14ac:dyDescent="0.35">
      <c r="A7749" s="305">
        <v>38417</v>
      </c>
      <c r="B7749" s="306">
        <v>147.38290000000001</v>
      </c>
      <c r="C7749" s="309">
        <v>5.4455268452246397</v>
      </c>
    </row>
    <row r="7750" spans="1:3" x14ac:dyDescent="0.35">
      <c r="A7750" s="302">
        <v>38416</v>
      </c>
      <c r="B7750" s="303">
        <v>147.3399</v>
      </c>
      <c r="C7750" s="308">
        <v>5.4469762518705904</v>
      </c>
    </row>
    <row r="7751" spans="1:3" x14ac:dyDescent="0.35">
      <c r="A7751" s="305">
        <v>38415</v>
      </c>
      <c r="B7751" s="306">
        <v>147.29689999999999</v>
      </c>
      <c r="C7751" s="309">
        <v>5.4484265446407703</v>
      </c>
    </row>
    <row r="7752" spans="1:3" x14ac:dyDescent="0.35">
      <c r="A7752" s="302">
        <v>38414</v>
      </c>
      <c r="B7752" s="303">
        <v>147.25399999999999</v>
      </c>
      <c r="C7752" s="308">
        <v>5.4498738216431004</v>
      </c>
    </row>
    <row r="7753" spans="1:3" x14ac:dyDescent="0.35">
      <c r="A7753" s="305">
        <v>38413</v>
      </c>
      <c r="B7753" s="306">
        <v>147.21100000000001</v>
      </c>
      <c r="C7753" s="309">
        <v>5.4513258868674903</v>
      </c>
    </row>
    <row r="7754" spans="1:3" x14ac:dyDescent="0.35">
      <c r="A7754" s="302">
        <v>38412</v>
      </c>
      <c r="B7754" s="303">
        <v>147.16810000000001</v>
      </c>
      <c r="C7754" s="308">
        <v>5.4528504953488897</v>
      </c>
    </row>
    <row r="7755" spans="1:3" x14ac:dyDescent="0.35">
      <c r="A7755" s="305">
        <v>38411</v>
      </c>
      <c r="B7755" s="306">
        <v>147.12520000000001</v>
      </c>
      <c r="C7755" s="309">
        <v>5.48650993382231</v>
      </c>
    </row>
    <row r="7756" spans="1:3" x14ac:dyDescent="0.35">
      <c r="A7756" s="302">
        <v>38410</v>
      </c>
      <c r="B7756" s="303">
        <v>147.0823</v>
      </c>
      <c r="C7756" s="308">
        <v>5.4879710593959397</v>
      </c>
    </row>
    <row r="7757" spans="1:3" x14ac:dyDescent="0.35">
      <c r="A7757" s="305">
        <v>38409</v>
      </c>
      <c r="B7757" s="306">
        <v>147.0394</v>
      </c>
      <c r="C7757" s="309">
        <v>5.48943307807426</v>
      </c>
    </row>
    <row r="7758" spans="1:3" x14ac:dyDescent="0.35">
      <c r="A7758" s="302">
        <v>38408</v>
      </c>
      <c r="B7758" s="303">
        <v>146.9965</v>
      </c>
      <c r="C7758" s="308">
        <v>5.4908959906763899</v>
      </c>
    </row>
    <row r="7759" spans="1:3" x14ac:dyDescent="0.35">
      <c r="A7759" s="305">
        <v>38407</v>
      </c>
      <c r="B7759" s="306">
        <v>146.95359999999999</v>
      </c>
      <c r="C7759" s="309">
        <v>5.4923597980224299</v>
      </c>
    </row>
    <row r="7760" spans="1:3" x14ac:dyDescent="0.35">
      <c r="A7760" s="302">
        <v>38406</v>
      </c>
      <c r="B7760" s="303">
        <v>146.91079999999999</v>
      </c>
      <c r="C7760" s="308">
        <v>5.4938205559237696</v>
      </c>
    </row>
    <row r="7761" spans="1:3" x14ac:dyDescent="0.35">
      <c r="A7761" s="305">
        <v>38405</v>
      </c>
      <c r="B7761" s="306">
        <v>146.86789999999999</v>
      </c>
      <c r="C7761" s="309">
        <v>5.4952861529620902</v>
      </c>
    </row>
    <row r="7762" spans="1:3" x14ac:dyDescent="0.35">
      <c r="A7762" s="302">
        <v>38404</v>
      </c>
      <c r="B7762" s="303">
        <v>146.82509999999999</v>
      </c>
      <c r="C7762" s="308">
        <v>5.4967486976827704</v>
      </c>
    </row>
    <row r="7763" spans="1:3" x14ac:dyDescent="0.35">
      <c r="A7763" s="305">
        <v>38403</v>
      </c>
      <c r="B7763" s="306">
        <v>146.78229999999999</v>
      </c>
      <c r="C7763" s="309">
        <v>5.4982121359136098</v>
      </c>
    </row>
    <row r="7764" spans="1:3" x14ac:dyDescent="0.35">
      <c r="A7764" s="302">
        <v>38402</v>
      </c>
      <c r="B7764" s="303">
        <v>146.73949999999999</v>
      </c>
      <c r="C7764" s="308">
        <v>5.4996764684736501</v>
      </c>
    </row>
    <row r="7765" spans="1:3" x14ac:dyDescent="0.35">
      <c r="A7765" s="305">
        <v>38401</v>
      </c>
      <c r="B7765" s="306">
        <v>146.69669999999999</v>
      </c>
      <c r="C7765" s="309">
        <v>5.5011416961829598</v>
      </c>
    </row>
    <row r="7766" spans="1:3" x14ac:dyDescent="0.35">
      <c r="A7766" s="302">
        <v>38400</v>
      </c>
      <c r="B7766" s="303">
        <v>146.65389999999999</v>
      </c>
      <c r="C7766" s="308">
        <v>5.5026078198625896</v>
      </c>
    </row>
    <row r="7767" spans="1:3" x14ac:dyDescent="0.35">
      <c r="A7767" s="305">
        <v>38399</v>
      </c>
      <c r="B7767" s="306">
        <v>146.6112</v>
      </c>
      <c r="C7767" s="309">
        <v>5.5040708795028301</v>
      </c>
    </row>
    <row r="7768" spans="1:3" x14ac:dyDescent="0.35">
      <c r="A7768" s="302">
        <v>38398</v>
      </c>
      <c r="B7768" s="303">
        <v>146.5684</v>
      </c>
      <c r="C7768" s="308">
        <v>5.5055387953219199</v>
      </c>
    </row>
    <row r="7769" spans="1:3" x14ac:dyDescent="0.35">
      <c r="A7769" s="305">
        <v>38397</v>
      </c>
      <c r="B7769" s="306">
        <v>146.55420000000001</v>
      </c>
      <c r="C7769" s="309">
        <v>5.5160526679568704</v>
      </c>
    </row>
    <row r="7770" spans="1:3" x14ac:dyDescent="0.35">
      <c r="A7770" s="302">
        <v>38396</v>
      </c>
      <c r="B7770" s="303">
        <v>146.5401</v>
      </c>
      <c r="C7770" s="308">
        <v>5.5265666947033703</v>
      </c>
    </row>
    <row r="7771" spans="1:3" x14ac:dyDescent="0.35">
      <c r="A7771" s="305">
        <v>38395</v>
      </c>
      <c r="B7771" s="306">
        <v>146.52590000000001</v>
      </c>
      <c r="C7771" s="309">
        <v>5.5370888292351603</v>
      </c>
    </row>
    <row r="7772" spans="1:3" x14ac:dyDescent="0.35">
      <c r="A7772" s="302">
        <v>38394</v>
      </c>
      <c r="B7772" s="303">
        <v>146.51169999999999</v>
      </c>
      <c r="C7772" s="308">
        <v>5.54753906567991</v>
      </c>
    </row>
    <row r="7773" spans="1:3" x14ac:dyDescent="0.35">
      <c r="A7773" s="305">
        <v>38393</v>
      </c>
      <c r="B7773" s="306">
        <v>146.49760000000001</v>
      </c>
      <c r="C7773" s="309">
        <v>5.5580654528371101</v>
      </c>
    </row>
    <row r="7774" spans="1:3" x14ac:dyDescent="0.35">
      <c r="A7774" s="302">
        <v>38392</v>
      </c>
      <c r="B7774" s="303">
        <v>146.48339999999999</v>
      </c>
      <c r="C7774" s="308">
        <v>5.5685238983054504</v>
      </c>
    </row>
    <row r="7775" spans="1:3" x14ac:dyDescent="0.35">
      <c r="A7775" s="305">
        <v>38391</v>
      </c>
      <c r="B7775" s="306">
        <v>146.4693</v>
      </c>
      <c r="C7775" s="309">
        <v>5.5791346318804802</v>
      </c>
    </row>
    <row r="7776" spans="1:3" x14ac:dyDescent="0.35">
      <c r="A7776" s="302">
        <v>38390</v>
      </c>
      <c r="B7776" s="303">
        <v>146.45509999999999</v>
      </c>
      <c r="C7776" s="308">
        <v>5.58960131850829</v>
      </c>
    </row>
    <row r="7777" spans="1:3" x14ac:dyDescent="0.35">
      <c r="A7777" s="305">
        <v>38389</v>
      </c>
      <c r="B7777" s="306">
        <v>146.441</v>
      </c>
      <c r="C7777" s="309">
        <v>5.6001442221020401</v>
      </c>
    </row>
    <row r="7778" spans="1:3" x14ac:dyDescent="0.35">
      <c r="A7778" s="302">
        <v>38388</v>
      </c>
      <c r="B7778" s="303">
        <v>146.42679999999999</v>
      </c>
      <c r="C7778" s="308">
        <v>5.6106191371229803</v>
      </c>
    </row>
    <row r="7779" spans="1:3" x14ac:dyDescent="0.35">
      <c r="A7779" s="305">
        <v>38387</v>
      </c>
      <c r="B7779" s="306">
        <v>146.4127</v>
      </c>
      <c r="C7779" s="309">
        <v>5.6211703022494497</v>
      </c>
    </row>
    <row r="7780" spans="1:3" x14ac:dyDescent="0.35">
      <c r="A7780" s="302">
        <v>38386</v>
      </c>
      <c r="B7780" s="303">
        <v>146.39850000000001</v>
      </c>
      <c r="C7780" s="308">
        <v>5.6316534553593502</v>
      </c>
    </row>
    <row r="7781" spans="1:3" x14ac:dyDescent="0.35">
      <c r="A7781" s="305">
        <v>38385</v>
      </c>
      <c r="B7781" s="306">
        <v>146.3844</v>
      </c>
      <c r="C7781" s="309">
        <v>5.6422128917441601</v>
      </c>
    </row>
    <row r="7782" spans="1:3" x14ac:dyDescent="0.35">
      <c r="A7782" s="302">
        <v>38384</v>
      </c>
      <c r="B7782" s="303">
        <v>146.37020000000001</v>
      </c>
      <c r="C7782" s="308">
        <v>5.6526280306426102</v>
      </c>
    </row>
    <row r="7783" spans="1:3" x14ac:dyDescent="0.35">
      <c r="A7783" s="305">
        <v>38383</v>
      </c>
      <c r="B7783" s="306">
        <v>146.3561</v>
      </c>
      <c r="C7783" s="309">
        <v>5.6631957254214296</v>
      </c>
    </row>
    <row r="7784" spans="1:3" x14ac:dyDescent="0.35">
      <c r="A7784" s="302">
        <v>38382</v>
      </c>
      <c r="B7784" s="303">
        <v>146.34200000000001</v>
      </c>
      <c r="C7784" s="308">
        <v>5.6737675714356897</v>
      </c>
    </row>
    <row r="7785" spans="1:3" x14ac:dyDescent="0.35">
      <c r="A7785" s="305">
        <v>38381</v>
      </c>
      <c r="B7785" s="306">
        <v>146.3278</v>
      </c>
      <c r="C7785" s="309">
        <v>5.68427134680317</v>
      </c>
    </row>
    <row r="7786" spans="1:3" x14ac:dyDescent="0.35">
      <c r="A7786" s="302">
        <v>38380</v>
      </c>
      <c r="B7786" s="303">
        <v>146.31370000000001</v>
      </c>
      <c r="C7786" s="308">
        <v>5.6947751360972703</v>
      </c>
    </row>
    <row r="7787" spans="1:3" x14ac:dyDescent="0.35">
      <c r="A7787" s="305">
        <v>38379</v>
      </c>
      <c r="B7787" s="306">
        <v>146.29949999999999</v>
      </c>
      <c r="C7787" s="309">
        <v>5.7052871609905003</v>
      </c>
    </row>
    <row r="7788" spans="1:3" x14ac:dyDescent="0.35">
      <c r="A7788" s="302">
        <v>38378</v>
      </c>
      <c r="B7788" s="303">
        <v>146.28540000000001</v>
      </c>
      <c r="C7788" s="308">
        <v>5.7157991878655299</v>
      </c>
    </row>
    <row r="7789" spans="1:3" x14ac:dyDescent="0.35">
      <c r="A7789" s="305">
        <v>38377</v>
      </c>
      <c r="B7789" s="306">
        <v>146.2713</v>
      </c>
      <c r="C7789" s="309">
        <v>5.7263917530244202</v>
      </c>
    </row>
    <row r="7790" spans="1:3" x14ac:dyDescent="0.35">
      <c r="A7790" s="302">
        <v>38376</v>
      </c>
      <c r="B7790" s="303">
        <v>146.25710000000001</v>
      </c>
      <c r="C7790" s="308">
        <v>5.7368397461571501</v>
      </c>
    </row>
    <row r="7791" spans="1:3" x14ac:dyDescent="0.35">
      <c r="A7791" s="305">
        <v>38375</v>
      </c>
      <c r="B7791" s="306">
        <v>146.24299999999999</v>
      </c>
      <c r="C7791" s="309">
        <v>5.7473641433836598</v>
      </c>
    </row>
    <row r="7792" spans="1:3" x14ac:dyDescent="0.35">
      <c r="A7792" s="302">
        <v>38374</v>
      </c>
      <c r="B7792" s="303">
        <v>146.22890000000001</v>
      </c>
      <c r="C7792" s="308">
        <v>5.7579691539949698</v>
      </c>
    </row>
    <row r="7793" spans="1:3" x14ac:dyDescent="0.35">
      <c r="A7793" s="305">
        <v>38373</v>
      </c>
      <c r="B7793" s="306">
        <v>146.21469999999999</v>
      </c>
      <c r="C7793" s="309">
        <v>5.7684294894979997</v>
      </c>
    </row>
    <row r="7794" spans="1:3" x14ac:dyDescent="0.35">
      <c r="A7794" s="302">
        <v>38372</v>
      </c>
      <c r="B7794" s="303">
        <v>146.20060000000001</v>
      </c>
      <c r="C7794" s="308">
        <v>5.7789662789326401</v>
      </c>
    </row>
    <row r="7795" spans="1:3" x14ac:dyDescent="0.35">
      <c r="A7795" s="305">
        <v>38371</v>
      </c>
      <c r="B7795" s="306">
        <v>146.1865</v>
      </c>
      <c r="C7795" s="309">
        <v>5.7895072011532296</v>
      </c>
    </row>
    <row r="7796" spans="1:3" x14ac:dyDescent="0.35">
      <c r="A7796" s="302">
        <v>38370</v>
      </c>
      <c r="B7796" s="303">
        <v>146.17240000000001</v>
      </c>
      <c r="C7796" s="308">
        <v>5.8000522585917302</v>
      </c>
    </row>
    <row r="7797" spans="1:3" x14ac:dyDescent="0.35">
      <c r="A7797" s="305">
        <v>38369</v>
      </c>
      <c r="B7797" s="306">
        <v>146.15819999999999</v>
      </c>
      <c r="C7797" s="309">
        <v>5.8105290591607996</v>
      </c>
    </row>
    <row r="7798" spans="1:3" x14ac:dyDescent="0.35">
      <c r="A7798" s="302">
        <v>38368</v>
      </c>
      <c r="B7798" s="303">
        <v>146.14410000000001</v>
      </c>
      <c r="C7798" s="308">
        <v>5.82108238013278</v>
      </c>
    </row>
    <row r="7799" spans="1:3" x14ac:dyDescent="0.35">
      <c r="A7799" s="305">
        <v>38367</v>
      </c>
      <c r="B7799" s="306">
        <v>146.13</v>
      </c>
      <c r="C7799" s="309">
        <v>5.8316398436243899</v>
      </c>
    </row>
    <row r="7800" spans="1:3" x14ac:dyDescent="0.35">
      <c r="A7800" s="302">
        <v>38366</v>
      </c>
      <c r="B7800" s="303">
        <v>146.11680000000001</v>
      </c>
      <c r="C7800" s="308">
        <v>5.8340371223984597</v>
      </c>
    </row>
    <row r="7801" spans="1:3" x14ac:dyDescent="0.35">
      <c r="A7801" s="305">
        <v>38365</v>
      </c>
      <c r="B7801" s="306">
        <v>146.1037</v>
      </c>
      <c r="C7801" s="309">
        <v>5.8364307151130701</v>
      </c>
    </row>
    <row r="7802" spans="1:3" x14ac:dyDescent="0.35">
      <c r="A7802" s="302">
        <v>38364</v>
      </c>
      <c r="B7802" s="303">
        <v>146.09049999999999</v>
      </c>
      <c r="C7802" s="308">
        <v>5.83882907547647</v>
      </c>
    </row>
    <row r="7803" spans="1:3" x14ac:dyDescent="0.35">
      <c r="A7803" s="305">
        <v>38363</v>
      </c>
      <c r="B7803" s="306">
        <v>146.07730000000001</v>
      </c>
      <c r="C7803" s="309">
        <v>5.8411512901440101</v>
      </c>
    </row>
    <row r="7804" spans="1:3" x14ac:dyDescent="0.35">
      <c r="A7804" s="302">
        <v>38362</v>
      </c>
      <c r="B7804" s="303">
        <v>146.0641</v>
      </c>
      <c r="C7804" s="308">
        <v>5.8435507246376801</v>
      </c>
    </row>
    <row r="7805" spans="1:3" x14ac:dyDescent="0.35">
      <c r="A7805" s="305">
        <v>38361</v>
      </c>
      <c r="B7805" s="306">
        <v>146.05099999999999</v>
      </c>
      <c r="C7805" s="309">
        <v>5.8460231736341202</v>
      </c>
    </row>
    <row r="7806" spans="1:3" x14ac:dyDescent="0.35">
      <c r="A7806" s="302">
        <v>38360</v>
      </c>
      <c r="B7806" s="303">
        <v>146.0378</v>
      </c>
      <c r="C7806" s="308">
        <v>5.8483469825446202</v>
      </c>
    </row>
    <row r="7807" spans="1:3" x14ac:dyDescent="0.35">
      <c r="A7807" s="305">
        <v>38359</v>
      </c>
      <c r="B7807" s="306">
        <v>146.02459999999999</v>
      </c>
      <c r="C7807" s="309">
        <v>5.8507480429971599</v>
      </c>
    </row>
    <row r="7808" spans="1:3" x14ac:dyDescent="0.35">
      <c r="A7808" s="302">
        <v>38358</v>
      </c>
      <c r="B7808" s="303">
        <v>146.01140000000001</v>
      </c>
      <c r="C7808" s="308">
        <v>5.85307290677392</v>
      </c>
    </row>
    <row r="7809" spans="1:3" x14ac:dyDescent="0.35">
      <c r="A7809" s="305">
        <v>38357</v>
      </c>
      <c r="B7809" s="306">
        <v>145.9983</v>
      </c>
      <c r="C7809" s="309">
        <v>5.8554707976882598</v>
      </c>
    </row>
    <row r="7810" spans="1:3" x14ac:dyDescent="0.35">
      <c r="A7810" s="302">
        <v>38356</v>
      </c>
      <c r="B7810" s="303">
        <v>145.98509999999999</v>
      </c>
      <c r="C7810" s="308">
        <v>5.8578734753278798</v>
      </c>
    </row>
    <row r="7811" spans="1:3" x14ac:dyDescent="0.35">
      <c r="A7811" s="305">
        <v>38355</v>
      </c>
      <c r="B7811" s="306">
        <v>145.97190000000001</v>
      </c>
      <c r="C7811" s="309">
        <v>5.8601999257385504</v>
      </c>
    </row>
    <row r="7812" spans="1:3" x14ac:dyDescent="0.35">
      <c r="A7812" s="302">
        <v>38354</v>
      </c>
      <c r="B7812" s="303">
        <v>145.9588</v>
      </c>
      <c r="C7812" s="308">
        <v>5.8626762095686296</v>
      </c>
    </row>
    <row r="7813" spans="1:3" x14ac:dyDescent="0.35">
      <c r="A7813" s="305">
        <v>38353</v>
      </c>
      <c r="B7813" s="306">
        <v>145.94560000000001</v>
      </c>
      <c r="C7813" s="309">
        <v>5.8650037247905704</v>
      </c>
    </row>
    <row r="7814" spans="1:3" x14ac:dyDescent="0.35">
      <c r="A7814" s="302">
        <v>38352</v>
      </c>
      <c r="B7814" s="303">
        <v>145.9324</v>
      </c>
      <c r="C7814" s="308">
        <v>5.8673317634495703</v>
      </c>
    </row>
    <row r="7815" spans="1:3" x14ac:dyDescent="0.35">
      <c r="A7815" s="305">
        <v>38351</v>
      </c>
      <c r="B7815" s="306">
        <v>145.91929999999999</v>
      </c>
      <c r="C7815" s="309">
        <v>5.8698096917194498</v>
      </c>
    </row>
    <row r="7816" spans="1:3" x14ac:dyDescent="0.35">
      <c r="A7816" s="302">
        <v>38350</v>
      </c>
      <c r="B7816" s="303">
        <v>145.90610000000001</v>
      </c>
      <c r="C7816" s="308">
        <v>5.8721387962717699</v>
      </c>
    </row>
    <row r="7817" spans="1:3" x14ac:dyDescent="0.35">
      <c r="A7817" s="305">
        <v>38349</v>
      </c>
      <c r="B7817" s="306">
        <v>145.893</v>
      </c>
      <c r="C7817" s="309">
        <v>5.87454099478947</v>
      </c>
    </row>
    <row r="7818" spans="1:3" x14ac:dyDescent="0.35">
      <c r="A7818" s="302">
        <v>38348</v>
      </c>
      <c r="B7818" s="303">
        <v>145.87979999999999</v>
      </c>
      <c r="C7818" s="308">
        <v>5.8769479991639004</v>
      </c>
    </row>
    <row r="7819" spans="1:3" x14ac:dyDescent="0.35">
      <c r="A7819" s="305">
        <v>38347</v>
      </c>
      <c r="B7819" s="306">
        <v>145.86670000000001</v>
      </c>
      <c r="C7819" s="309">
        <v>5.8793512810406598</v>
      </c>
    </row>
    <row r="7820" spans="1:3" x14ac:dyDescent="0.35">
      <c r="A7820" s="302">
        <v>38346</v>
      </c>
      <c r="B7820" s="303">
        <v>145.8535</v>
      </c>
      <c r="C7820" s="308">
        <v>5.8816825092158798</v>
      </c>
    </row>
    <row r="7821" spans="1:3" x14ac:dyDescent="0.35">
      <c r="A7821" s="305">
        <v>38345</v>
      </c>
      <c r="B7821" s="306">
        <v>145.84030000000001</v>
      </c>
      <c r="C7821" s="309">
        <v>5.8840911367995803</v>
      </c>
    </row>
    <row r="7822" spans="1:3" x14ac:dyDescent="0.35">
      <c r="A7822" s="302">
        <v>38344</v>
      </c>
      <c r="B7822" s="303">
        <v>145.8272</v>
      </c>
      <c r="C7822" s="308">
        <v>5.8864960358059104</v>
      </c>
    </row>
    <row r="7823" spans="1:3" x14ac:dyDescent="0.35">
      <c r="A7823" s="305">
        <v>38343</v>
      </c>
      <c r="B7823" s="306">
        <v>145.81399999999999</v>
      </c>
      <c r="C7823" s="309">
        <v>5.8888288570913998</v>
      </c>
    </row>
    <row r="7824" spans="1:3" x14ac:dyDescent="0.35">
      <c r="A7824" s="302">
        <v>38342</v>
      </c>
      <c r="B7824" s="303">
        <v>145.80090000000001</v>
      </c>
      <c r="C7824" s="308">
        <v>5.8912348308837403</v>
      </c>
    </row>
    <row r="7825" spans="1:3" x14ac:dyDescent="0.35">
      <c r="A7825" s="305">
        <v>38341</v>
      </c>
      <c r="B7825" s="306">
        <v>145.7877</v>
      </c>
      <c r="C7825" s="309">
        <v>5.8935687109675197</v>
      </c>
    </row>
    <row r="7826" spans="1:3" x14ac:dyDescent="0.35">
      <c r="A7826" s="302">
        <v>38340</v>
      </c>
      <c r="B7826" s="303">
        <v>145.77459999999999</v>
      </c>
      <c r="C7826" s="308">
        <v>5.8960526870175602</v>
      </c>
    </row>
    <row r="7827" spans="1:3" x14ac:dyDescent="0.35">
      <c r="A7827" s="305">
        <v>38339</v>
      </c>
      <c r="B7827" s="306">
        <v>145.76140000000001</v>
      </c>
      <c r="C7827" s="309">
        <v>5.8983876369760297</v>
      </c>
    </row>
    <row r="7828" spans="1:3" x14ac:dyDescent="0.35">
      <c r="A7828" s="302">
        <v>38338</v>
      </c>
      <c r="B7828" s="303">
        <v>145.7483</v>
      </c>
      <c r="C7828" s="308">
        <v>5.9007957729286096</v>
      </c>
    </row>
    <row r="7829" spans="1:3" x14ac:dyDescent="0.35">
      <c r="A7829" s="305">
        <v>38337</v>
      </c>
      <c r="B7829" s="306">
        <v>145.73509999999999</v>
      </c>
      <c r="C7829" s="309">
        <v>5.9031317831259997</v>
      </c>
    </row>
    <row r="7830" spans="1:3" x14ac:dyDescent="0.35">
      <c r="A7830" s="302">
        <v>38336</v>
      </c>
      <c r="B7830" s="303">
        <v>145.72200000000001</v>
      </c>
      <c r="C7830" s="308">
        <v>5.9055409960449499</v>
      </c>
    </row>
    <row r="7831" spans="1:3" x14ac:dyDescent="0.35">
      <c r="A7831" s="305">
        <v>38335</v>
      </c>
      <c r="B7831" s="306">
        <v>145.7225</v>
      </c>
      <c r="C7831" s="309">
        <v>5.9079825718511403</v>
      </c>
    </row>
    <row r="7832" spans="1:3" x14ac:dyDescent="0.35">
      <c r="A7832" s="302">
        <v>38334</v>
      </c>
      <c r="B7832" s="303">
        <v>145.72300000000001</v>
      </c>
      <c r="C7832" s="308">
        <v>5.9105012184689798</v>
      </c>
    </row>
    <row r="7833" spans="1:3" x14ac:dyDescent="0.35">
      <c r="A7833" s="305">
        <v>38333</v>
      </c>
      <c r="B7833" s="306">
        <v>145.7235</v>
      </c>
      <c r="C7833" s="309">
        <v>5.91294298921418</v>
      </c>
    </row>
    <row r="7834" spans="1:3" x14ac:dyDescent="0.35">
      <c r="A7834" s="302">
        <v>38332</v>
      </c>
      <c r="B7834" s="303">
        <v>145.72399999999999</v>
      </c>
      <c r="C7834" s="308">
        <v>5.91546183746508</v>
      </c>
    </row>
    <row r="7835" spans="1:3" x14ac:dyDescent="0.35">
      <c r="A7835" s="305">
        <v>38331</v>
      </c>
      <c r="B7835" s="306">
        <v>145.72450000000001</v>
      </c>
      <c r="C7835" s="309">
        <v>5.9179038031726403</v>
      </c>
    </row>
    <row r="7836" spans="1:3" x14ac:dyDescent="0.35">
      <c r="A7836" s="302">
        <v>38330</v>
      </c>
      <c r="B7836" s="303">
        <v>145.72489999999999</v>
      </c>
      <c r="C7836" s="308">
        <v>5.92035016793902</v>
      </c>
    </row>
    <row r="7837" spans="1:3" x14ac:dyDescent="0.35">
      <c r="A7837" s="305">
        <v>38329</v>
      </c>
      <c r="B7837" s="306">
        <v>145.72540000000001</v>
      </c>
      <c r="C7837" s="309">
        <v>5.92279232720586</v>
      </c>
    </row>
    <row r="7838" spans="1:3" x14ac:dyDescent="0.35">
      <c r="A7838" s="302">
        <v>38328</v>
      </c>
      <c r="B7838" s="303">
        <v>145.7259</v>
      </c>
      <c r="C7838" s="308">
        <v>5.9253115773160996</v>
      </c>
    </row>
    <row r="7839" spans="1:3" x14ac:dyDescent="0.35">
      <c r="A7839" s="305">
        <v>38327</v>
      </c>
      <c r="B7839" s="306">
        <v>145.72640000000001</v>
      </c>
      <c r="C7839" s="309">
        <v>5.9277539315919396</v>
      </c>
    </row>
    <row r="7840" spans="1:3" x14ac:dyDescent="0.35">
      <c r="A7840" s="302">
        <v>38326</v>
      </c>
      <c r="B7840" s="303">
        <v>145.7269</v>
      </c>
      <c r="C7840" s="308">
        <v>5.9302733834077097</v>
      </c>
    </row>
    <row r="7841" spans="1:3" x14ac:dyDescent="0.35">
      <c r="A7841" s="305">
        <v>38325</v>
      </c>
      <c r="B7841" s="306">
        <v>145.72739999999999</v>
      </c>
      <c r="C7841" s="309">
        <v>5.9327929377847299</v>
      </c>
    </row>
    <row r="7842" spans="1:3" x14ac:dyDescent="0.35">
      <c r="A7842" s="302">
        <v>38324</v>
      </c>
      <c r="B7842" s="303">
        <v>145.72790000000001</v>
      </c>
      <c r="C7842" s="308">
        <v>5.9352355862614399</v>
      </c>
    </row>
    <row r="7843" spans="1:3" x14ac:dyDescent="0.35">
      <c r="A7843" s="305">
        <v>38323</v>
      </c>
      <c r="B7843" s="306">
        <v>145.72829999999999</v>
      </c>
      <c r="C7843" s="309">
        <v>5.9376826470408597</v>
      </c>
    </row>
    <row r="7844" spans="1:3" x14ac:dyDescent="0.35">
      <c r="A7844" s="302">
        <v>38322</v>
      </c>
      <c r="B7844" s="303">
        <v>145.72880000000001</v>
      </c>
      <c r="C7844" s="308">
        <v>5.9401254891583699</v>
      </c>
    </row>
    <row r="7845" spans="1:3" x14ac:dyDescent="0.35">
      <c r="A7845" s="305">
        <v>38321</v>
      </c>
      <c r="B7845" s="306">
        <v>145.72929999999999</v>
      </c>
      <c r="C7845" s="309">
        <v>5.9426454455639197</v>
      </c>
    </row>
    <row r="7846" spans="1:3" x14ac:dyDescent="0.35">
      <c r="A7846" s="302">
        <v>38320</v>
      </c>
      <c r="B7846" s="303">
        <v>145.72980000000001</v>
      </c>
      <c r="C7846" s="308">
        <v>5.94508848277236</v>
      </c>
    </row>
    <row r="7847" spans="1:3" x14ac:dyDescent="0.35">
      <c r="A7847" s="305">
        <v>38319</v>
      </c>
      <c r="B7847" s="306">
        <v>145.7303</v>
      </c>
      <c r="C7847" s="309">
        <v>5.9476086409682596</v>
      </c>
    </row>
    <row r="7848" spans="1:3" x14ac:dyDescent="0.35">
      <c r="A7848" s="302">
        <v>38318</v>
      </c>
      <c r="B7848" s="303">
        <v>145.73079999999999</v>
      </c>
      <c r="C7848" s="308">
        <v>5.9500518732910299</v>
      </c>
    </row>
    <row r="7849" spans="1:3" x14ac:dyDescent="0.35">
      <c r="A7849" s="305">
        <v>38317</v>
      </c>
      <c r="B7849" s="306">
        <v>145.7313</v>
      </c>
      <c r="C7849" s="309">
        <v>5.9525722333015096</v>
      </c>
    </row>
    <row r="7850" spans="1:3" x14ac:dyDescent="0.35">
      <c r="A7850" s="302">
        <v>38316</v>
      </c>
      <c r="B7850" s="303">
        <v>145.73169999999999</v>
      </c>
      <c r="C7850" s="308">
        <v>5.9549429552744897</v>
      </c>
    </row>
    <row r="7851" spans="1:3" x14ac:dyDescent="0.35">
      <c r="A7851" s="305">
        <v>38315</v>
      </c>
      <c r="B7851" s="306">
        <v>145.73220000000001</v>
      </c>
      <c r="C7851" s="309">
        <v>5.9574635156436297</v>
      </c>
    </row>
    <row r="7852" spans="1:3" x14ac:dyDescent="0.35">
      <c r="A7852" s="302">
        <v>38314</v>
      </c>
      <c r="B7852" s="303">
        <v>145.73269999999999</v>
      </c>
      <c r="C7852" s="308">
        <v>5.9599071368379297</v>
      </c>
    </row>
    <row r="7853" spans="1:3" x14ac:dyDescent="0.35">
      <c r="A7853" s="305">
        <v>38313</v>
      </c>
      <c r="B7853" s="306">
        <v>145.73320000000001</v>
      </c>
      <c r="C7853" s="309">
        <v>5.9624278990699704</v>
      </c>
    </row>
    <row r="7854" spans="1:3" x14ac:dyDescent="0.35">
      <c r="A7854" s="302">
        <v>38312</v>
      </c>
      <c r="B7854" s="303">
        <v>145.7337</v>
      </c>
      <c r="C7854" s="308">
        <v>5.9648717154486803</v>
      </c>
    </row>
    <row r="7855" spans="1:3" x14ac:dyDescent="0.35">
      <c r="A7855" s="305">
        <v>38311</v>
      </c>
      <c r="B7855" s="306">
        <v>145.73419999999999</v>
      </c>
      <c r="C7855" s="309">
        <v>5.9673926795678502</v>
      </c>
    </row>
    <row r="7856" spans="1:3" x14ac:dyDescent="0.35">
      <c r="A7856" s="302">
        <v>38310</v>
      </c>
      <c r="B7856" s="303">
        <v>145.7347</v>
      </c>
      <c r="C7856" s="308">
        <v>5.9698366911543896</v>
      </c>
    </row>
    <row r="7857" spans="1:3" x14ac:dyDescent="0.35">
      <c r="A7857" s="305">
        <v>38309</v>
      </c>
      <c r="B7857" s="306">
        <v>145.73509999999999</v>
      </c>
      <c r="C7857" s="309">
        <v>5.9722851414938303</v>
      </c>
    </row>
    <row r="7858" spans="1:3" x14ac:dyDescent="0.35">
      <c r="A7858" s="302">
        <v>38308</v>
      </c>
      <c r="B7858" s="303">
        <v>145.73560000000001</v>
      </c>
      <c r="C7858" s="308">
        <v>5.9747293468839304</v>
      </c>
    </row>
    <row r="7859" spans="1:3" x14ac:dyDescent="0.35">
      <c r="A7859" s="305">
        <v>38307</v>
      </c>
      <c r="B7859" s="306">
        <v>145.73609999999999</v>
      </c>
      <c r="C7859" s="309">
        <v>5.9772507133694601</v>
      </c>
    </row>
    <row r="7860" spans="1:3" x14ac:dyDescent="0.35">
      <c r="A7860" s="302">
        <v>38306</v>
      </c>
      <c r="B7860" s="303">
        <v>145.73660000000001</v>
      </c>
      <c r="C7860" s="308">
        <v>5.9796951140140902</v>
      </c>
    </row>
    <row r="7861" spans="1:3" x14ac:dyDescent="0.35">
      <c r="A7861" s="305">
        <v>38305</v>
      </c>
      <c r="B7861" s="306">
        <v>145.7225</v>
      </c>
      <c r="C7861" s="309">
        <v>5.9769941070762398</v>
      </c>
    </row>
    <row r="7862" spans="1:3" x14ac:dyDescent="0.35">
      <c r="A7862" s="302">
        <v>38304</v>
      </c>
      <c r="B7862" s="303">
        <v>145.70840000000001</v>
      </c>
      <c r="C7862" s="308">
        <v>5.97421563964153</v>
      </c>
    </row>
    <row r="7863" spans="1:3" x14ac:dyDescent="0.35">
      <c r="A7863" s="305">
        <v>38303</v>
      </c>
      <c r="B7863" s="306">
        <v>145.6944</v>
      </c>
      <c r="C7863" s="309">
        <v>5.9715865945518196</v>
      </c>
    </row>
    <row r="7864" spans="1:3" x14ac:dyDescent="0.35">
      <c r="A7864" s="302">
        <v>38302</v>
      </c>
      <c r="B7864" s="303">
        <v>145.68029999999999</v>
      </c>
      <c r="C7864" s="308">
        <v>5.9688073514617601</v>
      </c>
    </row>
    <row r="7865" spans="1:3" x14ac:dyDescent="0.35">
      <c r="A7865" s="305">
        <v>38301</v>
      </c>
      <c r="B7865" s="306">
        <v>145.6662</v>
      </c>
      <c r="C7865" s="309">
        <v>5.9661048020258303</v>
      </c>
    </row>
    <row r="7866" spans="1:3" x14ac:dyDescent="0.35">
      <c r="A7866" s="302">
        <v>38300</v>
      </c>
      <c r="B7866" s="303">
        <v>145.65209999999999</v>
      </c>
      <c r="C7866" s="308">
        <v>5.9633247778185199</v>
      </c>
    </row>
    <row r="7867" spans="1:3" x14ac:dyDescent="0.35">
      <c r="A7867" s="305">
        <v>38299</v>
      </c>
      <c r="B7867" s="306">
        <v>145.63810000000001</v>
      </c>
      <c r="C7867" s="309">
        <v>5.9606942102100202</v>
      </c>
    </row>
    <row r="7868" spans="1:3" x14ac:dyDescent="0.35">
      <c r="A7868" s="302">
        <v>38298</v>
      </c>
      <c r="B7868" s="303">
        <v>145.624</v>
      </c>
      <c r="C7868" s="308">
        <v>5.9579134096890396</v>
      </c>
    </row>
    <row r="7869" spans="1:3" x14ac:dyDescent="0.35">
      <c r="A7869" s="305">
        <v>38297</v>
      </c>
      <c r="B7869" s="306">
        <v>145.60990000000001</v>
      </c>
      <c r="C7869" s="309">
        <v>5.95513221661112</v>
      </c>
    </row>
    <row r="7870" spans="1:3" x14ac:dyDescent="0.35">
      <c r="A7870" s="302">
        <v>38296</v>
      </c>
      <c r="B7870" s="303">
        <v>145.5958</v>
      </c>
      <c r="C7870" s="308">
        <v>5.9524277341390599</v>
      </c>
    </row>
    <row r="7871" spans="1:3" x14ac:dyDescent="0.35">
      <c r="A7871" s="305">
        <v>38295</v>
      </c>
      <c r="B7871" s="306">
        <v>145.58179999999999</v>
      </c>
      <c r="C7871" s="309">
        <v>5.9497185358771203</v>
      </c>
    </row>
    <row r="7872" spans="1:3" x14ac:dyDescent="0.35">
      <c r="A7872" s="302">
        <v>38294</v>
      </c>
      <c r="B7872" s="303">
        <v>145.5677</v>
      </c>
      <c r="C7872" s="308">
        <v>5.9470132834340301</v>
      </c>
    </row>
    <row r="7873" spans="1:3" x14ac:dyDescent="0.35">
      <c r="A7873" s="305">
        <v>38293</v>
      </c>
      <c r="B7873" s="306">
        <v>145.55359999999999</v>
      </c>
      <c r="C7873" s="309">
        <v>5.9442305312729697</v>
      </c>
    </row>
    <row r="7874" spans="1:3" x14ac:dyDescent="0.35">
      <c r="A7874" s="302">
        <v>38292</v>
      </c>
      <c r="B7874" s="303">
        <v>145.53960000000001</v>
      </c>
      <c r="C7874" s="308">
        <v>5.9415201783700802</v>
      </c>
    </row>
    <row r="7875" spans="1:3" x14ac:dyDescent="0.35">
      <c r="A7875" s="305">
        <v>38291</v>
      </c>
      <c r="B7875" s="306">
        <v>145.52549999999999</v>
      </c>
      <c r="C7875" s="309">
        <v>5.9388137659926796</v>
      </c>
    </row>
    <row r="7876" spans="1:3" x14ac:dyDescent="0.35">
      <c r="A7876" s="302">
        <v>38290</v>
      </c>
      <c r="B7876" s="303">
        <v>145.51150000000001</v>
      </c>
      <c r="C7876" s="308">
        <v>5.9361026457907702</v>
      </c>
    </row>
    <row r="7877" spans="1:3" x14ac:dyDescent="0.35">
      <c r="A7877" s="305">
        <v>38289</v>
      </c>
      <c r="B7877" s="306">
        <v>145.4974</v>
      </c>
      <c r="C7877" s="309">
        <v>5.9333954626205001</v>
      </c>
    </row>
    <row r="7878" spans="1:3" x14ac:dyDescent="0.35">
      <c r="A7878" s="302">
        <v>38288</v>
      </c>
      <c r="B7878" s="303">
        <v>145.48330000000001</v>
      </c>
      <c r="C7878" s="308">
        <v>5.9306107618923498</v>
      </c>
    </row>
    <row r="7879" spans="1:3" x14ac:dyDescent="0.35">
      <c r="A7879" s="305">
        <v>38287</v>
      </c>
      <c r="B7879" s="306">
        <v>145.4693</v>
      </c>
      <c r="C7879" s="309">
        <v>5.9278984858215997</v>
      </c>
    </row>
    <row r="7880" spans="1:3" x14ac:dyDescent="0.35">
      <c r="A7880" s="302">
        <v>38286</v>
      </c>
      <c r="B7880" s="303">
        <v>145.45519999999999</v>
      </c>
      <c r="C7880" s="308">
        <v>5.9251901414809902</v>
      </c>
    </row>
    <row r="7881" spans="1:3" x14ac:dyDescent="0.35">
      <c r="A7881" s="305">
        <v>38285</v>
      </c>
      <c r="B7881" s="306">
        <v>145.44120000000001</v>
      </c>
      <c r="C7881" s="309">
        <v>5.92247709729362</v>
      </c>
    </row>
    <row r="7882" spans="1:3" x14ac:dyDescent="0.35">
      <c r="A7882" s="302">
        <v>38284</v>
      </c>
      <c r="B7882" s="303">
        <v>145.4271</v>
      </c>
      <c r="C7882" s="308">
        <v>5.91969083623089</v>
      </c>
    </row>
    <row r="7883" spans="1:3" x14ac:dyDescent="0.35">
      <c r="A7883" s="305">
        <v>38283</v>
      </c>
      <c r="B7883" s="306">
        <v>145.41309999999999</v>
      </c>
      <c r="C7883" s="309">
        <v>5.9170541687061498</v>
      </c>
    </row>
    <row r="7884" spans="1:3" x14ac:dyDescent="0.35">
      <c r="A7884" s="302">
        <v>38282</v>
      </c>
      <c r="B7884" s="303">
        <v>145.399</v>
      </c>
      <c r="C7884" s="308">
        <v>5.9142671286910904</v>
      </c>
    </row>
    <row r="7885" spans="1:3" x14ac:dyDescent="0.35">
      <c r="A7885" s="305">
        <v>38281</v>
      </c>
      <c r="B7885" s="306">
        <v>145.38499999999999</v>
      </c>
      <c r="C7885" s="309">
        <v>5.9115525438150502</v>
      </c>
    </row>
    <row r="7886" spans="1:3" x14ac:dyDescent="0.35">
      <c r="A7886" s="302">
        <v>38280</v>
      </c>
      <c r="B7886" s="303">
        <v>145.37090000000001</v>
      </c>
      <c r="C7886" s="308">
        <v>5.9088418801052596</v>
      </c>
    </row>
    <row r="7887" spans="1:3" x14ac:dyDescent="0.35">
      <c r="A7887" s="305">
        <v>38279</v>
      </c>
      <c r="B7887" s="306">
        <v>145.3569</v>
      </c>
      <c r="C7887" s="309">
        <v>5.9061265261306497</v>
      </c>
    </row>
    <row r="7888" spans="1:3" x14ac:dyDescent="0.35">
      <c r="A7888" s="302">
        <v>38278</v>
      </c>
      <c r="B7888" s="303">
        <v>145.34280000000001</v>
      </c>
      <c r="C7888" s="308">
        <v>5.9033379237982802</v>
      </c>
    </row>
    <row r="7889" spans="1:3" x14ac:dyDescent="0.35">
      <c r="A7889" s="305">
        <v>38277</v>
      </c>
      <c r="B7889" s="306">
        <v>145.3288</v>
      </c>
      <c r="C7889" s="309">
        <v>5.9006217969224197</v>
      </c>
    </row>
    <row r="7890" spans="1:3" x14ac:dyDescent="0.35">
      <c r="A7890" s="302">
        <v>38276</v>
      </c>
      <c r="B7890" s="303">
        <v>145.31469999999999</v>
      </c>
      <c r="C7890" s="308">
        <v>5.8979095841395104</v>
      </c>
    </row>
    <row r="7891" spans="1:3" x14ac:dyDescent="0.35">
      <c r="A7891" s="305">
        <v>38275</v>
      </c>
      <c r="B7891" s="306">
        <v>145.30070000000001</v>
      </c>
      <c r="C7891" s="309">
        <v>5.8951926875093799</v>
      </c>
    </row>
    <row r="7892" spans="1:3" x14ac:dyDescent="0.35">
      <c r="A7892" s="302">
        <v>38274</v>
      </c>
      <c r="B7892" s="303">
        <v>145.29920000000001</v>
      </c>
      <c r="C7892" s="308">
        <v>5.9049823721534702</v>
      </c>
    </row>
    <row r="7893" spans="1:3" x14ac:dyDescent="0.35">
      <c r="A7893" s="305">
        <v>38273</v>
      </c>
      <c r="B7893" s="306">
        <v>145.2978</v>
      </c>
      <c r="C7893" s="309">
        <v>5.91492417090977</v>
      </c>
    </row>
    <row r="7894" spans="1:3" x14ac:dyDescent="0.35">
      <c r="A7894" s="302">
        <v>38272</v>
      </c>
      <c r="B7894" s="303">
        <v>145.2963</v>
      </c>
      <c r="C7894" s="308">
        <v>5.9247179035557496</v>
      </c>
    </row>
    <row r="7895" spans="1:3" x14ac:dyDescent="0.35">
      <c r="A7895" s="305">
        <v>38271</v>
      </c>
      <c r="B7895" s="306">
        <v>145.29490000000001</v>
      </c>
      <c r="C7895" s="309">
        <v>5.9346637969249398</v>
      </c>
    </row>
    <row r="7896" spans="1:3" x14ac:dyDescent="0.35">
      <c r="A7896" s="302">
        <v>38270</v>
      </c>
      <c r="B7896" s="303">
        <v>145.29339999999999</v>
      </c>
      <c r="C7896" s="308">
        <v>5.9444615800806604</v>
      </c>
    </row>
    <row r="7897" spans="1:3" x14ac:dyDescent="0.35">
      <c r="A7897" s="305">
        <v>38269</v>
      </c>
      <c r="B7897" s="306">
        <v>145.292</v>
      </c>
      <c r="C7897" s="309">
        <v>5.9544115705962897</v>
      </c>
    </row>
    <row r="7898" spans="1:3" x14ac:dyDescent="0.35">
      <c r="A7898" s="302">
        <v>38268</v>
      </c>
      <c r="B7898" s="303">
        <v>145.29050000000001</v>
      </c>
      <c r="C7898" s="308">
        <v>5.9642134067716501</v>
      </c>
    </row>
    <row r="7899" spans="1:3" x14ac:dyDescent="0.35">
      <c r="A7899" s="305">
        <v>38267</v>
      </c>
      <c r="B7899" s="306">
        <v>145.28909999999999</v>
      </c>
      <c r="C7899" s="309">
        <v>5.9741674969693301</v>
      </c>
    </row>
    <row r="7900" spans="1:3" x14ac:dyDescent="0.35">
      <c r="A7900" s="302">
        <v>38266</v>
      </c>
      <c r="B7900" s="303">
        <v>145.2876</v>
      </c>
      <c r="C7900" s="308">
        <v>5.98397338867633</v>
      </c>
    </row>
    <row r="7901" spans="1:3" x14ac:dyDescent="0.35">
      <c r="A7901" s="305">
        <v>38265</v>
      </c>
      <c r="B7901" s="306">
        <v>145.2861</v>
      </c>
      <c r="C7901" s="309">
        <v>5.9938586258292297</v>
      </c>
    </row>
    <row r="7902" spans="1:3" x14ac:dyDescent="0.35">
      <c r="A7902" s="302">
        <v>38264</v>
      </c>
      <c r="B7902" s="303">
        <v>145.28469999999999</v>
      </c>
      <c r="C7902" s="308">
        <v>6.0037415308464697</v>
      </c>
    </row>
    <row r="7903" spans="1:3" x14ac:dyDescent="0.35">
      <c r="A7903" s="305">
        <v>38263</v>
      </c>
      <c r="B7903" s="306">
        <v>145.28319999999999</v>
      </c>
      <c r="C7903" s="309">
        <v>6.0135534992531499</v>
      </c>
    </row>
    <row r="7904" spans="1:3" x14ac:dyDescent="0.35">
      <c r="A7904" s="302">
        <v>38262</v>
      </c>
      <c r="B7904" s="303">
        <v>145.2818</v>
      </c>
      <c r="C7904" s="308">
        <v>6.0235178383380301</v>
      </c>
    </row>
    <row r="7905" spans="1:3" x14ac:dyDescent="0.35">
      <c r="A7905" s="305">
        <v>38261</v>
      </c>
      <c r="B7905" s="306">
        <v>145.28030000000001</v>
      </c>
      <c r="C7905" s="309">
        <v>6.0333338685592297</v>
      </c>
    </row>
    <row r="7906" spans="1:3" x14ac:dyDescent="0.35">
      <c r="A7906" s="302">
        <v>38260</v>
      </c>
      <c r="B7906" s="303">
        <v>145.27889999999999</v>
      </c>
      <c r="C7906" s="308">
        <v>6.0432249121713397</v>
      </c>
    </row>
    <row r="7907" spans="1:3" x14ac:dyDescent="0.35">
      <c r="A7907" s="305">
        <v>38259</v>
      </c>
      <c r="B7907" s="306">
        <v>145.2774</v>
      </c>
      <c r="C7907" s="309">
        <v>6.0531224107661004</v>
      </c>
    </row>
    <row r="7908" spans="1:3" x14ac:dyDescent="0.35">
      <c r="A7908" s="302">
        <v>38258</v>
      </c>
      <c r="B7908" s="303">
        <v>145.27600000000001</v>
      </c>
      <c r="C7908" s="308">
        <v>6.06301753504746</v>
      </c>
    </row>
    <row r="7909" spans="1:3" x14ac:dyDescent="0.35">
      <c r="A7909" s="305">
        <v>38257</v>
      </c>
      <c r="B7909" s="306">
        <v>145.27449999999999</v>
      </c>
      <c r="C7909" s="309">
        <v>6.07284168131235</v>
      </c>
    </row>
    <row r="7910" spans="1:3" x14ac:dyDescent="0.35">
      <c r="A7910" s="302">
        <v>38256</v>
      </c>
      <c r="B7910" s="303">
        <v>145.2731</v>
      </c>
      <c r="C7910" s="308">
        <v>6.0828183384193899</v>
      </c>
    </row>
    <row r="7911" spans="1:3" x14ac:dyDescent="0.35">
      <c r="A7911" s="305">
        <v>38255</v>
      </c>
      <c r="B7911" s="306">
        <v>145.27160000000001</v>
      </c>
      <c r="C7911" s="309">
        <v>6.0926465540535597</v>
      </c>
    </row>
    <row r="7912" spans="1:3" x14ac:dyDescent="0.35">
      <c r="A7912" s="302">
        <v>38254</v>
      </c>
      <c r="B7912" s="303">
        <v>145.27019999999999</v>
      </c>
      <c r="C7912" s="308">
        <v>6.1025498320489602</v>
      </c>
    </row>
    <row r="7913" spans="1:3" x14ac:dyDescent="0.35">
      <c r="A7913" s="305">
        <v>38253</v>
      </c>
      <c r="B7913" s="306">
        <v>145.2687</v>
      </c>
      <c r="C7913" s="309">
        <v>6.11245961488875</v>
      </c>
    </row>
    <row r="7914" spans="1:3" x14ac:dyDescent="0.35">
      <c r="A7914" s="302">
        <v>38252</v>
      </c>
      <c r="B7914" s="303">
        <v>145.26730000000001</v>
      </c>
      <c r="C7914" s="308">
        <v>6.12236698113621</v>
      </c>
    </row>
    <row r="7915" spans="1:3" x14ac:dyDescent="0.35">
      <c r="A7915" s="305">
        <v>38251</v>
      </c>
      <c r="B7915" s="306">
        <v>145.26580000000001</v>
      </c>
      <c r="C7915" s="309">
        <v>6.1322033279146702</v>
      </c>
    </row>
    <row r="7916" spans="1:3" x14ac:dyDescent="0.35">
      <c r="A7916" s="302">
        <v>38250</v>
      </c>
      <c r="B7916" s="303">
        <v>145.26439999999999</v>
      </c>
      <c r="C7916" s="308">
        <v>6.1421147697181899</v>
      </c>
    </row>
    <row r="7917" spans="1:3" x14ac:dyDescent="0.35">
      <c r="A7917" s="305">
        <v>38249</v>
      </c>
      <c r="B7917" s="306">
        <v>145.2629</v>
      </c>
      <c r="C7917" s="309">
        <v>6.1519551782573298</v>
      </c>
    </row>
    <row r="7918" spans="1:3" x14ac:dyDescent="0.35">
      <c r="A7918" s="302">
        <v>38248</v>
      </c>
      <c r="B7918" s="303">
        <v>145.26150000000001</v>
      </c>
      <c r="C7918" s="308">
        <v>6.1619482847706797</v>
      </c>
    </row>
    <row r="7919" spans="1:3" x14ac:dyDescent="0.35">
      <c r="A7919" s="305">
        <v>38247</v>
      </c>
      <c r="B7919" s="306">
        <v>145.26</v>
      </c>
      <c r="C7919" s="309">
        <v>6.1717927727751096</v>
      </c>
    </row>
    <row r="7920" spans="1:3" x14ac:dyDescent="0.35">
      <c r="A7920" s="302">
        <v>38246</v>
      </c>
      <c r="B7920" s="303">
        <v>145.2586</v>
      </c>
      <c r="C7920" s="308">
        <v>6.1817123884975302</v>
      </c>
    </row>
    <row r="7921" spans="1:3" x14ac:dyDescent="0.35">
      <c r="A7921" s="305">
        <v>38245</v>
      </c>
      <c r="B7921" s="306">
        <v>145.25710000000001</v>
      </c>
      <c r="C7921" s="309">
        <v>6.1915609433004999</v>
      </c>
    </row>
    <row r="7922" spans="1:3" x14ac:dyDescent="0.35">
      <c r="A7922" s="302">
        <v>38244</v>
      </c>
      <c r="B7922" s="303">
        <v>145.2585</v>
      </c>
      <c r="C7922" s="308">
        <v>6.1877713934821701</v>
      </c>
    </row>
    <row r="7923" spans="1:3" x14ac:dyDescent="0.35">
      <c r="A7923" s="305">
        <v>38243</v>
      </c>
      <c r="B7923" s="306">
        <v>145.25989999999999</v>
      </c>
      <c r="C7923" s="309">
        <v>6.1839821871605496</v>
      </c>
    </row>
    <row r="7924" spans="1:3" x14ac:dyDescent="0.35">
      <c r="A7924" s="302">
        <v>38242</v>
      </c>
      <c r="B7924" s="303">
        <v>145.26130000000001</v>
      </c>
      <c r="C7924" s="308">
        <v>6.1801933242889202</v>
      </c>
    </row>
    <row r="7925" spans="1:3" x14ac:dyDescent="0.35">
      <c r="A7925" s="305">
        <v>38241</v>
      </c>
      <c r="B7925" s="306">
        <v>145.2627</v>
      </c>
      <c r="C7925" s="309">
        <v>6.1764048048206099</v>
      </c>
    </row>
    <row r="7926" spans="1:3" x14ac:dyDescent="0.35">
      <c r="A7926" s="302">
        <v>38240</v>
      </c>
      <c r="B7926" s="303">
        <v>145.26410000000001</v>
      </c>
      <c r="C7926" s="308">
        <v>6.1726942296630503</v>
      </c>
    </row>
    <row r="7927" spans="1:3" x14ac:dyDescent="0.35">
      <c r="A7927" s="305">
        <v>38239</v>
      </c>
      <c r="B7927" s="306">
        <v>145.2655</v>
      </c>
      <c r="C7927" s="309">
        <v>6.16890639057657</v>
      </c>
    </row>
    <row r="7928" spans="1:3" x14ac:dyDescent="0.35">
      <c r="A7928" s="302">
        <v>38238</v>
      </c>
      <c r="B7928" s="303">
        <v>145.267</v>
      </c>
      <c r="C7928" s="308">
        <v>6.1651919775548096</v>
      </c>
    </row>
    <row r="7929" spans="1:3" x14ac:dyDescent="0.35">
      <c r="A7929" s="305">
        <v>38237</v>
      </c>
      <c r="B7929" s="306">
        <v>145.26840000000001</v>
      </c>
      <c r="C7929" s="309">
        <v>6.1614048216385404</v>
      </c>
    </row>
    <row r="7930" spans="1:3" x14ac:dyDescent="0.35">
      <c r="A7930" s="302">
        <v>38236</v>
      </c>
      <c r="B7930" s="303">
        <v>145.2698</v>
      </c>
      <c r="C7930" s="308">
        <v>6.1576180088933699</v>
      </c>
    </row>
    <row r="7931" spans="1:3" x14ac:dyDescent="0.35">
      <c r="A7931" s="305">
        <v>38235</v>
      </c>
      <c r="B7931" s="306">
        <v>145.27119999999999</v>
      </c>
      <c r="C7931" s="309">
        <v>6.1538315392726499</v>
      </c>
    </row>
    <row r="7932" spans="1:3" x14ac:dyDescent="0.35">
      <c r="A7932" s="302">
        <v>38234</v>
      </c>
      <c r="B7932" s="303">
        <v>145.27260000000001</v>
      </c>
      <c r="C7932" s="308">
        <v>6.15012297615446</v>
      </c>
    </row>
    <row r="7933" spans="1:3" x14ac:dyDescent="0.35">
      <c r="A7933" s="305">
        <v>38233</v>
      </c>
      <c r="B7933" s="306">
        <v>145.274</v>
      </c>
      <c r="C7933" s="309">
        <v>6.1463371863629099</v>
      </c>
    </row>
    <row r="7934" spans="1:3" x14ac:dyDescent="0.35">
      <c r="A7934" s="302">
        <v>38232</v>
      </c>
      <c r="B7934" s="303">
        <v>145.27539999999999</v>
      </c>
      <c r="C7934" s="308">
        <v>6.1425517395567404</v>
      </c>
    </row>
    <row r="7935" spans="1:3" x14ac:dyDescent="0.35">
      <c r="A7935" s="305">
        <v>38231</v>
      </c>
      <c r="B7935" s="306">
        <v>145.27680000000001</v>
      </c>
      <c r="C7935" s="309">
        <v>6.1387666356893602</v>
      </c>
    </row>
    <row r="7936" spans="1:3" x14ac:dyDescent="0.35">
      <c r="A7936" s="302">
        <v>38230</v>
      </c>
      <c r="B7936" s="303">
        <v>145.2782</v>
      </c>
      <c r="C7936" s="308">
        <v>6.1349818747141702</v>
      </c>
    </row>
    <row r="7937" spans="1:3" x14ac:dyDescent="0.35">
      <c r="A7937" s="305">
        <v>38229</v>
      </c>
      <c r="B7937" s="306">
        <v>145.27959999999999</v>
      </c>
      <c r="C7937" s="309">
        <v>6.1311974565845597</v>
      </c>
    </row>
    <row r="7938" spans="1:3" x14ac:dyDescent="0.35">
      <c r="A7938" s="302">
        <v>38228</v>
      </c>
      <c r="B7938" s="303">
        <v>145.28100000000001</v>
      </c>
      <c r="C7938" s="308">
        <v>6.1274133812539704</v>
      </c>
    </row>
    <row r="7939" spans="1:3" x14ac:dyDescent="0.35">
      <c r="A7939" s="305">
        <v>38227</v>
      </c>
      <c r="B7939" s="306">
        <v>145.2824</v>
      </c>
      <c r="C7939" s="309">
        <v>6.1237071682721096</v>
      </c>
    </row>
    <row r="7940" spans="1:3" x14ac:dyDescent="0.35">
      <c r="A7940" s="302">
        <v>38226</v>
      </c>
      <c r="B7940" s="303">
        <v>145.28380000000001</v>
      </c>
      <c r="C7940" s="308">
        <v>6.1199237721257003</v>
      </c>
    </row>
    <row r="7941" spans="1:3" x14ac:dyDescent="0.35">
      <c r="A7941" s="305">
        <v>38225</v>
      </c>
      <c r="B7941" s="306">
        <v>145.2852</v>
      </c>
      <c r="C7941" s="309">
        <v>6.1161407186394099</v>
      </c>
    </row>
    <row r="7942" spans="1:3" x14ac:dyDescent="0.35">
      <c r="A7942" s="302">
        <v>38224</v>
      </c>
      <c r="B7942" s="303">
        <v>145.28659999999999</v>
      </c>
      <c r="C7942" s="308">
        <v>6.1123580077667103</v>
      </c>
    </row>
    <row r="7943" spans="1:3" x14ac:dyDescent="0.35">
      <c r="A7943" s="305">
        <v>38223</v>
      </c>
      <c r="B7943" s="306">
        <v>145.28800000000001</v>
      </c>
      <c r="C7943" s="309">
        <v>6.1085756394610398</v>
      </c>
    </row>
    <row r="7944" spans="1:3" x14ac:dyDescent="0.35">
      <c r="A7944" s="302">
        <v>38222</v>
      </c>
      <c r="B7944" s="303">
        <v>145.2894</v>
      </c>
      <c r="C7944" s="308">
        <v>6.1047936136758798</v>
      </c>
    </row>
    <row r="7945" spans="1:3" x14ac:dyDescent="0.35">
      <c r="A7945" s="305">
        <v>38221</v>
      </c>
      <c r="B7945" s="306">
        <v>145.29089999999999</v>
      </c>
      <c r="C7945" s="309">
        <v>6.1010849570201602</v>
      </c>
    </row>
    <row r="7946" spans="1:3" x14ac:dyDescent="0.35">
      <c r="A7946" s="302">
        <v>38220</v>
      </c>
      <c r="B7946" s="303">
        <v>145.29230000000001</v>
      </c>
      <c r="C7946" s="308">
        <v>6.0973036128302001</v>
      </c>
    </row>
    <row r="7947" spans="1:3" x14ac:dyDescent="0.35">
      <c r="A7947" s="305">
        <v>38219</v>
      </c>
      <c r="B7947" s="306">
        <v>145.2937</v>
      </c>
      <c r="C7947" s="309">
        <v>6.0935226110215002</v>
      </c>
    </row>
    <row r="7948" spans="1:3" x14ac:dyDescent="0.35">
      <c r="A7948" s="302">
        <v>38218</v>
      </c>
      <c r="B7948" s="303">
        <v>145.29509999999999</v>
      </c>
      <c r="C7948" s="308">
        <v>6.0898194148726397</v>
      </c>
    </row>
    <row r="7949" spans="1:3" x14ac:dyDescent="0.35">
      <c r="A7949" s="305">
        <v>38217</v>
      </c>
      <c r="B7949" s="306">
        <v>145.29650000000001</v>
      </c>
      <c r="C7949" s="309">
        <v>6.0860390914201901</v>
      </c>
    </row>
    <row r="7950" spans="1:3" x14ac:dyDescent="0.35">
      <c r="A7950" s="302">
        <v>38216</v>
      </c>
      <c r="B7950" s="303">
        <v>145.2979</v>
      </c>
      <c r="C7950" s="308">
        <v>6.0822591102103303</v>
      </c>
    </row>
    <row r="7951" spans="1:3" x14ac:dyDescent="0.35">
      <c r="A7951" s="305">
        <v>38215</v>
      </c>
      <c r="B7951" s="306">
        <v>145.29929999999999</v>
      </c>
      <c r="C7951" s="309">
        <v>6.0784794711965997</v>
      </c>
    </row>
    <row r="7952" spans="1:3" x14ac:dyDescent="0.35">
      <c r="A7952" s="302">
        <v>38214</v>
      </c>
      <c r="B7952" s="303">
        <v>145.30070000000001</v>
      </c>
      <c r="C7952" s="308">
        <v>6.0747001743325297</v>
      </c>
    </row>
    <row r="7953" spans="1:3" x14ac:dyDescent="0.35">
      <c r="A7953" s="305">
        <v>38213</v>
      </c>
      <c r="B7953" s="306">
        <v>145.27269999999999</v>
      </c>
      <c r="C7953" s="309">
        <v>6.0525558869864504</v>
      </c>
    </row>
    <row r="7954" spans="1:3" x14ac:dyDescent="0.35">
      <c r="A7954" s="302">
        <v>38212</v>
      </c>
      <c r="B7954" s="303">
        <v>145.24459999999999</v>
      </c>
      <c r="C7954" s="308">
        <v>6.0303393097004001</v>
      </c>
    </row>
    <row r="7955" spans="1:3" x14ac:dyDescent="0.35">
      <c r="A7955" s="305">
        <v>38211</v>
      </c>
      <c r="B7955" s="306">
        <v>145.2166</v>
      </c>
      <c r="C7955" s="309">
        <v>6.0081964460653703</v>
      </c>
    </row>
    <row r="7956" spans="1:3" x14ac:dyDescent="0.35">
      <c r="A7956" s="302">
        <v>38210</v>
      </c>
      <c r="B7956" s="303">
        <v>145.18860000000001</v>
      </c>
      <c r="C7956" s="308">
        <v>5.9860542936482197</v>
      </c>
    </row>
    <row r="7957" spans="1:3" x14ac:dyDescent="0.35">
      <c r="A7957" s="305">
        <v>38209</v>
      </c>
      <c r="B7957" s="306">
        <v>145.16059999999999</v>
      </c>
      <c r="C7957" s="309">
        <v>5.9639128524146896</v>
      </c>
    </row>
    <row r="7958" spans="1:3" x14ac:dyDescent="0.35">
      <c r="A7958" s="302">
        <v>38208</v>
      </c>
      <c r="B7958" s="303">
        <v>145.1326</v>
      </c>
      <c r="C7958" s="308">
        <v>5.9417721223305202</v>
      </c>
    </row>
    <row r="7959" spans="1:3" x14ac:dyDescent="0.35">
      <c r="A7959" s="305">
        <v>38207</v>
      </c>
      <c r="B7959" s="306">
        <v>145.1046</v>
      </c>
      <c r="C7959" s="309">
        <v>5.9196321033614403</v>
      </c>
    </row>
    <row r="7960" spans="1:3" x14ac:dyDescent="0.35">
      <c r="A7960" s="302">
        <v>38206</v>
      </c>
      <c r="B7960" s="303">
        <v>145.07660000000001</v>
      </c>
      <c r="C7960" s="308">
        <v>5.8974154965097902</v>
      </c>
    </row>
    <row r="7961" spans="1:3" x14ac:dyDescent="0.35">
      <c r="A7961" s="305">
        <v>38205</v>
      </c>
      <c r="B7961" s="306">
        <v>145.04859999999999</v>
      </c>
      <c r="C7961" s="309">
        <v>5.8752769170690398</v>
      </c>
    </row>
    <row r="7962" spans="1:3" x14ac:dyDescent="0.35">
      <c r="A7962" s="302">
        <v>38204</v>
      </c>
      <c r="B7962" s="303">
        <v>145.0206</v>
      </c>
      <c r="C7962" s="308">
        <v>5.85313904863954</v>
      </c>
    </row>
    <row r="7963" spans="1:3" x14ac:dyDescent="0.35">
      <c r="A7963" s="305">
        <v>38203</v>
      </c>
      <c r="B7963" s="306">
        <v>144.99260000000001</v>
      </c>
      <c r="C7963" s="309">
        <v>5.8310018911870403</v>
      </c>
    </row>
    <row r="7964" spans="1:3" x14ac:dyDescent="0.35">
      <c r="A7964" s="302">
        <v>38202</v>
      </c>
      <c r="B7964" s="303">
        <v>144.96459999999999</v>
      </c>
      <c r="C7964" s="308">
        <v>5.8088654446772798</v>
      </c>
    </row>
    <row r="7965" spans="1:3" x14ac:dyDescent="0.35">
      <c r="A7965" s="305">
        <v>38201</v>
      </c>
      <c r="B7965" s="306">
        <v>144.9367</v>
      </c>
      <c r="C7965" s="309">
        <v>5.7868026973548297</v>
      </c>
    </row>
    <row r="7966" spans="1:3" x14ac:dyDescent="0.35">
      <c r="A7966" s="302">
        <v>38200</v>
      </c>
      <c r="B7966" s="303">
        <v>144.90870000000001</v>
      </c>
      <c r="C7966" s="308">
        <v>5.7646676714558396</v>
      </c>
    </row>
    <row r="7967" spans="1:3" x14ac:dyDescent="0.35">
      <c r="A7967" s="305">
        <v>38199</v>
      </c>
      <c r="B7967" s="306">
        <v>144.88069999999999</v>
      </c>
      <c r="C7967" s="309">
        <v>5.7425333563968897</v>
      </c>
    </row>
    <row r="7968" spans="1:3" x14ac:dyDescent="0.35">
      <c r="A7968" s="302">
        <v>38198</v>
      </c>
      <c r="B7968" s="303">
        <v>144.8528</v>
      </c>
      <c r="C7968" s="308">
        <v>5.7204727369067196</v>
      </c>
    </row>
    <row r="7969" spans="1:3" x14ac:dyDescent="0.35">
      <c r="A7969" s="305">
        <v>38197</v>
      </c>
      <c r="B7969" s="306">
        <v>144.82480000000001</v>
      </c>
      <c r="C7969" s="309">
        <v>5.6983398422532696</v>
      </c>
    </row>
    <row r="7970" spans="1:3" x14ac:dyDescent="0.35">
      <c r="A7970" s="302">
        <v>38196</v>
      </c>
      <c r="B7970" s="303">
        <v>144.79689999999999</v>
      </c>
      <c r="C7970" s="308">
        <v>5.67620351570653</v>
      </c>
    </row>
    <row r="7971" spans="1:3" x14ac:dyDescent="0.35">
      <c r="A7971" s="305">
        <v>38195</v>
      </c>
      <c r="B7971" s="306">
        <v>144.7689</v>
      </c>
      <c r="C7971" s="309">
        <v>5.6540720587119102</v>
      </c>
    </row>
    <row r="7972" spans="1:3" x14ac:dyDescent="0.35">
      <c r="A7972" s="302">
        <v>38194</v>
      </c>
      <c r="B7972" s="303">
        <v>144.74100000000001</v>
      </c>
      <c r="C7972" s="308">
        <v>5.6320142924076002</v>
      </c>
    </row>
    <row r="7973" spans="1:3" x14ac:dyDescent="0.35">
      <c r="A7973" s="305">
        <v>38193</v>
      </c>
      <c r="B7973" s="306">
        <v>144.7131</v>
      </c>
      <c r="C7973" s="309">
        <v>5.6099572343934696</v>
      </c>
    </row>
    <row r="7974" spans="1:3" x14ac:dyDescent="0.35">
      <c r="A7974" s="302">
        <v>38192</v>
      </c>
      <c r="B7974" s="303">
        <v>144.68520000000001</v>
      </c>
      <c r="C7974" s="308">
        <v>5.5879008846354301</v>
      </c>
    </row>
    <row r="7975" spans="1:3" x14ac:dyDescent="0.35">
      <c r="A7975" s="305">
        <v>38191</v>
      </c>
      <c r="B7975" s="306">
        <v>144.65719999999999</v>
      </c>
      <c r="C7975" s="309">
        <v>5.5657722665919396</v>
      </c>
    </row>
    <row r="7976" spans="1:3" x14ac:dyDescent="0.35">
      <c r="A7976" s="302">
        <v>38190</v>
      </c>
      <c r="B7976" s="303">
        <v>144.6293</v>
      </c>
      <c r="C7976" s="308">
        <v>5.5437173344153097</v>
      </c>
    </row>
    <row r="7977" spans="1:3" x14ac:dyDescent="0.35">
      <c r="A7977" s="305">
        <v>38189</v>
      </c>
      <c r="B7977" s="306">
        <v>144.60140000000001</v>
      </c>
      <c r="C7977" s="309">
        <v>5.5216631103924003</v>
      </c>
    </row>
    <row r="7978" spans="1:3" x14ac:dyDescent="0.35">
      <c r="A7978" s="302">
        <v>38188</v>
      </c>
      <c r="B7978" s="303">
        <v>144.5735</v>
      </c>
      <c r="C7978" s="308">
        <v>5.4996095944890797</v>
      </c>
    </row>
    <row r="7979" spans="1:3" x14ac:dyDescent="0.35">
      <c r="A7979" s="305">
        <v>38187</v>
      </c>
      <c r="B7979" s="306">
        <v>144.54560000000001</v>
      </c>
      <c r="C7979" s="309">
        <v>5.47747981783328</v>
      </c>
    </row>
    <row r="7980" spans="1:3" x14ac:dyDescent="0.35">
      <c r="A7980" s="302">
        <v>38186</v>
      </c>
      <c r="B7980" s="303">
        <v>144.51769999999999</v>
      </c>
      <c r="C7980" s="308">
        <v>5.4554277353940197</v>
      </c>
    </row>
    <row r="7981" spans="1:3" x14ac:dyDescent="0.35">
      <c r="A7981" s="305">
        <v>38185</v>
      </c>
      <c r="B7981" s="306">
        <v>144.48990000000001</v>
      </c>
      <c r="C7981" s="309">
        <v>5.43344933039607</v>
      </c>
    </row>
    <row r="7982" spans="1:3" x14ac:dyDescent="0.35">
      <c r="A7982" s="302">
        <v>38184</v>
      </c>
      <c r="B7982" s="303">
        <v>144.46199999999999</v>
      </c>
      <c r="C7982" s="308">
        <v>5.41139866278378</v>
      </c>
    </row>
    <row r="7983" spans="1:3" x14ac:dyDescent="0.35">
      <c r="A7983" s="305">
        <v>38183</v>
      </c>
      <c r="B7983" s="306">
        <v>144.4341</v>
      </c>
      <c r="C7983" s="309">
        <v>5.3893487031195599</v>
      </c>
    </row>
    <row r="7984" spans="1:3" x14ac:dyDescent="0.35">
      <c r="A7984" s="302">
        <v>38182</v>
      </c>
      <c r="B7984" s="303">
        <v>144.41579999999999</v>
      </c>
      <c r="C7984" s="308">
        <v>5.3932218554621496</v>
      </c>
    </row>
    <row r="7985" spans="1:3" x14ac:dyDescent="0.35">
      <c r="A7985" s="305">
        <v>38181</v>
      </c>
      <c r="B7985" s="306">
        <v>144.39760000000001</v>
      </c>
      <c r="C7985" s="309">
        <v>5.3970923349347499</v>
      </c>
    </row>
    <row r="7986" spans="1:3" x14ac:dyDescent="0.35">
      <c r="A7986" s="302">
        <v>38180</v>
      </c>
      <c r="B7986" s="303">
        <v>144.3793</v>
      </c>
      <c r="C7986" s="308">
        <v>5.4008910718339997</v>
      </c>
    </row>
    <row r="7987" spans="1:3" x14ac:dyDescent="0.35">
      <c r="A7987" s="305">
        <v>38179</v>
      </c>
      <c r="B7987" s="306">
        <v>144.36099999999999</v>
      </c>
      <c r="C7987" s="309">
        <v>5.4046910457743502</v>
      </c>
    </row>
    <row r="7988" spans="1:3" x14ac:dyDescent="0.35">
      <c r="A7988" s="302">
        <v>38178</v>
      </c>
      <c r="B7988" s="303">
        <v>144.34280000000001</v>
      </c>
      <c r="C7988" s="308">
        <v>5.4085652839089704</v>
      </c>
    </row>
    <row r="7989" spans="1:3" x14ac:dyDescent="0.35">
      <c r="A7989" s="305">
        <v>38177</v>
      </c>
      <c r="B7989" s="306">
        <v>144.3246</v>
      </c>
      <c r="C7989" s="309">
        <v>5.4125177757440603</v>
      </c>
    </row>
    <row r="7990" spans="1:3" x14ac:dyDescent="0.35">
      <c r="A7990" s="302">
        <v>38176</v>
      </c>
      <c r="B7990" s="303">
        <v>144.30629999999999</v>
      </c>
      <c r="C7990" s="308">
        <v>5.4163215035524397</v>
      </c>
    </row>
    <row r="7991" spans="1:3" x14ac:dyDescent="0.35">
      <c r="A7991" s="305">
        <v>38175</v>
      </c>
      <c r="B7991" s="306">
        <v>144.28809999999999</v>
      </c>
      <c r="C7991" s="309">
        <v>5.4201995331319202</v>
      </c>
    </row>
    <row r="7992" spans="1:3" x14ac:dyDescent="0.35">
      <c r="A7992" s="302">
        <v>38174</v>
      </c>
      <c r="B7992" s="303">
        <v>144.2698</v>
      </c>
      <c r="C7992" s="308">
        <v>5.4240057524012197</v>
      </c>
    </row>
    <row r="7993" spans="1:3" x14ac:dyDescent="0.35">
      <c r="A7993" s="305">
        <v>38173</v>
      </c>
      <c r="B7993" s="306">
        <v>144.2516</v>
      </c>
      <c r="C7993" s="309">
        <v>5.4278862984734504</v>
      </c>
    </row>
    <row r="7994" spans="1:3" x14ac:dyDescent="0.35">
      <c r="A7994" s="302">
        <v>38172</v>
      </c>
      <c r="B7994" s="303">
        <v>144.23330000000001</v>
      </c>
      <c r="C7994" s="308">
        <v>5.4316179432131104</v>
      </c>
    </row>
    <row r="7995" spans="1:3" x14ac:dyDescent="0.35">
      <c r="A7995" s="305">
        <v>38171</v>
      </c>
      <c r="B7995" s="306">
        <v>144.21510000000001</v>
      </c>
      <c r="C7995" s="309">
        <v>5.4355009928323099</v>
      </c>
    </row>
    <row r="7996" spans="1:3" x14ac:dyDescent="0.35">
      <c r="A7996" s="302">
        <v>38170</v>
      </c>
      <c r="B7996" s="303">
        <v>144.1969</v>
      </c>
      <c r="C7996" s="308">
        <v>5.43938530880438</v>
      </c>
    </row>
    <row r="7997" spans="1:3" x14ac:dyDescent="0.35">
      <c r="A7997" s="305">
        <v>38169</v>
      </c>
      <c r="B7997" s="306">
        <v>144.17869999999999</v>
      </c>
      <c r="C7997" s="309">
        <v>5.4432708917489103</v>
      </c>
    </row>
    <row r="7998" spans="1:3" x14ac:dyDescent="0.35">
      <c r="A7998" s="302">
        <v>38168</v>
      </c>
      <c r="B7998" s="303">
        <v>144.16040000000001</v>
      </c>
      <c r="C7998" s="308">
        <v>5.4470845966199404</v>
      </c>
    </row>
    <row r="7999" spans="1:3" x14ac:dyDescent="0.35">
      <c r="A7999" s="305">
        <v>38167</v>
      </c>
      <c r="B7999" s="306">
        <v>144.1422</v>
      </c>
      <c r="C7999" s="309">
        <v>5.4509727034366504</v>
      </c>
    </row>
    <row r="8000" spans="1:3" x14ac:dyDescent="0.35">
      <c r="A8000" s="302">
        <v>38166</v>
      </c>
      <c r="B8000" s="303">
        <v>144.124</v>
      </c>
      <c r="C8000" s="308">
        <v>5.4547849183062702</v>
      </c>
    </row>
    <row r="8001" spans="1:3" x14ac:dyDescent="0.35">
      <c r="A8001" s="305">
        <v>38165</v>
      </c>
      <c r="B8001" s="306">
        <v>144.10579999999999</v>
      </c>
      <c r="C8001" s="309">
        <v>5.4586755479641997</v>
      </c>
    </row>
    <row r="8002" spans="1:3" x14ac:dyDescent="0.35">
      <c r="A8002" s="302">
        <v>38164</v>
      </c>
      <c r="B8002" s="303">
        <v>144.08750000000001</v>
      </c>
      <c r="C8002" s="308">
        <v>5.4624942543205997</v>
      </c>
    </row>
    <row r="8003" spans="1:3" x14ac:dyDescent="0.35">
      <c r="A8003" s="305">
        <v>38163</v>
      </c>
      <c r="B8003" s="306">
        <v>144.0693</v>
      </c>
      <c r="C8003" s="309">
        <v>5.4663102058385604</v>
      </c>
    </row>
    <row r="8004" spans="1:3" x14ac:dyDescent="0.35">
      <c r="A8004" s="302">
        <v>38162</v>
      </c>
      <c r="B8004" s="303">
        <v>144.05109999999999</v>
      </c>
      <c r="C8004" s="308">
        <v>5.4702046201527503</v>
      </c>
    </row>
    <row r="8005" spans="1:3" x14ac:dyDescent="0.35">
      <c r="A8005" s="305">
        <v>38161</v>
      </c>
      <c r="B8005" s="306">
        <v>144.03290000000001</v>
      </c>
      <c r="C8005" s="309">
        <v>5.47402306863692</v>
      </c>
    </row>
    <row r="8006" spans="1:3" x14ac:dyDescent="0.35">
      <c r="A8006" s="302">
        <v>38160</v>
      </c>
      <c r="B8006" s="303">
        <v>144.0147</v>
      </c>
      <c r="C8006" s="308">
        <v>5.4779200119529401</v>
      </c>
    </row>
    <row r="8007" spans="1:3" x14ac:dyDescent="0.35">
      <c r="A8007" s="305">
        <v>38159</v>
      </c>
      <c r="B8007" s="306">
        <v>143.9965</v>
      </c>
      <c r="C8007" s="309">
        <v>5.4817409598485698</v>
      </c>
    </row>
    <row r="8008" spans="1:3" x14ac:dyDescent="0.35">
      <c r="A8008" s="302">
        <v>38158</v>
      </c>
      <c r="B8008" s="303">
        <v>143.97829999999999</v>
      </c>
      <c r="C8008" s="308">
        <v>5.4855631506839302</v>
      </c>
    </row>
    <row r="8009" spans="1:3" x14ac:dyDescent="0.35">
      <c r="A8009" s="305">
        <v>38157</v>
      </c>
      <c r="B8009" s="306">
        <v>143.96010000000001</v>
      </c>
      <c r="C8009" s="309">
        <v>5.4894638843925403</v>
      </c>
    </row>
    <row r="8010" spans="1:3" x14ac:dyDescent="0.35">
      <c r="A8010" s="302">
        <v>38156</v>
      </c>
      <c r="B8010" s="303">
        <v>143.9419</v>
      </c>
      <c r="C8010" s="308">
        <v>5.4932885783072498</v>
      </c>
    </row>
    <row r="8011" spans="1:3" x14ac:dyDescent="0.35">
      <c r="A8011" s="305">
        <v>38155</v>
      </c>
      <c r="B8011" s="306">
        <v>143.9237</v>
      </c>
      <c r="C8011" s="309">
        <v>5.4971918471942702</v>
      </c>
    </row>
    <row r="8012" spans="1:3" x14ac:dyDescent="0.35">
      <c r="A8012" s="302">
        <v>38154</v>
      </c>
      <c r="B8012" s="303">
        <v>143.90549999999999</v>
      </c>
      <c r="C8012" s="308">
        <v>5.5010190466415398</v>
      </c>
    </row>
    <row r="8013" spans="1:3" x14ac:dyDescent="0.35">
      <c r="A8013" s="305">
        <v>38153</v>
      </c>
      <c r="B8013" s="306">
        <v>143.88730000000001</v>
      </c>
      <c r="C8013" s="309">
        <v>5.5048474920772703</v>
      </c>
    </row>
    <row r="8014" spans="1:3" x14ac:dyDescent="0.35">
      <c r="A8014" s="302">
        <v>38152</v>
      </c>
      <c r="B8014" s="303">
        <v>143.86600000000001</v>
      </c>
      <c r="C8014" s="308">
        <v>5.5281505470202701</v>
      </c>
    </row>
    <row r="8015" spans="1:3" x14ac:dyDescent="0.35">
      <c r="A8015" s="305">
        <v>38151</v>
      </c>
      <c r="B8015" s="306">
        <v>143.84469999999999</v>
      </c>
      <c r="C8015" s="309">
        <v>5.5513933517416101</v>
      </c>
    </row>
    <row r="8016" spans="1:3" x14ac:dyDescent="0.35">
      <c r="A8016" s="302">
        <v>38150</v>
      </c>
      <c r="B8016" s="303">
        <v>143.82339999999999</v>
      </c>
      <c r="C8016" s="308">
        <v>5.5747307841942604</v>
      </c>
    </row>
    <row r="8017" spans="1:3" x14ac:dyDescent="0.35">
      <c r="A8017" s="305">
        <v>38149</v>
      </c>
      <c r="B8017" s="306">
        <v>143.8021</v>
      </c>
      <c r="C8017" s="309">
        <v>5.5980079131259801</v>
      </c>
    </row>
    <row r="8018" spans="1:3" x14ac:dyDescent="0.35">
      <c r="A8018" s="302">
        <v>38148</v>
      </c>
      <c r="B8018" s="303">
        <v>143.7808</v>
      </c>
      <c r="C8018" s="308">
        <v>5.6213797992338099</v>
      </c>
    </row>
    <row r="8019" spans="1:3" x14ac:dyDescent="0.35">
      <c r="A8019" s="305">
        <v>38147</v>
      </c>
      <c r="B8019" s="306">
        <v>143.7595</v>
      </c>
      <c r="C8019" s="309">
        <v>5.6446913284483999</v>
      </c>
    </row>
    <row r="8020" spans="1:3" x14ac:dyDescent="0.35">
      <c r="A8020" s="302">
        <v>38146</v>
      </c>
      <c r="B8020" s="303">
        <v>143.73820000000001</v>
      </c>
      <c r="C8020" s="308">
        <v>5.6679423825353901</v>
      </c>
    </row>
    <row r="8021" spans="1:3" x14ac:dyDescent="0.35">
      <c r="A8021" s="305">
        <v>38145</v>
      </c>
      <c r="B8021" s="306">
        <v>143.71690000000001</v>
      </c>
      <c r="C8021" s="309">
        <v>5.6912882966362197</v>
      </c>
    </row>
    <row r="8022" spans="1:3" x14ac:dyDescent="0.35">
      <c r="A8022" s="302">
        <v>38144</v>
      </c>
      <c r="B8022" s="303">
        <v>143.69569999999999</v>
      </c>
      <c r="C8022" s="308">
        <v>5.7146472504908896</v>
      </c>
    </row>
    <row r="8023" spans="1:3" x14ac:dyDescent="0.35">
      <c r="A8023" s="305">
        <v>38143</v>
      </c>
      <c r="B8023" s="306">
        <v>143.67439999999999</v>
      </c>
      <c r="C8023" s="309">
        <v>5.7380276528083698</v>
      </c>
    </row>
    <row r="8024" spans="1:3" x14ac:dyDescent="0.35">
      <c r="A8024" s="302">
        <v>38142</v>
      </c>
      <c r="B8024" s="303">
        <v>143.65309999999999</v>
      </c>
      <c r="C8024" s="308">
        <v>5.7613474728258502</v>
      </c>
    </row>
    <row r="8025" spans="1:3" x14ac:dyDescent="0.35">
      <c r="A8025" s="305">
        <v>38141</v>
      </c>
      <c r="B8025" s="306">
        <v>143.6319</v>
      </c>
      <c r="C8025" s="309">
        <v>5.7847581521238798</v>
      </c>
    </row>
    <row r="8026" spans="1:3" x14ac:dyDescent="0.35">
      <c r="A8026" s="302">
        <v>38140</v>
      </c>
      <c r="B8026" s="303">
        <v>143.61060000000001</v>
      </c>
      <c r="C8026" s="308">
        <v>5.8080344808531796</v>
      </c>
    </row>
    <row r="8027" spans="1:3" x14ac:dyDescent="0.35">
      <c r="A8027" s="305">
        <v>38139</v>
      </c>
      <c r="B8027" s="306">
        <v>143.58930000000001</v>
      </c>
      <c r="C8027" s="309">
        <v>5.8314059673902898</v>
      </c>
    </row>
    <row r="8028" spans="1:3" x14ac:dyDescent="0.35">
      <c r="A8028" s="302">
        <v>38138</v>
      </c>
      <c r="B8028" s="303">
        <v>143.56809999999999</v>
      </c>
      <c r="C8028" s="308">
        <v>5.8547904037089902</v>
      </c>
    </row>
    <row r="8029" spans="1:3" x14ac:dyDescent="0.35">
      <c r="A8029" s="305">
        <v>38137</v>
      </c>
      <c r="B8029" s="306">
        <v>143.54679999999999</v>
      </c>
      <c r="C8029" s="309">
        <v>5.8781964237375997</v>
      </c>
    </row>
    <row r="8030" spans="1:3" x14ac:dyDescent="0.35">
      <c r="A8030" s="302">
        <v>38136</v>
      </c>
      <c r="B8030" s="303">
        <v>143.5256</v>
      </c>
      <c r="C8030" s="308">
        <v>5.9016153940940299</v>
      </c>
    </row>
    <row r="8031" spans="1:3" x14ac:dyDescent="0.35">
      <c r="A8031" s="305">
        <v>38135</v>
      </c>
      <c r="B8031" s="306">
        <v>143.5043</v>
      </c>
      <c r="C8031" s="309">
        <v>5.9248996511595298</v>
      </c>
    </row>
    <row r="8032" spans="1:3" x14ac:dyDescent="0.35">
      <c r="A8032" s="302">
        <v>38134</v>
      </c>
      <c r="B8032" s="303">
        <v>143.48310000000001</v>
      </c>
      <c r="C8032" s="308">
        <v>5.9483531397634497</v>
      </c>
    </row>
    <row r="8033" spans="1:3" x14ac:dyDescent="0.35">
      <c r="A8033" s="305">
        <v>38133</v>
      </c>
      <c r="B8033" s="306">
        <v>143.46180000000001</v>
      </c>
      <c r="C8033" s="309">
        <v>5.9716718066148404</v>
      </c>
    </row>
    <row r="8034" spans="1:3" x14ac:dyDescent="0.35">
      <c r="A8034" s="302">
        <v>38132</v>
      </c>
      <c r="B8034" s="303">
        <v>143.44059999999999</v>
      </c>
      <c r="C8034" s="308">
        <v>5.9951598898967298</v>
      </c>
    </row>
    <row r="8035" spans="1:3" x14ac:dyDescent="0.35">
      <c r="A8035" s="305">
        <v>38131</v>
      </c>
      <c r="B8035" s="306">
        <v>143.4194</v>
      </c>
      <c r="C8035" s="309">
        <v>6.0185869648781498</v>
      </c>
    </row>
    <row r="8036" spans="1:3" x14ac:dyDescent="0.35">
      <c r="A8036" s="302">
        <v>38130</v>
      </c>
      <c r="B8036" s="303">
        <v>143.3981</v>
      </c>
      <c r="C8036" s="308">
        <v>6.0419573800338204</v>
      </c>
    </row>
    <row r="8037" spans="1:3" x14ac:dyDescent="0.35">
      <c r="A8037" s="305">
        <v>38129</v>
      </c>
      <c r="B8037" s="306">
        <v>143.37690000000001</v>
      </c>
      <c r="C8037" s="309">
        <v>6.06534056232565</v>
      </c>
    </row>
    <row r="8038" spans="1:3" x14ac:dyDescent="0.35">
      <c r="A8038" s="302">
        <v>38128</v>
      </c>
      <c r="B8038" s="303">
        <v>143.35570000000001</v>
      </c>
      <c r="C8038" s="308">
        <v>6.0888194896690502</v>
      </c>
    </row>
    <row r="8039" spans="1:3" x14ac:dyDescent="0.35">
      <c r="A8039" s="305">
        <v>38127</v>
      </c>
      <c r="B8039" s="306">
        <v>143.33449999999999</v>
      </c>
      <c r="C8039" s="309">
        <v>6.1122372077803799</v>
      </c>
    </row>
    <row r="8040" spans="1:3" x14ac:dyDescent="0.35">
      <c r="A8040" s="302">
        <v>38126</v>
      </c>
      <c r="B8040" s="303">
        <v>143.31319999999999</v>
      </c>
      <c r="C8040" s="308">
        <v>6.13559814083556</v>
      </c>
    </row>
    <row r="8041" spans="1:3" x14ac:dyDescent="0.35">
      <c r="A8041" s="305">
        <v>38125</v>
      </c>
      <c r="B8041" s="306">
        <v>143.292</v>
      </c>
      <c r="C8041" s="309">
        <v>6.1590503976185902</v>
      </c>
    </row>
    <row r="8042" spans="1:3" x14ac:dyDescent="0.35">
      <c r="A8042" s="302">
        <v>38124</v>
      </c>
      <c r="B8042" s="303">
        <v>143.27080000000001</v>
      </c>
      <c r="C8042" s="308">
        <v>6.1825199660858203</v>
      </c>
    </row>
    <row r="8043" spans="1:3" x14ac:dyDescent="0.35">
      <c r="A8043" s="305">
        <v>38123</v>
      </c>
      <c r="B8043" s="306">
        <v>143.24959999999999</v>
      </c>
      <c r="C8043" s="309">
        <v>6.2060068654127001</v>
      </c>
    </row>
    <row r="8044" spans="1:3" x14ac:dyDescent="0.35">
      <c r="A8044" s="302">
        <v>38122</v>
      </c>
      <c r="B8044" s="303">
        <v>143.22839999999999</v>
      </c>
      <c r="C8044" s="308">
        <v>6.22943232665303</v>
      </c>
    </row>
    <row r="8045" spans="1:3" x14ac:dyDescent="0.35">
      <c r="A8045" s="305">
        <v>38121</v>
      </c>
      <c r="B8045" s="306">
        <v>143.18190000000001</v>
      </c>
      <c r="C8045" s="309">
        <v>6.2318967461627004</v>
      </c>
    </row>
    <row r="8046" spans="1:3" x14ac:dyDescent="0.35">
      <c r="A8046" s="302">
        <v>38120</v>
      </c>
      <c r="B8046" s="303">
        <v>143.1353</v>
      </c>
      <c r="C8046" s="308">
        <v>6.2343675084647403</v>
      </c>
    </row>
    <row r="8047" spans="1:3" x14ac:dyDescent="0.35">
      <c r="A8047" s="305">
        <v>38119</v>
      </c>
      <c r="B8047" s="306">
        <v>143.08879999999999</v>
      </c>
      <c r="C8047" s="309">
        <v>6.2368353645634196</v>
      </c>
    </row>
    <row r="8048" spans="1:3" x14ac:dyDescent="0.35">
      <c r="A8048" s="302">
        <v>38118</v>
      </c>
      <c r="B8048" s="303">
        <v>143.04230000000001</v>
      </c>
      <c r="C8048" s="308">
        <v>6.2392260347277304</v>
      </c>
    </row>
    <row r="8049" spans="1:3" x14ac:dyDescent="0.35">
      <c r="A8049" s="305">
        <v>38117</v>
      </c>
      <c r="B8049" s="306">
        <v>142.9958</v>
      </c>
      <c r="C8049" s="309">
        <v>6.2416973018274096</v>
      </c>
    </row>
    <row r="8050" spans="1:3" x14ac:dyDescent="0.35">
      <c r="A8050" s="302">
        <v>38116</v>
      </c>
      <c r="B8050" s="303">
        <v>142.94929999999999</v>
      </c>
      <c r="C8050" s="308">
        <v>6.2441702917697004</v>
      </c>
    </row>
    <row r="8051" spans="1:3" x14ac:dyDescent="0.35">
      <c r="A8051" s="305">
        <v>38115</v>
      </c>
      <c r="B8051" s="306">
        <v>142.90289999999999</v>
      </c>
      <c r="C8051" s="309">
        <v>6.2466403620490798</v>
      </c>
    </row>
    <row r="8052" spans="1:3" x14ac:dyDescent="0.35">
      <c r="A8052" s="302">
        <v>38114</v>
      </c>
      <c r="B8052" s="303">
        <v>142.85640000000001</v>
      </c>
      <c r="C8052" s="308">
        <v>6.2490377771480698</v>
      </c>
    </row>
    <row r="8053" spans="1:3" x14ac:dyDescent="0.35">
      <c r="A8053" s="305">
        <v>38113</v>
      </c>
      <c r="B8053" s="306">
        <v>142.81</v>
      </c>
      <c r="C8053" s="309">
        <v>6.2515112623923503</v>
      </c>
    </row>
    <row r="8054" spans="1:3" x14ac:dyDescent="0.35">
      <c r="A8054" s="302">
        <v>38112</v>
      </c>
      <c r="B8054" s="303">
        <v>142.7636</v>
      </c>
      <c r="C8054" s="308">
        <v>6.2539864707462796</v>
      </c>
    </row>
    <row r="8055" spans="1:3" x14ac:dyDescent="0.35">
      <c r="A8055" s="305">
        <v>38111</v>
      </c>
      <c r="B8055" s="306">
        <v>142.71719999999999</v>
      </c>
      <c r="C8055" s="309">
        <v>6.2564634040110496</v>
      </c>
    </row>
    <row r="8056" spans="1:3" x14ac:dyDescent="0.35">
      <c r="A8056" s="302">
        <v>38110</v>
      </c>
      <c r="B8056" s="303">
        <v>142.67080000000001</v>
      </c>
      <c r="C8056" s="308">
        <v>6.2589420639903599</v>
      </c>
    </row>
    <row r="8057" spans="1:3" x14ac:dyDescent="0.35">
      <c r="A8057" s="305">
        <v>38109</v>
      </c>
      <c r="B8057" s="306">
        <v>142.62440000000001</v>
      </c>
      <c r="C8057" s="309">
        <v>6.2613432831372897</v>
      </c>
    </row>
    <row r="8058" spans="1:3" x14ac:dyDescent="0.35">
      <c r="A8058" s="302">
        <v>38108</v>
      </c>
      <c r="B8058" s="303">
        <v>142.57810000000001</v>
      </c>
      <c r="C8058" s="308">
        <v>6.2638207040575002</v>
      </c>
    </row>
    <row r="8059" spans="1:3" x14ac:dyDescent="0.35">
      <c r="A8059" s="305">
        <v>38107</v>
      </c>
      <c r="B8059" s="306">
        <v>142.5317</v>
      </c>
      <c r="C8059" s="309">
        <v>6.2662252939378398</v>
      </c>
    </row>
    <row r="8060" spans="1:3" x14ac:dyDescent="0.35">
      <c r="A8060" s="302">
        <v>38106</v>
      </c>
      <c r="B8060" s="303">
        <v>142.4854</v>
      </c>
      <c r="C8060" s="308">
        <v>6.2687061410214602</v>
      </c>
    </row>
    <row r="8061" spans="1:3" x14ac:dyDescent="0.35">
      <c r="A8061" s="305">
        <v>38105</v>
      </c>
      <c r="B8061" s="306">
        <v>142.4391</v>
      </c>
      <c r="C8061" s="309">
        <v>6.2711887168590597</v>
      </c>
    </row>
    <row r="8062" spans="1:3" x14ac:dyDescent="0.35">
      <c r="A8062" s="302">
        <v>38104</v>
      </c>
      <c r="B8062" s="303">
        <v>142.39279999999999</v>
      </c>
      <c r="C8062" s="308">
        <v>6.2736730232582403</v>
      </c>
    </row>
    <row r="8063" spans="1:3" x14ac:dyDescent="0.35">
      <c r="A8063" s="305">
        <v>38103</v>
      </c>
      <c r="B8063" s="306">
        <v>142.34649999999999</v>
      </c>
      <c r="C8063" s="309">
        <v>6.2760797161123296</v>
      </c>
    </row>
    <row r="8064" spans="1:3" x14ac:dyDescent="0.35">
      <c r="A8064" s="302">
        <v>38102</v>
      </c>
      <c r="B8064" s="303">
        <v>142.30019999999999</v>
      </c>
      <c r="C8064" s="308">
        <v>6.2784880842041098</v>
      </c>
    </row>
    <row r="8065" spans="1:3" x14ac:dyDescent="0.35">
      <c r="A8065" s="305">
        <v>38101</v>
      </c>
      <c r="B8065" s="306">
        <v>142.25399999999999</v>
      </c>
      <c r="C8065" s="309">
        <v>6.2809728413988797</v>
      </c>
    </row>
    <row r="8066" spans="1:3" x14ac:dyDescent="0.35">
      <c r="A8066" s="302">
        <v>38100</v>
      </c>
      <c r="B8066" s="303">
        <v>142.20769999999999</v>
      </c>
      <c r="C8066" s="308">
        <v>6.2833845912384501</v>
      </c>
    </row>
    <row r="8067" spans="1:3" x14ac:dyDescent="0.35">
      <c r="A8067" s="305">
        <v>38099</v>
      </c>
      <c r="B8067" s="306">
        <v>142.16149999999999</v>
      </c>
      <c r="C8067" s="309">
        <v>6.2858727857655001</v>
      </c>
    </row>
    <row r="8068" spans="1:3" x14ac:dyDescent="0.35">
      <c r="A8068" s="302">
        <v>38098</v>
      </c>
      <c r="B8068" s="303">
        <v>142.11529999999999</v>
      </c>
      <c r="C8068" s="308">
        <v>6.2883627146760102</v>
      </c>
    </row>
    <row r="8069" spans="1:3" x14ac:dyDescent="0.35">
      <c r="A8069" s="305">
        <v>38097</v>
      </c>
      <c r="B8069" s="306">
        <v>142.06909999999999</v>
      </c>
      <c r="C8069" s="309">
        <v>6.2907748569513302</v>
      </c>
    </row>
    <row r="8070" spans="1:3" x14ac:dyDescent="0.35">
      <c r="A8070" s="302">
        <v>38096</v>
      </c>
      <c r="B8070" s="303">
        <v>142.023</v>
      </c>
      <c r="C8070" s="308">
        <v>6.2932635204465397</v>
      </c>
    </row>
    <row r="8071" spans="1:3" x14ac:dyDescent="0.35">
      <c r="A8071" s="305">
        <v>38095</v>
      </c>
      <c r="B8071" s="306">
        <v>141.9768</v>
      </c>
      <c r="C8071" s="309">
        <v>6.2957586302676498</v>
      </c>
    </row>
    <row r="8072" spans="1:3" x14ac:dyDescent="0.35">
      <c r="A8072" s="302">
        <v>38094</v>
      </c>
      <c r="B8072" s="303">
        <v>141.9306</v>
      </c>
      <c r="C8072" s="308">
        <v>6.2981758701988904</v>
      </c>
    </row>
    <row r="8073" spans="1:3" x14ac:dyDescent="0.35">
      <c r="A8073" s="305">
        <v>38093</v>
      </c>
      <c r="B8073" s="306">
        <v>141.8845</v>
      </c>
      <c r="C8073" s="309">
        <v>6.3005900739315601</v>
      </c>
    </row>
    <row r="8074" spans="1:3" x14ac:dyDescent="0.35">
      <c r="A8074" s="302">
        <v>38092</v>
      </c>
      <c r="B8074" s="303">
        <v>141.83840000000001</v>
      </c>
      <c r="C8074" s="308">
        <v>6.3030856272619804</v>
      </c>
    </row>
    <row r="8075" spans="1:3" x14ac:dyDescent="0.35">
      <c r="A8075" s="305">
        <v>38091</v>
      </c>
      <c r="B8075" s="306">
        <v>141.78380000000001</v>
      </c>
      <c r="C8075" s="309">
        <v>6.3000071974377096</v>
      </c>
    </row>
    <row r="8076" spans="1:3" x14ac:dyDescent="0.35">
      <c r="A8076" s="302">
        <v>38090</v>
      </c>
      <c r="B8076" s="303">
        <v>141.72929999999999</v>
      </c>
      <c r="C8076" s="308">
        <v>6.2970015742503902</v>
      </c>
    </row>
    <row r="8077" spans="1:3" x14ac:dyDescent="0.35">
      <c r="A8077" s="305">
        <v>38089</v>
      </c>
      <c r="B8077" s="306">
        <v>141.6747</v>
      </c>
      <c r="C8077" s="309">
        <v>6.2939187820458002</v>
      </c>
    </row>
    <row r="8078" spans="1:3" x14ac:dyDescent="0.35">
      <c r="A8078" s="302">
        <v>38088</v>
      </c>
      <c r="B8078" s="303">
        <v>141.62020000000001</v>
      </c>
      <c r="C8078" s="308">
        <v>6.2908290702980496</v>
      </c>
    </row>
    <row r="8079" spans="1:3" x14ac:dyDescent="0.35">
      <c r="A8079" s="305">
        <v>38087</v>
      </c>
      <c r="B8079" s="306">
        <v>141.56569999999999</v>
      </c>
      <c r="C8079" s="309">
        <v>6.2878169604680201</v>
      </c>
    </row>
    <row r="8080" spans="1:3" x14ac:dyDescent="0.35">
      <c r="A8080" s="302">
        <v>38086</v>
      </c>
      <c r="B8080" s="303">
        <v>141.51130000000001</v>
      </c>
      <c r="C8080" s="308">
        <v>6.2847979811256298</v>
      </c>
    </row>
    <row r="8081" spans="1:3" x14ac:dyDescent="0.35">
      <c r="A8081" s="305">
        <v>38085</v>
      </c>
      <c r="B8081" s="306">
        <v>141.45679999999999</v>
      </c>
      <c r="C8081" s="309">
        <v>6.2817017177813597</v>
      </c>
    </row>
    <row r="8082" spans="1:3" x14ac:dyDescent="0.35">
      <c r="A8082" s="302">
        <v>38084</v>
      </c>
      <c r="B8082" s="303">
        <v>141.4024</v>
      </c>
      <c r="C8082" s="308">
        <v>6.2786784087330396</v>
      </c>
    </row>
    <row r="8083" spans="1:3" x14ac:dyDescent="0.35">
      <c r="A8083" s="305">
        <v>38083</v>
      </c>
      <c r="B8083" s="306">
        <v>141.34800000000001</v>
      </c>
      <c r="C8083" s="309">
        <v>6.2755730390807898</v>
      </c>
    </row>
    <row r="8084" spans="1:3" x14ac:dyDescent="0.35">
      <c r="A8084" s="302">
        <v>38082</v>
      </c>
      <c r="B8084" s="303">
        <v>141.2936</v>
      </c>
      <c r="C8084" s="308">
        <v>6.27254539163921</v>
      </c>
    </row>
    <row r="8085" spans="1:3" x14ac:dyDescent="0.35">
      <c r="A8085" s="305">
        <v>38081</v>
      </c>
      <c r="B8085" s="306">
        <v>141.23929999999999</v>
      </c>
      <c r="C8085" s="309">
        <v>6.26951086739796</v>
      </c>
    </row>
    <row r="8086" spans="1:3" x14ac:dyDescent="0.35">
      <c r="A8086" s="302">
        <v>38080</v>
      </c>
      <c r="B8086" s="303">
        <v>141.1849</v>
      </c>
      <c r="C8086" s="308">
        <v>6.2663989149431698</v>
      </c>
    </row>
    <row r="8087" spans="1:3" x14ac:dyDescent="0.35">
      <c r="A8087" s="305">
        <v>38079</v>
      </c>
      <c r="B8087" s="306">
        <v>141.13059999999999</v>
      </c>
      <c r="C8087" s="309">
        <v>6.2633600402373002</v>
      </c>
    </row>
    <row r="8088" spans="1:3" x14ac:dyDescent="0.35">
      <c r="A8088" s="302">
        <v>38078</v>
      </c>
      <c r="B8088" s="303">
        <v>141.0763</v>
      </c>
      <c r="C8088" s="308">
        <v>6.2603190002169198</v>
      </c>
    </row>
    <row r="8089" spans="1:3" x14ac:dyDescent="0.35">
      <c r="A8089" s="305">
        <v>38077</v>
      </c>
      <c r="B8089" s="306">
        <v>141.02209999999999</v>
      </c>
      <c r="C8089" s="309">
        <v>6.2573511405805604</v>
      </c>
    </row>
    <row r="8090" spans="1:3" x14ac:dyDescent="0.35">
      <c r="A8090" s="302">
        <v>38076</v>
      </c>
      <c r="B8090" s="303">
        <v>140.96780000000001</v>
      </c>
      <c r="C8090" s="308">
        <v>6.2542257008539197</v>
      </c>
    </row>
    <row r="8091" spans="1:3" x14ac:dyDescent="0.35">
      <c r="A8091" s="305">
        <v>38075</v>
      </c>
      <c r="B8091" s="306">
        <v>140.9136</v>
      </c>
      <c r="C8091" s="309">
        <v>6.2512535533052302</v>
      </c>
    </row>
    <row r="8092" spans="1:3" x14ac:dyDescent="0.35">
      <c r="A8092" s="302">
        <v>38074</v>
      </c>
      <c r="B8092" s="303">
        <v>140.85939999999999</v>
      </c>
      <c r="C8092" s="308">
        <v>6.2481991434334203</v>
      </c>
    </row>
    <row r="8093" spans="1:3" x14ac:dyDescent="0.35">
      <c r="A8093" s="305">
        <v>38073</v>
      </c>
      <c r="B8093" s="306">
        <v>140.80520000000001</v>
      </c>
      <c r="C8093" s="309">
        <v>6.2451425579082596</v>
      </c>
    </row>
    <row r="8094" spans="1:3" x14ac:dyDescent="0.35">
      <c r="A8094" s="302">
        <v>38072</v>
      </c>
      <c r="B8094" s="303">
        <v>140.751</v>
      </c>
      <c r="C8094" s="308">
        <v>6.2420837944043503</v>
      </c>
    </row>
    <row r="8095" spans="1:3" x14ac:dyDescent="0.35">
      <c r="A8095" s="305">
        <v>38071</v>
      </c>
      <c r="B8095" s="306">
        <v>140.6969</v>
      </c>
      <c r="C8095" s="309">
        <v>6.2390983597892404</v>
      </c>
    </row>
    <row r="8096" spans="1:3" x14ac:dyDescent="0.35">
      <c r="A8096" s="302">
        <v>38070</v>
      </c>
      <c r="B8096" s="303">
        <v>140.64269999999999</v>
      </c>
      <c r="C8096" s="308">
        <v>6.2359550137437898</v>
      </c>
    </row>
    <row r="8097" spans="1:3" x14ac:dyDescent="0.35">
      <c r="A8097" s="305">
        <v>38069</v>
      </c>
      <c r="B8097" s="306">
        <v>140.58860000000001</v>
      </c>
      <c r="C8097" s="309">
        <v>6.23288499319934</v>
      </c>
    </row>
    <row r="8098" spans="1:3" x14ac:dyDescent="0.35">
      <c r="A8098" s="302">
        <v>38068</v>
      </c>
      <c r="B8098" s="303">
        <v>140.53450000000001</v>
      </c>
      <c r="C8098" s="308">
        <v>6.2298930856403398</v>
      </c>
    </row>
    <row r="8099" spans="1:3" x14ac:dyDescent="0.35">
      <c r="A8099" s="305">
        <v>38067</v>
      </c>
      <c r="B8099" s="306">
        <v>140.48050000000001</v>
      </c>
      <c r="C8099" s="309">
        <v>6.22689433380443</v>
      </c>
    </row>
    <row r="8100" spans="1:3" x14ac:dyDescent="0.35">
      <c r="A8100" s="302">
        <v>38066</v>
      </c>
      <c r="B8100" s="303">
        <v>140.4264</v>
      </c>
      <c r="C8100" s="308">
        <v>6.2237374497631199</v>
      </c>
    </row>
    <row r="8101" spans="1:3" x14ac:dyDescent="0.35">
      <c r="A8101" s="305">
        <v>38065</v>
      </c>
      <c r="B8101" s="306">
        <v>140.3724</v>
      </c>
      <c r="C8101" s="309">
        <v>6.2207343687098797</v>
      </c>
    </row>
    <row r="8102" spans="1:3" x14ac:dyDescent="0.35">
      <c r="A8102" s="302">
        <v>38064</v>
      </c>
      <c r="B8102" s="303">
        <v>140.3184</v>
      </c>
      <c r="C8102" s="308">
        <v>6.2177291462440696</v>
      </c>
    </row>
    <row r="8103" spans="1:3" x14ac:dyDescent="0.35">
      <c r="A8103" s="305">
        <v>38063</v>
      </c>
      <c r="B8103" s="306">
        <v>140.26439999999999</v>
      </c>
      <c r="C8103" s="309">
        <v>6.2146413494121902</v>
      </c>
    </row>
    <row r="8104" spans="1:3" x14ac:dyDescent="0.35">
      <c r="A8104" s="302">
        <v>38062</v>
      </c>
      <c r="B8104" s="303">
        <v>140.21039999999999</v>
      </c>
      <c r="C8104" s="308">
        <v>6.2115513538695799</v>
      </c>
    </row>
    <row r="8105" spans="1:3" x14ac:dyDescent="0.35">
      <c r="A8105" s="305">
        <v>38061</v>
      </c>
      <c r="B8105" s="306">
        <v>140.15649999999999</v>
      </c>
      <c r="C8105" s="309">
        <v>6.2085349357966404</v>
      </c>
    </row>
    <row r="8106" spans="1:3" x14ac:dyDescent="0.35">
      <c r="A8106" s="302">
        <v>38060</v>
      </c>
      <c r="B8106" s="303">
        <v>140.11369999999999</v>
      </c>
      <c r="C8106" s="308">
        <v>6.2202114037967204</v>
      </c>
    </row>
    <row r="8107" spans="1:3" x14ac:dyDescent="0.35">
      <c r="A8107" s="305">
        <v>38059</v>
      </c>
      <c r="B8107" s="306">
        <v>140.07089999999999</v>
      </c>
      <c r="C8107" s="309">
        <v>6.2318975775460599</v>
      </c>
    </row>
    <row r="8108" spans="1:3" x14ac:dyDescent="0.35">
      <c r="A8108" s="302">
        <v>38058</v>
      </c>
      <c r="B8108" s="303">
        <v>140.02809999999999</v>
      </c>
      <c r="C8108" s="308">
        <v>6.2435128589551399</v>
      </c>
    </row>
    <row r="8109" spans="1:3" x14ac:dyDescent="0.35">
      <c r="A8109" s="305">
        <v>38057</v>
      </c>
      <c r="B8109" s="306">
        <v>139.9853</v>
      </c>
      <c r="C8109" s="309">
        <v>6.2552184381271596</v>
      </c>
    </row>
    <row r="8110" spans="1:3" x14ac:dyDescent="0.35">
      <c r="A8110" s="302">
        <v>38056</v>
      </c>
      <c r="B8110" s="303">
        <v>139.9425</v>
      </c>
      <c r="C8110" s="308">
        <v>6.2668530644385996</v>
      </c>
    </row>
    <row r="8111" spans="1:3" x14ac:dyDescent="0.35">
      <c r="A8111" s="305">
        <v>38055</v>
      </c>
      <c r="B8111" s="306">
        <v>139.8998</v>
      </c>
      <c r="C8111" s="309">
        <v>6.2785733277623699</v>
      </c>
    </row>
    <row r="8112" spans="1:3" x14ac:dyDescent="0.35">
      <c r="A8112" s="302">
        <v>38054</v>
      </c>
      <c r="B8112" s="303">
        <v>139.857</v>
      </c>
      <c r="C8112" s="308">
        <v>6.2902273364629799</v>
      </c>
    </row>
    <row r="8113" spans="1:3" x14ac:dyDescent="0.35">
      <c r="A8113" s="305">
        <v>38053</v>
      </c>
      <c r="B8113" s="306">
        <v>139.8143</v>
      </c>
      <c r="C8113" s="309">
        <v>6.3018862473265704</v>
      </c>
    </row>
    <row r="8114" spans="1:3" x14ac:dyDescent="0.35">
      <c r="A8114" s="302">
        <v>38052</v>
      </c>
      <c r="B8114" s="303">
        <v>139.77160000000001</v>
      </c>
      <c r="C8114" s="308">
        <v>6.3136357067338</v>
      </c>
    </row>
    <row r="8115" spans="1:3" x14ac:dyDescent="0.35">
      <c r="A8115" s="305">
        <v>38051</v>
      </c>
      <c r="B8115" s="306">
        <v>139.72890000000001</v>
      </c>
      <c r="C8115" s="309">
        <v>6.3253140399524002</v>
      </c>
    </row>
    <row r="8116" spans="1:3" x14ac:dyDescent="0.35">
      <c r="A8116" s="302">
        <v>38050</v>
      </c>
      <c r="B8116" s="303">
        <v>139.68620000000001</v>
      </c>
      <c r="C8116" s="308">
        <v>6.3369211316218799</v>
      </c>
    </row>
    <row r="8117" spans="1:3" x14ac:dyDescent="0.35">
      <c r="A8117" s="305">
        <v>38049</v>
      </c>
      <c r="B8117" s="306">
        <v>139.64359999999999</v>
      </c>
      <c r="C8117" s="309">
        <v>6.3486950078175397</v>
      </c>
    </row>
    <row r="8118" spans="1:3" x14ac:dyDescent="0.35">
      <c r="A8118" s="302">
        <v>38048</v>
      </c>
      <c r="B8118" s="303">
        <v>139.6009</v>
      </c>
      <c r="C8118" s="308">
        <v>6.3603214559994097</v>
      </c>
    </row>
    <row r="8119" spans="1:3" x14ac:dyDescent="0.35">
      <c r="A8119" s="305">
        <v>38047</v>
      </c>
      <c r="B8119" s="306">
        <v>139.5582</v>
      </c>
      <c r="C8119" s="309">
        <v>6.3720386407740399</v>
      </c>
    </row>
    <row r="8120" spans="1:3" x14ac:dyDescent="0.35">
      <c r="A8120" s="302">
        <v>38046</v>
      </c>
      <c r="B8120" s="303">
        <v>139.51560000000001</v>
      </c>
      <c r="C8120" s="308">
        <v>6.3837607143919204</v>
      </c>
    </row>
    <row r="8121" spans="1:3" x14ac:dyDescent="0.35">
      <c r="A8121" s="305">
        <v>38045</v>
      </c>
      <c r="B8121" s="306">
        <v>139.47300000000001</v>
      </c>
      <c r="C8121" s="309">
        <v>6.3512772630328396</v>
      </c>
    </row>
    <row r="8122" spans="1:3" x14ac:dyDescent="0.35">
      <c r="A8122" s="302">
        <v>38044</v>
      </c>
      <c r="B8122" s="303">
        <v>139.43039999999999</v>
      </c>
      <c r="C8122" s="308">
        <v>6.3629144407667102</v>
      </c>
    </row>
    <row r="8123" spans="1:3" x14ac:dyDescent="0.35">
      <c r="A8123" s="305">
        <v>38043</v>
      </c>
      <c r="B8123" s="306">
        <v>139.3878</v>
      </c>
      <c r="C8123" s="309">
        <v>6.3746424613919404</v>
      </c>
    </row>
    <row r="8124" spans="1:3" x14ac:dyDescent="0.35">
      <c r="A8124" s="302">
        <v>38042</v>
      </c>
      <c r="B8124" s="303">
        <v>139.34520000000001</v>
      </c>
      <c r="C8124" s="308">
        <v>6.3862990187844897</v>
      </c>
    </row>
    <row r="8125" spans="1:3" x14ac:dyDescent="0.35">
      <c r="A8125" s="305">
        <v>38041</v>
      </c>
      <c r="B8125" s="306">
        <v>139.30260000000001</v>
      </c>
      <c r="C8125" s="309">
        <v>6.3979652628202199</v>
      </c>
    </row>
    <row r="8126" spans="1:3" x14ac:dyDescent="0.35">
      <c r="A8126" s="302">
        <v>38040</v>
      </c>
      <c r="B8126" s="303">
        <v>139.26009999999999</v>
      </c>
      <c r="C8126" s="308">
        <v>6.4097176163506804</v>
      </c>
    </row>
    <row r="8127" spans="1:3" x14ac:dyDescent="0.35">
      <c r="A8127" s="305">
        <v>38039</v>
      </c>
      <c r="B8127" s="306">
        <v>139.2175</v>
      </c>
      <c r="C8127" s="309">
        <v>6.42132195053712</v>
      </c>
    </row>
    <row r="8128" spans="1:3" x14ac:dyDescent="0.35">
      <c r="A8128" s="302">
        <v>38038</v>
      </c>
      <c r="B8128" s="303">
        <v>139.17500000000001</v>
      </c>
      <c r="C8128" s="308">
        <v>6.4330937903640901</v>
      </c>
    </row>
    <row r="8129" spans="1:3" x14ac:dyDescent="0.35">
      <c r="A8129" s="305">
        <v>38037</v>
      </c>
      <c r="B8129" s="306">
        <v>139.13249999999999</v>
      </c>
      <c r="C8129" s="309">
        <v>6.4447939921321202</v>
      </c>
    </row>
    <row r="8130" spans="1:3" x14ac:dyDescent="0.35">
      <c r="A8130" s="302">
        <v>38036</v>
      </c>
      <c r="B8130" s="303">
        <v>139.09</v>
      </c>
      <c r="C8130" s="308">
        <v>6.4565039191209204</v>
      </c>
    </row>
    <row r="8131" spans="1:3" x14ac:dyDescent="0.35">
      <c r="A8131" s="305">
        <v>38035</v>
      </c>
      <c r="B8131" s="306">
        <v>139.04750000000001</v>
      </c>
      <c r="C8131" s="309">
        <v>6.4681420611469704</v>
      </c>
    </row>
    <row r="8132" spans="1:3" x14ac:dyDescent="0.35">
      <c r="A8132" s="302">
        <v>38034</v>
      </c>
      <c r="B8132" s="303">
        <v>139.005</v>
      </c>
      <c r="C8132" s="308">
        <v>6.4798714320951003</v>
      </c>
    </row>
    <row r="8133" spans="1:3" x14ac:dyDescent="0.35">
      <c r="A8133" s="305">
        <v>38033</v>
      </c>
      <c r="B8133" s="306">
        <v>138.96260000000001</v>
      </c>
      <c r="C8133" s="309">
        <v>6.4916055899383602</v>
      </c>
    </row>
    <row r="8134" spans="1:3" x14ac:dyDescent="0.35">
      <c r="A8134" s="302">
        <v>38032</v>
      </c>
      <c r="B8134" s="303">
        <v>138.92009999999999</v>
      </c>
      <c r="C8134" s="308">
        <v>6.50327283432512</v>
      </c>
    </row>
    <row r="8135" spans="1:3" x14ac:dyDescent="0.35">
      <c r="A8135" s="305">
        <v>38031</v>
      </c>
      <c r="B8135" s="306">
        <v>138.89279999999999</v>
      </c>
      <c r="C8135" s="309">
        <v>6.4915687887623701</v>
      </c>
    </row>
    <row r="8136" spans="1:3" x14ac:dyDescent="0.35">
      <c r="A8136" s="302">
        <v>38030</v>
      </c>
      <c r="B8136" s="303">
        <v>138.8656</v>
      </c>
      <c r="C8136" s="308">
        <v>6.48002104057288</v>
      </c>
    </row>
    <row r="8137" spans="1:3" x14ac:dyDescent="0.35">
      <c r="A8137" s="305">
        <v>38029</v>
      </c>
      <c r="B8137" s="306">
        <v>138.8383</v>
      </c>
      <c r="C8137" s="309">
        <v>6.46831294276069</v>
      </c>
    </row>
    <row r="8138" spans="1:3" x14ac:dyDescent="0.35">
      <c r="A8138" s="302">
        <v>38028</v>
      </c>
      <c r="B8138" s="303">
        <v>138.81110000000001</v>
      </c>
      <c r="C8138" s="308">
        <v>6.4566795074241501</v>
      </c>
    </row>
    <row r="8139" spans="1:3" x14ac:dyDescent="0.35">
      <c r="A8139" s="305">
        <v>38027</v>
      </c>
      <c r="B8139" s="306">
        <v>138.78389999999999</v>
      </c>
      <c r="C8139" s="309">
        <v>6.4451256972849498</v>
      </c>
    </row>
    <row r="8140" spans="1:3" x14ac:dyDescent="0.35">
      <c r="A8140" s="302">
        <v>38026</v>
      </c>
      <c r="B8140" s="303">
        <v>138.7567</v>
      </c>
      <c r="C8140" s="308">
        <v>6.4334882265316899</v>
      </c>
    </row>
    <row r="8141" spans="1:3" x14ac:dyDescent="0.35">
      <c r="A8141" s="305">
        <v>38025</v>
      </c>
      <c r="B8141" s="306">
        <v>138.7294</v>
      </c>
      <c r="C8141" s="309">
        <v>6.4218536645238498</v>
      </c>
    </row>
    <row r="8142" spans="1:3" x14ac:dyDescent="0.35">
      <c r="A8142" s="302">
        <v>38024</v>
      </c>
      <c r="B8142" s="303">
        <v>138.7022</v>
      </c>
      <c r="C8142" s="308">
        <v>6.4102121495979603</v>
      </c>
    </row>
    <row r="8143" spans="1:3" x14ac:dyDescent="0.35">
      <c r="A8143" s="305">
        <v>38023</v>
      </c>
      <c r="B8143" s="306">
        <v>138.67500000000001</v>
      </c>
      <c r="C8143" s="309">
        <v>6.3985686160475197</v>
      </c>
    </row>
    <row r="8144" spans="1:3" x14ac:dyDescent="0.35">
      <c r="A8144" s="302">
        <v>38022</v>
      </c>
      <c r="B8144" s="303">
        <v>138.64779999999999</v>
      </c>
      <c r="C8144" s="308">
        <v>6.3870046959884599</v>
      </c>
    </row>
    <row r="8145" spans="1:3" x14ac:dyDescent="0.35">
      <c r="A8145" s="305">
        <v>38021</v>
      </c>
      <c r="B8145" s="306">
        <v>138.6206</v>
      </c>
      <c r="C8145" s="309">
        <v>6.3753571217540603</v>
      </c>
    </row>
    <row r="8146" spans="1:3" x14ac:dyDescent="0.35">
      <c r="A8146" s="302">
        <v>38020</v>
      </c>
      <c r="B8146" s="303">
        <v>138.5934</v>
      </c>
      <c r="C8146" s="308">
        <v>6.3637075273174304</v>
      </c>
    </row>
    <row r="8147" spans="1:3" x14ac:dyDescent="0.35">
      <c r="A8147" s="305">
        <v>38019</v>
      </c>
      <c r="B8147" s="306">
        <v>138.56620000000001</v>
      </c>
      <c r="C8147" s="309">
        <v>6.3521375393353301</v>
      </c>
    </row>
    <row r="8148" spans="1:3" x14ac:dyDescent="0.35">
      <c r="A8148" s="302">
        <v>38018</v>
      </c>
      <c r="B8148" s="303">
        <v>138.53909999999999</v>
      </c>
      <c r="C8148" s="308">
        <v>6.3405606595705999</v>
      </c>
    </row>
    <row r="8149" spans="1:3" x14ac:dyDescent="0.35">
      <c r="A8149" s="305">
        <v>38017</v>
      </c>
      <c r="B8149" s="306">
        <v>138.5119</v>
      </c>
      <c r="C8149" s="309">
        <v>6.3289050061642396</v>
      </c>
    </row>
    <row r="8150" spans="1:3" x14ac:dyDescent="0.35">
      <c r="A8150" s="302">
        <v>38016</v>
      </c>
      <c r="B8150" s="303">
        <v>138.4847</v>
      </c>
      <c r="C8150" s="308">
        <v>6.3173289522171698</v>
      </c>
    </row>
    <row r="8151" spans="1:3" x14ac:dyDescent="0.35">
      <c r="A8151" s="305">
        <v>38015</v>
      </c>
      <c r="B8151" s="306">
        <v>138.45750000000001</v>
      </c>
      <c r="C8151" s="309">
        <v>6.3056692518006496</v>
      </c>
    </row>
    <row r="8152" spans="1:3" x14ac:dyDescent="0.35">
      <c r="A8152" s="302">
        <v>38014</v>
      </c>
      <c r="B8152" s="303">
        <v>138.43039999999999</v>
      </c>
      <c r="C8152" s="308">
        <v>6.2940843132406901</v>
      </c>
    </row>
    <row r="8153" spans="1:3" x14ac:dyDescent="0.35">
      <c r="A8153" s="305">
        <v>38013</v>
      </c>
      <c r="B8153" s="306">
        <v>138.4032</v>
      </c>
      <c r="C8153" s="309">
        <v>6.2825021885702901</v>
      </c>
    </row>
    <row r="8154" spans="1:3" x14ac:dyDescent="0.35">
      <c r="A8154" s="302">
        <v>38012</v>
      </c>
      <c r="B8154" s="303">
        <v>138.37610000000001</v>
      </c>
      <c r="C8154" s="308">
        <v>6.2709132198813204</v>
      </c>
    </row>
    <row r="8155" spans="1:3" x14ac:dyDescent="0.35">
      <c r="A8155" s="305">
        <v>38011</v>
      </c>
      <c r="B8155" s="306">
        <v>138.34889999999999</v>
      </c>
      <c r="C8155" s="309">
        <v>6.2592454343107597</v>
      </c>
    </row>
    <row r="8156" spans="1:3" x14ac:dyDescent="0.35">
      <c r="A8156" s="302">
        <v>38010</v>
      </c>
      <c r="B8156" s="303">
        <v>138.3218</v>
      </c>
      <c r="C8156" s="308">
        <v>6.2476524352072103</v>
      </c>
    </row>
    <row r="8157" spans="1:3" x14ac:dyDescent="0.35">
      <c r="A8157" s="305">
        <v>38009</v>
      </c>
      <c r="B8157" s="306">
        <v>138.29470000000001</v>
      </c>
      <c r="C8157" s="309">
        <v>6.2360574234425803</v>
      </c>
    </row>
    <row r="8158" spans="1:3" x14ac:dyDescent="0.35">
      <c r="A8158" s="302">
        <v>38008</v>
      </c>
      <c r="B8158" s="303">
        <v>138.26750000000001</v>
      </c>
      <c r="C8158" s="308">
        <v>6.2244651804550202</v>
      </c>
    </row>
    <row r="8159" spans="1:3" x14ac:dyDescent="0.35">
      <c r="A8159" s="305">
        <v>38007</v>
      </c>
      <c r="B8159" s="306">
        <v>138.24039999999999</v>
      </c>
      <c r="C8159" s="309">
        <v>6.2128661332989097</v>
      </c>
    </row>
    <row r="8160" spans="1:3" x14ac:dyDescent="0.35">
      <c r="A8160" s="302">
        <v>38006</v>
      </c>
      <c r="B8160" s="303">
        <v>138.2133</v>
      </c>
      <c r="C8160" s="308">
        <v>6.2012650719056301</v>
      </c>
    </row>
    <row r="8161" spans="1:3" x14ac:dyDescent="0.35">
      <c r="A8161" s="305">
        <v>38005</v>
      </c>
      <c r="B8161" s="306">
        <v>138.18620000000001</v>
      </c>
      <c r="C8161" s="309">
        <v>6.1896619957504502</v>
      </c>
    </row>
    <row r="8162" spans="1:3" x14ac:dyDescent="0.35">
      <c r="A8162" s="302">
        <v>38004</v>
      </c>
      <c r="B8162" s="303">
        <v>138.1591</v>
      </c>
      <c r="C8162" s="308">
        <v>6.1781385043509802</v>
      </c>
    </row>
    <row r="8163" spans="1:3" x14ac:dyDescent="0.35">
      <c r="A8163" s="305">
        <v>38003</v>
      </c>
      <c r="B8163" s="306">
        <v>138.13200000000001</v>
      </c>
      <c r="C8163" s="309">
        <v>6.1665313952630401</v>
      </c>
    </row>
    <row r="8164" spans="1:3" x14ac:dyDescent="0.35">
      <c r="A8164" s="302">
        <v>38002</v>
      </c>
      <c r="B8164" s="303">
        <v>138.10489999999999</v>
      </c>
      <c r="C8164" s="308">
        <v>6.1549222698360797</v>
      </c>
    </row>
    <row r="8165" spans="1:3" x14ac:dyDescent="0.35">
      <c r="A8165" s="305">
        <v>38001</v>
      </c>
      <c r="B8165" s="306">
        <v>138.0778</v>
      </c>
      <c r="C8165" s="309">
        <v>6.1433111275446599</v>
      </c>
    </row>
    <row r="8166" spans="1:3" x14ac:dyDescent="0.35">
      <c r="A8166" s="302">
        <v>38000</v>
      </c>
      <c r="B8166" s="303">
        <v>138.06219999999999</v>
      </c>
      <c r="C8166" s="308">
        <v>6.1579225796133299</v>
      </c>
    </row>
    <row r="8167" spans="1:3" x14ac:dyDescent="0.35">
      <c r="A8167" s="305">
        <v>37999</v>
      </c>
      <c r="B8167" s="306">
        <v>138.04669999999999</v>
      </c>
      <c r="C8167" s="309">
        <v>6.1726182693564899</v>
      </c>
    </row>
    <row r="8168" spans="1:3" x14ac:dyDescent="0.35">
      <c r="A8168" s="302">
        <v>37998</v>
      </c>
      <c r="B8168" s="303">
        <v>138.03110000000001</v>
      </c>
      <c r="C8168" s="308">
        <v>6.1872444002695604</v>
      </c>
    </row>
    <row r="8169" spans="1:3" x14ac:dyDescent="0.35">
      <c r="A8169" s="305">
        <v>37997</v>
      </c>
      <c r="B8169" s="306">
        <v>138.01560000000001</v>
      </c>
      <c r="C8169" s="309">
        <v>6.20187309695058</v>
      </c>
    </row>
    <row r="8170" spans="1:3" x14ac:dyDescent="0.35">
      <c r="A8170" s="302">
        <v>37996</v>
      </c>
      <c r="B8170" s="303">
        <v>138</v>
      </c>
      <c r="C8170" s="308">
        <v>6.2165138970454104</v>
      </c>
    </row>
    <row r="8171" spans="1:3" x14ac:dyDescent="0.35">
      <c r="A8171" s="305">
        <v>37995</v>
      </c>
      <c r="B8171" s="306">
        <v>137.98439999999999</v>
      </c>
      <c r="C8171" s="309">
        <v>6.2311620462435</v>
      </c>
    </row>
    <row r="8172" spans="1:3" x14ac:dyDescent="0.35">
      <c r="A8172" s="302">
        <v>37994</v>
      </c>
      <c r="B8172" s="303">
        <v>137.96889999999999</v>
      </c>
      <c r="C8172" s="308">
        <v>6.2458127403583301</v>
      </c>
    </row>
    <row r="8173" spans="1:3" x14ac:dyDescent="0.35">
      <c r="A8173" s="305">
        <v>37993</v>
      </c>
      <c r="B8173" s="306">
        <v>137.95330000000001</v>
      </c>
      <c r="C8173" s="309">
        <v>6.2604755918709403</v>
      </c>
    </row>
    <row r="8174" spans="1:3" x14ac:dyDescent="0.35">
      <c r="A8174" s="302">
        <v>37992</v>
      </c>
      <c r="B8174" s="303">
        <v>137.93780000000001</v>
      </c>
      <c r="C8174" s="308">
        <v>6.2751409743661304</v>
      </c>
    </row>
    <row r="8175" spans="1:3" x14ac:dyDescent="0.35">
      <c r="A8175" s="305">
        <v>37991</v>
      </c>
      <c r="B8175" s="306">
        <v>137.92230000000001</v>
      </c>
      <c r="C8175" s="309">
        <v>6.2898137030808998</v>
      </c>
    </row>
    <row r="8176" spans="1:3" x14ac:dyDescent="0.35">
      <c r="A8176" s="302">
        <v>37990</v>
      </c>
      <c r="B8176" s="303">
        <v>137.9067</v>
      </c>
      <c r="C8176" s="308">
        <v>6.3044166992347801</v>
      </c>
    </row>
    <row r="8177" spans="1:3" x14ac:dyDescent="0.35">
      <c r="A8177" s="305">
        <v>37989</v>
      </c>
      <c r="B8177" s="306">
        <v>137.8912</v>
      </c>
      <c r="C8177" s="309">
        <v>6.3191041176416203</v>
      </c>
    </row>
    <row r="8178" spans="1:3" x14ac:dyDescent="0.35">
      <c r="A8178" s="302">
        <v>37988</v>
      </c>
      <c r="B8178" s="303">
        <v>137.87559999999999</v>
      </c>
      <c r="C8178" s="308">
        <v>6.3337217758946096</v>
      </c>
    </row>
    <row r="8179" spans="1:3" x14ac:dyDescent="0.35">
      <c r="A8179" s="305">
        <v>37987</v>
      </c>
      <c r="B8179" s="306">
        <v>137.86009999999999</v>
      </c>
      <c r="C8179" s="309">
        <v>6.3484239060838998</v>
      </c>
    </row>
    <row r="8180" spans="1:3" x14ac:dyDescent="0.35">
      <c r="A8180" s="302">
        <v>37986</v>
      </c>
      <c r="B8180" s="303">
        <v>137.84460000000001</v>
      </c>
      <c r="C8180" s="308">
        <v>6.3631334101348704</v>
      </c>
    </row>
    <row r="8181" spans="1:3" x14ac:dyDescent="0.35">
      <c r="A8181" s="305">
        <v>37985</v>
      </c>
      <c r="B8181" s="306">
        <v>137.82900000000001</v>
      </c>
      <c r="C8181" s="309">
        <v>6.3777731126163104</v>
      </c>
    </row>
    <row r="8182" spans="1:3" x14ac:dyDescent="0.35">
      <c r="A8182" s="302">
        <v>37984</v>
      </c>
      <c r="B8182" s="303">
        <v>137.8135</v>
      </c>
      <c r="C8182" s="308">
        <v>6.3924973616782097</v>
      </c>
    </row>
    <row r="8183" spans="1:3" x14ac:dyDescent="0.35">
      <c r="A8183" s="305">
        <v>37983</v>
      </c>
      <c r="B8183" s="306">
        <v>137.798</v>
      </c>
      <c r="C8183" s="309">
        <v>6.4071468339553403</v>
      </c>
    </row>
    <row r="8184" spans="1:3" x14ac:dyDescent="0.35">
      <c r="A8184" s="302">
        <v>37982</v>
      </c>
      <c r="B8184" s="303">
        <v>137.7824</v>
      </c>
      <c r="C8184" s="308">
        <v>6.4218085985593403</v>
      </c>
    </row>
    <row r="8185" spans="1:3" x14ac:dyDescent="0.35">
      <c r="A8185" s="305">
        <v>37981</v>
      </c>
      <c r="B8185" s="306">
        <v>137.76689999999999</v>
      </c>
      <c r="C8185" s="309">
        <v>6.4364727532877302</v>
      </c>
    </row>
    <row r="8186" spans="1:3" x14ac:dyDescent="0.35">
      <c r="A8186" s="302">
        <v>37980</v>
      </c>
      <c r="B8186" s="303">
        <v>137.75139999999999</v>
      </c>
      <c r="C8186" s="308">
        <v>6.4512265143161001</v>
      </c>
    </row>
    <row r="8187" spans="1:3" x14ac:dyDescent="0.35">
      <c r="A8187" s="305">
        <v>37979</v>
      </c>
      <c r="B8187" s="306">
        <v>137.73580000000001</v>
      </c>
      <c r="C8187" s="309">
        <v>6.4658280958082504</v>
      </c>
    </row>
    <row r="8188" spans="1:3" x14ac:dyDescent="0.35">
      <c r="A8188" s="302">
        <v>37978</v>
      </c>
      <c r="B8188" s="303">
        <v>137.72030000000001</v>
      </c>
      <c r="C8188" s="308">
        <v>6.4805143093510402</v>
      </c>
    </row>
    <row r="8189" spans="1:3" x14ac:dyDescent="0.35">
      <c r="A8189" s="305">
        <v>37977</v>
      </c>
      <c r="B8189" s="306">
        <v>137.70480000000001</v>
      </c>
      <c r="C8189" s="309">
        <v>6.4952078826907602</v>
      </c>
    </row>
    <row r="8190" spans="1:3" x14ac:dyDescent="0.35">
      <c r="A8190" s="302">
        <v>37976</v>
      </c>
      <c r="B8190" s="303">
        <v>137.6893</v>
      </c>
      <c r="C8190" s="308">
        <v>6.50990882136119</v>
      </c>
    </row>
    <row r="8191" spans="1:3" x14ac:dyDescent="0.35">
      <c r="A8191" s="305">
        <v>37975</v>
      </c>
      <c r="B8191" s="306">
        <v>137.6738</v>
      </c>
      <c r="C8191" s="309">
        <v>6.5246171309016496</v>
      </c>
    </row>
    <row r="8192" spans="1:3" x14ac:dyDescent="0.35">
      <c r="A8192" s="302">
        <v>37974</v>
      </c>
      <c r="B8192" s="303">
        <v>137.65819999999999</v>
      </c>
      <c r="C8192" s="308">
        <v>6.5392554228075603</v>
      </c>
    </row>
    <row r="8193" spans="1:3" x14ac:dyDescent="0.35">
      <c r="A8193" s="305">
        <v>37973</v>
      </c>
      <c r="B8193" s="306">
        <v>137.64269999999999</v>
      </c>
      <c r="C8193" s="309">
        <v>6.5539784713163796</v>
      </c>
    </row>
    <row r="8194" spans="1:3" x14ac:dyDescent="0.35">
      <c r="A8194" s="302">
        <v>37972</v>
      </c>
      <c r="B8194" s="303">
        <v>137.62719999999999</v>
      </c>
      <c r="C8194" s="308">
        <v>6.5687089073368403</v>
      </c>
    </row>
    <row r="8195" spans="1:3" x14ac:dyDescent="0.35">
      <c r="A8195" s="305">
        <v>37971</v>
      </c>
      <c r="B8195" s="306">
        <v>137.61170000000001</v>
      </c>
      <c r="C8195" s="309">
        <v>6.5833641851480698</v>
      </c>
    </row>
    <row r="8196" spans="1:3" x14ac:dyDescent="0.35">
      <c r="A8196" s="302">
        <v>37970</v>
      </c>
      <c r="B8196" s="303">
        <v>137.59620000000001</v>
      </c>
      <c r="C8196" s="308">
        <v>6.5981093807377498</v>
      </c>
    </row>
    <row r="8197" spans="1:3" x14ac:dyDescent="0.35">
      <c r="A8197" s="305">
        <v>37969</v>
      </c>
      <c r="B8197" s="306">
        <v>137.59350000000001</v>
      </c>
      <c r="C8197" s="309">
        <v>6.6158409489258103</v>
      </c>
    </row>
    <row r="8198" spans="1:3" x14ac:dyDescent="0.35">
      <c r="A8198" s="302">
        <v>37968</v>
      </c>
      <c r="B8198" s="303">
        <v>137.5907</v>
      </c>
      <c r="C8198" s="308">
        <v>6.6335016127857296</v>
      </c>
    </row>
    <row r="8199" spans="1:3" x14ac:dyDescent="0.35">
      <c r="A8199" s="305">
        <v>37967</v>
      </c>
      <c r="B8199" s="306">
        <v>137.58799999999999</v>
      </c>
      <c r="C8199" s="309">
        <v>6.6512463626117597</v>
      </c>
    </row>
    <row r="8200" spans="1:3" x14ac:dyDescent="0.35">
      <c r="A8200" s="302">
        <v>37966</v>
      </c>
      <c r="B8200" s="303">
        <v>137.58519999999999</v>
      </c>
      <c r="C8200" s="308">
        <v>6.6690028864201798</v>
      </c>
    </row>
    <row r="8201" spans="1:3" x14ac:dyDescent="0.35">
      <c r="A8201" s="305">
        <v>37965</v>
      </c>
      <c r="B8201" s="306">
        <v>137.58250000000001</v>
      </c>
      <c r="C8201" s="309">
        <v>6.6867608617602601</v>
      </c>
    </row>
    <row r="8202" spans="1:3" x14ac:dyDescent="0.35">
      <c r="A8202" s="302">
        <v>37964</v>
      </c>
      <c r="B8202" s="303">
        <v>137.5797</v>
      </c>
      <c r="C8202" s="308">
        <v>6.7044478897555599</v>
      </c>
    </row>
    <row r="8203" spans="1:3" x14ac:dyDescent="0.35">
      <c r="A8203" s="305">
        <v>37963</v>
      </c>
      <c r="B8203" s="306">
        <v>137.577</v>
      </c>
      <c r="C8203" s="309">
        <v>6.7222190762175202</v>
      </c>
    </row>
    <row r="8204" spans="1:3" x14ac:dyDescent="0.35">
      <c r="A8204" s="302">
        <v>37962</v>
      </c>
      <c r="B8204" s="303">
        <v>137.57419999999999</v>
      </c>
      <c r="C8204" s="308">
        <v>6.7399192938326697</v>
      </c>
    </row>
    <row r="8205" spans="1:3" x14ac:dyDescent="0.35">
      <c r="A8205" s="305">
        <v>37961</v>
      </c>
      <c r="B8205" s="306">
        <v>137.57149999999999</v>
      </c>
      <c r="C8205" s="309">
        <v>6.7576208605391397</v>
      </c>
    </row>
    <row r="8206" spans="1:3" x14ac:dyDescent="0.35">
      <c r="A8206" s="302">
        <v>37960</v>
      </c>
      <c r="B8206" s="303">
        <v>137.56870000000001</v>
      </c>
      <c r="C8206" s="308">
        <v>6.77533425334176</v>
      </c>
    </row>
    <row r="8207" spans="1:3" x14ac:dyDescent="0.35">
      <c r="A8207" s="305">
        <v>37959</v>
      </c>
      <c r="B8207" s="306">
        <v>137.5659</v>
      </c>
      <c r="C8207" s="309">
        <v>6.7930542466195796</v>
      </c>
    </row>
    <row r="8208" spans="1:3" x14ac:dyDescent="0.35">
      <c r="A8208" s="302">
        <v>37958</v>
      </c>
      <c r="B8208" s="303">
        <v>137.56319999999999</v>
      </c>
      <c r="C8208" s="308">
        <v>6.8108584889984902</v>
      </c>
    </row>
    <row r="8209" spans="1:3" x14ac:dyDescent="0.35">
      <c r="A8209" s="305">
        <v>37957</v>
      </c>
      <c r="B8209" s="306">
        <v>137.56039999999999</v>
      </c>
      <c r="C8209" s="309">
        <v>6.8285917087710102</v>
      </c>
    </row>
    <row r="8210" spans="1:3" x14ac:dyDescent="0.35">
      <c r="A8210" s="302">
        <v>37956</v>
      </c>
      <c r="B8210" s="303">
        <v>137.55770000000001</v>
      </c>
      <c r="C8210" s="308">
        <v>6.8463262222947199</v>
      </c>
    </row>
    <row r="8211" spans="1:3" x14ac:dyDescent="0.35">
      <c r="A8211" s="305">
        <v>37955</v>
      </c>
      <c r="B8211" s="306">
        <v>137.5549</v>
      </c>
      <c r="C8211" s="309">
        <v>6.8640726541044703</v>
      </c>
    </row>
    <row r="8212" spans="1:3" x14ac:dyDescent="0.35">
      <c r="A8212" s="302">
        <v>37954</v>
      </c>
      <c r="B8212" s="303">
        <v>137.5522</v>
      </c>
      <c r="C8212" s="308">
        <v>6.8819034076560603</v>
      </c>
    </row>
    <row r="8213" spans="1:3" x14ac:dyDescent="0.35">
      <c r="A8213" s="305">
        <v>37953</v>
      </c>
      <c r="B8213" s="306">
        <v>137.54939999999999</v>
      </c>
      <c r="C8213" s="309">
        <v>6.8995800161030099</v>
      </c>
    </row>
    <row r="8214" spans="1:3" x14ac:dyDescent="0.35">
      <c r="A8214" s="302">
        <v>37952</v>
      </c>
      <c r="B8214" s="303">
        <v>137.54669999999999</v>
      </c>
      <c r="C8214" s="308">
        <v>6.9174240327841297</v>
      </c>
    </row>
    <row r="8215" spans="1:3" x14ac:dyDescent="0.35">
      <c r="A8215" s="305">
        <v>37951</v>
      </c>
      <c r="B8215" s="306">
        <v>137.54390000000001</v>
      </c>
      <c r="C8215" s="309">
        <v>6.9351138242796599</v>
      </c>
    </row>
    <row r="8216" spans="1:3" x14ac:dyDescent="0.35">
      <c r="A8216" s="302">
        <v>37950</v>
      </c>
      <c r="B8216" s="303">
        <v>137.5412</v>
      </c>
      <c r="C8216" s="308">
        <v>6.9528879516142297</v>
      </c>
    </row>
    <row r="8217" spans="1:3" x14ac:dyDescent="0.35">
      <c r="A8217" s="305">
        <v>37949</v>
      </c>
      <c r="B8217" s="306">
        <v>137.5384</v>
      </c>
      <c r="C8217" s="309">
        <v>6.9706741081914299</v>
      </c>
    </row>
    <row r="8218" spans="1:3" x14ac:dyDescent="0.35">
      <c r="A8218" s="302">
        <v>37948</v>
      </c>
      <c r="B8218" s="303">
        <v>137.53569999999999</v>
      </c>
      <c r="C8218" s="308">
        <v>6.9884614696476701</v>
      </c>
    </row>
    <row r="8219" spans="1:3" x14ac:dyDescent="0.35">
      <c r="A8219" s="305">
        <v>37947</v>
      </c>
      <c r="B8219" s="306">
        <v>137.53290000000001</v>
      </c>
      <c r="C8219" s="309">
        <v>7.0061776422258202</v>
      </c>
    </row>
    <row r="8220" spans="1:3" x14ac:dyDescent="0.35">
      <c r="A8220" s="302">
        <v>37946</v>
      </c>
      <c r="B8220" s="303">
        <v>137.53020000000001</v>
      </c>
      <c r="C8220" s="308">
        <v>7.0240615078129904</v>
      </c>
    </row>
    <row r="8221" spans="1:3" x14ac:dyDescent="0.35">
      <c r="A8221" s="305">
        <v>37945</v>
      </c>
      <c r="B8221" s="306">
        <v>137.5274</v>
      </c>
      <c r="C8221" s="309">
        <v>7.0417909076969902</v>
      </c>
    </row>
    <row r="8222" spans="1:3" x14ac:dyDescent="0.35">
      <c r="A8222" s="302">
        <v>37944</v>
      </c>
      <c r="B8222" s="303">
        <v>137.5247</v>
      </c>
      <c r="C8222" s="308">
        <v>7.0596047524370196</v>
      </c>
    </row>
    <row r="8223" spans="1:3" x14ac:dyDescent="0.35">
      <c r="A8223" s="305">
        <v>37943</v>
      </c>
      <c r="B8223" s="306">
        <v>137.52189999999999</v>
      </c>
      <c r="C8223" s="309">
        <v>7.0773473651098699</v>
      </c>
    </row>
    <row r="8224" spans="1:3" x14ac:dyDescent="0.35">
      <c r="A8224" s="302">
        <v>37942</v>
      </c>
      <c r="B8224" s="303">
        <v>137.51920000000001</v>
      </c>
      <c r="C8224" s="308">
        <v>7.0951744589917798</v>
      </c>
    </row>
    <row r="8225" spans="1:3" x14ac:dyDescent="0.35">
      <c r="A8225" s="305">
        <v>37941</v>
      </c>
      <c r="B8225" s="306">
        <v>137.5164</v>
      </c>
      <c r="C8225" s="309">
        <v>7.1129302992183598</v>
      </c>
    </row>
    <row r="8226" spans="1:3" x14ac:dyDescent="0.35">
      <c r="A8226" s="302">
        <v>37940</v>
      </c>
      <c r="B8226" s="303">
        <v>137.5137</v>
      </c>
      <c r="C8226" s="308">
        <v>7.1307706570396201</v>
      </c>
    </row>
    <row r="8227" spans="1:3" x14ac:dyDescent="0.35">
      <c r="A8227" s="305">
        <v>37939</v>
      </c>
      <c r="B8227" s="306">
        <v>137.50389999999999</v>
      </c>
      <c r="C8227" s="309">
        <v>7.1354886564266202</v>
      </c>
    </row>
    <row r="8228" spans="1:3" x14ac:dyDescent="0.35">
      <c r="A8228" s="302">
        <v>37938</v>
      </c>
      <c r="B8228" s="303">
        <v>137.49420000000001</v>
      </c>
      <c r="C8228" s="308">
        <v>7.14036915505151</v>
      </c>
    </row>
    <row r="8229" spans="1:3" x14ac:dyDescent="0.35">
      <c r="A8229" s="305">
        <v>37937</v>
      </c>
      <c r="B8229" s="306">
        <v>137.48439999999999</v>
      </c>
      <c r="C8229" s="309">
        <v>7.1451728545154198</v>
      </c>
    </row>
    <row r="8230" spans="1:3" x14ac:dyDescent="0.35">
      <c r="A8230" s="302">
        <v>37936</v>
      </c>
      <c r="B8230" s="303">
        <v>137.47470000000001</v>
      </c>
      <c r="C8230" s="308">
        <v>7.1500556113704397</v>
      </c>
    </row>
    <row r="8231" spans="1:3" x14ac:dyDescent="0.35">
      <c r="A8231" s="305">
        <v>37935</v>
      </c>
      <c r="B8231" s="306">
        <v>137.4649</v>
      </c>
      <c r="C8231" s="309">
        <v>7.1547780238419803</v>
      </c>
    </row>
    <row r="8232" spans="1:3" x14ac:dyDescent="0.35">
      <c r="A8232" s="302">
        <v>37934</v>
      </c>
      <c r="B8232" s="303">
        <v>137.45519999999999</v>
      </c>
      <c r="C8232" s="308">
        <v>7.1596630269880901</v>
      </c>
    </row>
    <row r="8233" spans="1:3" x14ac:dyDescent="0.35">
      <c r="A8233" s="305">
        <v>37933</v>
      </c>
      <c r="B8233" s="306">
        <v>137.44540000000001</v>
      </c>
      <c r="C8233" s="309">
        <v>7.1644711963916103</v>
      </c>
    </row>
    <row r="8234" spans="1:3" x14ac:dyDescent="0.35">
      <c r="A8234" s="302">
        <v>37932</v>
      </c>
      <c r="B8234" s="303">
        <v>137.4357</v>
      </c>
      <c r="C8234" s="308">
        <v>7.1692748926441201</v>
      </c>
    </row>
    <row r="8235" spans="1:3" x14ac:dyDescent="0.35">
      <c r="A8235" s="305">
        <v>37931</v>
      </c>
      <c r="B8235" s="306">
        <v>137.42599999999999</v>
      </c>
      <c r="C8235" s="309">
        <v>7.1741632794392398</v>
      </c>
    </row>
    <row r="8236" spans="1:3" x14ac:dyDescent="0.35">
      <c r="A8236" s="302">
        <v>37930</v>
      </c>
      <c r="B8236" s="303">
        <v>137.4162</v>
      </c>
      <c r="C8236" s="308">
        <v>7.1789748065507197</v>
      </c>
    </row>
    <row r="8237" spans="1:3" x14ac:dyDescent="0.35">
      <c r="A8237" s="305">
        <v>37929</v>
      </c>
      <c r="B8237" s="306">
        <v>137.40649999999999</v>
      </c>
      <c r="C8237" s="309">
        <v>7.1837818484193496</v>
      </c>
    </row>
    <row r="8238" spans="1:3" x14ac:dyDescent="0.35">
      <c r="A8238" s="302">
        <v>37928</v>
      </c>
      <c r="B8238" s="303">
        <v>137.39670000000001</v>
      </c>
      <c r="C8238" s="308">
        <v>7.18859560843861</v>
      </c>
    </row>
    <row r="8239" spans="1:3" x14ac:dyDescent="0.35">
      <c r="A8239" s="305">
        <v>37927</v>
      </c>
      <c r="B8239" s="306">
        <v>137.387</v>
      </c>
      <c r="C8239" s="309">
        <v>7.1934048751866699</v>
      </c>
    </row>
    <row r="8240" spans="1:3" x14ac:dyDescent="0.35">
      <c r="A8240" s="302">
        <v>37926</v>
      </c>
      <c r="B8240" s="303">
        <v>137.37729999999999</v>
      </c>
      <c r="C8240" s="308">
        <v>7.1982989016991503</v>
      </c>
    </row>
    <row r="8241" spans="1:3" x14ac:dyDescent="0.35">
      <c r="A8241" s="305">
        <v>37925</v>
      </c>
      <c r="B8241" s="306">
        <v>137.36750000000001</v>
      </c>
      <c r="C8241" s="309">
        <v>7.2031160252728297</v>
      </c>
    </row>
    <row r="8242" spans="1:3" x14ac:dyDescent="0.35">
      <c r="A8242" s="302">
        <v>37924</v>
      </c>
      <c r="B8242" s="303">
        <v>137.3578</v>
      </c>
      <c r="C8242" s="308">
        <v>7.2079286434576799</v>
      </c>
    </row>
    <row r="8243" spans="1:3" x14ac:dyDescent="0.35">
      <c r="A8243" s="305">
        <v>37923</v>
      </c>
      <c r="B8243" s="306">
        <v>137.34800000000001</v>
      </c>
      <c r="C8243" s="309">
        <v>7.21274800383115</v>
      </c>
    </row>
    <row r="8244" spans="1:3" x14ac:dyDescent="0.35">
      <c r="A8244" s="302">
        <v>37922</v>
      </c>
      <c r="B8244" s="303">
        <v>137.3383</v>
      </c>
      <c r="C8244" s="308">
        <v>7.2175628507702596</v>
      </c>
    </row>
    <row r="8245" spans="1:3" x14ac:dyDescent="0.35">
      <c r="A8245" s="305">
        <v>37921</v>
      </c>
      <c r="B8245" s="306">
        <v>137.32859999999999</v>
      </c>
      <c r="C8245" s="309">
        <v>7.2224625268000304</v>
      </c>
    </row>
    <row r="8246" spans="1:3" x14ac:dyDescent="0.35">
      <c r="A8246" s="302">
        <v>37920</v>
      </c>
      <c r="B8246" s="303">
        <v>137.31880000000001</v>
      </c>
      <c r="C8246" s="308">
        <v>7.2272015267437801</v>
      </c>
    </row>
    <row r="8247" spans="1:3" x14ac:dyDescent="0.35">
      <c r="A8247" s="305">
        <v>37919</v>
      </c>
      <c r="B8247" s="306">
        <v>137.3091</v>
      </c>
      <c r="C8247" s="309">
        <v>7.2321034607980597</v>
      </c>
    </row>
    <row r="8248" spans="1:3" x14ac:dyDescent="0.35">
      <c r="A8248" s="302">
        <v>37918</v>
      </c>
      <c r="B8248" s="303">
        <v>137.29939999999999</v>
      </c>
      <c r="C8248" s="308">
        <v>7.23692277892461</v>
      </c>
    </row>
    <row r="8249" spans="1:3" x14ac:dyDescent="0.35">
      <c r="A8249" s="305">
        <v>37917</v>
      </c>
      <c r="B8249" s="306">
        <v>137.28960000000001</v>
      </c>
      <c r="C8249" s="309">
        <v>7.24166509788789</v>
      </c>
    </row>
    <row r="8250" spans="1:3" x14ac:dyDescent="0.35">
      <c r="A8250" s="302">
        <v>37916</v>
      </c>
      <c r="B8250" s="303">
        <v>137.2799</v>
      </c>
      <c r="C8250" s="308">
        <v>7.2465704196743896</v>
      </c>
    </row>
    <row r="8251" spans="1:3" x14ac:dyDescent="0.35">
      <c r="A8251" s="305">
        <v>37915</v>
      </c>
      <c r="B8251" s="306">
        <v>137.27019999999999</v>
      </c>
      <c r="C8251" s="309">
        <v>7.2513930862916602</v>
      </c>
    </row>
    <row r="8252" spans="1:3" x14ac:dyDescent="0.35">
      <c r="A8252" s="302">
        <v>37914</v>
      </c>
      <c r="B8252" s="303">
        <v>137.2604</v>
      </c>
      <c r="C8252" s="308">
        <v>7.25613872774555</v>
      </c>
    </row>
    <row r="8253" spans="1:3" x14ac:dyDescent="0.35">
      <c r="A8253" s="305">
        <v>37913</v>
      </c>
      <c r="B8253" s="306">
        <v>137.25069999999999</v>
      </c>
      <c r="C8253" s="309">
        <v>7.2610474407918097</v>
      </c>
    </row>
    <row r="8254" spans="1:3" x14ac:dyDescent="0.35">
      <c r="A8254" s="302">
        <v>37912</v>
      </c>
      <c r="B8254" s="303">
        <v>137.24100000000001</v>
      </c>
      <c r="C8254" s="308">
        <v>7.2658734593930001</v>
      </c>
    </row>
    <row r="8255" spans="1:3" x14ac:dyDescent="0.35">
      <c r="A8255" s="305">
        <v>37911</v>
      </c>
      <c r="B8255" s="306">
        <v>137.2313</v>
      </c>
      <c r="C8255" s="309">
        <v>7.2707005946225198</v>
      </c>
    </row>
    <row r="8256" spans="1:3" x14ac:dyDescent="0.35">
      <c r="A8256" s="302">
        <v>37910</v>
      </c>
      <c r="B8256" s="303">
        <v>137.22149999999999</v>
      </c>
      <c r="C8256" s="308">
        <v>7.2755345346519196</v>
      </c>
    </row>
    <row r="8257" spans="1:3" x14ac:dyDescent="0.35">
      <c r="A8257" s="305">
        <v>37909</v>
      </c>
      <c r="B8257" s="306">
        <v>137.21180000000001</v>
      </c>
      <c r="C8257" s="309">
        <v>7.2803639087350902</v>
      </c>
    </row>
    <row r="8258" spans="1:3" x14ac:dyDescent="0.35">
      <c r="A8258" s="302">
        <v>37908</v>
      </c>
      <c r="B8258" s="303">
        <v>137.1977</v>
      </c>
      <c r="C8258" s="308">
        <v>7.2725268264001199</v>
      </c>
    </row>
    <row r="8259" spans="1:3" x14ac:dyDescent="0.35">
      <c r="A8259" s="305">
        <v>37907</v>
      </c>
      <c r="B8259" s="306">
        <v>137.18350000000001</v>
      </c>
      <c r="C8259" s="309">
        <v>7.2646949586566798</v>
      </c>
    </row>
    <row r="8260" spans="1:3" x14ac:dyDescent="0.35">
      <c r="A8260" s="302">
        <v>37906</v>
      </c>
      <c r="B8260" s="303">
        <v>137.1694</v>
      </c>
      <c r="C8260" s="308">
        <v>7.2568569388851403</v>
      </c>
    </row>
    <row r="8261" spans="1:3" x14ac:dyDescent="0.35">
      <c r="A8261" s="305">
        <v>37905</v>
      </c>
      <c r="B8261" s="306">
        <v>137.15520000000001</v>
      </c>
      <c r="C8261" s="309">
        <v>7.2489402579976199</v>
      </c>
    </row>
    <row r="8262" spans="1:3" x14ac:dyDescent="0.35">
      <c r="A8262" s="302">
        <v>37904</v>
      </c>
      <c r="B8262" s="303">
        <v>137.14109999999999</v>
      </c>
      <c r="C8262" s="308">
        <v>7.2411851643324701</v>
      </c>
    </row>
    <row r="8263" spans="1:3" x14ac:dyDescent="0.35">
      <c r="A8263" s="305">
        <v>37903</v>
      </c>
      <c r="B8263" s="306">
        <v>137.12690000000001</v>
      </c>
      <c r="C8263" s="309">
        <v>7.2332675410471898</v>
      </c>
    </row>
    <row r="8264" spans="1:3" x14ac:dyDescent="0.35">
      <c r="A8264" s="302">
        <v>37902</v>
      </c>
      <c r="B8264" s="303">
        <v>137.11279999999999</v>
      </c>
      <c r="C8264" s="308">
        <v>7.2254276495346197</v>
      </c>
    </row>
    <row r="8265" spans="1:3" x14ac:dyDescent="0.35">
      <c r="A8265" s="305">
        <v>37901</v>
      </c>
      <c r="B8265" s="306">
        <v>137.0986</v>
      </c>
      <c r="C8265" s="309">
        <v>7.2175929365485896</v>
      </c>
    </row>
    <row r="8266" spans="1:3" x14ac:dyDescent="0.35">
      <c r="A8266" s="302">
        <v>37900</v>
      </c>
      <c r="B8266" s="303">
        <v>137.08449999999999</v>
      </c>
      <c r="C8266" s="308">
        <v>7.2097521070936104</v>
      </c>
    </row>
    <row r="8267" spans="1:3" x14ac:dyDescent="0.35">
      <c r="A8267" s="305">
        <v>37899</v>
      </c>
      <c r="B8267" s="306">
        <v>137.0703</v>
      </c>
      <c r="C8267" s="309">
        <v>7.20183260220597</v>
      </c>
    </row>
    <row r="8268" spans="1:3" x14ac:dyDescent="0.35">
      <c r="A8268" s="302">
        <v>37898</v>
      </c>
      <c r="B8268" s="303">
        <v>137.05619999999999</v>
      </c>
      <c r="C8268" s="308">
        <v>7.19407467659435</v>
      </c>
    </row>
    <row r="8269" spans="1:3" x14ac:dyDescent="0.35">
      <c r="A8269" s="305">
        <v>37897</v>
      </c>
      <c r="B8269" s="306">
        <v>137.0421</v>
      </c>
      <c r="C8269" s="309">
        <v>7.1862324428919804</v>
      </c>
    </row>
    <row r="8270" spans="1:3" x14ac:dyDescent="0.35">
      <c r="A8270" s="302">
        <v>37896</v>
      </c>
      <c r="B8270" s="303">
        <v>137.02789999999999</v>
      </c>
      <c r="C8270" s="308">
        <v>7.1783115265967101</v>
      </c>
    </row>
    <row r="8271" spans="1:3" x14ac:dyDescent="0.35">
      <c r="A8271" s="305">
        <v>37895</v>
      </c>
      <c r="B8271" s="306">
        <v>137.0138</v>
      </c>
      <c r="C8271" s="309">
        <v>7.1705521856288597</v>
      </c>
    </row>
    <row r="8272" spans="1:3" x14ac:dyDescent="0.35">
      <c r="A8272" s="302">
        <v>37894</v>
      </c>
      <c r="B8272" s="303">
        <v>136.99969999999999</v>
      </c>
      <c r="C8272" s="308">
        <v>7.1627085473007099</v>
      </c>
    </row>
    <row r="8273" spans="1:3" x14ac:dyDescent="0.35">
      <c r="A8273" s="305">
        <v>37893</v>
      </c>
      <c r="B8273" s="306">
        <v>136.9855</v>
      </c>
      <c r="C8273" s="309">
        <v>7.1547862192180904</v>
      </c>
    </row>
    <row r="8274" spans="1:3" x14ac:dyDescent="0.35">
      <c r="A8274" s="302">
        <v>37892</v>
      </c>
      <c r="B8274" s="303">
        <v>136.97139999999999</v>
      </c>
      <c r="C8274" s="308">
        <v>7.1470254625102703</v>
      </c>
    </row>
    <row r="8275" spans="1:3" x14ac:dyDescent="0.35">
      <c r="A8275" s="305">
        <v>37891</v>
      </c>
      <c r="B8275" s="306">
        <v>136.9573</v>
      </c>
      <c r="C8275" s="309">
        <v>7.1391804191777899</v>
      </c>
    </row>
    <row r="8276" spans="1:3" x14ac:dyDescent="0.35">
      <c r="A8276" s="302">
        <v>37890</v>
      </c>
      <c r="B8276" s="303">
        <v>136.94309999999999</v>
      </c>
      <c r="C8276" s="308">
        <v>7.1312566789279899</v>
      </c>
    </row>
    <row r="8277" spans="1:3" x14ac:dyDescent="0.35">
      <c r="A8277" s="305">
        <v>37889</v>
      </c>
      <c r="B8277" s="306">
        <v>136.929</v>
      </c>
      <c r="C8277" s="309">
        <v>7.1234945060963</v>
      </c>
    </row>
    <row r="8278" spans="1:3" x14ac:dyDescent="0.35">
      <c r="A8278" s="302">
        <v>37888</v>
      </c>
      <c r="B8278" s="303">
        <v>136.91489999999999</v>
      </c>
      <c r="C8278" s="308">
        <v>7.1156480573808301</v>
      </c>
    </row>
    <row r="8279" spans="1:3" x14ac:dyDescent="0.35">
      <c r="A8279" s="305">
        <v>37887</v>
      </c>
      <c r="B8279" s="306">
        <v>136.9007</v>
      </c>
      <c r="C8279" s="309">
        <v>7.1077229045838601</v>
      </c>
    </row>
    <row r="8280" spans="1:3" x14ac:dyDescent="0.35">
      <c r="A8280" s="302">
        <v>37886</v>
      </c>
      <c r="B8280" s="303">
        <v>136.88659999999999</v>
      </c>
      <c r="C8280" s="308">
        <v>7.0999593152442699</v>
      </c>
    </row>
    <row r="8281" spans="1:3" x14ac:dyDescent="0.35">
      <c r="A8281" s="305">
        <v>37885</v>
      </c>
      <c r="B8281" s="306">
        <v>136.8725</v>
      </c>
      <c r="C8281" s="309">
        <v>7.0921114607669899</v>
      </c>
    </row>
    <row r="8282" spans="1:3" x14ac:dyDescent="0.35">
      <c r="A8282" s="302">
        <v>37884</v>
      </c>
      <c r="B8282" s="303">
        <v>136.85839999999999</v>
      </c>
      <c r="C8282" s="308">
        <v>7.0842631396102203</v>
      </c>
    </row>
    <row r="8283" spans="1:3" x14ac:dyDescent="0.35">
      <c r="A8283" s="305">
        <v>37883</v>
      </c>
      <c r="B8283" s="306">
        <v>136.8443</v>
      </c>
      <c r="C8283" s="309">
        <v>7.0764981357662897</v>
      </c>
    </row>
    <row r="8284" spans="1:3" x14ac:dyDescent="0.35">
      <c r="A8284" s="302">
        <v>37882</v>
      </c>
      <c r="B8284" s="303">
        <v>136.83009999999999</v>
      </c>
      <c r="C8284" s="308">
        <v>7.0685706281930596</v>
      </c>
    </row>
    <row r="8285" spans="1:3" x14ac:dyDescent="0.35">
      <c r="A8285" s="305">
        <v>37881</v>
      </c>
      <c r="B8285" s="306">
        <v>136.816</v>
      </c>
      <c r="C8285" s="309">
        <v>7.0607209007699199</v>
      </c>
    </row>
    <row r="8286" spans="1:3" x14ac:dyDescent="0.35">
      <c r="A8286" s="302">
        <v>37880</v>
      </c>
      <c r="B8286" s="303">
        <v>136.80189999999999</v>
      </c>
      <c r="C8286" s="308">
        <v>7.0529544796500501</v>
      </c>
    </row>
    <row r="8287" spans="1:3" x14ac:dyDescent="0.35">
      <c r="A8287" s="305">
        <v>37879</v>
      </c>
      <c r="B8287" s="306">
        <v>136.7878</v>
      </c>
      <c r="C8287" s="309">
        <v>7.0451038148392797</v>
      </c>
    </row>
    <row r="8288" spans="1:3" x14ac:dyDescent="0.35">
      <c r="A8288" s="302">
        <v>37878</v>
      </c>
      <c r="B8288" s="303">
        <v>136.79400000000001</v>
      </c>
      <c r="C8288" s="308">
        <v>7.0507096724715002</v>
      </c>
    </row>
    <row r="8289" spans="1:3" x14ac:dyDescent="0.35">
      <c r="A8289" s="305">
        <v>37877</v>
      </c>
      <c r="B8289" s="306">
        <v>136.80019999999999</v>
      </c>
      <c r="C8289" s="309">
        <v>7.0562318296180599</v>
      </c>
    </row>
    <row r="8290" spans="1:3" x14ac:dyDescent="0.35">
      <c r="A8290" s="302">
        <v>37876</v>
      </c>
      <c r="B8290" s="303">
        <v>136.8064</v>
      </c>
      <c r="C8290" s="308">
        <v>7.0617540559089802</v>
      </c>
    </row>
    <row r="8291" spans="1:3" x14ac:dyDescent="0.35">
      <c r="A8291" s="305">
        <v>37875</v>
      </c>
      <c r="B8291" s="306">
        <v>136.8126</v>
      </c>
      <c r="C8291" s="309">
        <v>7.0672763513455301</v>
      </c>
    </row>
    <row r="8292" spans="1:3" x14ac:dyDescent="0.35">
      <c r="A8292" s="302">
        <v>37874</v>
      </c>
      <c r="B8292" s="303">
        <v>136.81870000000001</v>
      </c>
      <c r="C8292" s="308">
        <v>7.0728042510232401</v>
      </c>
    </row>
    <row r="8293" spans="1:3" x14ac:dyDescent="0.35">
      <c r="A8293" s="305">
        <v>37873</v>
      </c>
      <c r="B8293" s="306">
        <v>136.82490000000001</v>
      </c>
      <c r="C8293" s="309">
        <v>7.07832668911146</v>
      </c>
    </row>
    <row r="8294" spans="1:3" x14ac:dyDescent="0.35">
      <c r="A8294" s="302">
        <v>37872</v>
      </c>
      <c r="B8294" s="303">
        <v>136.83109999999999</v>
      </c>
      <c r="C8294" s="308">
        <v>7.0838491963493304</v>
      </c>
    </row>
    <row r="8295" spans="1:3" x14ac:dyDescent="0.35">
      <c r="A8295" s="305">
        <v>37871</v>
      </c>
      <c r="B8295" s="306">
        <v>136.8373</v>
      </c>
      <c r="C8295" s="309">
        <v>7.0893717727381604</v>
      </c>
    </row>
    <row r="8296" spans="1:3" x14ac:dyDescent="0.35">
      <c r="A8296" s="302">
        <v>37870</v>
      </c>
      <c r="B8296" s="303">
        <v>136.84350000000001</v>
      </c>
      <c r="C8296" s="308">
        <v>7.0949782317258796</v>
      </c>
    </row>
    <row r="8297" spans="1:3" x14ac:dyDescent="0.35">
      <c r="A8297" s="305">
        <v>37869</v>
      </c>
      <c r="B8297" s="306">
        <v>136.84970000000001</v>
      </c>
      <c r="C8297" s="309">
        <v>7.1005009512674002</v>
      </c>
    </row>
    <row r="8298" spans="1:3" x14ac:dyDescent="0.35">
      <c r="A8298" s="302">
        <v>37868</v>
      </c>
      <c r="B8298" s="303">
        <v>136.85579999999999</v>
      </c>
      <c r="C8298" s="308">
        <v>7.10594547806671</v>
      </c>
    </row>
    <row r="8299" spans="1:3" x14ac:dyDescent="0.35">
      <c r="A8299" s="305">
        <v>37867</v>
      </c>
      <c r="B8299" s="306">
        <v>136.86199999999999</v>
      </c>
      <c r="C8299" s="309">
        <v>7.1114683354294597</v>
      </c>
    </row>
    <row r="8300" spans="1:3" x14ac:dyDescent="0.35">
      <c r="A8300" s="302">
        <v>37866</v>
      </c>
      <c r="B8300" s="303">
        <v>136.8682</v>
      </c>
      <c r="C8300" s="308">
        <v>7.1170750948546804</v>
      </c>
    </row>
    <row r="8301" spans="1:3" x14ac:dyDescent="0.35">
      <c r="A8301" s="305">
        <v>37865</v>
      </c>
      <c r="B8301" s="306">
        <v>136.87440000000001</v>
      </c>
      <c r="C8301" s="309">
        <v>7.1225980953812096</v>
      </c>
    </row>
    <row r="8302" spans="1:3" x14ac:dyDescent="0.35">
      <c r="A8302" s="302">
        <v>37864</v>
      </c>
      <c r="B8302" s="303">
        <v>136.88059999999999</v>
      </c>
      <c r="C8302" s="308">
        <v>7.1281211650680003</v>
      </c>
    </row>
    <row r="8303" spans="1:3" x14ac:dyDescent="0.35">
      <c r="A8303" s="305">
        <v>37863</v>
      </c>
      <c r="B8303" s="306">
        <v>136.88679999999999</v>
      </c>
      <c r="C8303" s="309">
        <v>7.1336443039163502</v>
      </c>
    </row>
    <row r="8304" spans="1:3" x14ac:dyDescent="0.35">
      <c r="A8304" s="302">
        <v>37862</v>
      </c>
      <c r="B8304" s="303">
        <v>136.893</v>
      </c>
      <c r="C8304" s="308">
        <v>7.1392513643539104</v>
      </c>
    </row>
    <row r="8305" spans="1:3" x14ac:dyDescent="0.35">
      <c r="A8305" s="305">
        <v>37861</v>
      </c>
      <c r="B8305" s="306">
        <v>136.8991</v>
      </c>
      <c r="C8305" s="309">
        <v>7.1446963809273401</v>
      </c>
    </row>
    <row r="8306" spans="1:3" x14ac:dyDescent="0.35">
      <c r="A8306" s="302">
        <v>37860</v>
      </c>
      <c r="B8306" s="303">
        <v>136.90530000000001</v>
      </c>
      <c r="C8306" s="308">
        <v>7.1502197316260903</v>
      </c>
    </row>
    <row r="8307" spans="1:3" x14ac:dyDescent="0.35">
      <c r="A8307" s="305">
        <v>37859</v>
      </c>
      <c r="B8307" s="306">
        <v>136.91149999999999</v>
      </c>
      <c r="C8307" s="309">
        <v>7.1557431514917198</v>
      </c>
    </row>
    <row r="8308" spans="1:3" x14ac:dyDescent="0.35">
      <c r="A8308" s="302">
        <v>37858</v>
      </c>
      <c r="B8308" s="303">
        <v>136.9177</v>
      </c>
      <c r="C8308" s="308">
        <v>7.1613505124139296</v>
      </c>
    </row>
    <row r="8309" spans="1:3" x14ac:dyDescent="0.35">
      <c r="A8309" s="305">
        <v>37857</v>
      </c>
      <c r="B8309" s="306">
        <v>136.9239</v>
      </c>
      <c r="C8309" s="309">
        <v>7.1668740754654996</v>
      </c>
    </row>
    <row r="8310" spans="1:3" x14ac:dyDescent="0.35">
      <c r="A8310" s="302">
        <v>37856</v>
      </c>
      <c r="B8310" s="303">
        <v>136.93010000000001</v>
      </c>
      <c r="C8310" s="308">
        <v>7.1723977076879502</v>
      </c>
    </row>
    <row r="8311" spans="1:3" x14ac:dyDescent="0.35">
      <c r="A8311" s="305">
        <v>37855</v>
      </c>
      <c r="B8311" s="306">
        <v>136.93629999999999</v>
      </c>
      <c r="C8311" s="309">
        <v>7.1779214090825798</v>
      </c>
    </row>
    <row r="8312" spans="1:3" x14ac:dyDescent="0.35">
      <c r="A8312" s="302">
        <v>37854</v>
      </c>
      <c r="B8312" s="303">
        <v>136.9425</v>
      </c>
      <c r="C8312" s="308">
        <v>7.1835290710643402</v>
      </c>
    </row>
    <row r="8313" spans="1:3" x14ac:dyDescent="0.35">
      <c r="A8313" s="305">
        <v>37853</v>
      </c>
      <c r="B8313" s="306">
        <v>136.9487</v>
      </c>
      <c r="C8313" s="309">
        <v>7.1890529156560099</v>
      </c>
    </row>
    <row r="8314" spans="1:3" x14ac:dyDescent="0.35">
      <c r="A8314" s="302">
        <v>37852</v>
      </c>
      <c r="B8314" s="303">
        <v>136.95480000000001</v>
      </c>
      <c r="C8314" s="308">
        <v>7.1944985594409596</v>
      </c>
    </row>
    <row r="8315" spans="1:3" x14ac:dyDescent="0.35">
      <c r="A8315" s="305">
        <v>37851</v>
      </c>
      <c r="B8315" s="306">
        <v>136.96100000000001</v>
      </c>
      <c r="C8315" s="309">
        <v>7.2000225418962298</v>
      </c>
    </row>
    <row r="8316" spans="1:3" x14ac:dyDescent="0.35">
      <c r="A8316" s="302">
        <v>37850</v>
      </c>
      <c r="B8316" s="303">
        <v>136.96719999999999</v>
      </c>
      <c r="C8316" s="308">
        <v>7.2056305044097897</v>
      </c>
    </row>
    <row r="8317" spans="1:3" x14ac:dyDescent="0.35">
      <c r="A8317" s="305">
        <v>37849</v>
      </c>
      <c r="B8317" s="306">
        <v>136.9734</v>
      </c>
      <c r="C8317" s="309">
        <v>7.2111546300731701</v>
      </c>
    </row>
    <row r="8318" spans="1:3" x14ac:dyDescent="0.35">
      <c r="A8318" s="302">
        <v>37848</v>
      </c>
      <c r="B8318" s="303">
        <v>136.9796</v>
      </c>
      <c r="C8318" s="308">
        <v>7.2166788249180502</v>
      </c>
    </row>
    <row r="8319" spans="1:3" x14ac:dyDescent="0.35">
      <c r="A8319" s="305">
        <v>37847</v>
      </c>
      <c r="B8319" s="306">
        <v>136.98179999999999</v>
      </c>
      <c r="C8319" s="309">
        <v>7.2332570597431198</v>
      </c>
    </row>
    <row r="8320" spans="1:3" x14ac:dyDescent="0.35">
      <c r="A8320" s="302">
        <v>37846</v>
      </c>
      <c r="B8320" s="303">
        <v>136.98400000000001</v>
      </c>
      <c r="C8320" s="308">
        <v>7.2497559195861703</v>
      </c>
    </row>
    <row r="8321" spans="1:3" x14ac:dyDescent="0.35">
      <c r="A8321" s="305">
        <v>37845</v>
      </c>
      <c r="B8321" s="306">
        <v>136.9862</v>
      </c>
      <c r="C8321" s="309">
        <v>7.2663433213318704</v>
      </c>
    </row>
    <row r="8322" spans="1:3" x14ac:dyDescent="0.35">
      <c r="A8322" s="302">
        <v>37844</v>
      </c>
      <c r="B8322" s="303">
        <v>136.98840000000001</v>
      </c>
      <c r="C8322" s="308">
        <v>7.2829353217076802</v>
      </c>
    </row>
    <row r="8323" spans="1:3" x14ac:dyDescent="0.35">
      <c r="A8323" s="305">
        <v>37843</v>
      </c>
      <c r="B8323" s="306">
        <v>136.9906</v>
      </c>
      <c r="C8323" s="309">
        <v>7.2995319226262501</v>
      </c>
    </row>
    <row r="8324" spans="1:3" x14ac:dyDescent="0.35">
      <c r="A8324" s="302">
        <v>37842</v>
      </c>
      <c r="B8324" s="303">
        <v>136.99279999999999</v>
      </c>
      <c r="C8324" s="308">
        <v>7.3160490577625703</v>
      </c>
    </row>
    <row r="8325" spans="1:3" x14ac:dyDescent="0.35">
      <c r="A8325" s="305">
        <v>37841</v>
      </c>
      <c r="B8325" s="306">
        <v>136.995</v>
      </c>
      <c r="C8325" s="309">
        <v>7.3326548408402301</v>
      </c>
    </row>
    <row r="8326" spans="1:3" x14ac:dyDescent="0.35">
      <c r="A8326" s="302">
        <v>37840</v>
      </c>
      <c r="B8326" s="303">
        <v>136.9973</v>
      </c>
      <c r="C8326" s="308">
        <v>7.3493435889238397</v>
      </c>
    </row>
    <row r="8327" spans="1:3" x14ac:dyDescent="0.35">
      <c r="A8327" s="305">
        <v>37839</v>
      </c>
      <c r="B8327" s="306">
        <v>136.99950000000001</v>
      </c>
      <c r="C8327" s="309">
        <v>7.3658744551357902</v>
      </c>
    </row>
    <row r="8328" spans="1:3" x14ac:dyDescent="0.35">
      <c r="A8328" s="302">
        <v>37838</v>
      </c>
      <c r="B8328" s="303">
        <v>137.0017</v>
      </c>
      <c r="C8328" s="308">
        <v>7.3824940489673798</v>
      </c>
    </row>
    <row r="8329" spans="1:3" x14ac:dyDescent="0.35">
      <c r="A8329" s="305">
        <v>37837</v>
      </c>
      <c r="B8329" s="306">
        <v>137.00389999999999</v>
      </c>
      <c r="C8329" s="309">
        <v>7.3991182548218504</v>
      </c>
    </row>
    <row r="8330" spans="1:3" x14ac:dyDescent="0.35">
      <c r="A8330" s="302">
        <v>37836</v>
      </c>
      <c r="B8330" s="303">
        <v>137.0061</v>
      </c>
      <c r="C8330" s="308">
        <v>7.4156628584152102</v>
      </c>
    </row>
    <row r="8331" spans="1:3" x14ac:dyDescent="0.35">
      <c r="A8331" s="305">
        <v>37835</v>
      </c>
      <c r="B8331" s="306">
        <v>137.00829999999999</v>
      </c>
      <c r="C8331" s="309">
        <v>7.4322962693454597</v>
      </c>
    </row>
    <row r="8332" spans="1:3" x14ac:dyDescent="0.35">
      <c r="A8332" s="302">
        <v>37834</v>
      </c>
      <c r="B8332" s="303">
        <v>137.01050000000001</v>
      </c>
      <c r="C8332" s="308">
        <v>7.4488500325066704</v>
      </c>
    </row>
    <row r="8333" spans="1:3" x14ac:dyDescent="0.35">
      <c r="A8333" s="305">
        <v>37833</v>
      </c>
      <c r="B8333" s="306">
        <v>137.0127</v>
      </c>
      <c r="C8333" s="309">
        <v>7.46549265615955</v>
      </c>
    </row>
    <row r="8334" spans="1:3" x14ac:dyDescent="0.35">
      <c r="A8334" s="302">
        <v>37832</v>
      </c>
      <c r="B8334" s="303">
        <v>137.01490000000001</v>
      </c>
      <c r="C8334" s="308">
        <v>7.4820555864979603</v>
      </c>
    </row>
    <row r="8335" spans="1:3" x14ac:dyDescent="0.35">
      <c r="A8335" s="305">
        <v>37831</v>
      </c>
      <c r="B8335" s="306">
        <v>137.0171</v>
      </c>
      <c r="C8335" s="309">
        <v>7.4987074305287997</v>
      </c>
    </row>
    <row r="8336" spans="1:3" x14ac:dyDescent="0.35">
      <c r="A8336" s="302">
        <v>37830</v>
      </c>
      <c r="B8336" s="303">
        <v>137.01939999999999</v>
      </c>
      <c r="C8336" s="308">
        <v>7.5153580029142697</v>
      </c>
    </row>
    <row r="8337" spans="1:3" x14ac:dyDescent="0.35">
      <c r="A8337" s="305">
        <v>37829</v>
      </c>
      <c r="B8337" s="306">
        <v>137.02160000000001</v>
      </c>
      <c r="C8337" s="309">
        <v>7.5319346968116703</v>
      </c>
    </row>
    <row r="8338" spans="1:3" x14ac:dyDescent="0.35">
      <c r="A8338" s="302">
        <v>37828</v>
      </c>
      <c r="B8338" s="303">
        <v>137.02379999999999</v>
      </c>
      <c r="C8338" s="308">
        <v>7.5486003842821097</v>
      </c>
    </row>
    <row r="8339" spans="1:3" x14ac:dyDescent="0.35">
      <c r="A8339" s="305">
        <v>37827</v>
      </c>
      <c r="B8339" s="306">
        <v>137.02600000000001</v>
      </c>
      <c r="C8339" s="309">
        <v>7.5651862644125698</v>
      </c>
    </row>
    <row r="8340" spans="1:3" x14ac:dyDescent="0.35">
      <c r="A8340" s="302">
        <v>37826</v>
      </c>
      <c r="B8340" s="303">
        <v>137.0282</v>
      </c>
      <c r="C8340" s="308">
        <v>7.5817767281771697</v>
      </c>
    </row>
    <row r="8341" spans="1:3" x14ac:dyDescent="0.35">
      <c r="A8341" s="305">
        <v>37825</v>
      </c>
      <c r="B8341" s="306">
        <v>137.03039999999999</v>
      </c>
      <c r="C8341" s="309">
        <v>7.5984562654344003</v>
      </c>
    </row>
    <row r="8342" spans="1:3" x14ac:dyDescent="0.35">
      <c r="A8342" s="302">
        <v>37824</v>
      </c>
      <c r="B8342" s="303">
        <v>137.0326</v>
      </c>
      <c r="C8342" s="308">
        <v>7.6150559268831497</v>
      </c>
    </row>
    <row r="8343" spans="1:3" x14ac:dyDescent="0.35">
      <c r="A8343" s="305">
        <v>37823</v>
      </c>
      <c r="B8343" s="306">
        <v>137.03479999999999</v>
      </c>
      <c r="C8343" s="309">
        <v>7.6316601776806596</v>
      </c>
    </row>
    <row r="8344" spans="1:3" x14ac:dyDescent="0.35">
      <c r="A8344" s="302">
        <v>37822</v>
      </c>
      <c r="B8344" s="303">
        <v>137.03700000000001</v>
      </c>
      <c r="C8344" s="308">
        <v>7.6482690197304501</v>
      </c>
    </row>
    <row r="8345" spans="1:3" x14ac:dyDescent="0.35">
      <c r="A8345" s="305">
        <v>37821</v>
      </c>
      <c r="B8345" s="306">
        <v>137.0393</v>
      </c>
      <c r="C8345" s="309">
        <v>7.6649610199625897</v>
      </c>
    </row>
    <row r="8346" spans="1:3" x14ac:dyDescent="0.35">
      <c r="A8346" s="302">
        <v>37820</v>
      </c>
      <c r="B8346" s="303">
        <v>137.04150000000001</v>
      </c>
      <c r="C8346" s="308">
        <v>7.6816636729228804</v>
      </c>
    </row>
    <row r="8347" spans="1:3" x14ac:dyDescent="0.35">
      <c r="A8347" s="305">
        <v>37819</v>
      </c>
      <c r="B8347" s="306">
        <v>137.0437</v>
      </c>
      <c r="C8347" s="309">
        <v>7.6982863357952001</v>
      </c>
    </row>
    <row r="8348" spans="1:3" x14ac:dyDescent="0.35">
      <c r="A8348" s="302">
        <v>37818</v>
      </c>
      <c r="B8348" s="303">
        <v>137.04589999999999</v>
      </c>
      <c r="C8348" s="308">
        <v>7.7149135975578096</v>
      </c>
    </row>
    <row r="8349" spans="1:3" x14ac:dyDescent="0.35">
      <c r="A8349" s="305">
        <v>37817</v>
      </c>
      <c r="B8349" s="306">
        <v>137.04810000000001</v>
      </c>
      <c r="C8349" s="309">
        <v>7.7315454601195199</v>
      </c>
    </row>
    <row r="8350" spans="1:3" x14ac:dyDescent="0.35">
      <c r="A8350" s="302">
        <v>37816</v>
      </c>
      <c r="B8350" s="303">
        <v>137.0257</v>
      </c>
      <c r="C8350" s="308">
        <v>7.7353635150679398</v>
      </c>
    </row>
    <row r="8351" spans="1:3" x14ac:dyDescent="0.35">
      <c r="A8351" s="305">
        <v>37815</v>
      </c>
      <c r="B8351" s="306">
        <v>137.0034</v>
      </c>
      <c r="C8351" s="309">
        <v>7.7393464551882296</v>
      </c>
    </row>
    <row r="8352" spans="1:3" x14ac:dyDescent="0.35">
      <c r="A8352" s="302">
        <v>37814</v>
      </c>
      <c r="B8352" s="303">
        <v>136.9811</v>
      </c>
      <c r="C8352" s="308">
        <v>7.7433309867740601</v>
      </c>
    </row>
    <row r="8353" spans="1:3" x14ac:dyDescent="0.35">
      <c r="A8353" s="305">
        <v>37813</v>
      </c>
      <c r="B8353" s="306">
        <v>136.9588</v>
      </c>
      <c r="C8353" s="309">
        <v>7.7472323445927698</v>
      </c>
    </row>
    <row r="8354" spans="1:3" x14ac:dyDescent="0.35">
      <c r="A8354" s="302">
        <v>37812</v>
      </c>
      <c r="B8354" s="303">
        <v>136.9365</v>
      </c>
      <c r="C8354" s="308">
        <v>7.7511352557600803</v>
      </c>
    </row>
    <row r="8355" spans="1:3" x14ac:dyDescent="0.35">
      <c r="A8355" s="305">
        <v>37811</v>
      </c>
      <c r="B8355" s="306">
        <v>136.91409999999999</v>
      </c>
      <c r="C8355" s="309">
        <v>7.7550458246268503</v>
      </c>
    </row>
    <row r="8356" spans="1:3" x14ac:dyDescent="0.35">
      <c r="A8356" s="302">
        <v>37810</v>
      </c>
      <c r="B8356" s="303">
        <v>136.89179999999999</v>
      </c>
      <c r="C8356" s="308">
        <v>7.7589518495660998</v>
      </c>
    </row>
    <row r="8357" spans="1:3" x14ac:dyDescent="0.35">
      <c r="A8357" s="305">
        <v>37809</v>
      </c>
      <c r="B8357" s="306">
        <v>136.86949999999999</v>
      </c>
      <c r="C8357" s="309">
        <v>7.76285943064281</v>
      </c>
    </row>
    <row r="8358" spans="1:3" x14ac:dyDescent="0.35">
      <c r="A8358" s="302">
        <v>37808</v>
      </c>
      <c r="B8358" s="303">
        <v>136.84719999999999</v>
      </c>
      <c r="C8358" s="308">
        <v>7.7668534348680396</v>
      </c>
    </row>
    <row r="8359" spans="1:3" x14ac:dyDescent="0.35">
      <c r="A8359" s="305">
        <v>37807</v>
      </c>
      <c r="B8359" s="306">
        <v>136.82490000000001</v>
      </c>
      <c r="C8359" s="309">
        <v>7.7707641510028402</v>
      </c>
    </row>
    <row r="8360" spans="1:3" x14ac:dyDescent="0.35">
      <c r="A8360" s="302">
        <v>37806</v>
      </c>
      <c r="B8360" s="303">
        <v>136.80269999999999</v>
      </c>
      <c r="C8360" s="308">
        <v>7.7747552072377797</v>
      </c>
    </row>
    <row r="8361" spans="1:3" x14ac:dyDescent="0.35">
      <c r="A8361" s="305">
        <v>37805</v>
      </c>
      <c r="B8361" s="306">
        <v>136.78039999999999</v>
      </c>
      <c r="C8361" s="309">
        <v>7.7786690578889104</v>
      </c>
    </row>
    <row r="8362" spans="1:3" x14ac:dyDescent="0.35">
      <c r="A8362" s="302">
        <v>37804</v>
      </c>
      <c r="B8362" s="303">
        <v>136.75810000000001</v>
      </c>
      <c r="C8362" s="308">
        <v>7.7825844693509696</v>
      </c>
    </row>
    <row r="8363" spans="1:3" x14ac:dyDescent="0.35">
      <c r="A8363" s="305">
        <v>37803</v>
      </c>
      <c r="B8363" s="306">
        <v>136.73580000000001</v>
      </c>
      <c r="C8363" s="309">
        <v>7.7865014425578201</v>
      </c>
    </row>
    <row r="8364" spans="1:3" x14ac:dyDescent="0.35">
      <c r="A8364" s="302">
        <v>37802</v>
      </c>
      <c r="B8364" s="303">
        <v>136.71350000000001</v>
      </c>
      <c r="C8364" s="308">
        <v>7.7904199784440404</v>
      </c>
    </row>
    <row r="8365" spans="1:3" x14ac:dyDescent="0.35">
      <c r="A8365" s="305">
        <v>37801</v>
      </c>
      <c r="B8365" s="306">
        <v>136.69120000000001</v>
      </c>
      <c r="C8365" s="309">
        <v>7.7943400779449803</v>
      </c>
    </row>
    <row r="8366" spans="1:3" x14ac:dyDescent="0.35">
      <c r="A8366" s="302">
        <v>37800</v>
      </c>
      <c r="B8366" s="303">
        <v>136.66900000000001</v>
      </c>
      <c r="C8366" s="308">
        <v>7.7983406174846399</v>
      </c>
    </row>
    <row r="8367" spans="1:3" x14ac:dyDescent="0.35">
      <c r="A8367" s="305">
        <v>37799</v>
      </c>
      <c r="B8367" s="306">
        <v>136.64670000000001</v>
      </c>
      <c r="C8367" s="309">
        <v>7.8022638627671297</v>
      </c>
    </row>
    <row r="8368" spans="1:3" x14ac:dyDescent="0.35">
      <c r="A8368" s="302">
        <v>37798</v>
      </c>
      <c r="B8368" s="303">
        <v>136.62440000000001</v>
      </c>
      <c r="C8368" s="308">
        <v>7.8061036079399297</v>
      </c>
    </row>
    <row r="8369" spans="1:3" x14ac:dyDescent="0.35">
      <c r="A8369" s="305">
        <v>37797</v>
      </c>
      <c r="B8369" s="306">
        <v>136.60220000000001</v>
      </c>
      <c r="C8369" s="309">
        <v>7.81010888961322</v>
      </c>
    </row>
    <row r="8370" spans="1:3" x14ac:dyDescent="0.35">
      <c r="A8370" s="302">
        <v>37796</v>
      </c>
      <c r="B8370" s="303">
        <v>136.57990000000001</v>
      </c>
      <c r="C8370" s="308">
        <v>7.8140368326741996</v>
      </c>
    </row>
    <row r="8371" spans="1:3" x14ac:dyDescent="0.35">
      <c r="A8371" s="305">
        <v>37795</v>
      </c>
      <c r="B8371" s="306">
        <v>136.55770000000001</v>
      </c>
      <c r="C8371" s="309">
        <v>7.8179601723726799</v>
      </c>
    </row>
    <row r="8372" spans="1:3" x14ac:dyDescent="0.35">
      <c r="A8372" s="302">
        <v>37794</v>
      </c>
      <c r="B8372" s="303">
        <v>136.53540000000001</v>
      </c>
      <c r="C8372" s="308">
        <v>7.8218912505281102</v>
      </c>
    </row>
    <row r="8373" spans="1:3" x14ac:dyDescent="0.35">
      <c r="A8373" s="305">
        <v>37793</v>
      </c>
      <c r="B8373" s="306">
        <v>136.51320000000001</v>
      </c>
      <c r="C8373" s="309">
        <v>7.8258177185315301</v>
      </c>
    </row>
    <row r="8374" spans="1:3" x14ac:dyDescent="0.35">
      <c r="A8374" s="302">
        <v>37792</v>
      </c>
      <c r="B8374" s="303">
        <v>136.49100000000001</v>
      </c>
      <c r="C8374" s="308">
        <v>7.8298309369568697</v>
      </c>
    </row>
    <row r="8375" spans="1:3" x14ac:dyDescent="0.35">
      <c r="A8375" s="305">
        <v>37791</v>
      </c>
      <c r="B8375" s="306">
        <v>136.46870000000001</v>
      </c>
      <c r="C8375" s="309">
        <v>7.8336815355877496</v>
      </c>
    </row>
    <row r="8376" spans="1:3" x14ac:dyDescent="0.35">
      <c r="A8376" s="302">
        <v>37790</v>
      </c>
      <c r="B8376" s="303">
        <v>136.44649999999999</v>
      </c>
      <c r="C8376" s="308">
        <v>7.8376127009016097</v>
      </c>
    </row>
    <row r="8377" spans="1:3" x14ac:dyDescent="0.35">
      <c r="A8377" s="305">
        <v>37789</v>
      </c>
      <c r="B8377" s="306">
        <v>136.42420000000001</v>
      </c>
      <c r="C8377" s="309">
        <v>7.8415516310512796</v>
      </c>
    </row>
    <row r="8378" spans="1:3" x14ac:dyDescent="0.35">
      <c r="A8378" s="302">
        <v>37788</v>
      </c>
      <c r="B8378" s="303">
        <v>136.40199999999999</v>
      </c>
      <c r="C8378" s="308">
        <v>7.8454859340396998</v>
      </c>
    </row>
    <row r="8379" spans="1:3" x14ac:dyDescent="0.35">
      <c r="A8379" s="305">
        <v>37787</v>
      </c>
      <c r="B8379" s="306">
        <v>136.37979999999999</v>
      </c>
      <c r="C8379" s="309">
        <v>7.8494218051005102</v>
      </c>
    </row>
    <row r="8380" spans="1:3" x14ac:dyDescent="0.35">
      <c r="A8380" s="302">
        <v>37786</v>
      </c>
      <c r="B8380" s="303">
        <v>136.3295</v>
      </c>
      <c r="C8380" s="308">
        <v>7.8415396724319999</v>
      </c>
    </row>
    <row r="8381" spans="1:3" x14ac:dyDescent="0.35">
      <c r="A8381" s="305">
        <v>37785</v>
      </c>
      <c r="B8381" s="306">
        <v>136.27930000000001</v>
      </c>
      <c r="C8381" s="309">
        <v>7.8336466760352996</v>
      </c>
    </row>
    <row r="8382" spans="1:3" x14ac:dyDescent="0.35">
      <c r="A8382" s="302">
        <v>37784</v>
      </c>
      <c r="B8382" s="303">
        <v>136.22900000000001</v>
      </c>
      <c r="C8382" s="308">
        <v>7.8257552132390096</v>
      </c>
    </row>
    <row r="8383" spans="1:3" x14ac:dyDescent="0.35">
      <c r="A8383" s="305">
        <v>37783</v>
      </c>
      <c r="B8383" s="306">
        <v>136.1788</v>
      </c>
      <c r="C8383" s="309">
        <v>7.8178528872684696</v>
      </c>
    </row>
    <row r="8384" spans="1:3" x14ac:dyDescent="0.35">
      <c r="A8384" s="302">
        <v>37782</v>
      </c>
      <c r="B8384" s="303">
        <v>136.1285</v>
      </c>
      <c r="C8384" s="308">
        <v>7.8098666953888296</v>
      </c>
    </row>
    <row r="8385" spans="1:3" x14ac:dyDescent="0.35">
      <c r="A8385" s="305">
        <v>37781</v>
      </c>
      <c r="B8385" s="306">
        <v>136.07830000000001</v>
      </c>
      <c r="C8385" s="309">
        <v>7.8019550043214796</v>
      </c>
    </row>
    <row r="8386" spans="1:3" x14ac:dyDescent="0.35">
      <c r="A8386" s="302">
        <v>37780</v>
      </c>
      <c r="B8386" s="303">
        <v>136.0282</v>
      </c>
      <c r="C8386" s="308">
        <v>7.7941178801292601</v>
      </c>
    </row>
    <row r="8387" spans="1:3" x14ac:dyDescent="0.35">
      <c r="A8387" s="305">
        <v>37779</v>
      </c>
      <c r="B8387" s="306">
        <v>135.97800000000001</v>
      </c>
      <c r="C8387" s="309">
        <v>7.7861114149691604</v>
      </c>
    </row>
    <row r="8388" spans="1:3" x14ac:dyDescent="0.35">
      <c r="A8388" s="302">
        <v>37778</v>
      </c>
      <c r="B8388" s="303">
        <v>135.92789999999999</v>
      </c>
      <c r="C8388" s="308">
        <v>7.7782649754476196</v>
      </c>
    </row>
    <row r="8389" spans="1:3" x14ac:dyDescent="0.35">
      <c r="A8389" s="305">
        <v>37777</v>
      </c>
      <c r="B8389" s="306">
        <v>135.8777</v>
      </c>
      <c r="C8389" s="309">
        <v>7.7702491019654802</v>
      </c>
    </row>
    <row r="8390" spans="1:3" x14ac:dyDescent="0.35">
      <c r="A8390" s="302">
        <v>37776</v>
      </c>
      <c r="B8390" s="303">
        <v>135.82759999999999</v>
      </c>
      <c r="C8390" s="308">
        <v>7.7623933305618102</v>
      </c>
    </row>
    <row r="8391" spans="1:3" x14ac:dyDescent="0.35">
      <c r="A8391" s="305">
        <v>37775</v>
      </c>
      <c r="B8391" s="306">
        <v>135.7775</v>
      </c>
      <c r="C8391" s="309">
        <v>7.75444739314828</v>
      </c>
    </row>
    <row r="8392" spans="1:3" x14ac:dyDescent="0.35">
      <c r="A8392" s="302">
        <v>37774</v>
      </c>
      <c r="B8392" s="303">
        <v>135.72749999999999</v>
      </c>
      <c r="C8392" s="308">
        <v>7.7465761471851797</v>
      </c>
    </row>
    <row r="8393" spans="1:3" x14ac:dyDescent="0.35">
      <c r="A8393" s="305">
        <v>37773</v>
      </c>
      <c r="B8393" s="306">
        <v>135.67740000000001</v>
      </c>
      <c r="C8393" s="309">
        <v>7.7386208429946297</v>
      </c>
    </row>
    <row r="8394" spans="1:3" x14ac:dyDescent="0.35">
      <c r="A8394" s="302">
        <v>37772</v>
      </c>
      <c r="B8394" s="303">
        <v>135.62739999999999</v>
      </c>
      <c r="C8394" s="308">
        <v>7.7307402688593996</v>
      </c>
    </row>
    <row r="8395" spans="1:3" x14ac:dyDescent="0.35">
      <c r="A8395" s="305">
        <v>37771</v>
      </c>
      <c r="B8395" s="306">
        <v>135.57730000000001</v>
      </c>
      <c r="C8395" s="309">
        <v>7.7227755812918701</v>
      </c>
    </row>
    <row r="8396" spans="1:3" x14ac:dyDescent="0.35">
      <c r="A8396" s="302">
        <v>37770</v>
      </c>
      <c r="B8396" s="303">
        <v>135.5273</v>
      </c>
      <c r="C8396" s="308">
        <v>7.7148856624204001</v>
      </c>
    </row>
    <row r="8397" spans="1:3" x14ac:dyDescent="0.35">
      <c r="A8397" s="305">
        <v>37769</v>
      </c>
      <c r="B8397" s="306">
        <v>135.47739999999999</v>
      </c>
      <c r="C8397" s="309">
        <v>7.7070705785828304</v>
      </c>
    </row>
    <row r="8398" spans="1:3" x14ac:dyDescent="0.35">
      <c r="A8398" s="302">
        <v>37768</v>
      </c>
      <c r="B8398" s="303">
        <v>135.42740000000001</v>
      </c>
      <c r="C8398" s="308">
        <v>7.6990856972900197</v>
      </c>
    </row>
    <row r="8399" spans="1:3" x14ac:dyDescent="0.35">
      <c r="A8399" s="305">
        <v>37767</v>
      </c>
      <c r="B8399" s="306">
        <v>135.3775</v>
      </c>
      <c r="C8399" s="309">
        <v>7.6912613188087704</v>
      </c>
    </row>
    <row r="8400" spans="1:3" x14ac:dyDescent="0.35">
      <c r="A8400" s="302">
        <v>37766</v>
      </c>
      <c r="B8400" s="303">
        <v>135.32749999999999</v>
      </c>
      <c r="C8400" s="308">
        <v>7.6832670495687996</v>
      </c>
    </row>
    <row r="8401" spans="1:3" x14ac:dyDescent="0.35">
      <c r="A8401" s="305">
        <v>37765</v>
      </c>
      <c r="B8401" s="306">
        <v>135.27760000000001</v>
      </c>
      <c r="C8401" s="309">
        <v>7.6753476547482498</v>
      </c>
    </row>
    <row r="8402" spans="1:3" x14ac:dyDescent="0.35">
      <c r="A8402" s="302">
        <v>37764</v>
      </c>
      <c r="B8402" s="303">
        <v>135.2277</v>
      </c>
      <c r="C8402" s="308">
        <v>7.6674235813423204</v>
      </c>
    </row>
    <row r="8403" spans="1:3" x14ac:dyDescent="0.35">
      <c r="A8403" s="305">
        <v>37763</v>
      </c>
      <c r="B8403" s="306">
        <v>135.17789999999999</v>
      </c>
      <c r="C8403" s="309">
        <v>7.6595744680851103</v>
      </c>
    </row>
    <row r="8404" spans="1:3" x14ac:dyDescent="0.35">
      <c r="A8404" s="302">
        <v>37762</v>
      </c>
      <c r="B8404" s="303">
        <v>135.12799999999999</v>
      </c>
      <c r="C8404" s="308">
        <v>7.6516410486012996</v>
      </c>
    </row>
    <row r="8405" spans="1:3" x14ac:dyDescent="0.35">
      <c r="A8405" s="305">
        <v>37761</v>
      </c>
      <c r="B8405" s="306">
        <v>135.07820000000001</v>
      </c>
      <c r="C8405" s="309">
        <v>7.6437826280637804</v>
      </c>
    </row>
    <row r="8406" spans="1:3" x14ac:dyDescent="0.35">
      <c r="A8406" s="302">
        <v>37760</v>
      </c>
      <c r="B8406" s="303">
        <v>135.0284</v>
      </c>
      <c r="C8406" s="308">
        <v>7.63583375913616</v>
      </c>
    </row>
    <row r="8407" spans="1:3" x14ac:dyDescent="0.35">
      <c r="A8407" s="305">
        <v>37759</v>
      </c>
      <c r="B8407" s="306">
        <v>134.9786</v>
      </c>
      <c r="C8407" s="309">
        <v>7.6279660192549104</v>
      </c>
    </row>
    <row r="8408" spans="1:3" x14ac:dyDescent="0.35">
      <c r="A8408" s="302">
        <v>37758</v>
      </c>
      <c r="B8408" s="303">
        <v>134.9288</v>
      </c>
      <c r="C8408" s="308">
        <v>7.62000778463364</v>
      </c>
    </row>
    <row r="8409" spans="1:3" x14ac:dyDescent="0.35">
      <c r="A8409" s="305">
        <v>37757</v>
      </c>
      <c r="B8409" s="306">
        <v>134.87899999999999</v>
      </c>
      <c r="C8409" s="309">
        <v>7.6121307088586798</v>
      </c>
    </row>
    <row r="8410" spans="1:3" x14ac:dyDescent="0.35">
      <c r="A8410" s="302">
        <v>37756</v>
      </c>
      <c r="B8410" s="303">
        <v>134.82929999999999</v>
      </c>
      <c r="C8410" s="308">
        <v>7.6042428997031903</v>
      </c>
    </row>
    <row r="8411" spans="1:3" x14ac:dyDescent="0.35">
      <c r="A8411" s="305">
        <v>37755</v>
      </c>
      <c r="B8411" s="306">
        <v>134.7824</v>
      </c>
      <c r="C8411" s="309">
        <v>7.5922296771412503</v>
      </c>
    </row>
    <row r="8412" spans="1:3" x14ac:dyDescent="0.35">
      <c r="A8412" s="302">
        <v>37754</v>
      </c>
      <c r="B8412" s="303">
        <v>134.7354</v>
      </c>
      <c r="C8412" s="308">
        <v>7.5800450328164697</v>
      </c>
    </row>
    <row r="8413" spans="1:3" x14ac:dyDescent="0.35">
      <c r="A8413" s="305">
        <v>37753</v>
      </c>
      <c r="B8413" s="306">
        <v>134.6885</v>
      </c>
      <c r="C8413" s="309">
        <v>7.5680204197028402</v>
      </c>
    </row>
    <row r="8414" spans="1:3" x14ac:dyDescent="0.35">
      <c r="A8414" s="302">
        <v>37752</v>
      </c>
      <c r="B8414" s="303">
        <v>134.64169999999999</v>
      </c>
      <c r="C8414" s="308">
        <v>7.55598408408816</v>
      </c>
    </row>
    <row r="8415" spans="1:3" x14ac:dyDescent="0.35">
      <c r="A8415" s="305">
        <v>37751</v>
      </c>
      <c r="B8415" s="306">
        <v>134.59479999999999</v>
      </c>
      <c r="C8415" s="309">
        <v>7.5438621723421004</v>
      </c>
    </row>
    <row r="8416" spans="1:3" x14ac:dyDescent="0.35">
      <c r="A8416" s="302">
        <v>37750</v>
      </c>
      <c r="B8416" s="303">
        <v>134.5479</v>
      </c>
      <c r="C8416" s="308">
        <v>7.5317345447192698</v>
      </c>
    </row>
    <row r="8417" spans="1:3" x14ac:dyDescent="0.35">
      <c r="A8417" s="305">
        <v>37749</v>
      </c>
      <c r="B8417" s="306">
        <v>134.50110000000001</v>
      </c>
      <c r="C8417" s="309">
        <v>7.5196811368054801</v>
      </c>
    </row>
    <row r="8418" spans="1:3" x14ac:dyDescent="0.35">
      <c r="A8418" s="302">
        <v>37748</v>
      </c>
      <c r="B8418" s="303">
        <v>134.45429999999999</v>
      </c>
      <c r="C8418" s="308">
        <v>7.5076220426354601</v>
      </c>
    </row>
    <row r="8419" spans="1:3" x14ac:dyDescent="0.35">
      <c r="A8419" s="305">
        <v>37747</v>
      </c>
      <c r="B8419" s="306">
        <v>134.4075</v>
      </c>
      <c r="C8419" s="309">
        <v>7.4955572581844798</v>
      </c>
    </row>
    <row r="8420" spans="1:3" x14ac:dyDescent="0.35">
      <c r="A8420" s="302">
        <v>37746</v>
      </c>
      <c r="B8420" s="303">
        <v>134.36070000000001</v>
      </c>
      <c r="C8420" s="308">
        <v>7.4834867794240099</v>
      </c>
    </row>
    <row r="8421" spans="1:3" x14ac:dyDescent="0.35">
      <c r="A8421" s="305">
        <v>37745</v>
      </c>
      <c r="B8421" s="306">
        <v>134.31389999999999</v>
      </c>
      <c r="C8421" s="309">
        <v>7.4714106023217202</v>
      </c>
    </row>
    <row r="8422" spans="1:3" x14ac:dyDescent="0.35">
      <c r="A8422" s="302">
        <v>37744</v>
      </c>
      <c r="B8422" s="303">
        <v>134.2671</v>
      </c>
      <c r="C8422" s="308">
        <v>7.4592427189128196</v>
      </c>
    </row>
    <row r="8423" spans="1:3" x14ac:dyDescent="0.35">
      <c r="A8423" s="305">
        <v>37743</v>
      </c>
      <c r="B8423" s="306">
        <v>134.22040000000001</v>
      </c>
      <c r="C8423" s="309">
        <v>7.4472351752156403</v>
      </c>
    </row>
    <row r="8424" spans="1:3" x14ac:dyDescent="0.35">
      <c r="A8424" s="302">
        <v>37742</v>
      </c>
      <c r="B8424" s="303">
        <v>134.1737</v>
      </c>
      <c r="C8424" s="308">
        <v>7.4351359336878398</v>
      </c>
    </row>
    <row r="8425" spans="1:3" x14ac:dyDescent="0.35">
      <c r="A8425" s="305">
        <v>37741</v>
      </c>
      <c r="B8425" s="306">
        <v>134.12700000000001</v>
      </c>
      <c r="C8425" s="309">
        <v>7.4231170299843203</v>
      </c>
    </row>
    <row r="8426" spans="1:3" x14ac:dyDescent="0.35">
      <c r="A8426" s="302">
        <v>37740</v>
      </c>
      <c r="B8426" s="303">
        <v>134.08029999999999</v>
      </c>
      <c r="C8426" s="308">
        <v>7.4110063991437896</v>
      </c>
    </row>
    <row r="8427" spans="1:3" x14ac:dyDescent="0.35">
      <c r="A8427" s="305">
        <v>37739</v>
      </c>
      <c r="B8427" s="306">
        <v>134.03360000000001</v>
      </c>
      <c r="C8427" s="309">
        <v>7.3989761193336196</v>
      </c>
    </row>
    <row r="8428" spans="1:3" x14ac:dyDescent="0.35">
      <c r="A8428" s="302">
        <v>37738</v>
      </c>
      <c r="B8428" s="303">
        <v>133.98689999999999</v>
      </c>
      <c r="C8428" s="308">
        <v>7.3868540830630396</v>
      </c>
    </row>
    <row r="8429" spans="1:3" x14ac:dyDescent="0.35">
      <c r="A8429" s="305">
        <v>37737</v>
      </c>
      <c r="B8429" s="306">
        <v>133.94030000000001</v>
      </c>
      <c r="C8429" s="309">
        <v>7.3748064989109396</v>
      </c>
    </row>
    <row r="8430" spans="1:3" x14ac:dyDescent="0.35">
      <c r="A8430" s="302">
        <v>37736</v>
      </c>
      <c r="B8430" s="303">
        <v>133.8937</v>
      </c>
      <c r="C8430" s="308">
        <v>7.3627532344651501</v>
      </c>
    </row>
    <row r="8431" spans="1:3" x14ac:dyDescent="0.35">
      <c r="A8431" s="305">
        <v>37735</v>
      </c>
      <c r="B8431" s="306">
        <v>133.84710000000001</v>
      </c>
      <c r="C8431" s="309">
        <v>7.3506942857074096</v>
      </c>
    </row>
    <row r="8432" spans="1:3" x14ac:dyDescent="0.35">
      <c r="A8432" s="302">
        <v>37734</v>
      </c>
      <c r="B8432" s="303">
        <v>133.8005</v>
      </c>
      <c r="C8432" s="308">
        <v>7.3386296486157097</v>
      </c>
    </row>
    <row r="8433" spans="1:3" x14ac:dyDescent="0.35">
      <c r="A8433" s="305">
        <v>37733</v>
      </c>
      <c r="B8433" s="306">
        <v>133.75389999999999</v>
      </c>
      <c r="C8433" s="309">
        <v>7.3265593191642298</v>
      </c>
    </row>
    <row r="8434" spans="1:3" x14ac:dyDescent="0.35">
      <c r="A8434" s="302">
        <v>37732</v>
      </c>
      <c r="B8434" s="303">
        <v>133.7073</v>
      </c>
      <c r="C8434" s="308">
        <v>7.3144832933233497</v>
      </c>
    </row>
    <row r="8435" spans="1:3" x14ac:dyDescent="0.35">
      <c r="A8435" s="305">
        <v>37731</v>
      </c>
      <c r="B8435" s="306">
        <v>133.66079999999999</v>
      </c>
      <c r="C8435" s="309">
        <v>7.3024818467540902</v>
      </c>
    </row>
    <row r="8436" spans="1:3" x14ac:dyDescent="0.35">
      <c r="A8436" s="302">
        <v>37730</v>
      </c>
      <c r="B8436" s="303">
        <v>133.61429999999999</v>
      </c>
      <c r="C8436" s="308">
        <v>7.2904747336293099</v>
      </c>
    </row>
    <row r="8437" spans="1:3" x14ac:dyDescent="0.35">
      <c r="A8437" s="305">
        <v>37729</v>
      </c>
      <c r="B8437" s="306">
        <v>133.5677</v>
      </c>
      <c r="C8437" s="309">
        <v>7.2782954689660997</v>
      </c>
    </row>
    <row r="8438" spans="1:3" x14ac:dyDescent="0.35">
      <c r="A8438" s="302">
        <v>37728</v>
      </c>
      <c r="B8438" s="303">
        <v>133.52119999999999</v>
      </c>
      <c r="C8438" s="308">
        <v>7.2662769810180903</v>
      </c>
    </row>
    <row r="8439" spans="1:3" x14ac:dyDescent="0.35">
      <c r="A8439" s="305">
        <v>37727</v>
      </c>
      <c r="B8439" s="306">
        <v>133.47479999999999</v>
      </c>
      <c r="C8439" s="309">
        <v>7.2543331699438296</v>
      </c>
    </row>
    <row r="8440" spans="1:3" x14ac:dyDescent="0.35">
      <c r="A8440" s="302">
        <v>37726</v>
      </c>
      <c r="B8440" s="303">
        <v>133.42830000000001</v>
      </c>
      <c r="C8440" s="308">
        <v>7.2422171443452203</v>
      </c>
    </row>
    <row r="8441" spans="1:3" x14ac:dyDescent="0.35">
      <c r="A8441" s="305">
        <v>37725</v>
      </c>
      <c r="B8441" s="306">
        <v>133.38079999999999</v>
      </c>
      <c r="C8441" s="309">
        <v>7.2473976299255298</v>
      </c>
    </row>
    <row r="8442" spans="1:3" x14ac:dyDescent="0.35">
      <c r="A8442" s="302">
        <v>37724</v>
      </c>
      <c r="B8442" s="303">
        <v>133.33330000000001</v>
      </c>
      <c r="C8442" s="308">
        <v>7.2524960343379696</v>
      </c>
    </row>
    <row r="8443" spans="1:3" x14ac:dyDescent="0.35">
      <c r="A8443" s="305">
        <v>37723</v>
      </c>
      <c r="B8443" s="306">
        <v>133.28579999999999</v>
      </c>
      <c r="C8443" s="309">
        <v>7.2575985579437798</v>
      </c>
    </row>
    <row r="8444" spans="1:3" x14ac:dyDescent="0.35">
      <c r="A8444" s="302">
        <v>37722</v>
      </c>
      <c r="B8444" s="303">
        <v>133.23840000000001</v>
      </c>
      <c r="C8444" s="308">
        <v>7.26278571014549</v>
      </c>
    </row>
    <row r="8445" spans="1:3" x14ac:dyDescent="0.35">
      <c r="A8445" s="305">
        <v>37721</v>
      </c>
      <c r="B8445" s="306">
        <v>133.1909</v>
      </c>
      <c r="C8445" s="309">
        <v>7.2678965196759799</v>
      </c>
    </row>
    <row r="8446" spans="1:3" x14ac:dyDescent="0.35">
      <c r="A8446" s="302">
        <v>37720</v>
      </c>
      <c r="B8446" s="303">
        <v>133.14349999999999</v>
      </c>
      <c r="C8446" s="308">
        <v>7.2730056036062898</v>
      </c>
    </row>
    <row r="8447" spans="1:3" x14ac:dyDescent="0.35">
      <c r="A8447" s="305">
        <v>37719</v>
      </c>
      <c r="B8447" s="306">
        <v>133.09610000000001</v>
      </c>
      <c r="C8447" s="309">
        <v>7.2781188137964801</v>
      </c>
    </row>
    <row r="8448" spans="1:3" x14ac:dyDescent="0.35">
      <c r="A8448" s="302">
        <v>37718</v>
      </c>
      <c r="B8448" s="303">
        <v>133.0487</v>
      </c>
      <c r="C8448" s="308">
        <v>7.2832361552473301</v>
      </c>
    </row>
    <row r="8449" spans="1:3" x14ac:dyDescent="0.35">
      <c r="A8449" s="305">
        <v>37717</v>
      </c>
      <c r="B8449" s="306">
        <v>133.00139999999999</v>
      </c>
      <c r="C8449" s="309">
        <v>7.2884383001172903</v>
      </c>
    </row>
    <row r="8450" spans="1:3" x14ac:dyDescent="0.35">
      <c r="A8450" s="302">
        <v>37716</v>
      </c>
      <c r="B8450" s="303">
        <v>132.95400000000001</v>
      </c>
      <c r="C8450" s="308">
        <v>7.2935639517383102</v>
      </c>
    </row>
    <row r="8451" spans="1:3" x14ac:dyDescent="0.35">
      <c r="A8451" s="305">
        <v>37715</v>
      </c>
      <c r="B8451" s="306">
        <v>132.9067</v>
      </c>
      <c r="C8451" s="309">
        <v>7.2986878572910596</v>
      </c>
    </row>
    <row r="8452" spans="1:3" x14ac:dyDescent="0.35">
      <c r="A8452" s="302">
        <v>37714</v>
      </c>
      <c r="B8452" s="303">
        <v>132.85939999999999</v>
      </c>
      <c r="C8452" s="308">
        <v>7.3038159011630999</v>
      </c>
    </row>
    <row r="8453" spans="1:3" x14ac:dyDescent="0.35">
      <c r="A8453" s="305">
        <v>37713</v>
      </c>
      <c r="B8453" s="306">
        <v>132.81209999999999</v>
      </c>
      <c r="C8453" s="309">
        <v>7.3089480883699203</v>
      </c>
    </row>
    <row r="8454" spans="1:3" x14ac:dyDescent="0.35">
      <c r="A8454" s="302">
        <v>37712</v>
      </c>
      <c r="B8454" s="303">
        <v>132.76480000000001</v>
      </c>
      <c r="C8454" s="308">
        <v>7.3140844239351201</v>
      </c>
    </row>
    <row r="8455" spans="1:3" x14ac:dyDescent="0.35">
      <c r="A8455" s="305">
        <v>37711</v>
      </c>
      <c r="B8455" s="306">
        <v>132.7175</v>
      </c>
      <c r="C8455" s="309">
        <v>7.3192249128904399</v>
      </c>
    </row>
    <row r="8456" spans="1:3" x14ac:dyDescent="0.35">
      <c r="A8456" s="302">
        <v>37710</v>
      </c>
      <c r="B8456" s="303">
        <v>132.6703</v>
      </c>
      <c r="C8456" s="308">
        <v>7.3243636351869696</v>
      </c>
    </row>
    <row r="8457" spans="1:3" x14ac:dyDescent="0.35">
      <c r="A8457" s="305">
        <v>37709</v>
      </c>
      <c r="B8457" s="306">
        <v>132.62299999999999</v>
      </c>
      <c r="C8457" s="309">
        <v>7.3294255796280998</v>
      </c>
    </row>
    <row r="8458" spans="1:3" x14ac:dyDescent="0.35">
      <c r="A8458" s="302">
        <v>37708</v>
      </c>
      <c r="B8458" s="303">
        <v>132.57579999999999</v>
      </c>
      <c r="C8458" s="308">
        <v>7.3345725749778996</v>
      </c>
    </row>
    <row r="8459" spans="1:3" x14ac:dyDescent="0.35">
      <c r="A8459" s="305">
        <v>37707</v>
      </c>
      <c r="B8459" s="306">
        <v>132.52860000000001</v>
      </c>
      <c r="C8459" s="309">
        <v>7.3397237307285801</v>
      </c>
    </row>
    <row r="8460" spans="1:3" x14ac:dyDescent="0.35">
      <c r="A8460" s="302">
        <v>37706</v>
      </c>
      <c r="B8460" s="303">
        <v>132.48140000000001</v>
      </c>
      <c r="C8460" s="308">
        <v>7.3448790519265597</v>
      </c>
    </row>
    <row r="8461" spans="1:3" x14ac:dyDescent="0.35">
      <c r="A8461" s="305">
        <v>37705</v>
      </c>
      <c r="B8461" s="306">
        <v>132.4342</v>
      </c>
      <c r="C8461" s="309">
        <v>7.3499515266668203</v>
      </c>
    </row>
    <row r="8462" spans="1:3" x14ac:dyDescent="0.35">
      <c r="A8462" s="302">
        <v>37704</v>
      </c>
      <c r="B8462" s="303">
        <v>132.3871</v>
      </c>
      <c r="C8462" s="308">
        <v>7.3551091901359902</v>
      </c>
    </row>
    <row r="8463" spans="1:3" x14ac:dyDescent="0.35">
      <c r="A8463" s="305">
        <v>37703</v>
      </c>
      <c r="B8463" s="306">
        <v>132.34</v>
      </c>
      <c r="C8463" s="309">
        <v>7.3602710210015303</v>
      </c>
    </row>
    <row r="8464" spans="1:3" x14ac:dyDescent="0.35">
      <c r="A8464" s="302">
        <v>37702</v>
      </c>
      <c r="B8464" s="303">
        <v>132.2928</v>
      </c>
      <c r="C8464" s="308">
        <v>7.3653558669473602</v>
      </c>
    </row>
    <row r="8465" spans="1:3" x14ac:dyDescent="0.35">
      <c r="A8465" s="305">
        <v>37701</v>
      </c>
      <c r="B8465" s="306">
        <v>132.2457</v>
      </c>
      <c r="C8465" s="309">
        <v>7.3705260149584797</v>
      </c>
    </row>
    <row r="8466" spans="1:3" x14ac:dyDescent="0.35">
      <c r="A8466" s="302">
        <v>37700</v>
      </c>
      <c r="B8466" s="303">
        <v>132.1987</v>
      </c>
      <c r="C8466" s="308">
        <v>7.3756943547607596</v>
      </c>
    </row>
    <row r="8467" spans="1:3" x14ac:dyDescent="0.35">
      <c r="A8467" s="305">
        <v>37699</v>
      </c>
      <c r="B8467" s="306">
        <v>132.1516</v>
      </c>
      <c r="C8467" s="309">
        <v>7.38078561318033</v>
      </c>
    </row>
    <row r="8468" spans="1:3" x14ac:dyDescent="0.35">
      <c r="A8468" s="302">
        <v>37698</v>
      </c>
      <c r="B8468" s="303">
        <v>132.1045</v>
      </c>
      <c r="C8468" s="308">
        <v>7.3858809853802496</v>
      </c>
    </row>
    <row r="8469" spans="1:3" x14ac:dyDescent="0.35">
      <c r="A8469" s="305">
        <v>37697</v>
      </c>
      <c r="B8469" s="306">
        <v>132.0575</v>
      </c>
      <c r="C8469" s="309">
        <v>7.3910617977893596</v>
      </c>
    </row>
    <row r="8470" spans="1:3" x14ac:dyDescent="0.35">
      <c r="A8470" s="302">
        <v>37696</v>
      </c>
      <c r="B8470" s="303">
        <v>132.01050000000001</v>
      </c>
      <c r="C8470" s="308">
        <v>7.3962467997243699</v>
      </c>
    </row>
    <row r="8471" spans="1:3" x14ac:dyDescent="0.35">
      <c r="A8471" s="305">
        <v>37695</v>
      </c>
      <c r="B8471" s="306">
        <v>131.96350000000001</v>
      </c>
      <c r="C8471" s="309">
        <v>7.4013485852876402</v>
      </c>
    </row>
    <row r="8472" spans="1:3" x14ac:dyDescent="0.35">
      <c r="A8472" s="302">
        <v>37694</v>
      </c>
      <c r="B8472" s="303">
        <v>131.90870000000001</v>
      </c>
      <c r="C8472" s="308">
        <v>7.3873382478049701</v>
      </c>
    </row>
    <row r="8473" spans="1:3" x14ac:dyDescent="0.35">
      <c r="A8473" s="305">
        <v>37693</v>
      </c>
      <c r="B8473" s="306">
        <v>131.85390000000001</v>
      </c>
      <c r="C8473" s="309">
        <v>7.3733199239410601</v>
      </c>
    </row>
    <row r="8474" spans="1:3" x14ac:dyDescent="0.35">
      <c r="A8474" s="302">
        <v>37692</v>
      </c>
      <c r="B8474" s="303">
        <v>131.79920000000001</v>
      </c>
      <c r="C8474" s="308">
        <v>7.3592876122269804</v>
      </c>
    </row>
    <row r="8475" spans="1:3" x14ac:dyDescent="0.35">
      <c r="A8475" s="305">
        <v>37691</v>
      </c>
      <c r="B8475" s="306">
        <v>131.74440000000001</v>
      </c>
      <c r="C8475" s="309">
        <v>7.3451658400533901</v>
      </c>
    </row>
    <row r="8476" spans="1:3" x14ac:dyDescent="0.35">
      <c r="A8476" s="302">
        <v>37690</v>
      </c>
      <c r="B8476" s="303">
        <v>131.68969999999999</v>
      </c>
      <c r="C8476" s="308">
        <v>7.3312050153755601</v>
      </c>
    </row>
    <row r="8477" spans="1:3" x14ac:dyDescent="0.35">
      <c r="A8477" s="305">
        <v>37689</v>
      </c>
      <c r="B8477" s="306">
        <v>131.63499999999999</v>
      </c>
      <c r="C8477" s="309">
        <v>7.3171487316953101</v>
      </c>
    </row>
    <row r="8478" spans="1:3" x14ac:dyDescent="0.35">
      <c r="A8478" s="302">
        <v>37688</v>
      </c>
      <c r="B8478" s="303">
        <v>131.58029999999999</v>
      </c>
      <c r="C8478" s="308">
        <v>7.3030844469597902</v>
      </c>
    </row>
    <row r="8479" spans="1:3" x14ac:dyDescent="0.35">
      <c r="A8479" s="305">
        <v>37687</v>
      </c>
      <c r="B8479" s="306">
        <v>131.5257</v>
      </c>
      <c r="C8479" s="309">
        <v>7.2890937270576703</v>
      </c>
    </row>
    <row r="8480" spans="1:3" x14ac:dyDescent="0.35">
      <c r="A8480" s="302">
        <v>37686</v>
      </c>
      <c r="B8480" s="303">
        <v>131.471</v>
      </c>
      <c r="C8480" s="308">
        <v>7.2749259109364601</v>
      </c>
    </row>
    <row r="8481" spans="1:3" x14ac:dyDescent="0.35">
      <c r="A8481" s="305">
        <v>37685</v>
      </c>
      <c r="B8481" s="306">
        <v>131.41640000000001</v>
      </c>
      <c r="C8481" s="309">
        <v>7.26091921093892</v>
      </c>
    </row>
    <row r="8482" spans="1:3" x14ac:dyDescent="0.35">
      <c r="A8482" s="302">
        <v>37684</v>
      </c>
      <c r="B8482" s="303">
        <v>131.36189999999999</v>
      </c>
      <c r="C8482" s="308">
        <v>7.2469861714130799</v>
      </c>
    </row>
    <row r="8483" spans="1:3" x14ac:dyDescent="0.35">
      <c r="A8483" s="305">
        <v>37683</v>
      </c>
      <c r="B8483" s="306">
        <v>131.3073</v>
      </c>
      <c r="C8483" s="309">
        <v>7.2328759516082402</v>
      </c>
    </row>
    <row r="8484" spans="1:3" x14ac:dyDescent="0.35">
      <c r="A8484" s="302">
        <v>37682</v>
      </c>
      <c r="B8484" s="303">
        <v>131.25280000000001</v>
      </c>
      <c r="C8484" s="308">
        <v>7.2189269840388102</v>
      </c>
    </row>
    <row r="8485" spans="1:3" x14ac:dyDescent="0.35">
      <c r="A8485" s="305">
        <v>37681</v>
      </c>
      <c r="B8485" s="306">
        <v>131.19820000000001</v>
      </c>
      <c r="C8485" s="309">
        <v>7.2048007491365098</v>
      </c>
    </row>
    <row r="8486" spans="1:3" x14ac:dyDescent="0.35">
      <c r="A8486" s="302">
        <v>37680</v>
      </c>
      <c r="B8486" s="303">
        <v>131.1437</v>
      </c>
      <c r="C8486" s="308">
        <v>7.1907482134698197</v>
      </c>
    </row>
    <row r="8487" spans="1:3" x14ac:dyDescent="0.35">
      <c r="A8487" s="305">
        <v>37679</v>
      </c>
      <c r="B8487" s="306">
        <v>131.08930000000001</v>
      </c>
      <c r="C8487" s="309">
        <v>7.17676943994545</v>
      </c>
    </row>
    <row r="8488" spans="1:3" x14ac:dyDescent="0.35">
      <c r="A8488" s="302">
        <v>37678</v>
      </c>
      <c r="B8488" s="303">
        <v>131.03479999999999</v>
      </c>
      <c r="C8488" s="308">
        <v>7.1627009278152398</v>
      </c>
    </row>
    <row r="8489" spans="1:3" x14ac:dyDescent="0.35">
      <c r="A8489" s="305">
        <v>37677</v>
      </c>
      <c r="B8489" s="306">
        <v>130.9804</v>
      </c>
      <c r="C8489" s="309">
        <v>7.1487062107284203</v>
      </c>
    </row>
    <row r="8490" spans="1:3" x14ac:dyDescent="0.35">
      <c r="A8490" s="302">
        <v>37676</v>
      </c>
      <c r="B8490" s="303">
        <v>130.92599999999999</v>
      </c>
      <c r="C8490" s="308">
        <v>7.1347035232871496</v>
      </c>
    </row>
    <row r="8491" spans="1:3" x14ac:dyDescent="0.35">
      <c r="A8491" s="305">
        <v>37675</v>
      </c>
      <c r="B8491" s="306">
        <v>130.8716</v>
      </c>
      <c r="C8491" s="309">
        <v>7.1206928586805001</v>
      </c>
    </row>
    <row r="8492" spans="1:3" x14ac:dyDescent="0.35">
      <c r="A8492" s="302">
        <v>37674</v>
      </c>
      <c r="B8492" s="303">
        <v>130.81729999999999</v>
      </c>
      <c r="C8492" s="308">
        <v>7.1066683915000599</v>
      </c>
    </row>
    <row r="8493" spans="1:3" x14ac:dyDescent="0.35">
      <c r="A8493" s="305">
        <v>37673</v>
      </c>
      <c r="B8493" s="306">
        <v>130.7629</v>
      </c>
      <c r="C8493" s="309">
        <v>7.0926417619280802</v>
      </c>
    </row>
    <row r="8494" spans="1:3" x14ac:dyDescent="0.35">
      <c r="A8494" s="302">
        <v>37672</v>
      </c>
      <c r="B8494" s="303">
        <v>130.70859999999999</v>
      </c>
      <c r="C8494" s="308">
        <v>7.0786013358139197</v>
      </c>
    </row>
    <row r="8495" spans="1:3" x14ac:dyDescent="0.35">
      <c r="A8495" s="305">
        <v>37671</v>
      </c>
      <c r="B8495" s="306">
        <v>130.65430000000001</v>
      </c>
      <c r="C8495" s="309">
        <v>7.0646406589687603</v>
      </c>
    </row>
    <row r="8496" spans="1:3" x14ac:dyDescent="0.35">
      <c r="A8496" s="302">
        <v>37670</v>
      </c>
      <c r="B8496" s="303">
        <v>130.6001</v>
      </c>
      <c r="C8496" s="308">
        <v>7.0506662382457499</v>
      </c>
    </row>
    <row r="8497" spans="1:3" x14ac:dyDescent="0.35">
      <c r="A8497" s="305">
        <v>37669</v>
      </c>
      <c r="B8497" s="306">
        <v>130.54580000000001</v>
      </c>
      <c r="C8497" s="309">
        <v>7.0366018741641998</v>
      </c>
    </row>
    <row r="8498" spans="1:3" x14ac:dyDescent="0.35">
      <c r="A8498" s="302">
        <v>37668</v>
      </c>
      <c r="B8498" s="303">
        <v>130.49160000000001</v>
      </c>
      <c r="C8498" s="308">
        <v>7.0226115198189101</v>
      </c>
    </row>
    <row r="8499" spans="1:3" x14ac:dyDescent="0.35">
      <c r="A8499" s="305">
        <v>37667</v>
      </c>
      <c r="B8499" s="306">
        <v>130.4374</v>
      </c>
      <c r="C8499" s="309">
        <v>7.0086132001250299</v>
      </c>
    </row>
    <row r="8500" spans="1:3" x14ac:dyDescent="0.35">
      <c r="A8500" s="302">
        <v>37666</v>
      </c>
      <c r="B8500" s="303">
        <v>130.42609999999999</v>
      </c>
      <c r="C8500" s="308">
        <v>7.0110189447083604</v>
      </c>
    </row>
    <row r="8501" spans="1:3" x14ac:dyDescent="0.35">
      <c r="A8501" s="305">
        <v>37665</v>
      </c>
      <c r="B8501" s="306">
        <v>130.41470000000001</v>
      </c>
      <c r="C8501" s="309">
        <v>7.01343096934706</v>
      </c>
    </row>
    <row r="8502" spans="1:3" x14ac:dyDescent="0.35">
      <c r="A8502" s="302">
        <v>37664</v>
      </c>
      <c r="B8502" s="303">
        <v>130.4034</v>
      </c>
      <c r="C8502" s="308">
        <v>7.0158377669068699</v>
      </c>
    </row>
    <row r="8503" spans="1:3" x14ac:dyDescent="0.35">
      <c r="A8503" s="305">
        <v>37663</v>
      </c>
      <c r="B8503" s="306">
        <v>130.3921</v>
      </c>
      <c r="C8503" s="309">
        <v>7.0182450899122601</v>
      </c>
    </row>
    <row r="8504" spans="1:3" x14ac:dyDescent="0.35">
      <c r="A8504" s="302">
        <v>37662</v>
      </c>
      <c r="B8504" s="303">
        <v>130.38069999999999</v>
      </c>
      <c r="C8504" s="308">
        <v>7.0206587013123496</v>
      </c>
    </row>
    <row r="8505" spans="1:3" x14ac:dyDescent="0.35">
      <c r="A8505" s="305">
        <v>37661</v>
      </c>
      <c r="B8505" s="306">
        <v>130.36940000000001</v>
      </c>
      <c r="C8505" s="309">
        <v>7.0230670783315299</v>
      </c>
    </row>
    <row r="8506" spans="1:3" x14ac:dyDescent="0.35">
      <c r="A8506" s="302">
        <v>37660</v>
      </c>
      <c r="B8506" s="303">
        <v>130.358</v>
      </c>
      <c r="C8506" s="308">
        <v>7.0254817493138404</v>
      </c>
    </row>
    <row r="8507" spans="1:3" x14ac:dyDescent="0.35">
      <c r="A8507" s="305">
        <v>37659</v>
      </c>
      <c r="B8507" s="306">
        <v>130.3467</v>
      </c>
      <c r="C8507" s="309">
        <v>7.0278911810397799</v>
      </c>
    </row>
    <row r="8508" spans="1:3" x14ac:dyDescent="0.35">
      <c r="A8508" s="302">
        <v>37658</v>
      </c>
      <c r="B8508" s="303">
        <v>130.33539999999999</v>
      </c>
      <c r="C8508" s="308">
        <v>7.0303011390745</v>
      </c>
    </row>
    <row r="8509" spans="1:3" x14ac:dyDescent="0.35">
      <c r="A8509" s="305">
        <v>37657</v>
      </c>
      <c r="B8509" s="306">
        <v>130.32400000000001</v>
      </c>
      <c r="C8509" s="309">
        <v>7.0327173994279004</v>
      </c>
    </row>
    <row r="8510" spans="1:3" x14ac:dyDescent="0.35">
      <c r="A8510" s="302">
        <v>37656</v>
      </c>
      <c r="B8510" s="303">
        <v>130.31270000000001</v>
      </c>
      <c r="C8510" s="308">
        <v>7.0351284132089704</v>
      </c>
    </row>
    <row r="8511" spans="1:3" x14ac:dyDescent="0.35">
      <c r="A8511" s="305">
        <v>37655</v>
      </c>
      <c r="B8511" s="306">
        <v>130.3014</v>
      </c>
      <c r="C8511" s="309">
        <v>7.0375399538174497</v>
      </c>
    </row>
    <row r="8512" spans="1:3" x14ac:dyDescent="0.35">
      <c r="A8512" s="302">
        <v>37654</v>
      </c>
      <c r="B8512" s="303">
        <v>130.29</v>
      </c>
      <c r="C8512" s="308">
        <v>7.0398698663336603</v>
      </c>
    </row>
    <row r="8513" spans="1:3" x14ac:dyDescent="0.35">
      <c r="A8513" s="305">
        <v>37653</v>
      </c>
      <c r="B8513" s="306">
        <v>130.27869999999999</v>
      </c>
      <c r="C8513" s="309">
        <v>7.0423704025056804</v>
      </c>
    </row>
    <row r="8514" spans="1:3" x14ac:dyDescent="0.35">
      <c r="A8514" s="302">
        <v>37652</v>
      </c>
      <c r="B8514" s="303">
        <v>130.26740000000001</v>
      </c>
      <c r="C8514" s="308">
        <v>7.0447835272481898</v>
      </c>
    </row>
    <row r="8515" spans="1:3" x14ac:dyDescent="0.35">
      <c r="A8515" s="305">
        <v>37651</v>
      </c>
      <c r="B8515" s="306">
        <v>130.256</v>
      </c>
      <c r="C8515" s="309">
        <v>7.0471149974112599</v>
      </c>
    </row>
    <row r="8516" spans="1:3" x14ac:dyDescent="0.35">
      <c r="A8516" s="302">
        <v>37650</v>
      </c>
      <c r="B8516" s="303">
        <v>130.24469999999999</v>
      </c>
      <c r="C8516" s="308">
        <v>7.0495291683824099</v>
      </c>
    </row>
    <row r="8517" spans="1:3" x14ac:dyDescent="0.35">
      <c r="A8517" s="305">
        <v>37649</v>
      </c>
      <c r="B8517" s="306">
        <v>130.23339999999999</v>
      </c>
      <c r="C8517" s="309">
        <v>7.0520318640606998</v>
      </c>
    </row>
    <row r="8518" spans="1:3" x14ac:dyDescent="0.35">
      <c r="A8518" s="302">
        <v>37648</v>
      </c>
      <c r="B8518" s="303">
        <v>130.22200000000001</v>
      </c>
      <c r="C8518" s="308">
        <v>7.0543648934158698</v>
      </c>
    </row>
    <row r="8519" spans="1:3" x14ac:dyDescent="0.35">
      <c r="A8519" s="305">
        <v>37647</v>
      </c>
      <c r="B8519" s="306">
        <v>130.2107</v>
      </c>
      <c r="C8519" s="309">
        <v>7.0567806511181299</v>
      </c>
    </row>
    <row r="8520" spans="1:3" x14ac:dyDescent="0.35">
      <c r="A8520" s="302">
        <v>37646</v>
      </c>
      <c r="B8520" s="303">
        <v>130.1994</v>
      </c>
      <c r="C8520" s="308">
        <v>7.0591969372048</v>
      </c>
    </row>
    <row r="8521" spans="1:3" x14ac:dyDescent="0.35">
      <c r="A8521" s="305">
        <v>37645</v>
      </c>
      <c r="B8521" s="306">
        <v>130.18809999999999</v>
      </c>
      <c r="C8521" s="309">
        <v>7.0616137518492801</v>
      </c>
    </row>
    <row r="8522" spans="1:3" x14ac:dyDescent="0.35">
      <c r="A8522" s="302">
        <v>37644</v>
      </c>
      <c r="B8522" s="303">
        <v>130.17679999999999</v>
      </c>
      <c r="C8522" s="308">
        <v>7.06403109522501</v>
      </c>
    </row>
    <row r="8523" spans="1:3" x14ac:dyDescent="0.35">
      <c r="A8523" s="305">
        <v>37643</v>
      </c>
      <c r="B8523" s="306">
        <v>130.16540000000001</v>
      </c>
      <c r="C8523" s="309">
        <v>7.0664547799536699</v>
      </c>
    </row>
    <row r="8524" spans="1:3" x14ac:dyDescent="0.35">
      <c r="A8524" s="302">
        <v>37642</v>
      </c>
      <c r="B8524" s="303">
        <v>130.1541</v>
      </c>
      <c r="C8524" s="308">
        <v>7.0688731839379502</v>
      </c>
    </row>
    <row r="8525" spans="1:3" x14ac:dyDescent="0.35">
      <c r="A8525" s="305">
        <v>37641</v>
      </c>
      <c r="B8525" s="306">
        <v>130.14279999999999</v>
      </c>
      <c r="C8525" s="309">
        <v>7.0712921171753003</v>
      </c>
    </row>
    <row r="8526" spans="1:3" x14ac:dyDescent="0.35">
      <c r="A8526" s="302">
        <v>37640</v>
      </c>
      <c r="B8526" s="303">
        <v>130.13149999999999</v>
      </c>
      <c r="C8526" s="308">
        <v>7.0737115798394701</v>
      </c>
    </row>
    <row r="8527" spans="1:3" x14ac:dyDescent="0.35">
      <c r="A8527" s="305">
        <v>37639</v>
      </c>
      <c r="B8527" s="306">
        <v>130.12010000000001</v>
      </c>
      <c r="C8527" s="309">
        <v>7.0760492819359904</v>
      </c>
    </row>
    <row r="8528" spans="1:3" x14ac:dyDescent="0.35">
      <c r="A8528" s="302">
        <v>37638</v>
      </c>
      <c r="B8528" s="303">
        <v>130.1088</v>
      </c>
      <c r="C8528" s="308">
        <v>7.0784697949680604</v>
      </c>
    </row>
    <row r="8529" spans="1:3" x14ac:dyDescent="0.35">
      <c r="A8529" s="305">
        <v>37637</v>
      </c>
      <c r="B8529" s="306">
        <v>130.0975</v>
      </c>
      <c r="C8529" s="309">
        <v>7.0808908379467104</v>
      </c>
    </row>
    <row r="8530" spans="1:3" x14ac:dyDescent="0.35">
      <c r="A8530" s="302">
        <v>37636</v>
      </c>
      <c r="B8530" s="303">
        <v>130.08619999999999</v>
      </c>
      <c r="C8530" s="308">
        <v>7.0833124110459798</v>
      </c>
    </row>
    <row r="8531" spans="1:3" x14ac:dyDescent="0.35">
      <c r="A8531" s="305">
        <v>37635</v>
      </c>
      <c r="B8531" s="306">
        <v>130.05359999999999</v>
      </c>
      <c r="C8531" s="309">
        <v>7.0606190821936101</v>
      </c>
    </row>
    <row r="8532" spans="1:3" x14ac:dyDescent="0.35">
      <c r="A8532" s="302">
        <v>37634</v>
      </c>
      <c r="B8532" s="303">
        <v>130.02099999999999</v>
      </c>
      <c r="C8532" s="308">
        <v>7.0379239972372201</v>
      </c>
    </row>
    <row r="8533" spans="1:3" x14ac:dyDescent="0.35">
      <c r="A8533" s="305">
        <v>37633</v>
      </c>
      <c r="B8533" s="306">
        <v>129.98840000000001</v>
      </c>
      <c r="C8533" s="309">
        <v>7.01522715597297</v>
      </c>
    </row>
    <row r="8534" spans="1:3" x14ac:dyDescent="0.35">
      <c r="A8534" s="302">
        <v>37632</v>
      </c>
      <c r="B8534" s="303">
        <v>129.95590000000001</v>
      </c>
      <c r="C8534" s="308">
        <v>6.9926108881342</v>
      </c>
    </row>
    <row r="8535" spans="1:3" x14ac:dyDescent="0.35">
      <c r="A8535" s="305">
        <v>37631</v>
      </c>
      <c r="B8535" s="306">
        <v>129.92330000000001</v>
      </c>
      <c r="C8535" s="309">
        <v>6.9699105368284302</v>
      </c>
    </row>
    <row r="8536" spans="1:3" x14ac:dyDescent="0.35">
      <c r="A8536" s="302">
        <v>37630</v>
      </c>
      <c r="B8536" s="303">
        <v>129.89070000000001</v>
      </c>
      <c r="C8536" s="308">
        <v>6.9472084286033002</v>
      </c>
    </row>
    <row r="8537" spans="1:3" x14ac:dyDescent="0.35">
      <c r="A8537" s="305">
        <v>37629</v>
      </c>
      <c r="B8537" s="306">
        <v>129.85820000000001</v>
      </c>
      <c r="C8537" s="309">
        <v>6.9245869027504696</v>
      </c>
    </row>
    <row r="8538" spans="1:3" x14ac:dyDescent="0.35">
      <c r="A8538" s="302">
        <v>37628</v>
      </c>
      <c r="B8538" s="303">
        <v>129.82560000000001</v>
      </c>
      <c r="C8538" s="308">
        <v>6.9018812832613001</v>
      </c>
    </row>
    <row r="8539" spans="1:3" x14ac:dyDescent="0.35">
      <c r="A8539" s="305">
        <v>37627</v>
      </c>
      <c r="B8539" s="306">
        <v>129.79310000000001</v>
      </c>
      <c r="C8539" s="309">
        <v>6.8792562521101104</v>
      </c>
    </row>
    <row r="8540" spans="1:3" x14ac:dyDescent="0.35">
      <c r="A8540" s="302">
        <v>37626</v>
      </c>
      <c r="B8540" s="303">
        <v>129.76060000000001</v>
      </c>
      <c r="C8540" s="308">
        <v>6.8566294695979604</v>
      </c>
    </row>
    <row r="8541" spans="1:3" x14ac:dyDescent="0.35">
      <c r="A8541" s="305">
        <v>37625</v>
      </c>
      <c r="B8541" s="306">
        <v>129.72810000000001</v>
      </c>
      <c r="C8541" s="309">
        <v>6.8340009355214901</v>
      </c>
    </row>
    <row r="8542" spans="1:3" x14ac:dyDescent="0.35">
      <c r="A8542" s="302">
        <v>37624</v>
      </c>
      <c r="B8542" s="303">
        <v>129.69560000000001</v>
      </c>
      <c r="C8542" s="308">
        <v>6.8113706496772899</v>
      </c>
    </row>
    <row r="8543" spans="1:3" x14ac:dyDescent="0.35">
      <c r="A8543" s="305">
        <v>37623</v>
      </c>
      <c r="B8543" s="306">
        <v>129.66309999999999</v>
      </c>
      <c r="C8543" s="309">
        <v>6.7887386118619499</v>
      </c>
    </row>
    <row r="8544" spans="1:3" x14ac:dyDescent="0.35">
      <c r="A8544" s="302">
        <v>37622</v>
      </c>
      <c r="B8544" s="303">
        <v>129.63059999999999</v>
      </c>
      <c r="C8544" s="308">
        <v>6.7661048218720001</v>
      </c>
    </row>
    <row r="8545" spans="1:3" x14ac:dyDescent="0.35">
      <c r="A8545" s="305">
        <v>37621</v>
      </c>
      <c r="B8545" s="306">
        <v>129.59809999999999</v>
      </c>
      <c r="C8545" s="309">
        <v>6.7434692795039703</v>
      </c>
    </row>
    <row r="8546" spans="1:3" x14ac:dyDescent="0.35">
      <c r="A8546" s="302">
        <v>37620</v>
      </c>
      <c r="B8546" s="303">
        <v>129.56559999999999</v>
      </c>
      <c r="C8546" s="308">
        <v>6.7208319845543203</v>
      </c>
    </row>
    <row r="8547" spans="1:3" x14ac:dyDescent="0.35">
      <c r="A8547" s="305">
        <v>37619</v>
      </c>
      <c r="B8547" s="306">
        <v>129.53309999999999</v>
      </c>
      <c r="C8547" s="309">
        <v>6.6981929368195097</v>
      </c>
    </row>
    <row r="8548" spans="1:3" x14ac:dyDescent="0.35">
      <c r="A8548" s="302">
        <v>37618</v>
      </c>
      <c r="B8548" s="303">
        <v>129.50069999999999</v>
      </c>
      <c r="C8548" s="308">
        <v>6.6756345106580302</v>
      </c>
    </row>
    <row r="8549" spans="1:3" x14ac:dyDescent="0.35">
      <c r="A8549" s="305">
        <v>37617</v>
      </c>
      <c r="B8549" s="306">
        <v>129.4682</v>
      </c>
      <c r="C8549" s="309">
        <v>6.6529919599314598</v>
      </c>
    </row>
    <row r="8550" spans="1:3" x14ac:dyDescent="0.35">
      <c r="A8550" s="302">
        <v>37616</v>
      </c>
      <c r="B8550" s="303">
        <v>129.4358</v>
      </c>
      <c r="C8550" s="308">
        <v>6.6304300367501403</v>
      </c>
    </row>
    <row r="8551" spans="1:3" x14ac:dyDescent="0.35">
      <c r="A8551" s="305">
        <v>37615</v>
      </c>
      <c r="B8551" s="306">
        <v>129.4033</v>
      </c>
      <c r="C8551" s="309">
        <v>6.6077839822182103</v>
      </c>
    </row>
    <row r="8552" spans="1:3" x14ac:dyDescent="0.35">
      <c r="A8552" s="302">
        <v>37614</v>
      </c>
      <c r="B8552" s="303">
        <v>129.37090000000001</v>
      </c>
      <c r="C8552" s="308">
        <v>6.5851307485705801</v>
      </c>
    </row>
    <row r="8553" spans="1:3" x14ac:dyDescent="0.35">
      <c r="A8553" s="305">
        <v>37613</v>
      </c>
      <c r="B8553" s="306">
        <v>129.33850000000001</v>
      </c>
      <c r="C8553" s="309">
        <v>6.5625635951234704</v>
      </c>
    </row>
    <row r="8554" spans="1:3" x14ac:dyDescent="0.35">
      <c r="A8554" s="302">
        <v>37612</v>
      </c>
      <c r="B8554" s="303">
        <v>129.30609999999999</v>
      </c>
      <c r="C8554" s="308">
        <v>6.5399946938499696</v>
      </c>
    </row>
    <row r="8555" spans="1:3" x14ac:dyDescent="0.35">
      <c r="A8555" s="305">
        <v>37611</v>
      </c>
      <c r="B8555" s="306">
        <v>129.27369999999999</v>
      </c>
      <c r="C8555" s="309">
        <v>6.5174240445470204</v>
      </c>
    </row>
    <row r="8556" spans="1:3" x14ac:dyDescent="0.35">
      <c r="A8556" s="302">
        <v>37610</v>
      </c>
      <c r="B8556" s="303">
        <v>129.2413</v>
      </c>
      <c r="C8556" s="308">
        <v>6.4948516470115196</v>
      </c>
    </row>
    <row r="8557" spans="1:3" x14ac:dyDescent="0.35">
      <c r="A8557" s="305">
        <v>37609</v>
      </c>
      <c r="B8557" s="306">
        <v>129.2089</v>
      </c>
      <c r="C8557" s="309">
        <v>6.4722775010403399</v>
      </c>
    </row>
    <row r="8558" spans="1:3" x14ac:dyDescent="0.35">
      <c r="A8558" s="302">
        <v>37608</v>
      </c>
      <c r="B8558" s="303">
        <v>129.1765</v>
      </c>
      <c r="C8558" s="308">
        <v>6.4497016064303399</v>
      </c>
    </row>
    <row r="8559" spans="1:3" x14ac:dyDescent="0.35">
      <c r="A8559" s="305">
        <v>37607</v>
      </c>
      <c r="B8559" s="306">
        <v>129.14410000000001</v>
      </c>
      <c r="C8559" s="309">
        <v>6.4271239629783201</v>
      </c>
    </row>
    <row r="8560" spans="1:3" x14ac:dyDescent="0.35">
      <c r="A8560" s="302">
        <v>37606</v>
      </c>
      <c r="B8560" s="303">
        <v>129.11179999999999</v>
      </c>
      <c r="C8560" s="308">
        <v>6.4046269832636096</v>
      </c>
    </row>
    <row r="8561" spans="1:3" x14ac:dyDescent="0.35">
      <c r="A8561" s="305">
        <v>37605</v>
      </c>
      <c r="B8561" s="306">
        <v>129.07939999999999</v>
      </c>
      <c r="C8561" s="309">
        <v>6.38204584471017</v>
      </c>
    </row>
    <row r="8562" spans="1:3" x14ac:dyDescent="0.35">
      <c r="A8562" s="302">
        <v>37604</v>
      </c>
      <c r="B8562" s="303">
        <v>129.05539999999999</v>
      </c>
      <c r="C8562" s="308">
        <v>6.3690162204932097</v>
      </c>
    </row>
    <row r="8563" spans="1:3" x14ac:dyDescent="0.35">
      <c r="A8563" s="305">
        <v>37603</v>
      </c>
      <c r="B8563" s="306">
        <v>129.03139999999999</v>
      </c>
      <c r="C8563" s="309">
        <v>6.3559849423385897</v>
      </c>
    </row>
    <row r="8564" spans="1:3" x14ac:dyDescent="0.35">
      <c r="A8564" s="302">
        <v>37602</v>
      </c>
      <c r="B8564" s="303">
        <v>129.00739999999999</v>
      </c>
      <c r="C8564" s="308">
        <v>6.3428643497342003</v>
      </c>
    </row>
    <row r="8565" spans="1:3" x14ac:dyDescent="0.35">
      <c r="A8565" s="305">
        <v>37601</v>
      </c>
      <c r="B8565" s="306">
        <v>128.98330000000001</v>
      </c>
      <c r="C8565" s="309">
        <v>6.3297473311075398</v>
      </c>
    </row>
    <row r="8566" spans="1:3" x14ac:dyDescent="0.35">
      <c r="A8566" s="302">
        <v>37600</v>
      </c>
      <c r="B8566" s="303">
        <v>128.95930000000001</v>
      </c>
      <c r="C8566" s="308">
        <v>6.3167110891998401</v>
      </c>
    </row>
    <row r="8567" spans="1:3" x14ac:dyDescent="0.35">
      <c r="A8567" s="305">
        <v>37599</v>
      </c>
      <c r="B8567" s="306">
        <v>128.93530000000001</v>
      </c>
      <c r="C8567" s="309">
        <v>6.3036731920956104</v>
      </c>
    </row>
    <row r="8568" spans="1:3" x14ac:dyDescent="0.35">
      <c r="A8568" s="302">
        <v>37598</v>
      </c>
      <c r="B8568" s="303">
        <v>128.91130000000001</v>
      </c>
      <c r="C8568" s="308">
        <v>6.2905460002308704</v>
      </c>
    </row>
    <row r="8569" spans="1:3" x14ac:dyDescent="0.35">
      <c r="A8569" s="305">
        <v>37597</v>
      </c>
      <c r="B8569" s="306">
        <v>128.88730000000001</v>
      </c>
      <c r="C8569" s="309">
        <v>6.2775047969767703</v>
      </c>
    </row>
    <row r="8570" spans="1:3" x14ac:dyDescent="0.35">
      <c r="A8570" s="302">
        <v>37596</v>
      </c>
      <c r="B8570" s="303">
        <v>128.86340000000001</v>
      </c>
      <c r="C8570" s="308">
        <v>6.2645444005191901</v>
      </c>
    </row>
    <row r="8571" spans="1:3" x14ac:dyDescent="0.35">
      <c r="A8571" s="305">
        <v>37595</v>
      </c>
      <c r="B8571" s="306">
        <v>128.83940000000001</v>
      </c>
      <c r="C8571" s="309">
        <v>6.2514122663060103</v>
      </c>
    </row>
    <row r="8572" spans="1:3" x14ac:dyDescent="0.35">
      <c r="A8572" s="302">
        <v>37594</v>
      </c>
      <c r="B8572" s="303">
        <v>128.81540000000001</v>
      </c>
      <c r="C8572" s="308">
        <v>6.2383661041160003</v>
      </c>
    </row>
    <row r="8573" spans="1:3" x14ac:dyDescent="0.35">
      <c r="A8573" s="305">
        <v>37593</v>
      </c>
      <c r="B8573" s="306">
        <v>128.79140000000001</v>
      </c>
      <c r="C8573" s="309">
        <v>6.2253182848414301</v>
      </c>
    </row>
    <row r="8574" spans="1:3" x14ac:dyDescent="0.35">
      <c r="A8574" s="302">
        <v>37592</v>
      </c>
      <c r="B8574" s="303">
        <v>128.76740000000001</v>
      </c>
      <c r="C8574" s="308">
        <v>6.2122688081665602</v>
      </c>
    </row>
    <row r="8575" spans="1:3" x14ac:dyDescent="0.35">
      <c r="A8575" s="305">
        <v>37591</v>
      </c>
      <c r="B8575" s="306">
        <v>128.74350000000001</v>
      </c>
      <c r="C8575" s="309">
        <v>6.1992125601035397</v>
      </c>
    </row>
    <row r="8576" spans="1:3" x14ac:dyDescent="0.35">
      <c r="A8576" s="302">
        <v>37590</v>
      </c>
      <c r="B8576" s="303">
        <v>128.71950000000001</v>
      </c>
      <c r="C8576" s="308">
        <v>6.1861597781235202</v>
      </c>
    </row>
    <row r="8577" spans="1:3" x14ac:dyDescent="0.35">
      <c r="A8577" s="305">
        <v>37589</v>
      </c>
      <c r="B8577" s="306">
        <v>128.69550000000001</v>
      </c>
      <c r="C8577" s="309">
        <v>6.1731053377981997</v>
      </c>
    </row>
    <row r="8578" spans="1:3" x14ac:dyDescent="0.35">
      <c r="A8578" s="302">
        <v>37588</v>
      </c>
      <c r="B8578" s="303">
        <v>128.67160000000001</v>
      </c>
      <c r="C8578" s="308">
        <v>6.1600441564849104</v>
      </c>
    </row>
    <row r="8579" spans="1:3" x14ac:dyDescent="0.35">
      <c r="A8579" s="305">
        <v>37587</v>
      </c>
      <c r="B8579" s="306">
        <v>128.64760000000001</v>
      </c>
      <c r="C8579" s="309">
        <v>6.1469864089717898</v>
      </c>
    </row>
    <row r="8580" spans="1:3" x14ac:dyDescent="0.35">
      <c r="A8580" s="302">
        <v>37586</v>
      </c>
      <c r="B8580" s="303">
        <v>128.62370000000001</v>
      </c>
      <c r="C8580" s="308">
        <v>6.1340095172947597</v>
      </c>
    </row>
    <row r="8581" spans="1:3" x14ac:dyDescent="0.35">
      <c r="A8581" s="305">
        <v>37585</v>
      </c>
      <c r="B8581" s="306">
        <v>128.59979999999999</v>
      </c>
      <c r="C8581" s="309">
        <v>6.1209434051012401</v>
      </c>
    </row>
    <row r="8582" spans="1:3" x14ac:dyDescent="0.35">
      <c r="A8582" s="302">
        <v>37584</v>
      </c>
      <c r="B8582" s="303">
        <v>128.57579999999999</v>
      </c>
      <c r="C8582" s="308">
        <v>6.1078806944689701</v>
      </c>
    </row>
    <row r="8583" spans="1:3" x14ac:dyDescent="0.35">
      <c r="A8583" s="305">
        <v>37583</v>
      </c>
      <c r="B8583" s="306">
        <v>128.55189999999999</v>
      </c>
      <c r="C8583" s="309">
        <v>6.0948988543900997</v>
      </c>
    </row>
    <row r="8584" spans="1:3" x14ac:dyDescent="0.35">
      <c r="A8584" s="302">
        <v>37582</v>
      </c>
      <c r="B8584" s="303">
        <v>128.52799999999999</v>
      </c>
      <c r="C8584" s="308">
        <v>6.0818278085132498</v>
      </c>
    </row>
    <row r="8585" spans="1:3" x14ac:dyDescent="0.35">
      <c r="A8585" s="305">
        <v>37581</v>
      </c>
      <c r="B8585" s="306">
        <v>128.50399999999999</v>
      </c>
      <c r="C8585" s="309">
        <v>6.0687601319338702</v>
      </c>
    </row>
    <row r="8586" spans="1:3" x14ac:dyDescent="0.35">
      <c r="A8586" s="302">
        <v>37580</v>
      </c>
      <c r="B8586" s="303">
        <v>128.48009999999999</v>
      </c>
      <c r="C8586" s="308">
        <v>6.0557733406304397</v>
      </c>
    </row>
    <row r="8587" spans="1:3" x14ac:dyDescent="0.35">
      <c r="A8587" s="305">
        <v>37579</v>
      </c>
      <c r="B8587" s="306">
        <v>128.4562</v>
      </c>
      <c r="C8587" s="309">
        <v>6.0426973582650296</v>
      </c>
    </row>
    <row r="8588" spans="1:3" x14ac:dyDescent="0.35">
      <c r="A8588" s="302">
        <v>37578</v>
      </c>
      <c r="B8588" s="303">
        <v>128.4323</v>
      </c>
      <c r="C8588" s="308">
        <v>6.0297072697942502</v>
      </c>
    </row>
    <row r="8589" spans="1:3" x14ac:dyDescent="0.35">
      <c r="A8589" s="305">
        <v>37577</v>
      </c>
      <c r="B8589" s="306">
        <v>128.4084</v>
      </c>
      <c r="C8589" s="309">
        <v>6.0167155296897601</v>
      </c>
    </row>
    <row r="8590" spans="1:3" x14ac:dyDescent="0.35">
      <c r="A8590" s="302">
        <v>37576</v>
      </c>
      <c r="B8590" s="303">
        <v>128.3845</v>
      </c>
      <c r="C8590" s="308">
        <v>6.0036346132092797</v>
      </c>
    </row>
    <row r="8591" spans="1:3" x14ac:dyDescent="0.35">
      <c r="A8591" s="305">
        <v>37575</v>
      </c>
      <c r="B8591" s="306">
        <v>128.36060000000001</v>
      </c>
      <c r="C8591" s="309">
        <v>5.9906395740576803</v>
      </c>
    </row>
    <row r="8592" spans="1:3" x14ac:dyDescent="0.35">
      <c r="A8592" s="302">
        <v>37574</v>
      </c>
      <c r="B8592" s="303">
        <v>128.3458</v>
      </c>
      <c r="C8592" s="308">
        <v>5.9910216431912504</v>
      </c>
    </row>
    <row r="8593" spans="1:3" x14ac:dyDescent="0.35">
      <c r="A8593" s="305">
        <v>37573</v>
      </c>
      <c r="B8593" s="306">
        <v>128.33090000000001</v>
      </c>
      <c r="C8593" s="309">
        <v>5.9913212109999598</v>
      </c>
    </row>
    <row r="8594" spans="1:3" x14ac:dyDescent="0.35">
      <c r="A8594" s="302">
        <v>37572</v>
      </c>
      <c r="B8594" s="303">
        <v>128.316</v>
      </c>
      <c r="C8594" s="308">
        <v>5.9916208500740096</v>
      </c>
    </row>
    <row r="8595" spans="1:3" x14ac:dyDescent="0.35">
      <c r="A8595" s="305">
        <v>37571</v>
      </c>
      <c r="B8595" s="306">
        <v>128.30109999999999</v>
      </c>
      <c r="C8595" s="309">
        <v>5.9920081224044397</v>
      </c>
    </row>
    <row r="8596" spans="1:3" x14ac:dyDescent="0.35">
      <c r="A8596" s="302">
        <v>37570</v>
      </c>
      <c r="B8596" s="303">
        <v>128.28630000000001</v>
      </c>
      <c r="C8596" s="308">
        <v>5.9923905365043604</v>
      </c>
    </row>
    <row r="8597" spans="1:3" x14ac:dyDescent="0.35">
      <c r="A8597" s="305">
        <v>37569</v>
      </c>
      <c r="B8597" s="306">
        <v>128.2714</v>
      </c>
      <c r="C8597" s="309">
        <v>5.9926904100261904</v>
      </c>
    </row>
    <row r="8598" spans="1:3" x14ac:dyDescent="0.35">
      <c r="A8598" s="302">
        <v>37568</v>
      </c>
      <c r="B8598" s="303">
        <v>128.25649999999999</v>
      </c>
      <c r="C8598" s="308">
        <v>5.9929903549201002</v>
      </c>
    </row>
    <row r="8599" spans="1:3" x14ac:dyDescent="0.35">
      <c r="A8599" s="305">
        <v>37567</v>
      </c>
      <c r="B8599" s="306">
        <v>128.24170000000001</v>
      </c>
      <c r="C8599" s="309">
        <v>5.9933730224654402</v>
      </c>
    </row>
    <row r="8600" spans="1:3" x14ac:dyDescent="0.35">
      <c r="A8600" s="302">
        <v>37566</v>
      </c>
      <c r="B8600" s="303">
        <v>128.2268</v>
      </c>
      <c r="C8600" s="308">
        <v>5.9936731200181201</v>
      </c>
    </row>
    <row r="8601" spans="1:3" x14ac:dyDescent="0.35">
      <c r="A8601" s="305">
        <v>37565</v>
      </c>
      <c r="B8601" s="306">
        <v>128.21190000000001</v>
      </c>
      <c r="C8601" s="309">
        <v>5.99406091530025</v>
      </c>
    </row>
    <row r="8602" spans="1:3" x14ac:dyDescent="0.35">
      <c r="A8602" s="302">
        <v>37564</v>
      </c>
      <c r="B8602" s="303">
        <v>128.19710000000001</v>
      </c>
      <c r="C8602" s="308">
        <v>5.9944438473050203</v>
      </c>
    </row>
    <row r="8603" spans="1:3" x14ac:dyDescent="0.35">
      <c r="A8603" s="305">
        <v>37563</v>
      </c>
      <c r="B8603" s="306">
        <v>128.18219999999999</v>
      </c>
      <c r="C8603" s="309">
        <v>5.9947441798158598</v>
      </c>
    </row>
    <row r="8604" spans="1:3" x14ac:dyDescent="0.35">
      <c r="A8604" s="302">
        <v>37562</v>
      </c>
      <c r="B8604" s="303">
        <v>128.16739999999999</v>
      </c>
      <c r="C8604" s="308">
        <v>5.9951272843955703</v>
      </c>
    </row>
    <row r="8605" spans="1:3" x14ac:dyDescent="0.35">
      <c r="A8605" s="305">
        <v>37561</v>
      </c>
      <c r="B8605" s="306">
        <v>128.1525</v>
      </c>
      <c r="C8605" s="309">
        <v>5.9954277698467697</v>
      </c>
    </row>
    <row r="8606" spans="1:3" x14ac:dyDescent="0.35">
      <c r="A8606" s="302">
        <v>37560</v>
      </c>
      <c r="B8606" s="303">
        <v>128.13759999999999</v>
      </c>
      <c r="C8606" s="308">
        <v>5.9957283268839099</v>
      </c>
    </row>
    <row r="8607" spans="1:3" x14ac:dyDescent="0.35">
      <c r="A8607" s="305">
        <v>37559</v>
      </c>
      <c r="B8607" s="306">
        <v>128.12280000000001</v>
      </c>
      <c r="C8607" s="309">
        <v>5.9961116856256496</v>
      </c>
    </row>
    <row r="8608" spans="1:3" x14ac:dyDescent="0.35">
      <c r="A8608" s="302">
        <v>37558</v>
      </c>
      <c r="B8608" s="303">
        <v>128.1079</v>
      </c>
      <c r="C8608" s="308">
        <v>5.9964123957683499</v>
      </c>
    </row>
    <row r="8609" spans="1:3" x14ac:dyDescent="0.35">
      <c r="A8609" s="305">
        <v>37557</v>
      </c>
      <c r="B8609" s="306">
        <v>128.09309999999999</v>
      </c>
      <c r="C8609" s="309">
        <v>5.9967959273853904</v>
      </c>
    </row>
    <row r="8610" spans="1:3" x14ac:dyDescent="0.35">
      <c r="A8610" s="302">
        <v>37556</v>
      </c>
      <c r="B8610" s="303">
        <v>128.07820000000001</v>
      </c>
      <c r="C8610" s="308">
        <v>5.9970967907454797</v>
      </c>
    </row>
    <row r="8611" spans="1:3" x14ac:dyDescent="0.35">
      <c r="A8611" s="305">
        <v>37555</v>
      </c>
      <c r="B8611" s="306">
        <v>128.0634</v>
      </c>
      <c r="C8611" s="309">
        <v>5.9974804953591097</v>
      </c>
    </row>
    <row r="8612" spans="1:3" x14ac:dyDescent="0.35">
      <c r="A8612" s="302">
        <v>37554</v>
      </c>
      <c r="B8612" s="303">
        <v>128.04849999999999</v>
      </c>
      <c r="C8612" s="308">
        <v>5.9977815120485403</v>
      </c>
    </row>
    <row r="8613" spans="1:3" x14ac:dyDescent="0.35">
      <c r="A8613" s="305">
        <v>37553</v>
      </c>
      <c r="B8613" s="306">
        <v>128.03370000000001</v>
      </c>
      <c r="C8613" s="309">
        <v>5.9981653897801603</v>
      </c>
    </row>
    <row r="8614" spans="1:3" x14ac:dyDescent="0.35">
      <c r="A8614" s="302">
        <v>37552</v>
      </c>
      <c r="B8614" s="303">
        <v>128.0189</v>
      </c>
      <c r="C8614" s="308">
        <v>5.9984615932363097</v>
      </c>
    </row>
    <row r="8615" spans="1:3" x14ac:dyDescent="0.35">
      <c r="A8615" s="305">
        <v>37551</v>
      </c>
      <c r="B8615" s="306">
        <v>128.00399999999999</v>
      </c>
      <c r="C8615" s="309">
        <v>5.9987628343514698</v>
      </c>
    </row>
    <row r="8616" spans="1:3" x14ac:dyDescent="0.35">
      <c r="A8616" s="302">
        <v>37550</v>
      </c>
      <c r="B8616" s="303">
        <v>127.9892</v>
      </c>
      <c r="C8616" s="308">
        <v>5.99914696613952</v>
      </c>
    </row>
    <row r="8617" spans="1:3" x14ac:dyDescent="0.35">
      <c r="A8617" s="305">
        <v>37549</v>
      </c>
      <c r="B8617" s="306">
        <v>127.9744</v>
      </c>
      <c r="C8617" s="309">
        <v>5.9995311895609298</v>
      </c>
    </row>
    <row r="8618" spans="1:3" x14ac:dyDescent="0.35">
      <c r="A8618" s="302">
        <v>37548</v>
      </c>
      <c r="B8618" s="303">
        <v>127.95950000000001</v>
      </c>
      <c r="C8618" s="308">
        <v>5.9998326660685697</v>
      </c>
    </row>
    <row r="8619" spans="1:3" x14ac:dyDescent="0.35">
      <c r="A8619" s="305">
        <v>37547</v>
      </c>
      <c r="B8619" s="306">
        <v>127.9447</v>
      </c>
      <c r="C8619" s="309">
        <v>6.0002170629722897</v>
      </c>
    </row>
    <row r="8620" spans="1:3" x14ac:dyDescent="0.35">
      <c r="A8620" s="302">
        <v>37546</v>
      </c>
      <c r="B8620" s="303">
        <v>127.9299</v>
      </c>
      <c r="C8620" s="308">
        <v>6.00051372133104</v>
      </c>
    </row>
    <row r="8621" spans="1:3" x14ac:dyDescent="0.35">
      <c r="A8621" s="305">
        <v>37545</v>
      </c>
      <c r="B8621" s="306">
        <v>127.91500000000001</v>
      </c>
      <c r="C8621" s="309">
        <v>6.0008154227602404</v>
      </c>
    </row>
    <row r="8622" spans="1:3" x14ac:dyDescent="0.35">
      <c r="A8622" s="302">
        <v>37544</v>
      </c>
      <c r="B8622" s="303">
        <v>127.9002</v>
      </c>
      <c r="C8622" s="308">
        <v>6.0012000742587404</v>
      </c>
    </row>
    <row r="8623" spans="1:3" x14ac:dyDescent="0.35">
      <c r="A8623" s="305">
        <v>37543</v>
      </c>
      <c r="B8623" s="306">
        <v>127.8964</v>
      </c>
      <c r="C8623" s="309">
        <v>6.0071878046031104</v>
      </c>
    </row>
    <row r="8624" spans="1:3" x14ac:dyDescent="0.35">
      <c r="A8624" s="302">
        <v>37542</v>
      </c>
      <c r="B8624" s="303">
        <v>127.8925</v>
      </c>
      <c r="C8624" s="308">
        <v>6.0131815517957401</v>
      </c>
    </row>
    <row r="8625" spans="1:3" x14ac:dyDescent="0.35">
      <c r="A8625" s="305">
        <v>37541</v>
      </c>
      <c r="B8625" s="306">
        <v>127.8887</v>
      </c>
      <c r="C8625" s="309">
        <v>6.0191713525643697</v>
      </c>
    </row>
    <row r="8626" spans="1:3" x14ac:dyDescent="0.35">
      <c r="A8626" s="302">
        <v>37540</v>
      </c>
      <c r="B8626" s="303">
        <v>127.8849</v>
      </c>
      <c r="C8626" s="308">
        <v>6.0252500882957198</v>
      </c>
    </row>
    <row r="8627" spans="1:3" x14ac:dyDescent="0.35">
      <c r="A8627" s="305">
        <v>37539</v>
      </c>
      <c r="B8627" s="306">
        <v>127.881</v>
      </c>
      <c r="C8627" s="309">
        <v>6.0311590537862596</v>
      </c>
    </row>
    <row r="8628" spans="1:3" x14ac:dyDescent="0.35">
      <c r="A8628" s="302">
        <v>37538</v>
      </c>
      <c r="B8628" s="303">
        <v>127.8772</v>
      </c>
      <c r="C8628" s="308">
        <v>6.0371519595079803</v>
      </c>
    </row>
    <row r="8629" spans="1:3" x14ac:dyDescent="0.35">
      <c r="A8629" s="305">
        <v>37537</v>
      </c>
      <c r="B8629" s="306">
        <v>127.8734</v>
      </c>
      <c r="C8629" s="309">
        <v>6.04323383872602</v>
      </c>
    </row>
    <row r="8630" spans="1:3" x14ac:dyDescent="0.35">
      <c r="A8630" s="302">
        <v>37536</v>
      </c>
      <c r="B8630" s="303">
        <v>127.8695</v>
      </c>
      <c r="C8630" s="308">
        <v>6.0491458892629302</v>
      </c>
    </row>
    <row r="8631" spans="1:3" x14ac:dyDescent="0.35">
      <c r="A8631" s="305">
        <v>37535</v>
      </c>
      <c r="B8631" s="306">
        <v>127.8657</v>
      </c>
      <c r="C8631" s="309">
        <v>6.0552298673248997</v>
      </c>
    </row>
    <row r="8632" spans="1:3" x14ac:dyDescent="0.35">
      <c r="A8632" s="302">
        <v>37534</v>
      </c>
      <c r="B8632" s="303">
        <v>127.86190000000001</v>
      </c>
      <c r="C8632" s="308">
        <v>6.06122692750517</v>
      </c>
    </row>
    <row r="8633" spans="1:3" x14ac:dyDescent="0.35">
      <c r="A8633" s="305">
        <v>37533</v>
      </c>
      <c r="B8633" s="306">
        <v>127.858</v>
      </c>
      <c r="C8633" s="309">
        <v>6.0671420654962001</v>
      </c>
    </row>
    <row r="8634" spans="1:3" x14ac:dyDescent="0.35">
      <c r="A8634" s="302">
        <v>37532</v>
      </c>
      <c r="B8634" s="303">
        <v>127.85420000000001</v>
      </c>
      <c r="C8634" s="308">
        <v>6.0732291911238203</v>
      </c>
    </row>
    <row r="8635" spans="1:3" x14ac:dyDescent="0.35">
      <c r="A8635" s="305">
        <v>37531</v>
      </c>
      <c r="B8635" s="306">
        <v>127.85039999999999</v>
      </c>
      <c r="C8635" s="309">
        <v>6.0792293619086699</v>
      </c>
    </row>
    <row r="8636" spans="1:3" x14ac:dyDescent="0.35">
      <c r="A8636" s="302">
        <v>37530</v>
      </c>
      <c r="B8636" s="303">
        <v>127.84650000000001</v>
      </c>
      <c r="C8636" s="308">
        <v>6.0851475897640999</v>
      </c>
    </row>
    <row r="8637" spans="1:3" x14ac:dyDescent="0.35">
      <c r="A8637" s="305">
        <v>37529</v>
      </c>
      <c r="B8637" s="306">
        <v>127.84269999999999</v>
      </c>
      <c r="C8637" s="309">
        <v>6.0912378654070496</v>
      </c>
    </row>
    <row r="8638" spans="1:3" x14ac:dyDescent="0.35">
      <c r="A8638" s="302">
        <v>37528</v>
      </c>
      <c r="B8638" s="303">
        <v>127.8389</v>
      </c>
      <c r="C8638" s="308">
        <v>6.0972411492196201</v>
      </c>
    </row>
    <row r="8639" spans="1:3" x14ac:dyDescent="0.35">
      <c r="A8639" s="305">
        <v>37527</v>
      </c>
      <c r="B8639" s="306">
        <v>127.83499999999999</v>
      </c>
      <c r="C8639" s="309">
        <v>6.1031624693522204</v>
      </c>
    </row>
    <row r="8640" spans="1:3" x14ac:dyDescent="0.35">
      <c r="A8640" s="302">
        <v>37526</v>
      </c>
      <c r="B8640" s="303">
        <v>127.8312</v>
      </c>
      <c r="C8640" s="308">
        <v>6.1091678190840302</v>
      </c>
    </row>
    <row r="8641" spans="1:3" x14ac:dyDescent="0.35">
      <c r="A8641" s="305">
        <v>37525</v>
      </c>
      <c r="B8641" s="306">
        <v>127.8274</v>
      </c>
      <c r="C8641" s="309">
        <v>6.1152622967286501</v>
      </c>
    </row>
    <row r="8642" spans="1:3" x14ac:dyDescent="0.35">
      <c r="A8642" s="302">
        <v>37524</v>
      </c>
      <c r="B8642" s="303">
        <v>127.8235</v>
      </c>
      <c r="C8642" s="308">
        <v>6.12118671155371</v>
      </c>
    </row>
    <row r="8643" spans="1:3" x14ac:dyDescent="0.35">
      <c r="A8643" s="305">
        <v>37523</v>
      </c>
      <c r="B8643" s="306">
        <v>127.8197</v>
      </c>
      <c r="C8643" s="309">
        <v>6.1271951783500702</v>
      </c>
    </row>
    <row r="8644" spans="1:3" x14ac:dyDescent="0.35">
      <c r="A8644" s="302">
        <v>37522</v>
      </c>
      <c r="B8644" s="303">
        <v>127.8159</v>
      </c>
      <c r="C8644" s="308">
        <v>6.1332046828979898</v>
      </c>
    </row>
    <row r="8645" spans="1:3" x14ac:dyDescent="0.35">
      <c r="A8645" s="305">
        <v>37521</v>
      </c>
      <c r="B8645" s="306">
        <v>127.812</v>
      </c>
      <c r="C8645" s="309">
        <v>6.1392203236693197</v>
      </c>
    </row>
    <row r="8646" spans="1:3" x14ac:dyDescent="0.35">
      <c r="A8646" s="302">
        <v>37520</v>
      </c>
      <c r="B8646" s="303">
        <v>127.8082</v>
      </c>
      <c r="C8646" s="308">
        <v>6.1452319099600698</v>
      </c>
    </row>
    <row r="8647" spans="1:3" x14ac:dyDescent="0.35">
      <c r="A8647" s="305">
        <v>37519</v>
      </c>
      <c r="B8647" s="306">
        <v>127.8044</v>
      </c>
      <c r="C8647" s="309">
        <v>6.1512445348110898</v>
      </c>
    </row>
    <row r="8648" spans="1:3" x14ac:dyDescent="0.35">
      <c r="A8648" s="302">
        <v>37518</v>
      </c>
      <c r="B8648" s="303">
        <v>127.8005</v>
      </c>
      <c r="C8648" s="308">
        <v>6.1571751337342597</v>
      </c>
    </row>
    <row r="8649" spans="1:3" x14ac:dyDescent="0.35">
      <c r="A8649" s="305">
        <v>37517</v>
      </c>
      <c r="B8649" s="306">
        <v>127.7967</v>
      </c>
      <c r="C8649" s="309">
        <v>6.1631898293370204</v>
      </c>
    </row>
    <row r="8650" spans="1:3" x14ac:dyDescent="0.35">
      <c r="A8650" s="302">
        <v>37516</v>
      </c>
      <c r="B8650" s="303">
        <v>127.7929</v>
      </c>
      <c r="C8650" s="308">
        <v>6.1692937688122402</v>
      </c>
    </row>
    <row r="8651" spans="1:3" x14ac:dyDescent="0.35">
      <c r="A8651" s="305">
        <v>37515</v>
      </c>
      <c r="B8651" s="306">
        <v>127.789</v>
      </c>
      <c r="C8651" s="309">
        <v>6.1752274696797098</v>
      </c>
    </row>
    <row r="8652" spans="1:3" x14ac:dyDescent="0.35">
      <c r="A8652" s="302">
        <v>37514</v>
      </c>
      <c r="B8652" s="303">
        <v>127.7852</v>
      </c>
      <c r="C8652" s="308">
        <v>6.1812452896350001</v>
      </c>
    </row>
    <row r="8653" spans="1:3" x14ac:dyDescent="0.35">
      <c r="A8653" s="305">
        <v>37513</v>
      </c>
      <c r="B8653" s="306">
        <v>127.7843</v>
      </c>
      <c r="C8653" s="309">
        <v>6.1842032007086498</v>
      </c>
    </row>
    <row r="8654" spans="1:3" x14ac:dyDescent="0.35">
      <c r="A8654" s="302">
        <v>37512</v>
      </c>
      <c r="B8654" s="303">
        <v>127.7835</v>
      </c>
      <c r="C8654" s="308">
        <v>6.1873326585661399</v>
      </c>
    </row>
    <row r="8655" spans="1:3" x14ac:dyDescent="0.35">
      <c r="A8655" s="305">
        <v>37511</v>
      </c>
      <c r="B8655" s="306">
        <v>127.78270000000001</v>
      </c>
      <c r="C8655" s="309">
        <v>6.1904623400798604</v>
      </c>
    </row>
    <row r="8656" spans="1:3" x14ac:dyDescent="0.35">
      <c r="A8656" s="302">
        <v>37510</v>
      </c>
      <c r="B8656" s="303">
        <v>127.78189999999999</v>
      </c>
      <c r="C8656" s="308">
        <v>6.1935039927931097</v>
      </c>
    </row>
    <row r="8657" spans="1:3" x14ac:dyDescent="0.35">
      <c r="A8657" s="305">
        <v>37509</v>
      </c>
      <c r="B8657" s="306">
        <v>127.78100000000001</v>
      </c>
      <c r="C8657" s="309">
        <v>6.1965510076875097</v>
      </c>
    </row>
    <row r="8658" spans="1:3" x14ac:dyDescent="0.35">
      <c r="A8658" s="302">
        <v>37508</v>
      </c>
      <c r="B8658" s="303">
        <v>127.78019999999999</v>
      </c>
      <c r="C8658" s="308">
        <v>6.1996813515878797</v>
      </c>
    </row>
    <row r="8659" spans="1:3" x14ac:dyDescent="0.35">
      <c r="A8659" s="305">
        <v>37507</v>
      </c>
      <c r="B8659" s="306">
        <v>127.7794</v>
      </c>
      <c r="C8659" s="309">
        <v>6.20272364970723</v>
      </c>
    </row>
    <row r="8660" spans="1:3" x14ac:dyDescent="0.35">
      <c r="A8660" s="302">
        <v>37506</v>
      </c>
      <c r="B8660" s="303">
        <v>127.7786</v>
      </c>
      <c r="C8660" s="308">
        <v>6.2058544353772902</v>
      </c>
    </row>
    <row r="8661" spans="1:3" x14ac:dyDescent="0.35">
      <c r="A8661" s="305">
        <v>37505</v>
      </c>
      <c r="B8661" s="306">
        <v>127.7777</v>
      </c>
      <c r="C8661" s="309">
        <v>6.2089023247849902</v>
      </c>
    </row>
    <row r="8662" spans="1:3" x14ac:dyDescent="0.35">
      <c r="A8662" s="302">
        <v>37504</v>
      </c>
      <c r="B8662" s="303">
        <v>127.7769</v>
      </c>
      <c r="C8662" s="308">
        <v>6.2119452685162599</v>
      </c>
    </row>
    <row r="8663" spans="1:3" x14ac:dyDescent="0.35">
      <c r="A8663" s="305">
        <v>37503</v>
      </c>
      <c r="B8663" s="306">
        <v>127.7761</v>
      </c>
      <c r="C8663" s="309">
        <v>6.2150767169246102</v>
      </c>
    </row>
    <row r="8664" spans="1:3" x14ac:dyDescent="0.35">
      <c r="A8664" s="302">
        <v>37502</v>
      </c>
      <c r="B8664" s="303">
        <v>127.7753</v>
      </c>
      <c r="C8664" s="308">
        <v>6.2182083892028901</v>
      </c>
    </row>
    <row r="8665" spans="1:3" x14ac:dyDescent="0.35">
      <c r="A8665" s="305">
        <v>37501</v>
      </c>
      <c r="B8665" s="306">
        <v>127.7744</v>
      </c>
      <c r="C8665" s="309">
        <v>6.2211688498465003</v>
      </c>
    </row>
    <row r="8666" spans="1:3" x14ac:dyDescent="0.35">
      <c r="A8666" s="302">
        <v>37500</v>
      </c>
      <c r="B8666" s="303">
        <v>127.7736</v>
      </c>
      <c r="C8666" s="308">
        <v>6.2243009612043201</v>
      </c>
    </row>
    <row r="8667" spans="1:3" x14ac:dyDescent="0.35">
      <c r="A8667" s="305">
        <v>37499</v>
      </c>
      <c r="B8667" s="306">
        <v>127.7728</v>
      </c>
      <c r="C8667" s="309">
        <v>6.2274332965033103</v>
      </c>
    </row>
    <row r="8668" spans="1:3" x14ac:dyDescent="0.35">
      <c r="A8668" s="302">
        <v>37498</v>
      </c>
      <c r="B8668" s="303">
        <v>127.77200000000001</v>
      </c>
      <c r="C8668" s="308">
        <v>6.2304775349793502</v>
      </c>
    </row>
    <row r="8669" spans="1:3" x14ac:dyDescent="0.35">
      <c r="A8669" s="305">
        <v>37497</v>
      </c>
      <c r="B8669" s="306">
        <v>127.7711</v>
      </c>
      <c r="C8669" s="309">
        <v>6.2335271688430902</v>
      </c>
    </row>
    <row r="8670" spans="1:3" x14ac:dyDescent="0.35">
      <c r="A8670" s="302">
        <v>37496</v>
      </c>
      <c r="B8670" s="303">
        <v>127.77030000000001</v>
      </c>
      <c r="C8670" s="308">
        <v>6.2366601673741098</v>
      </c>
    </row>
    <row r="8671" spans="1:3" x14ac:dyDescent="0.35">
      <c r="A8671" s="305">
        <v>37495</v>
      </c>
      <c r="B8671" s="306">
        <v>127.76949999999999</v>
      </c>
      <c r="C8671" s="309">
        <v>6.2397050520806898</v>
      </c>
    </row>
    <row r="8672" spans="1:3" x14ac:dyDescent="0.35">
      <c r="A8672" s="302">
        <v>37494</v>
      </c>
      <c r="B8672" s="303">
        <v>127.7687</v>
      </c>
      <c r="C8672" s="308">
        <v>6.24283849294451</v>
      </c>
    </row>
    <row r="8673" spans="1:3" x14ac:dyDescent="0.35">
      <c r="A8673" s="305">
        <v>37493</v>
      </c>
      <c r="B8673" s="306">
        <v>127.76779999999999</v>
      </c>
      <c r="C8673" s="309">
        <v>6.2458890024422802</v>
      </c>
    </row>
    <row r="8674" spans="1:3" x14ac:dyDescent="0.35">
      <c r="A8674" s="302">
        <v>37492</v>
      </c>
      <c r="B8674" s="303">
        <v>127.767</v>
      </c>
      <c r="C8674" s="308">
        <v>6.2489345335855804</v>
      </c>
    </row>
    <row r="8675" spans="1:3" x14ac:dyDescent="0.35">
      <c r="A8675" s="305">
        <v>37491</v>
      </c>
      <c r="B8675" s="306">
        <v>127.7662</v>
      </c>
      <c r="C8675" s="309">
        <v>6.2520686380336699</v>
      </c>
    </row>
    <row r="8676" spans="1:3" x14ac:dyDescent="0.35">
      <c r="A8676" s="302">
        <v>37490</v>
      </c>
      <c r="B8676" s="303">
        <v>127.7654</v>
      </c>
      <c r="C8676" s="308">
        <v>6.2552029666369799</v>
      </c>
    </row>
    <row r="8677" spans="1:3" x14ac:dyDescent="0.35">
      <c r="A8677" s="305">
        <v>37489</v>
      </c>
      <c r="B8677" s="306">
        <v>127.7645</v>
      </c>
      <c r="C8677" s="309">
        <v>6.2581659801213698</v>
      </c>
    </row>
    <row r="8678" spans="1:3" x14ac:dyDescent="0.35">
      <c r="A8678" s="302">
        <v>37488</v>
      </c>
      <c r="B8678" s="303">
        <v>127.7637</v>
      </c>
      <c r="C8678" s="308">
        <v>6.26130074836529</v>
      </c>
    </row>
    <row r="8679" spans="1:3" x14ac:dyDescent="0.35">
      <c r="A8679" s="305">
        <v>37487</v>
      </c>
      <c r="B8679" s="306">
        <v>127.7629</v>
      </c>
      <c r="C8679" s="309">
        <v>6.2643473574247004</v>
      </c>
    </row>
    <row r="8680" spans="1:3" x14ac:dyDescent="0.35">
      <c r="A8680" s="302">
        <v>37486</v>
      </c>
      <c r="B8680" s="303">
        <v>127.7621</v>
      </c>
      <c r="C8680" s="308">
        <v>6.2674825683769599</v>
      </c>
    </row>
    <row r="8681" spans="1:3" x14ac:dyDescent="0.35">
      <c r="A8681" s="305">
        <v>37485</v>
      </c>
      <c r="B8681" s="306">
        <v>127.7612</v>
      </c>
      <c r="C8681" s="309">
        <v>6.2705348245670898</v>
      </c>
    </row>
    <row r="8682" spans="1:3" x14ac:dyDescent="0.35">
      <c r="A8682" s="302">
        <v>37484</v>
      </c>
      <c r="B8682" s="303">
        <v>127.7604</v>
      </c>
      <c r="C8682" s="308">
        <v>6.2735820806132798</v>
      </c>
    </row>
    <row r="8683" spans="1:3" x14ac:dyDescent="0.35">
      <c r="A8683" s="305">
        <v>37483</v>
      </c>
      <c r="B8683" s="306">
        <v>127.75960000000001</v>
      </c>
      <c r="C8683" s="309">
        <v>6.2767179557140098</v>
      </c>
    </row>
    <row r="8684" spans="1:3" x14ac:dyDescent="0.35">
      <c r="A8684" s="302">
        <v>37482</v>
      </c>
      <c r="B8684" s="303">
        <v>127.7419</v>
      </c>
      <c r="C8684" s="308">
        <v>6.2634085473640404</v>
      </c>
    </row>
    <row r="8685" spans="1:3" x14ac:dyDescent="0.35">
      <c r="A8685" s="305">
        <v>37481</v>
      </c>
      <c r="B8685" s="306">
        <v>127.7243</v>
      </c>
      <c r="C8685" s="309">
        <v>6.2500935854455903</v>
      </c>
    </row>
    <row r="8686" spans="1:3" x14ac:dyDescent="0.35">
      <c r="A8686" s="302">
        <v>37480</v>
      </c>
      <c r="B8686" s="303">
        <v>127.70659999999999</v>
      </c>
      <c r="C8686" s="308">
        <v>6.2367834794949504</v>
      </c>
    </row>
    <row r="8687" spans="1:3" x14ac:dyDescent="0.35">
      <c r="A8687" s="305">
        <v>37479</v>
      </c>
      <c r="B8687" s="306">
        <v>127.6889</v>
      </c>
      <c r="C8687" s="309">
        <v>6.2233846527557697</v>
      </c>
    </row>
    <row r="8688" spans="1:3" x14ac:dyDescent="0.35">
      <c r="A8688" s="302">
        <v>37478</v>
      </c>
      <c r="B8688" s="303">
        <v>127.6712</v>
      </c>
      <c r="C8688" s="308">
        <v>6.2100738480429101</v>
      </c>
    </row>
    <row r="8689" spans="1:3" x14ac:dyDescent="0.35">
      <c r="A8689" s="305">
        <v>37477</v>
      </c>
      <c r="B8689" s="306">
        <v>127.6536</v>
      </c>
      <c r="C8689" s="309">
        <v>6.1967575338089702</v>
      </c>
    </row>
    <row r="8690" spans="1:3" x14ac:dyDescent="0.35">
      <c r="A8690" s="302">
        <v>37476</v>
      </c>
      <c r="B8690" s="303">
        <v>127.63590000000001</v>
      </c>
      <c r="C8690" s="308">
        <v>6.1834460313868496</v>
      </c>
    </row>
    <row r="8691" spans="1:3" x14ac:dyDescent="0.35">
      <c r="A8691" s="305">
        <v>37475</v>
      </c>
      <c r="B8691" s="306">
        <v>127.6182</v>
      </c>
      <c r="C8691" s="309">
        <v>6.17004584793726</v>
      </c>
    </row>
    <row r="8692" spans="1:3" x14ac:dyDescent="0.35">
      <c r="A8692" s="302">
        <v>37474</v>
      </c>
      <c r="B8692" s="303">
        <v>127.6006</v>
      </c>
      <c r="C8692" s="308">
        <v>6.1568168412505502</v>
      </c>
    </row>
    <row r="8693" spans="1:3" x14ac:dyDescent="0.35">
      <c r="A8693" s="305">
        <v>37473</v>
      </c>
      <c r="B8693" s="306">
        <v>127.5829</v>
      </c>
      <c r="C8693" s="309">
        <v>6.1434159798866199</v>
      </c>
    </row>
    <row r="8694" spans="1:3" x14ac:dyDescent="0.35">
      <c r="A8694" s="302">
        <v>37472</v>
      </c>
      <c r="B8694" s="303">
        <v>127.5652</v>
      </c>
      <c r="C8694" s="308">
        <v>6.1301030807757302</v>
      </c>
    </row>
    <row r="8695" spans="1:3" x14ac:dyDescent="0.35">
      <c r="A8695" s="305">
        <v>37471</v>
      </c>
      <c r="B8695" s="306">
        <v>127.5476</v>
      </c>
      <c r="C8695" s="309">
        <v>6.1167847381973504</v>
      </c>
    </row>
    <row r="8696" spans="1:3" x14ac:dyDescent="0.35">
      <c r="A8696" s="302">
        <v>37470</v>
      </c>
      <c r="B8696" s="303">
        <v>127.5299</v>
      </c>
      <c r="C8696" s="308">
        <v>6.1034711412143201</v>
      </c>
    </row>
    <row r="8697" spans="1:3" x14ac:dyDescent="0.35">
      <c r="A8697" s="305">
        <v>37469</v>
      </c>
      <c r="B8697" s="306">
        <v>127.5123</v>
      </c>
      <c r="C8697" s="309">
        <v>6.0901521227631701</v>
      </c>
    </row>
    <row r="8698" spans="1:3" x14ac:dyDescent="0.35">
      <c r="A8698" s="302">
        <v>37468</v>
      </c>
      <c r="B8698" s="303">
        <v>127.49460000000001</v>
      </c>
      <c r="C8698" s="308">
        <v>6.0768378278537103</v>
      </c>
    </row>
    <row r="8699" spans="1:3" x14ac:dyDescent="0.35">
      <c r="A8699" s="305">
        <v>37467</v>
      </c>
      <c r="B8699" s="306">
        <v>127.477</v>
      </c>
      <c r="C8699" s="309">
        <v>6.0635181334777704</v>
      </c>
    </row>
    <row r="8700" spans="1:3" x14ac:dyDescent="0.35">
      <c r="A8700" s="302">
        <v>37466</v>
      </c>
      <c r="B8700" s="303">
        <v>127.4593</v>
      </c>
      <c r="C8700" s="308">
        <v>6.0502031405876</v>
      </c>
    </row>
    <row r="8701" spans="1:3" x14ac:dyDescent="0.35">
      <c r="A8701" s="305">
        <v>37465</v>
      </c>
      <c r="B8701" s="306">
        <v>127.4417</v>
      </c>
      <c r="C8701" s="309">
        <v>6.0368827702348504</v>
      </c>
    </row>
    <row r="8702" spans="1:3" x14ac:dyDescent="0.35">
      <c r="A8702" s="302">
        <v>37464</v>
      </c>
      <c r="B8702" s="303">
        <v>127.4241</v>
      </c>
      <c r="C8702" s="308">
        <v>6.0236502846454503</v>
      </c>
    </row>
    <row r="8703" spans="1:3" x14ac:dyDescent="0.35">
      <c r="A8703" s="305">
        <v>37463</v>
      </c>
      <c r="B8703" s="306">
        <v>127.4064</v>
      </c>
      <c r="C8703" s="309">
        <v>6.01024603292809</v>
      </c>
    </row>
    <row r="8704" spans="1:3" x14ac:dyDescent="0.35">
      <c r="A8704" s="302">
        <v>37462</v>
      </c>
      <c r="B8704" s="303">
        <v>127.3888</v>
      </c>
      <c r="C8704" s="308">
        <v>5.9970128513956</v>
      </c>
    </row>
    <row r="8705" spans="1:3" x14ac:dyDescent="0.35">
      <c r="A8705" s="305">
        <v>37461</v>
      </c>
      <c r="B8705" s="306">
        <v>127.3712</v>
      </c>
      <c r="C8705" s="309">
        <v>5.9836911299717102</v>
      </c>
    </row>
    <row r="8706" spans="1:3" x14ac:dyDescent="0.35">
      <c r="A8706" s="302">
        <v>37460</v>
      </c>
      <c r="B8706" s="303">
        <v>127.3535</v>
      </c>
      <c r="C8706" s="308">
        <v>5.9703740439213702</v>
      </c>
    </row>
    <row r="8707" spans="1:3" x14ac:dyDescent="0.35">
      <c r="A8707" s="305">
        <v>37459</v>
      </c>
      <c r="B8707" s="306">
        <v>127.3359</v>
      </c>
      <c r="C8707" s="309">
        <v>5.9570516463646497</v>
      </c>
    </row>
    <row r="8708" spans="1:3" x14ac:dyDescent="0.35">
      <c r="A8708" s="302">
        <v>37458</v>
      </c>
      <c r="B8708" s="303">
        <v>127.31829999999999</v>
      </c>
      <c r="C8708" s="308">
        <v>5.9438170738912204</v>
      </c>
    </row>
    <row r="8709" spans="1:3" x14ac:dyDescent="0.35">
      <c r="A8709" s="305">
        <v>37457</v>
      </c>
      <c r="B8709" s="306">
        <v>127.30070000000001</v>
      </c>
      <c r="C8709" s="309">
        <v>5.9304940011882801</v>
      </c>
    </row>
    <row r="8710" spans="1:3" x14ac:dyDescent="0.35">
      <c r="A8710" s="302">
        <v>37456</v>
      </c>
      <c r="B8710" s="303">
        <v>127.2831</v>
      </c>
      <c r="C8710" s="308">
        <v>5.9172587337171203</v>
      </c>
    </row>
    <row r="8711" spans="1:3" x14ac:dyDescent="0.35">
      <c r="A8711" s="305">
        <v>37455</v>
      </c>
      <c r="B8711" s="306">
        <v>127.2654</v>
      </c>
      <c r="C8711" s="309">
        <v>5.9038517708559599</v>
      </c>
    </row>
    <row r="8712" spans="1:3" x14ac:dyDescent="0.35">
      <c r="A8712" s="302">
        <v>37454</v>
      </c>
      <c r="B8712" s="303">
        <v>127.2478</v>
      </c>
      <c r="C8712" s="308">
        <v>5.8906158072249903</v>
      </c>
    </row>
    <row r="8713" spans="1:3" x14ac:dyDescent="0.35">
      <c r="A8713" s="305">
        <v>37453</v>
      </c>
      <c r="B8713" s="306">
        <v>127.2302</v>
      </c>
      <c r="C8713" s="309">
        <v>5.87729138303503</v>
      </c>
    </row>
    <row r="8714" spans="1:3" x14ac:dyDescent="0.35">
      <c r="A8714" s="302">
        <v>37452</v>
      </c>
      <c r="B8714" s="303">
        <v>127.21259999999999</v>
      </c>
      <c r="C8714" s="308">
        <v>5.8640547242980503</v>
      </c>
    </row>
    <row r="8715" spans="1:3" x14ac:dyDescent="0.35">
      <c r="A8715" s="305">
        <v>37451</v>
      </c>
      <c r="B8715" s="306">
        <v>127.18729999999999</v>
      </c>
      <c r="C8715" s="309">
        <v>5.85780013516528</v>
      </c>
    </row>
    <row r="8716" spans="1:3" x14ac:dyDescent="0.35">
      <c r="A8716" s="302">
        <v>37450</v>
      </c>
      <c r="B8716" s="303">
        <v>127.1619</v>
      </c>
      <c r="C8716" s="308">
        <v>5.8514605551874403</v>
      </c>
    </row>
    <row r="8717" spans="1:3" x14ac:dyDescent="0.35">
      <c r="A8717" s="305">
        <v>37449</v>
      </c>
      <c r="B8717" s="306">
        <v>127.1365</v>
      </c>
      <c r="C8717" s="309">
        <v>5.84511920183557</v>
      </c>
    </row>
    <row r="8718" spans="1:3" x14ac:dyDescent="0.35">
      <c r="A8718" s="302">
        <v>37448</v>
      </c>
      <c r="B8718" s="303">
        <v>127.1112</v>
      </c>
      <c r="C8718" s="308">
        <v>5.8387712127255096</v>
      </c>
    </row>
    <row r="8719" spans="1:3" x14ac:dyDescent="0.35">
      <c r="A8719" s="305">
        <v>37447</v>
      </c>
      <c r="B8719" s="306">
        <v>127.0859</v>
      </c>
      <c r="C8719" s="309">
        <v>5.8325095913545804</v>
      </c>
    </row>
    <row r="8720" spans="1:3" x14ac:dyDescent="0.35">
      <c r="A8720" s="302">
        <v>37446</v>
      </c>
      <c r="B8720" s="303">
        <v>127.0605</v>
      </c>
      <c r="C8720" s="308">
        <v>5.8261629296724404</v>
      </c>
    </row>
    <row r="8721" spans="1:3" x14ac:dyDescent="0.35">
      <c r="A8721" s="305">
        <v>37445</v>
      </c>
      <c r="B8721" s="306">
        <v>127.0352</v>
      </c>
      <c r="C8721" s="309">
        <v>5.8198977913093497</v>
      </c>
    </row>
    <row r="8722" spans="1:3" x14ac:dyDescent="0.35">
      <c r="A8722" s="302">
        <v>37444</v>
      </c>
      <c r="B8722" s="303">
        <v>127.0099</v>
      </c>
      <c r="C8722" s="308">
        <v>5.8135427445060399</v>
      </c>
    </row>
    <row r="8723" spans="1:3" x14ac:dyDescent="0.35">
      <c r="A8723" s="305">
        <v>37443</v>
      </c>
      <c r="B8723" s="306">
        <v>126.9845</v>
      </c>
      <c r="C8723" s="309">
        <v>5.80719076782069</v>
      </c>
    </row>
    <row r="8724" spans="1:3" x14ac:dyDescent="0.35">
      <c r="A8724" s="302">
        <v>37442</v>
      </c>
      <c r="B8724" s="303">
        <v>126.9592</v>
      </c>
      <c r="C8724" s="308">
        <v>5.8009203471385398</v>
      </c>
    </row>
    <row r="8725" spans="1:3" x14ac:dyDescent="0.35">
      <c r="A8725" s="305">
        <v>37441</v>
      </c>
      <c r="B8725" s="306">
        <v>126.93389999999999</v>
      </c>
      <c r="C8725" s="309">
        <v>5.7945599946658399</v>
      </c>
    </row>
    <row r="8726" spans="1:3" x14ac:dyDescent="0.35">
      <c r="A8726" s="302">
        <v>37440</v>
      </c>
      <c r="B8726" s="303">
        <v>126.90860000000001</v>
      </c>
      <c r="C8726" s="308">
        <v>5.7882860541475996</v>
      </c>
    </row>
    <row r="8727" spans="1:3" x14ac:dyDescent="0.35">
      <c r="A8727" s="305">
        <v>37439</v>
      </c>
      <c r="B8727" s="306">
        <v>126.88330000000001</v>
      </c>
      <c r="C8727" s="309">
        <v>5.7820103561629699</v>
      </c>
    </row>
    <row r="8728" spans="1:3" x14ac:dyDescent="0.35">
      <c r="A8728" s="302">
        <v>37438</v>
      </c>
      <c r="B8728" s="303">
        <v>126.858</v>
      </c>
      <c r="C8728" s="308">
        <v>5.7756447029630298</v>
      </c>
    </row>
    <row r="8729" spans="1:3" x14ac:dyDescent="0.35">
      <c r="A8729" s="305">
        <v>37437</v>
      </c>
      <c r="B8729" s="306">
        <v>126.8327</v>
      </c>
      <c r="C8729" s="309">
        <v>5.7693654807095696</v>
      </c>
    </row>
    <row r="8730" spans="1:3" x14ac:dyDescent="0.35">
      <c r="A8730" s="302">
        <v>37436</v>
      </c>
      <c r="B8730" s="303">
        <v>126.8074</v>
      </c>
      <c r="C8730" s="308">
        <v>5.7629962876685701</v>
      </c>
    </row>
    <row r="8731" spans="1:3" x14ac:dyDescent="0.35">
      <c r="A8731" s="305">
        <v>37435</v>
      </c>
      <c r="B8731" s="306">
        <v>126.7821</v>
      </c>
      <c r="C8731" s="309">
        <v>5.7567135381866503</v>
      </c>
    </row>
    <row r="8732" spans="1:3" x14ac:dyDescent="0.35">
      <c r="A8732" s="302">
        <v>37434</v>
      </c>
      <c r="B8732" s="303">
        <v>126.7568</v>
      </c>
      <c r="C8732" s="308">
        <v>5.7503408023413201</v>
      </c>
    </row>
    <row r="8733" spans="1:3" x14ac:dyDescent="0.35">
      <c r="A8733" s="305">
        <v>37433</v>
      </c>
      <c r="B8733" s="306">
        <v>126.7316</v>
      </c>
      <c r="C8733" s="309">
        <v>5.7441379621084803</v>
      </c>
    </row>
    <row r="8734" spans="1:3" x14ac:dyDescent="0.35">
      <c r="A8734" s="302">
        <v>37432</v>
      </c>
      <c r="B8734" s="303">
        <v>126.7063</v>
      </c>
      <c r="C8734" s="308">
        <v>5.73776169212063</v>
      </c>
    </row>
    <row r="8735" spans="1:3" x14ac:dyDescent="0.35">
      <c r="A8735" s="305">
        <v>37431</v>
      </c>
      <c r="B8735" s="306">
        <v>126.681</v>
      </c>
      <c r="C8735" s="309">
        <v>5.7313836446492097</v>
      </c>
    </row>
    <row r="8736" spans="1:3" x14ac:dyDescent="0.35">
      <c r="A8736" s="302">
        <v>37430</v>
      </c>
      <c r="B8736" s="303">
        <v>126.6558</v>
      </c>
      <c r="C8736" s="308">
        <v>5.7251755466738796</v>
      </c>
    </row>
    <row r="8737" spans="1:3" x14ac:dyDescent="0.35">
      <c r="A8737" s="305">
        <v>37429</v>
      </c>
      <c r="B8737" s="306">
        <v>126.6305</v>
      </c>
      <c r="C8737" s="309">
        <v>5.7187939606196299</v>
      </c>
    </row>
    <row r="8738" spans="1:3" x14ac:dyDescent="0.35">
      <c r="A8738" s="302">
        <v>37428</v>
      </c>
      <c r="B8738" s="303">
        <v>126.6053</v>
      </c>
      <c r="C8738" s="308">
        <v>5.7125823600974304</v>
      </c>
    </row>
    <row r="8739" spans="1:3" x14ac:dyDescent="0.35">
      <c r="A8739" s="305">
        <v>37427</v>
      </c>
      <c r="B8739" s="306">
        <v>126.58</v>
      </c>
      <c r="C8739" s="309">
        <v>5.7061972324985204</v>
      </c>
    </row>
    <row r="8740" spans="1:3" x14ac:dyDescent="0.35">
      <c r="A8740" s="302">
        <v>37426</v>
      </c>
      <c r="B8740" s="303">
        <v>126.5548</v>
      </c>
      <c r="C8740" s="308">
        <v>5.6998938447494103</v>
      </c>
    </row>
    <row r="8741" spans="1:3" x14ac:dyDescent="0.35">
      <c r="A8741" s="305">
        <v>37425</v>
      </c>
      <c r="B8741" s="306">
        <v>126.5296</v>
      </c>
      <c r="C8741" s="309">
        <v>5.6935886983600899</v>
      </c>
    </row>
    <row r="8742" spans="1:3" x14ac:dyDescent="0.35">
      <c r="A8742" s="302">
        <v>37424</v>
      </c>
      <c r="B8742" s="303">
        <v>126.5043</v>
      </c>
      <c r="C8742" s="308">
        <v>5.6872865440011804</v>
      </c>
    </row>
    <row r="8743" spans="1:3" x14ac:dyDescent="0.35">
      <c r="A8743" s="305">
        <v>37423</v>
      </c>
      <c r="B8743" s="306">
        <v>126.4791</v>
      </c>
      <c r="C8743" s="309">
        <v>5.6809778735144798</v>
      </c>
    </row>
    <row r="8744" spans="1:3" x14ac:dyDescent="0.35">
      <c r="A8744" s="302">
        <v>37422</v>
      </c>
      <c r="B8744" s="303">
        <v>126.4539</v>
      </c>
      <c r="C8744" s="308">
        <v>5.6746674421753003</v>
      </c>
    </row>
    <row r="8745" spans="1:3" x14ac:dyDescent="0.35">
      <c r="A8745" s="305">
        <v>37421</v>
      </c>
      <c r="B8745" s="306">
        <v>126.4165</v>
      </c>
      <c r="C8745" s="309">
        <v>5.6823606224079199</v>
      </c>
    </row>
    <row r="8746" spans="1:3" x14ac:dyDescent="0.35">
      <c r="A8746" s="302">
        <v>37420</v>
      </c>
      <c r="B8746" s="303">
        <v>126.3792</v>
      </c>
      <c r="C8746" s="308">
        <v>5.69023149468409</v>
      </c>
    </row>
    <row r="8747" spans="1:3" x14ac:dyDescent="0.35">
      <c r="A8747" s="305">
        <v>37419</v>
      </c>
      <c r="B8747" s="306">
        <v>126.34180000000001</v>
      </c>
      <c r="C8747" s="309">
        <v>5.6979361002585103</v>
      </c>
    </row>
    <row r="8748" spans="1:3" x14ac:dyDescent="0.35">
      <c r="A8748" s="302">
        <v>37418</v>
      </c>
      <c r="B8748" s="303">
        <v>126.3045</v>
      </c>
      <c r="C8748" s="308">
        <v>5.7056416179165899</v>
      </c>
    </row>
    <row r="8749" spans="1:3" x14ac:dyDescent="0.35">
      <c r="A8749" s="305">
        <v>37417</v>
      </c>
      <c r="B8749" s="306">
        <v>126.2672</v>
      </c>
      <c r="C8749" s="309">
        <v>5.71344131798541</v>
      </c>
    </row>
    <row r="8750" spans="1:3" x14ac:dyDescent="0.35">
      <c r="A8750" s="302">
        <v>37416</v>
      </c>
      <c r="B8750" s="303">
        <v>126.2299</v>
      </c>
      <c r="C8750" s="308">
        <v>5.72124677969963</v>
      </c>
    </row>
    <row r="8751" spans="1:3" x14ac:dyDescent="0.35">
      <c r="A8751" s="305">
        <v>37415</v>
      </c>
      <c r="B8751" s="306">
        <v>126.1926</v>
      </c>
      <c r="C8751" s="309">
        <v>5.7289694256117096</v>
      </c>
    </row>
    <row r="8752" spans="1:3" x14ac:dyDescent="0.35">
      <c r="A8752" s="302">
        <v>37414</v>
      </c>
      <c r="B8752" s="303">
        <v>126.1554</v>
      </c>
      <c r="C8752" s="308">
        <v>5.7367815822205497</v>
      </c>
    </row>
    <row r="8753" spans="1:3" x14ac:dyDescent="0.35">
      <c r="A8753" s="305">
        <v>37413</v>
      </c>
      <c r="B8753" s="306">
        <v>126.1181</v>
      </c>
      <c r="C8753" s="309">
        <v>5.7445156573329701</v>
      </c>
    </row>
    <row r="8754" spans="1:3" x14ac:dyDescent="0.35">
      <c r="A8754" s="302">
        <v>37412</v>
      </c>
      <c r="B8754" s="303">
        <v>126.0809</v>
      </c>
      <c r="C8754" s="308">
        <v>5.7523393176472997</v>
      </c>
    </row>
    <row r="8755" spans="1:3" x14ac:dyDescent="0.35">
      <c r="A8755" s="305">
        <v>37411</v>
      </c>
      <c r="B8755" s="306">
        <v>126.0436</v>
      </c>
      <c r="C8755" s="309">
        <v>5.7600848473050599</v>
      </c>
    </row>
    <row r="8756" spans="1:3" x14ac:dyDescent="0.35">
      <c r="A8756" s="302">
        <v>37410</v>
      </c>
      <c r="B8756" s="303">
        <v>126.0064</v>
      </c>
      <c r="C8756" s="308">
        <v>5.7678312568357404</v>
      </c>
    </row>
    <row r="8757" spans="1:3" x14ac:dyDescent="0.35">
      <c r="A8757" s="305">
        <v>37409</v>
      </c>
      <c r="B8757" s="306">
        <v>125.9692</v>
      </c>
      <c r="C8757" s="309">
        <v>5.77558337741727</v>
      </c>
    </row>
    <row r="8758" spans="1:3" x14ac:dyDescent="0.35">
      <c r="A8758" s="302">
        <v>37408</v>
      </c>
      <c r="B8758" s="303">
        <v>125.932</v>
      </c>
      <c r="C8758" s="308">
        <v>5.7834300738363797</v>
      </c>
    </row>
    <row r="8759" spans="1:3" x14ac:dyDescent="0.35">
      <c r="A8759" s="305">
        <v>37407</v>
      </c>
      <c r="B8759" s="306">
        <v>125.8948</v>
      </c>
      <c r="C8759" s="309">
        <v>5.7911936747866202</v>
      </c>
    </row>
    <row r="8760" spans="1:3" x14ac:dyDescent="0.35">
      <c r="A8760" s="302">
        <v>37406</v>
      </c>
      <c r="B8760" s="303">
        <v>125.85760000000001</v>
      </c>
      <c r="C8760" s="308">
        <v>5.7988740686940803</v>
      </c>
    </row>
    <row r="8761" spans="1:3" x14ac:dyDescent="0.35">
      <c r="A8761" s="305">
        <v>37405</v>
      </c>
      <c r="B8761" s="306">
        <v>125.82040000000001</v>
      </c>
      <c r="C8761" s="309">
        <v>5.8066490967528201</v>
      </c>
    </row>
    <row r="8762" spans="1:3" x14ac:dyDescent="0.35">
      <c r="A8762" s="302">
        <v>37404</v>
      </c>
      <c r="B8762" s="303">
        <v>125.78319999999999</v>
      </c>
      <c r="C8762" s="308">
        <v>5.8144298675460497</v>
      </c>
    </row>
    <row r="8763" spans="1:3" x14ac:dyDescent="0.35">
      <c r="A8763" s="305">
        <v>37403</v>
      </c>
      <c r="B8763" s="306">
        <v>125.7461</v>
      </c>
      <c r="C8763" s="309">
        <v>5.82221148772551</v>
      </c>
    </row>
    <row r="8764" spans="1:3" x14ac:dyDescent="0.35">
      <c r="A8764" s="302">
        <v>37402</v>
      </c>
      <c r="B8764" s="303">
        <v>125.7089</v>
      </c>
      <c r="C8764" s="308">
        <v>5.8299146601517498</v>
      </c>
    </row>
    <row r="8765" spans="1:3" x14ac:dyDescent="0.35">
      <c r="A8765" s="305">
        <v>37401</v>
      </c>
      <c r="B8765" s="306">
        <v>125.6718</v>
      </c>
      <c r="C8765" s="309">
        <v>5.83770773310785</v>
      </c>
    </row>
    <row r="8766" spans="1:3" x14ac:dyDescent="0.35">
      <c r="A8766" s="302">
        <v>37400</v>
      </c>
      <c r="B8766" s="303">
        <v>125.6347</v>
      </c>
      <c r="C8766" s="308">
        <v>5.8455065574916798</v>
      </c>
    </row>
    <row r="8767" spans="1:3" x14ac:dyDescent="0.35">
      <c r="A8767" s="305">
        <v>37399</v>
      </c>
      <c r="B8767" s="306">
        <v>125.5976</v>
      </c>
      <c r="C8767" s="309">
        <v>5.8533111396725701</v>
      </c>
    </row>
    <row r="8768" spans="1:3" x14ac:dyDescent="0.35">
      <c r="A8768" s="302">
        <v>37398</v>
      </c>
      <c r="B8768" s="303">
        <v>125.5605</v>
      </c>
      <c r="C8768" s="308">
        <v>5.86112148602927</v>
      </c>
    </row>
    <row r="8769" spans="1:3" x14ac:dyDescent="0.35">
      <c r="A8769" s="305">
        <v>37397</v>
      </c>
      <c r="B8769" s="306">
        <v>125.5234</v>
      </c>
      <c r="C8769" s="309">
        <v>5.8688483110530099</v>
      </c>
    </row>
    <row r="8770" spans="1:3" x14ac:dyDescent="0.35">
      <c r="A8770" s="302">
        <v>37396</v>
      </c>
      <c r="B8770" s="303">
        <v>125.4863</v>
      </c>
      <c r="C8770" s="308">
        <v>5.8765808339935504</v>
      </c>
    </row>
    <row r="8771" spans="1:3" x14ac:dyDescent="0.35">
      <c r="A8771" s="305">
        <v>37395</v>
      </c>
      <c r="B8771" s="306">
        <v>125.44929999999999</v>
      </c>
      <c r="C8771" s="309">
        <v>5.8844034652963897</v>
      </c>
    </row>
    <row r="8772" spans="1:3" x14ac:dyDescent="0.35">
      <c r="A8772" s="302">
        <v>37394</v>
      </c>
      <c r="B8772" s="303">
        <v>125.4122</v>
      </c>
      <c r="C8772" s="308">
        <v>5.8921474341383702</v>
      </c>
    </row>
    <row r="8773" spans="1:3" x14ac:dyDescent="0.35">
      <c r="A8773" s="305">
        <v>37393</v>
      </c>
      <c r="B8773" s="306">
        <v>125.37520000000001</v>
      </c>
      <c r="C8773" s="309">
        <v>5.8999815863137304</v>
      </c>
    </row>
    <row r="8774" spans="1:3" x14ac:dyDescent="0.35">
      <c r="A8774" s="302">
        <v>37392</v>
      </c>
      <c r="B8774" s="303">
        <v>125.3381</v>
      </c>
      <c r="C8774" s="308">
        <v>5.9077370264435398</v>
      </c>
    </row>
    <row r="8775" spans="1:3" x14ac:dyDescent="0.35">
      <c r="A8775" s="305">
        <v>37391</v>
      </c>
      <c r="B8775" s="306">
        <v>125.30110000000001</v>
      </c>
      <c r="C8775" s="309">
        <v>5.9154931958557198</v>
      </c>
    </row>
    <row r="8776" spans="1:3" x14ac:dyDescent="0.35">
      <c r="A8776" s="302">
        <v>37390</v>
      </c>
      <c r="B8776" s="303">
        <v>125.2715</v>
      </c>
      <c r="C8776" s="308">
        <v>5.9423231426276004</v>
      </c>
    </row>
    <row r="8777" spans="1:3" x14ac:dyDescent="0.35">
      <c r="A8777" s="305">
        <v>37389</v>
      </c>
      <c r="B8777" s="306">
        <v>125.242</v>
      </c>
      <c r="C8777" s="309">
        <v>5.96926398904787</v>
      </c>
    </row>
    <row r="8778" spans="1:3" x14ac:dyDescent="0.35">
      <c r="A8778" s="302">
        <v>37388</v>
      </c>
      <c r="B8778" s="303">
        <v>125.2124</v>
      </c>
      <c r="C8778" s="308">
        <v>5.9960568631152498</v>
      </c>
    </row>
    <row r="8779" spans="1:3" x14ac:dyDescent="0.35">
      <c r="A8779" s="305">
        <v>37387</v>
      </c>
      <c r="B8779" s="306">
        <v>125.1829</v>
      </c>
      <c r="C8779" s="309">
        <v>6.0230504592983598</v>
      </c>
    </row>
    <row r="8780" spans="1:3" x14ac:dyDescent="0.35">
      <c r="A8780" s="302">
        <v>37386</v>
      </c>
      <c r="B8780" s="303">
        <v>125.1534</v>
      </c>
      <c r="C8780" s="308">
        <v>6.0499806801927898</v>
      </c>
    </row>
    <row r="8781" spans="1:3" x14ac:dyDescent="0.35">
      <c r="A8781" s="305">
        <v>37385</v>
      </c>
      <c r="B8781" s="306">
        <v>125.12390000000001</v>
      </c>
      <c r="C8781" s="309">
        <v>6.0769372934607704</v>
      </c>
    </row>
    <row r="8782" spans="1:3" x14ac:dyDescent="0.35">
      <c r="A8782" s="302">
        <v>37384</v>
      </c>
      <c r="B8782" s="303">
        <v>125.09439999999999</v>
      </c>
      <c r="C8782" s="308">
        <v>6.1038303416255202</v>
      </c>
    </row>
    <row r="8783" spans="1:3" x14ac:dyDescent="0.35">
      <c r="A8783" s="305">
        <v>37383</v>
      </c>
      <c r="B8783" s="306">
        <v>125.06489999999999</v>
      </c>
      <c r="C8783" s="309">
        <v>6.1307497259004604</v>
      </c>
    </row>
    <row r="8784" spans="1:3" x14ac:dyDescent="0.35">
      <c r="A8784" s="302">
        <v>37382</v>
      </c>
      <c r="B8784" s="303">
        <v>125.0354</v>
      </c>
      <c r="C8784" s="308">
        <v>6.1576954849905796</v>
      </c>
    </row>
    <row r="8785" spans="1:3" x14ac:dyDescent="0.35">
      <c r="A8785" s="305">
        <v>37381</v>
      </c>
      <c r="B8785" s="306">
        <v>125.0059</v>
      </c>
      <c r="C8785" s="309">
        <v>6.1846676576767896</v>
      </c>
    </row>
    <row r="8786" spans="1:3" x14ac:dyDescent="0.35">
      <c r="A8786" s="302">
        <v>37380</v>
      </c>
      <c r="B8786" s="303">
        <v>124.9764</v>
      </c>
      <c r="C8786" s="308">
        <v>6.2115760185064</v>
      </c>
    </row>
    <row r="8787" spans="1:3" x14ac:dyDescent="0.35">
      <c r="A8787" s="305">
        <v>37379</v>
      </c>
      <c r="B8787" s="306">
        <v>124.947</v>
      </c>
      <c r="C8787" s="309">
        <v>6.2385957632782301</v>
      </c>
    </row>
    <row r="8788" spans="1:3" x14ac:dyDescent="0.35">
      <c r="A8788" s="302">
        <v>37378</v>
      </c>
      <c r="B8788" s="303">
        <v>124.9175</v>
      </c>
      <c r="C8788" s="308">
        <v>6.2655569185434201</v>
      </c>
    </row>
    <row r="8789" spans="1:3" x14ac:dyDescent="0.35">
      <c r="A8789" s="305">
        <v>37377</v>
      </c>
      <c r="B8789" s="306">
        <v>124.88809999999999</v>
      </c>
      <c r="C8789" s="309">
        <v>6.2926296187229003</v>
      </c>
    </row>
    <row r="8790" spans="1:3" x14ac:dyDescent="0.35">
      <c r="A8790" s="302">
        <v>37376</v>
      </c>
      <c r="B8790" s="303">
        <v>124.8586</v>
      </c>
      <c r="C8790" s="308">
        <v>6.31955319060161</v>
      </c>
    </row>
    <row r="8791" spans="1:3" x14ac:dyDescent="0.35">
      <c r="A8791" s="305">
        <v>37375</v>
      </c>
      <c r="B8791" s="306">
        <v>124.8292</v>
      </c>
      <c r="C8791" s="309">
        <v>6.34658833391833</v>
      </c>
    </row>
    <row r="8792" spans="1:3" x14ac:dyDescent="0.35">
      <c r="A8792" s="302">
        <v>37374</v>
      </c>
      <c r="B8792" s="303">
        <v>124.7997</v>
      </c>
      <c r="C8792" s="308">
        <v>6.3735647418517098</v>
      </c>
    </row>
    <row r="8793" spans="1:3" x14ac:dyDescent="0.35">
      <c r="A8793" s="305">
        <v>37373</v>
      </c>
      <c r="B8793" s="306">
        <v>124.77030000000001</v>
      </c>
      <c r="C8793" s="309">
        <v>6.4005621470058802</v>
      </c>
    </row>
    <row r="8794" spans="1:3" x14ac:dyDescent="0.35">
      <c r="A8794" s="302">
        <v>37372</v>
      </c>
      <c r="B8794" s="303">
        <v>124.7409</v>
      </c>
      <c r="C8794" s="308">
        <v>6.4275859950702703</v>
      </c>
    </row>
    <row r="8795" spans="1:3" x14ac:dyDescent="0.35">
      <c r="A8795" s="305">
        <v>37371</v>
      </c>
      <c r="B8795" s="306">
        <v>124.7115</v>
      </c>
      <c r="C8795" s="309">
        <v>6.4546363249136398</v>
      </c>
    </row>
    <row r="8796" spans="1:3" x14ac:dyDescent="0.35">
      <c r="A8796" s="302">
        <v>37370</v>
      </c>
      <c r="B8796" s="303">
        <v>124.68210000000001</v>
      </c>
      <c r="C8796" s="308">
        <v>6.4817131754809196</v>
      </c>
    </row>
    <row r="8797" spans="1:3" x14ac:dyDescent="0.35">
      <c r="A8797" s="305">
        <v>37369</v>
      </c>
      <c r="B8797" s="306">
        <v>124.6527</v>
      </c>
      <c r="C8797" s="309">
        <v>6.5087255799964501</v>
      </c>
    </row>
    <row r="8798" spans="1:3" x14ac:dyDescent="0.35">
      <c r="A8798" s="302">
        <v>37368</v>
      </c>
      <c r="B8798" s="303">
        <v>124.6233</v>
      </c>
      <c r="C8798" s="308">
        <v>6.5357644478144996</v>
      </c>
    </row>
    <row r="8799" spans="1:3" x14ac:dyDescent="0.35">
      <c r="A8799" s="305">
        <v>37367</v>
      </c>
      <c r="B8799" s="306">
        <v>124.5939</v>
      </c>
      <c r="C8799" s="309">
        <v>6.5628298178421902</v>
      </c>
    </row>
    <row r="8800" spans="1:3" x14ac:dyDescent="0.35">
      <c r="A8800" s="302">
        <v>37366</v>
      </c>
      <c r="B8800" s="303">
        <v>124.5645</v>
      </c>
      <c r="C8800" s="308">
        <v>6.5898305200772898</v>
      </c>
    </row>
    <row r="8801" spans="1:3" x14ac:dyDescent="0.35">
      <c r="A8801" s="305">
        <v>37365</v>
      </c>
      <c r="B8801" s="306">
        <v>124.5351</v>
      </c>
      <c r="C8801" s="309">
        <v>6.6168576668019297</v>
      </c>
    </row>
    <row r="8802" spans="1:3" x14ac:dyDescent="0.35">
      <c r="A8802" s="302">
        <v>37364</v>
      </c>
      <c r="B8802" s="303">
        <v>124.50579999999999</v>
      </c>
      <c r="C8802" s="308">
        <v>6.6439969507233503</v>
      </c>
    </row>
    <row r="8803" spans="1:3" x14ac:dyDescent="0.35">
      <c r="A8803" s="305">
        <v>37363</v>
      </c>
      <c r="B8803" s="306">
        <v>124.4764</v>
      </c>
      <c r="C8803" s="309">
        <v>6.6710771450950297</v>
      </c>
    </row>
    <row r="8804" spans="1:3" x14ac:dyDescent="0.35">
      <c r="A8804" s="302">
        <v>37362</v>
      </c>
      <c r="B8804" s="303">
        <v>124.447</v>
      </c>
      <c r="C8804" s="308">
        <v>6.6980924201802701</v>
      </c>
    </row>
    <row r="8805" spans="1:3" x14ac:dyDescent="0.35">
      <c r="A8805" s="305">
        <v>37361</v>
      </c>
      <c r="B8805" s="306">
        <v>124.4177</v>
      </c>
      <c r="C8805" s="309">
        <v>6.7252199393365402</v>
      </c>
    </row>
    <row r="8806" spans="1:3" x14ac:dyDescent="0.35">
      <c r="A8806" s="302">
        <v>37360</v>
      </c>
      <c r="B8806" s="303">
        <v>124.3674</v>
      </c>
      <c r="C8806" s="308">
        <v>6.7464442142251997</v>
      </c>
    </row>
    <row r="8807" spans="1:3" x14ac:dyDescent="0.35">
      <c r="A8807" s="305">
        <v>37359</v>
      </c>
      <c r="B8807" s="306">
        <v>124.3172</v>
      </c>
      <c r="C8807" s="309">
        <v>6.76787169703075</v>
      </c>
    </row>
    <row r="8808" spans="1:3" x14ac:dyDescent="0.35">
      <c r="A8808" s="302">
        <v>37358</v>
      </c>
      <c r="B8808" s="303">
        <v>124.267</v>
      </c>
      <c r="C8808" s="308">
        <v>6.7892333367134601</v>
      </c>
    </row>
    <row r="8809" spans="1:3" x14ac:dyDescent="0.35">
      <c r="A8809" s="305">
        <v>37357</v>
      </c>
      <c r="B8809" s="306">
        <v>124.21680000000001</v>
      </c>
      <c r="C8809" s="309">
        <v>6.81062080220953</v>
      </c>
    </row>
    <row r="8810" spans="1:3" x14ac:dyDescent="0.35">
      <c r="A8810" s="302">
        <v>37356</v>
      </c>
      <c r="B8810" s="303">
        <v>124.1666</v>
      </c>
      <c r="C8810" s="308">
        <v>6.83194222296025</v>
      </c>
    </row>
    <row r="8811" spans="1:3" x14ac:dyDescent="0.35">
      <c r="A8811" s="305">
        <v>37355</v>
      </c>
      <c r="B8811" s="306">
        <v>124.1165</v>
      </c>
      <c r="C8811" s="309">
        <v>6.8533755065390602</v>
      </c>
    </row>
    <row r="8812" spans="1:3" x14ac:dyDescent="0.35">
      <c r="A8812" s="302">
        <v>37354</v>
      </c>
      <c r="B8812" s="303">
        <v>124.0664</v>
      </c>
      <c r="C8812" s="308">
        <v>6.8747426472488504</v>
      </c>
    </row>
    <row r="8813" spans="1:3" x14ac:dyDescent="0.35">
      <c r="A8813" s="305">
        <v>37353</v>
      </c>
      <c r="B8813" s="306">
        <v>124.0163</v>
      </c>
      <c r="C8813" s="309">
        <v>6.8961356092321999</v>
      </c>
    </row>
    <row r="8814" spans="1:3" x14ac:dyDescent="0.35">
      <c r="A8814" s="302">
        <v>37352</v>
      </c>
      <c r="B8814" s="303">
        <v>123.9662</v>
      </c>
      <c r="C8814" s="308">
        <v>6.9174622258522698</v>
      </c>
    </row>
    <row r="8815" spans="1:3" x14ac:dyDescent="0.35">
      <c r="A8815" s="305">
        <v>37351</v>
      </c>
      <c r="B8815" s="306">
        <v>123.9161</v>
      </c>
      <c r="C8815" s="309">
        <v>6.9388146091026899</v>
      </c>
    </row>
    <row r="8816" spans="1:3" x14ac:dyDescent="0.35">
      <c r="A8816" s="302">
        <v>37350</v>
      </c>
      <c r="B8816" s="303">
        <v>123.8661</v>
      </c>
      <c r="C8816" s="308">
        <v>6.9602791572435603</v>
      </c>
    </row>
    <row r="8817" spans="1:3" x14ac:dyDescent="0.35">
      <c r="A8817" s="305">
        <v>37349</v>
      </c>
      <c r="B8817" s="306">
        <v>123.81610000000001</v>
      </c>
      <c r="C8817" s="309">
        <v>6.9816772338377602</v>
      </c>
    </row>
    <row r="8818" spans="1:3" x14ac:dyDescent="0.35">
      <c r="A8818" s="302">
        <v>37348</v>
      </c>
      <c r="B8818" s="303">
        <v>123.76609999999999</v>
      </c>
      <c r="C8818" s="308">
        <v>7.0031011732930804</v>
      </c>
    </row>
    <row r="8819" spans="1:3" x14ac:dyDescent="0.35">
      <c r="A8819" s="305">
        <v>37347</v>
      </c>
      <c r="B8819" s="306">
        <v>123.7161</v>
      </c>
      <c r="C8819" s="309">
        <v>7.0245510225267296</v>
      </c>
    </row>
    <row r="8820" spans="1:3" x14ac:dyDescent="0.35">
      <c r="A8820" s="302">
        <v>37346</v>
      </c>
      <c r="B8820" s="303">
        <v>123.6661</v>
      </c>
      <c r="C8820" s="308">
        <v>7.0459341690456396</v>
      </c>
    </row>
    <row r="8821" spans="1:3" x14ac:dyDescent="0.35">
      <c r="A8821" s="305">
        <v>37345</v>
      </c>
      <c r="B8821" s="306">
        <v>123.61620000000001</v>
      </c>
      <c r="C8821" s="309">
        <v>7.0673370490184597</v>
      </c>
    </row>
    <row r="8822" spans="1:3" x14ac:dyDescent="0.35">
      <c r="A8822" s="302">
        <v>37344</v>
      </c>
      <c r="B8822" s="303">
        <v>123.5663</v>
      </c>
      <c r="C8822" s="308">
        <v>7.0887657860344504</v>
      </c>
    </row>
    <row r="8823" spans="1:3" x14ac:dyDescent="0.35">
      <c r="A8823" s="305">
        <v>37343</v>
      </c>
      <c r="B8823" s="306">
        <v>123.5164</v>
      </c>
      <c r="C8823" s="309">
        <v>7.1102204269791702</v>
      </c>
    </row>
    <row r="8824" spans="1:3" x14ac:dyDescent="0.35">
      <c r="A8824" s="302">
        <v>37342</v>
      </c>
      <c r="B8824" s="303">
        <v>123.4665</v>
      </c>
      <c r="C8824" s="308">
        <v>7.13160806091238</v>
      </c>
    </row>
    <row r="8825" spans="1:3" x14ac:dyDescent="0.35">
      <c r="A8825" s="305">
        <v>37341</v>
      </c>
      <c r="B8825" s="306">
        <v>123.4166</v>
      </c>
      <c r="C8825" s="309">
        <v>7.1530215431953499</v>
      </c>
    </row>
    <row r="8826" spans="1:3" x14ac:dyDescent="0.35">
      <c r="A8826" s="302">
        <v>37340</v>
      </c>
      <c r="B8826" s="303">
        <v>123.3668</v>
      </c>
      <c r="C8826" s="308">
        <v>7.17454779542396</v>
      </c>
    </row>
    <row r="8827" spans="1:3" x14ac:dyDescent="0.35">
      <c r="A8827" s="305">
        <v>37339</v>
      </c>
      <c r="B8827" s="306">
        <v>123.31699999999999</v>
      </c>
      <c r="C8827" s="309">
        <v>7.19600691245041</v>
      </c>
    </row>
    <row r="8828" spans="1:3" x14ac:dyDescent="0.35">
      <c r="A8828" s="302">
        <v>37338</v>
      </c>
      <c r="B8828" s="303">
        <v>123.2672</v>
      </c>
      <c r="C8828" s="308">
        <v>7.2173987165280504</v>
      </c>
    </row>
    <row r="8829" spans="1:3" x14ac:dyDescent="0.35">
      <c r="A8829" s="305">
        <v>37337</v>
      </c>
      <c r="B8829" s="306">
        <v>123.2174</v>
      </c>
      <c r="C8829" s="309">
        <v>7.2388163620539601</v>
      </c>
    </row>
    <row r="8830" spans="1:3" x14ac:dyDescent="0.35">
      <c r="A8830" s="302">
        <v>37336</v>
      </c>
      <c r="B8830" s="303">
        <v>123.16759999999999</v>
      </c>
      <c r="C8830" s="308">
        <v>7.2602598958814104</v>
      </c>
    </row>
    <row r="8831" spans="1:3" x14ac:dyDescent="0.35">
      <c r="A8831" s="305">
        <v>37335</v>
      </c>
      <c r="B8831" s="306">
        <v>123.11790000000001</v>
      </c>
      <c r="C8831" s="309">
        <v>7.2818165024415897</v>
      </c>
    </row>
    <row r="8832" spans="1:3" x14ac:dyDescent="0.35">
      <c r="A8832" s="302">
        <v>37334</v>
      </c>
      <c r="B8832" s="303">
        <v>123.0682</v>
      </c>
      <c r="C8832" s="308">
        <v>7.3032120810518597</v>
      </c>
    </row>
    <row r="8833" spans="1:3" x14ac:dyDescent="0.35">
      <c r="A8833" s="305">
        <v>37333</v>
      </c>
      <c r="B8833" s="306">
        <v>123.0185</v>
      </c>
      <c r="C8833" s="309">
        <v>7.3247271264766898</v>
      </c>
    </row>
    <row r="8834" spans="1:3" x14ac:dyDescent="0.35">
      <c r="A8834" s="302">
        <v>37332</v>
      </c>
      <c r="B8834" s="303">
        <v>122.9688</v>
      </c>
      <c r="C8834" s="308">
        <v>7.3461744948866698</v>
      </c>
    </row>
    <row r="8835" spans="1:3" x14ac:dyDescent="0.35">
      <c r="A8835" s="305">
        <v>37331</v>
      </c>
      <c r="B8835" s="306">
        <v>122.9191</v>
      </c>
      <c r="C8835" s="309">
        <v>7.3676477910071503</v>
      </c>
    </row>
    <row r="8836" spans="1:3" x14ac:dyDescent="0.35">
      <c r="A8836" s="302">
        <v>37330</v>
      </c>
      <c r="B8836" s="303">
        <v>122.8695</v>
      </c>
      <c r="C8836" s="308">
        <v>7.3891406036960099</v>
      </c>
    </row>
    <row r="8837" spans="1:3" x14ac:dyDescent="0.35">
      <c r="A8837" s="305">
        <v>37329</v>
      </c>
      <c r="B8837" s="306">
        <v>122.83450000000001</v>
      </c>
      <c r="C8837" s="309">
        <v>7.3986316640800904</v>
      </c>
    </row>
    <row r="8838" spans="1:3" x14ac:dyDescent="0.35">
      <c r="A8838" s="302">
        <v>37328</v>
      </c>
      <c r="B8838" s="303">
        <v>122.79949999999999</v>
      </c>
      <c r="C8838" s="308">
        <v>7.4081298139242797</v>
      </c>
    </row>
    <row r="8839" spans="1:3" x14ac:dyDescent="0.35">
      <c r="A8839" s="305">
        <v>37327</v>
      </c>
      <c r="B8839" s="306">
        <v>122.7646</v>
      </c>
      <c r="C8839" s="309">
        <v>7.4176285708285796</v>
      </c>
    </row>
    <row r="8840" spans="1:3" x14ac:dyDescent="0.35">
      <c r="A8840" s="302">
        <v>37326</v>
      </c>
      <c r="B8840" s="303">
        <v>122.72969999999999</v>
      </c>
      <c r="C8840" s="308">
        <v>7.4271344116045697</v>
      </c>
    </row>
    <row r="8841" spans="1:3" x14ac:dyDescent="0.35">
      <c r="A8841" s="305">
        <v>37325</v>
      </c>
      <c r="B8841" s="306">
        <v>122.6947</v>
      </c>
      <c r="C8841" s="309">
        <v>7.4365597800388796</v>
      </c>
    </row>
    <row r="8842" spans="1:3" x14ac:dyDescent="0.35">
      <c r="A8842" s="302">
        <v>37324</v>
      </c>
      <c r="B8842" s="303">
        <v>122.6598</v>
      </c>
      <c r="C8842" s="308">
        <v>7.4460797796764897</v>
      </c>
    </row>
    <row r="8843" spans="1:3" x14ac:dyDescent="0.35">
      <c r="A8843" s="305">
        <v>37323</v>
      </c>
      <c r="B8843" s="306">
        <v>122.6249</v>
      </c>
      <c r="C8843" s="309">
        <v>7.4556068869789502</v>
      </c>
    </row>
    <row r="8844" spans="1:3" x14ac:dyDescent="0.35">
      <c r="A8844" s="302">
        <v>37322</v>
      </c>
      <c r="B8844" s="303">
        <v>122.59</v>
      </c>
      <c r="C8844" s="308">
        <v>7.46514110990916</v>
      </c>
    </row>
    <row r="8845" spans="1:3" x14ac:dyDescent="0.35">
      <c r="A8845" s="305">
        <v>37321</v>
      </c>
      <c r="B8845" s="306">
        <v>122.5552</v>
      </c>
      <c r="C8845" s="309">
        <v>7.4746759015256297</v>
      </c>
    </row>
    <row r="8846" spans="1:3" x14ac:dyDescent="0.35">
      <c r="A8846" s="302">
        <v>37320</v>
      </c>
      <c r="B8846" s="303">
        <v>122.52030000000001</v>
      </c>
      <c r="C8846" s="308">
        <v>7.4841300754808397</v>
      </c>
    </row>
    <row r="8847" spans="1:3" x14ac:dyDescent="0.35">
      <c r="A8847" s="305">
        <v>37319</v>
      </c>
      <c r="B8847" s="306">
        <v>122.4854</v>
      </c>
      <c r="C8847" s="309">
        <v>7.4936856387114696</v>
      </c>
    </row>
    <row r="8848" spans="1:3" x14ac:dyDescent="0.35">
      <c r="A8848" s="302">
        <v>37318</v>
      </c>
      <c r="B8848" s="303">
        <v>122.45059999999999</v>
      </c>
      <c r="C8848" s="308">
        <v>7.5032417621490399</v>
      </c>
    </row>
    <row r="8849" spans="1:3" x14ac:dyDescent="0.35">
      <c r="A8849" s="305">
        <v>37317</v>
      </c>
      <c r="B8849" s="306">
        <v>122.4157</v>
      </c>
      <c r="C8849" s="309">
        <v>7.5126227695528902</v>
      </c>
    </row>
    <row r="8850" spans="1:3" x14ac:dyDescent="0.35">
      <c r="A8850" s="302">
        <v>37316</v>
      </c>
      <c r="B8850" s="303">
        <v>122.3809</v>
      </c>
      <c r="C8850" s="308">
        <v>7.5221930922023699</v>
      </c>
    </row>
    <row r="8851" spans="1:3" x14ac:dyDescent="0.35">
      <c r="A8851" s="305">
        <v>37315</v>
      </c>
      <c r="B8851" s="306">
        <v>122.34610000000001</v>
      </c>
      <c r="C8851" s="309">
        <v>7.5317705646235096</v>
      </c>
    </row>
    <row r="8852" spans="1:3" x14ac:dyDescent="0.35">
      <c r="A8852" s="302">
        <v>37314</v>
      </c>
      <c r="B8852" s="303">
        <v>122.3113</v>
      </c>
      <c r="C8852" s="308">
        <v>7.5412606399300799</v>
      </c>
    </row>
    <row r="8853" spans="1:3" x14ac:dyDescent="0.35">
      <c r="A8853" s="305">
        <v>37313</v>
      </c>
      <c r="B8853" s="306">
        <v>122.2765</v>
      </c>
      <c r="C8853" s="309">
        <v>7.5507577936510897</v>
      </c>
    </row>
    <row r="8854" spans="1:3" x14ac:dyDescent="0.35">
      <c r="A8854" s="302">
        <v>37312</v>
      </c>
      <c r="B8854" s="303">
        <v>122.24169999999999</v>
      </c>
      <c r="C8854" s="308">
        <v>7.5602620337089004</v>
      </c>
    </row>
    <row r="8855" spans="1:3" x14ac:dyDescent="0.35">
      <c r="A8855" s="305">
        <v>37311</v>
      </c>
      <c r="B8855" s="306">
        <v>122.2069</v>
      </c>
      <c r="C8855" s="309">
        <v>7.5697733680377404</v>
      </c>
    </row>
    <row r="8856" spans="1:3" x14ac:dyDescent="0.35">
      <c r="A8856" s="302">
        <v>37310</v>
      </c>
      <c r="B8856" s="303">
        <v>122.1721</v>
      </c>
      <c r="C8856" s="308">
        <v>7.5792918045836402</v>
      </c>
    </row>
    <row r="8857" spans="1:3" x14ac:dyDescent="0.35">
      <c r="A8857" s="305">
        <v>37309</v>
      </c>
      <c r="B8857" s="306">
        <v>122.1374</v>
      </c>
      <c r="C8857" s="309">
        <v>7.5888106664411596</v>
      </c>
    </row>
    <row r="8858" spans="1:3" x14ac:dyDescent="0.35">
      <c r="A8858" s="302">
        <v>37308</v>
      </c>
      <c r="B8858" s="303">
        <v>122.1026</v>
      </c>
      <c r="C8858" s="308">
        <v>7.5983433204088797</v>
      </c>
    </row>
    <row r="8859" spans="1:3" x14ac:dyDescent="0.35">
      <c r="A8859" s="305">
        <v>37307</v>
      </c>
      <c r="B8859" s="306">
        <v>122.06789999999999</v>
      </c>
      <c r="C8859" s="309">
        <v>7.6078763938267402</v>
      </c>
    </row>
    <row r="8860" spans="1:3" x14ac:dyDescent="0.35">
      <c r="A8860" s="302">
        <v>37306</v>
      </c>
      <c r="B8860" s="303">
        <v>122.0331</v>
      </c>
      <c r="C8860" s="308">
        <v>7.6173283925097497</v>
      </c>
    </row>
    <row r="8861" spans="1:3" x14ac:dyDescent="0.35">
      <c r="A8861" s="305">
        <v>37305</v>
      </c>
      <c r="B8861" s="306">
        <v>121.9984</v>
      </c>
      <c r="C8861" s="309">
        <v>7.6268756655089298</v>
      </c>
    </row>
    <row r="8862" spans="1:3" x14ac:dyDescent="0.35">
      <c r="A8862" s="302">
        <v>37304</v>
      </c>
      <c r="B8862" s="303">
        <v>121.9637</v>
      </c>
      <c r="C8862" s="308">
        <v>7.6364300666838503</v>
      </c>
    </row>
    <row r="8863" spans="1:3" x14ac:dyDescent="0.35">
      <c r="A8863" s="305">
        <v>37303</v>
      </c>
      <c r="B8863" s="306">
        <v>121.929</v>
      </c>
      <c r="C8863" s="309">
        <v>7.6459916040205398</v>
      </c>
    </row>
    <row r="8864" spans="1:3" x14ac:dyDescent="0.35">
      <c r="A8864" s="302">
        <v>37302</v>
      </c>
      <c r="B8864" s="303">
        <v>121.8943</v>
      </c>
      <c r="C8864" s="308">
        <v>7.6554652055220398</v>
      </c>
    </row>
    <row r="8865" spans="1:3" x14ac:dyDescent="0.35">
      <c r="A8865" s="305">
        <v>37301</v>
      </c>
      <c r="B8865" s="306">
        <v>121.881</v>
      </c>
      <c r="C8865" s="309">
        <v>7.6596928702979898</v>
      </c>
    </row>
    <row r="8866" spans="1:3" x14ac:dyDescent="0.35">
      <c r="A8866" s="302">
        <v>37300</v>
      </c>
      <c r="B8866" s="303">
        <v>121.8676</v>
      </c>
      <c r="C8866" s="308">
        <v>7.6638334450896597</v>
      </c>
    </row>
    <row r="8867" spans="1:3" x14ac:dyDescent="0.35">
      <c r="A8867" s="305">
        <v>37299</v>
      </c>
      <c r="B8867" s="306">
        <v>121.85429999999999</v>
      </c>
      <c r="C8867" s="309">
        <v>7.6679684738813902</v>
      </c>
    </row>
    <row r="8868" spans="1:3" x14ac:dyDescent="0.35">
      <c r="A8868" s="302">
        <v>37298</v>
      </c>
      <c r="B8868" s="303">
        <v>121.84099999999999</v>
      </c>
      <c r="C8868" s="308">
        <v>7.67219987415959</v>
      </c>
    </row>
    <row r="8869" spans="1:3" x14ac:dyDescent="0.35">
      <c r="A8869" s="305">
        <v>37297</v>
      </c>
      <c r="B8869" s="306">
        <v>121.8276</v>
      </c>
      <c r="C8869" s="309">
        <v>7.6762489780586396</v>
      </c>
    </row>
    <row r="8870" spans="1:3" x14ac:dyDescent="0.35">
      <c r="A8870" s="302">
        <v>37296</v>
      </c>
      <c r="B8870" s="303">
        <v>121.8143</v>
      </c>
      <c r="C8870" s="308">
        <v>7.68048286110053</v>
      </c>
    </row>
    <row r="8871" spans="1:3" x14ac:dyDescent="0.35">
      <c r="A8871" s="305">
        <v>37295</v>
      </c>
      <c r="B8871" s="306">
        <v>121.8009</v>
      </c>
      <c r="C8871" s="309">
        <v>7.6845343871840397</v>
      </c>
    </row>
    <row r="8872" spans="1:3" x14ac:dyDescent="0.35">
      <c r="A8872" s="302">
        <v>37294</v>
      </c>
      <c r="B8872" s="303">
        <v>121.7876</v>
      </c>
      <c r="C8872" s="308">
        <v>7.6887707551891298</v>
      </c>
    </row>
    <row r="8873" spans="1:3" x14ac:dyDescent="0.35">
      <c r="A8873" s="305">
        <v>37293</v>
      </c>
      <c r="B8873" s="306">
        <v>121.7743</v>
      </c>
      <c r="C8873" s="309">
        <v>7.6929131421041701</v>
      </c>
    </row>
    <row r="8874" spans="1:3" x14ac:dyDescent="0.35">
      <c r="A8874" s="302">
        <v>37292</v>
      </c>
      <c r="B8874" s="303">
        <v>121.76090000000001</v>
      </c>
      <c r="C8874" s="308">
        <v>7.6969683032192098</v>
      </c>
    </row>
    <row r="8875" spans="1:3" x14ac:dyDescent="0.35">
      <c r="A8875" s="305">
        <v>37291</v>
      </c>
      <c r="B8875" s="306">
        <v>121.74760000000001</v>
      </c>
      <c r="C8875" s="309">
        <v>7.7012084004175403</v>
      </c>
    </row>
    <row r="8876" spans="1:3" x14ac:dyDescent="0.35">
      <c r="A8876" s="302">
        <v>37290</v>
      </c>
      <c r="B8876" s="303">
        <v>121.7343</v>
      </c>
      <c r="C8876" s="308">
        <v>7.7053544648852998</v>
      </c>
    </row>
    <row r="8877" spans="1:3" x14ac:dyDescent="0.35">
      <c r="A8877" s="305">
        <v>37289</v>
      </c>
      <c r="B8877" s="306">
        <v>121.721</v>
      </c>
      <c r="C8877" s="309">
        <v>7.7095970657074497</v>
      </c>
    </row>
    <row r="8878" spans="1:3" x14ac:dyDescent="0.35">
      <c r="A8878" s="302">
        <v>37288</v>
      </c>
      <c r="B8878" s="303">
        <v>121.7076</v>
      </c>
      <c r="C8878" s="308">
        <v>7.7136570972406799</v>
      </c>
    </row>
    <row r="8879" spans="1:3" x14ac:dyDescent="0.35">
      <c r="A8879" s="305">
        <v>37287</v>
      </c>
      <c r="B8879" s="306">
        <v>121.6943</v>
      </c>
      <c r="C8879" s="309">
        <v>7.7178068441630101</v>
      </c>
    </row>
    <row r="8880" spans="1:3" x14ac:dyDescent="0.35">
      <c r="A8880" s="302">
        <v>37286</v>
      </c>
      <c r="B8880" s="303">
        <v>121.681</v>
      </c>
      <c r="C8880" s="308">
        <v>7.7219578180994102</v>
      </c>
    </row>
    <row r="8881" spans="1:3" x14ac:dyDescent="0.35">
      <c r="A8881" s="305">
        <v>37285</v>
      </c>
      <c r="B8881" s="306">
        <v>121.6677</v>
      </c>
      <c r="C8881" s="309">
        <v>7.7262054017297404</v>
      </c>
    </row>
    <row r="8882" spans="1:3" x14ac:dyDescent="0.35">
      <c r="A8882" s="302">
        <v>37284</v>
      </c>
      <c r="B8882" s="303">
        <v>121.65430000000001</v>
      </c>
      <c r="C8882" s="308">
        <v>7.7302702946825699</v>
      </c>
    </row>
    <row r="8883" spans="1:3" x14ac:dyDescent="0.35">
      <c r="A8883" s="305">
        <v>37283</v>
      </c>
      <c r="B8883" s="306">
        <v>121.64100000000001</v>
      </c>
      <c r="C8883" s="309">
        <v>7.7344249576204396</v>
      </c>
    </row>
    <row r="8884" spans="1:3" x14ac:dyDescent="0.35">
      <c r="A8884" s="302">
        <v>37282</v>
      </c>
      <c r="B8884" s="303">
        <v>121.6277</v>
      </c>
      <c r="C8884" s="308">
        <v>7.7385808497539701</v>
      </c>
    </row>
    <row r="8885" spans="1:3" x14ac:dyDescent="0.35">
      <c r="A8885" s="305">
        <v>37281</v>
      </c>
      <c r="B8885" s="306">
        <v>121.6144</v>
      </c>
      <c r="C8885" s="309">
        <v>7.7427379716287401</v>
      </c>
    </row>
    <row r="8886" spans="1:3" x14ac:dyDescent="0.35">
      <c r="A8886" s="302">
        <v>37280</v>
      </c>
      <c r="B8886" s="303">
        <v>121.6011</v>
      </c>
      <c r="C8886" s="308">
        <v>7.7468963237906703</v>
      </c>
    </row>
    <row r="8887" spans="1:3" x14ac:dyDescent="0.35">
      <c r="A8887" s="305">
        <v>37279</v>
      </c>
      <c r="B8887" s="306">
        <v>121.5878</v>
      </c>
      <c r="C8887" s="309">
        <v>7.7510559067859797</v>
      </c>
    </row>
    <row r="8888" spans="1:3" x14ac:dyDescent="0.35">
      <c r="A8888" s="302">
        <v>37278</v>
      </c>
      <c r="B8888" s="303">
        <v>121.5744</v>
      </c>
      <c r="C8888" s="308">
        <v>7.7551280880870896</v>
      </c>
    </row>
    <row r="8889" spans="1:3" x14ac:dyDescent="0.35">
      <c r="A8889" s="305">
        <v>37277</v>
      </c>
      <c r="B8889" s="306">
        <v>121.5611</v>
      </c>
      <c r="C8889" s="309">
        <v>7.7592901212680001</v>
      </c>
    </row>
    <row r="8890" spans="1:3" x14ac:dyDescent="0.35">
      <c r="A8890" s="302">
        <v>37276</v>
      </c>
      <c r="B8890" s="303">
        <v>121.5478</v>
      </c>
      <c r="C8890" s="308">
        <v>7.7634533869190303</v>
      </c>
    </row>
    <row r="8891" spans="1:3" x14ac:dyDescent="0.35">
      <c r="A8891" s="305">
        <v>37275</v>
      </c>
      <c r="B8891" s="306">
        <v>121.53449999999999</v>
      </c>
      <c r="C8891" s="309">
        <v>7.7676178855877103</v>
      </c>
    </row>
    <row r="8892" spans="1:3" x14ac:dyDescent="0.35">
      <c r="A8892" s="302">
        <v>37274</v>
      </c>
      <c r="B8892" s="303">
        <v>121.52119999999999</v>
      </c>
      <c r="C8892" s="308">
        <v>7.7717836178219004</v>
      </c>
    </row>
    <row r="8893" spans="1:3" x14ac:dyDescent="0.35">
      <c r="A8893" s="305">
        <v>37273</v>
      </c>
      <c r="B8893" s="306">
        <v>121.50790000000001</v>
      </c>
      <c r="C8893" s="309">
        <v>7.7759505841697596</v>
      </c>
    </row>
    <row r="8894" spans="1:3" x14ac:dyDescent="0.35">
      <c r="A8894" s="302">
        <v>37272</v>
      </c>
      <c r="B8894" s="303">
        <v>121.49460000000001</v>
      </c>
      <c r="C8894" s="308">
        <v>7.7801187851798002</v>
      </c>
    </row>
    <row r="8895" spans="1:3" x14ac:dyDescent="0.35">
      <c r="A8895" s="305">
        <v>37271</v>
      </c>
      <c r="B8895" s="306">
        <v>121.4813</v>
      </c>
      <c r="C8895" s="309">
        <v>7.7842882214008302</v>
      </c>
    </row>
    <row r="8896" spans="1:3" x14ac:dyDescent="0.35">
      <c r="A8896" s="302">
        <v>37270</v>
      </c>
      <c r="B8896" s="303">
        <v>121.4766</v>
      </c>
      <c r="C8896" s="308">
        <v>7.7915947178155696</v>
      </c>
    </row>
    <row r="8897" spans="1:3" x14ac:dyDescent="0.35">
      <c r="A8897" s="305">
        <v>37269</v>
      </c>
      <c r="B8897" s="306">
        <v>121.47190000000001</v>
      </c>
      <c r="C8897" s="309">
        <v>7.7988071055403703</v>
      </c>
    </row>
    <row r="8898" spans="1:3" x14ac:dyDescent="0.35">
      <c r="A8898" s="302">
        <v>37268</v>
      </c>
      <c r="B8898" s="303">
        <v>121.46720000000001</v>
      </c>
      <c r="C8898" s="308">
        <v>7.8061166981297001</v>
      </c>
    </row>
    <row r="8899" spans="1:3" x14ac:dyDescent="0.35">
      <c r="A8899" s="305">
        <v>37267</v>
      </c>
      <c r="B8899" s="306">
        <v>121.46250000000001</v>
      </c>
      <c r="C8899" s="309">
        <v>7.8134278478855403</v>
      </c>
    </row>
    <row r="8900" spans="1:3" x14ac:dyDescent="0.35">
      <c r="A8900" s="302">
        <v>37266</v>
      </c>
      <c r="B8900" s="303">
        <v>121.45780000000001</v>
      </c>
      <c r="C8900" s="308">
        <v>7.8207405553055098</v>
      </c>
    </row>
    <row r="8901" spans="1:3" x14ac:dyDescent="0.35">
      <c r="A8901" s="305">
        <v>37265</v>
      </c>
      <c r="B8901" s="306">
        <v>121.45310000000001</v>
      </c>
      <c r="C8901" s="309">
        <v>7.8279590894563</v>
      </c>
    </row>
    <row r="8902" spans="1:3" x14ac:dyDescent="0.35">
      <c r="A8902" s="302">
        <v>37264</v>
      </c>
      <c r="B8902" s="303">
        <v>121.44840000000001</v>
      </c>
      <c r="C8902" s="308">
        <v>7.83527489700242</v>
      </c>
    </row>
    <row r="8903" spans="1:3" x14ac:dyDescent="0.35">
      <c r="A8903" s="305">
        <v>37263</v>
      </c>
      <c r="B8903" s="306">
        <v>121.44370000000001</v>
      </c>
      <c r="C8903" s="309">
        <v>7.8425922637019099</v>
      </c>
    </row>
    <row r="8904" spans="1:3" x14ac:dyDescent="0.35">
      <c r="A8904" s="302">
        <v>37262</v>
      </c>
      <c r="B8904" s="303">
        <v>121.43899999999999</v>
      </c>
      <c r="C8904" s="308">
        <v>7.8498154086896896</v>
      </c>
    </row>
    <row r="8905" spans="1:3" x14ac:dyDescent="0.35">
      <c r="A8905" s="305">
        <v>37261</v>
      </c>
      <c r="B8905" s="306">
        <v>121.43429999999999</v>
      </c>
      <c r="C8905" s="309">
        <v>7.85713587848094</v>
      </c>
    </row>
    <row r="8906" spans="1:3" x14ac:dyDescent="0.35">
      <c r="A8906" s="302">
        <v>37260</v>
      </c>
      <c r="B8906" s="303">
        <v>121.42959999999999</v>
      </c>
      <c r="C8906" s="308">
        <v>7.8644579089167204</v>
      </c>
    </row>
    <row r="8907" spans="1:3" x14ac:dyDescent="0.35">
      <c r="A8907" s="305">
        <v>37259</v>
      </c>
      <c r="B8907" s="306">
        <v>121.42489999999999</v>
      </c>
      <c r="C8907" s="309">
        <v>7.8716856691559096</v>
      </c>
    </row>
    <row r="8908" spans="1:3" x14ac:dyDescent="0.35">
      <c r="A8908" s="302">
        <v>37258</v>
      </c>
      <c r="B8908" s="303">
        <v>121.42019999999999</v>
      </c>
      <c r="C8908" s="308">
        <v>7.8790108056528396</v>
      </c>
    </row>
    <row r="8909" spans="1:3" x14ac:dyDescent="0.35">
      <c r="A8909" s="305">
        <v>37257</v>
      </c>
      <c r="B8909" s="306">
        <v>121.41549999999999</v>
      </c>
      <c r="C8909" s="309">
        <v>7.8863375042873596</v>
      </c>
    </row>
    <row r="8910" spans="1:3" x14ac:dyDescent="0.35">
      <c r="A8910" s="302">
        <v>37256</v>
      </c>
      <c r="B8910" s="303">
        <v>121.41079999999999</v>
      </c>
      <c r="C8910" s="308">
        <v>7.89356988419802</v>
      </c>
    </row>
    <row r="8911" spans="1:3" x14ac:dyDescent="0.35">
      <c r="A8911" s="305">
        <v>37255</v>
      </c>
      <c r="B8911" s="306">
        <v>121.4061</v>
      </c>
      <c r="C8911" s="309">
        <v>7.9008996918668704</v>
      </c>
    </row>
    <row r="8912" spans="1:3" x14ac:dyDescent="0.35">
      <c r="A8912" s="302">
        <v>37254</v>
      </c>
      <c r="B8912" s="303">
        <v>121.4014</v>
      </c>
      <c r="C8912" s="308">
        <v>7.9081351484919704</v>
      </c>
    </row>
    <row r="8913" spans="1:3" x14ac:dyDescent="0.35">
      <c r="A8913" s="305">
        <v>37253</v>
      </c>
      <c r="B8913" s="306">
        <v>121.3967</v>
      </c>
      <c r="C8913" s="309">
        <v>7.9154680671760902</v>
      </c>
    </row>
    <row r="8914" spans="1:3" x14ac:dyDescent="0.35">
      <c r="A8914" s="302">
        <v>37252</v>
      </c>
      <c r="B8914" s="303">
        <v>121.392</v>
      </c>
      <c r="C8914" s="308">
        <v>7.9227066024777599</v>
      </c>
    </row>
    <row r="8915" spans="1:3" x14ac:dyDescent="0.35">
      <c r="A8915" s="305">
        <v>37251</v>
      </c>
      <c r="B8915" s="306">
        <v>121.3873</v>
      </c>
      <c r="C8915" s="309">
        <v>7.9300426341597898</v>
      </c>
    </row>
    <row r="8916" spans="1:3" x14ac:dyDescent="0.35">
      <c r="A8916" s="302">
        <v>37250</v>
      </c>
      <c r="B8916" s="303">
        <v>121.3826</v>
      </c>
      <c r="C8916" s="308">
        <v>7.9372842501018201</v>
      </c>
    </row>
    <row r="8917" spans="1:3" x14ac:dyDescent="0.35">
      <c r="A8917" s="305">
        <v>37249</v>
      </c>
      <c r="B8917" s="306">
        <v>121.378</v>
      </c>
      <c r="C8917" s="309">
        <v>7.9447123294493496</v>
      </c>
    </row>
    <row r="8918" spans="1:3" x14ac:dyDescent="0.35">
      <c r="A8918" s="302">
        <v>37248</v>
      </c>
      <c r="B8918" s="303">
        <v>121.3733</v>
      </c>
      <c r="C8918" s="308">
        <v>7.9519570374099402</v>
      </c>
    </row>
    <row r="8919" spans="1:3" x14ac:dyDescent="0.35">
      <c r="A8919" s="305">
        <v>37247</v>
      </c>
      <c r="B8919" s="306">
        <v>121.3686</v>
      </c>
      <c r="C8919" s="309">
        <v>7.9592993105362302</v>
      </c>
    </row>
    <row r="8920" spans="1:3" x14ac:dyDescent="0.35">
      <c r="A8920" s="302">
        <v>37246</v>
      </c>
      <c r="B8920" s="303">
        <v>121.3639</v>
      </c>
      <c r="C8920" s="308">
        <v>7.96654710307378</v>
      </c>
    </row>
    <row r="8921" spans="1:3" x14ac:dyDescent="0.35">
      <c r="A8921" s="305">
        <v>37245</v>
      </c>
      <c r="B8921" s="306">
        <v>121.3592</v>
      </c>
      <c r="C8921" s="309">
        <v>7.9738924951600003</v>
      </c>
    </row>
    <row r="8922" spans="1:3" x14ac:dyDescent="0.35">
      <c r="A8922" s="302">
        <v>37244</v>
      </c>
      <c r="B8922" s="303">
        <v>121.3545</v>
      </c>
      <c r="C8922" s="308">
        <v>7.9811433742433397</v>
      </c>
    </row>
    <row r="8923" spans="1:3" x14ac:dyDescent="0.35">
      <c r="A8923" s="305">
        <v>37243</v>
      </c>
      <c r="B8923" s="306">
        <v>121.3498</v>
      </c>
      <c r="C8923" s="309">
        <v>7.9884918872788697</v>
      </c>
    </row>
    <row r="8924" spans="1:3" x14ac:dyDescent="0.35">
      <c r="A8924" s="302">
        <v>37242</v>
      </c>
      <c r="B8924" s="303">
        <v>121.3451</v>
      </c>
      <c r="C8924" s="308">
        <v>7.9957458548784697</v>
      </c>
    </row>
    <row r="8925" spans="1:3" x14ac:dyDescent="0.35">
      <c r="A8925" s="305">
        <v>37241</v>
      </c>
      <c r="B8925" s="306">
        <v>121.3404</v>
      </c>
      <c r="C8925" s="309">
        <v>8.0030974908543904</v>
      </c>
    </row>
    <row r="8926" spans="1:3" x14ac:dyDescent="0.35">
      <c r="A8926" s="302">
        <v>37240</v>
      </c>
      <c r="B8926" s="303">
        <v>121.3357</v>
      </c>
      <c r="C8926" s="308">
        <v>8.0103545489424199</v>
      </c>
    </row>
    <row r="8927" spans="1:3" x14ac:dyDescent="0.35">
      <c r="A8927" s="305">
        <v>37239</v>
      </c>
      <c r="B8927" s="306">
        <v>121.328</v>
      </c>
      <c r="C8927" s="309">
        <v>8.0089805699920102</v>
      </c>
    </row>
    <row r="8928" spans="1:3" x14ac:dyDescent="0.35">
      <c r="A8928" s="302">
        <v>37238</v>
      </c>
      <c r="B8928" s="303">
        <v>121.3203</v>
      </c>
      <c r="C8928" s="308">
        <v>8.0075102959426996</v>
      </c>
    </row>
    <row r="8929" spans="1:3" x14ac:dyDescent="0.35">
      <c r="A8929" s="305">
        <v>37237</v>
      </c>
      <c r="B8929" s="306">
        <v>121.31270000000001</v>
      </c>
      <c r="C8929" s="309">
        <v>8.0061289064656194</v>
      </c>
    </row>
    <row r="8930" spans="1:3" x14ac:dyDescent="0.35">
      <c r="A8930" s="302">
        <v>37236</v>
      </c>
      <c r="B8930" s="303">
        <v>121.30500000000001</v>
      </c>
      <c r="C8930" s="308">
        <v>8.0046583436169492</v>
      </c>
    </row>
    <row r="8931" spans="1:3" x14ac:dyDescent="0.35">
      <c r="A8931" s="305">
        <v>37235</v>
      </c>
      <c r="B8931" s="306">
        <v>121.29730000000001</v>
      </c>
      <c r="C8931" s="309">
        <v>8.0031876341165908</v>
      </c>
    </row>
    <row r="8932" spans="1:3" x14ac:dyDescent="0.35">
      <c r="A8932" s="302">
        <v>37234</v>
      </c>
      <c r="B8932" s="303">
        <v>121.28959999999999</v>
      </c>
      <c r="C8932" s="308">
        <v>8.0017167779426099</v>
      </c>
    </row>
    <row r="8933" spans="1:3" x14ac:dyDescent="0.35">
      <c r="A8933" s="305">
        <v>37233</v>
      </c>
      <c r="B8933" s="306">
        <v>121.282</v>
      </c>
      <c r="C8933" s="309">
        <v>8.0003348240125796</v>
      </c>
    </row>
    <row r="8934" spans="1:3" x14ac:dyDescent="0.35">
      <c r="A8934" s="302">
        <v>37232</v>
      </c>
      <c r="B8934" s="303">
        <v>121.2743</v>
      </c>
      <c r="C8934" s="308">
        <v>7.9988636788663898</v>
      </c>
    </row>
    <row r="8935" spans="1:3" x14ac:dyDescent="0.35">
      <c r="A8935" s="305">
        <v>37231</v>
      </c>
      <c r="B8935" s="306">
        <v>121.2666</v>
      </c>
      <c r="C8935" s="309">
        <v>7.9973923869811703</v>
      </c>
    </row>
    <row r="8936" spans="1:3" x14ac:dyDescent="0.35">
      <c r="A8936" s="302">
        <v>37230</v>
      </c>
      <c r="B8936" s="303">
        <v>121.259</v>
      </c>
      <c r="C8936" s="308">
        <v>7.9961061943749998</v>
      </c>
    </row>
    <row r="8937" spans="1:3" x14ac:dyDescent="0.35">
      <c r="A8937" s="305">
        <v>37229</v>
      </c>
      <c r="B8937" s="306">
        <v>121.2513</v>
      </c>
      <c r="C8937" s="309">
        <v>7.9946346168747704</v>
      </c>
    </row>
    <row r="8938" spans="1:3" x14ac:dyDescent="0.35">
      <c r="A8938" s="302">
        <v>37228</v>
      </c>
      <c r="B8938" s="303">
        <v>121.2436</v>
      </c>
      <c r="C8938" s="308">
        <v>7.9931628925703002</v>
      </c>
    </row>
    <row r="8939" spans="1:3" x14ac:dyDescent="0.35">
      <c r="A8939" s="305">
        <v>37227</v>
      </c>
      <c r="B8939" s="306">
        <v>121.2359</v>
      </c>
      <c r="C8939" s="309">
        <v>7.9916910214396202</v>
      </c>
    </row>
    <row r="8940" spans="1:3" x14ac:dyDescent="0.35">
      <c r="A8940" s="302">
        <v>37226</v>
      </c>
      <c r="B8940" s="303">
        <v>121.2283</v>
      </c>
      <c r="C8940" s="308">
        <v>7.99030808357496</v>
      </c>
    </row>
    <row r="8941" spans="1:3" x14ac:dyDescent="0.35">
      <c r="A8941" s="305">
        <v>37225</v>
      </c>
      <c r="B8941" s="306">
        <v>121.2206</v>
      </c>
      <c r="C8941" s="309">
        <v>7.9888359231699102</v>
      </c>
    </row>
    <row r="8942" spans="1:3" x14ac:dyDescent="0.35">
      <c r="A8942" s="302">
        <v>37224</v>
      </c>
      <c r="B8942" s="303">
        <v>121.2129</v>
      </c>
      <c r="C8942" s="308">
        <v>7.9873636158731696</v>
      </c>
    </row>
    <row r="8943" spans="1:3" x14ac:dyDescent="0.35">
      <c r="A8943" s="305">
        <v>37223</v>
      </c>
      <c r="B8943" s="306">
        <v>121.20529999999999</v>
      </c>
      <c r="C8943" s="309">
        <v>7.9859802551101797</v>
      </c>
    </row>
    <row r="8944" spans="1:3" x14ac:dyDescent="0.35">
      <c r="A8944" s="302">
        <v>37222</v>
      </c>
      <c r="B8944" s="303">
        <v>121.19759999999999</v>
      </c>
      <c r="C8944" s="308">
        <v>7.9845076584093704</v>
      </c>
    </row>
    <row r="8945" spans="1:3" x14ac:dyDescent="0.35">
      <c r="A8945" s="305">
        <v>37221</v>
      </c>
      <c r="B8945" s="306">
        <v>121.18989999999999</v>
      </c>
      <c r="C8945" s="309">
        <v>7.9830349147513404</v>
      </c>
    </row>
    <row r="8946" spans="1:3" x14ac:dyDescent="0.35">
      <c r="A8946" s="302">
        <v>37220</v>
      </c>
      <c r="B8946" s="303">
        <v>121.1823</v>
      </c>
      <c r="C8946" s="308">
        <v>7.9816511308987597</v>
      </c>
    </row>
    <row r="8947" spans="1:3" x14ac:dyDescent="0.35">
      <c r="A8947" s="305">
        <v>37219</v>
      </c>
      <c r="B8947" s="306">
        <v>121.1746</v>
      </c>
      <c r="C8947" s="309">
        <v>7.9802743202589204</v>
      </c>
    </row>
    <row r="8948" spans="1:3" x14ac:dyDescent="0.35">
      <c r="A8948" s="302">
        <v>37218</v>
      </c>
      <c r="B8948" s="303">
        <v>121.1669</v>
      </c>
      <c r="C8948" s="308">
        <v>7.9788011435334001</v>
      </c>
    </row>
    <row r="8949" spans="1:3" x14ac:dyDescent="0.35">
      <c r="A8949" s="305">
        <v>37217</v>
      </c>
      <c r="B8949" s="306">
        <v>121.1593</v>
      </c>
      <c r="C8949" s="309">
        <v>7.9774169399686299</v>
      </c>
    </row>
    <row r="8950" spans="1:3" x14ac:dyDescent="0.35">
      <c r="A8950" s="302">
        <v>37216</v>
      </c>
      <c r="B8950" s="303">
        <v>121.1516</v>
      </c>
      <c r="C8950" s="308">
        <v>7.97594347357989</v>
      </c>
    </row>
    <row r="8951" spans="1:3" x14ac:dyDescent="0.35">
      <c r="A8951" s="305">
        <v>37215</v>
      </c>
      <c r="B8951" s="306">
        <v>121.1439</v>
      </c>
      <c r="C8951" s="309">
        <v>7.9744698601029604</v>
      </c>
    </row>
    <row r="8952" spans="1:3" x14ac:dyDescent="0.35">
      <c r="A8952" s="302">
        <v>37214</v>
      </c>
      <c r="B8952" s="303">
        <v>121.13630000000001</v>
      </c>
      <c r="C8952" s="308">
        <v>7.9730852330664099</v>
      </c>
    </row>
    <row r="8953" spans="1:3" x14ac:dyDescent="0.35">
      <c r="A8953" s="305">
        <v>37213</v>
      </c>
      <c r="B8953" s="306">
        <v>121.12860000000001</v>
      </c>
      <c r="C8953" s="309">
        <v>7.9716113297963398</v>
      </c>
    </row>
    <row r="8954" spans="1:3" x14ac:dyDescent="0.35">
      <c r="A8954" s="302">
        <v>37212</v>
      </c>
      <c r="B8954" s="303">
        <v>121.12090000000001</v>
      </c>
      <c r="C8954" s="308">
        <v>7.9701372793724401</v>
      </c>
    </row>
    <row r="8955" spans="1:3" x14ac:dyDescent="0.35">
      <c r="A8955" s="305">
        <v>37211</v>
      </c>
      <c r="B8955" s="306">
        <v>121.1133</v>
      </c>
      <c r="C8955" s="309">
        <v>7.9687522286724999</v>
      </c>
    </row>
    <row r="8956" spans="1:3" x14ac:dyDescent="0.35">
      <c r="A8956" s="302">
        <v>37210</v>
      </c>
      <c r="B8956" s="303">
        <v>121.1056</v>
      </c>
      <c r="C8956" s="308">
        <v>7.9672778883254498</v>
      </c>
    </row>
    <row r="8957" spans="1:3" x14ac:dyDescent="0.35">
      <c r="A8957" s="305">
        <v>37209</v>
      </c>
      <c r="B8957" s="306">
        <v>121.0912</v>
      </c>
      <c r="C8957" s="309">
        <v>7.96945606545333</v>
      </c>
    </row>
    <row r="8958" spans="1:3" x14ac:dyDescent="0.35">
      <c r="A8958" s="302">
        <v>37208</v>
      </c>
      <c r="B8958" s="303">
        <v>121.07680000000001</v>
      </c>
      <c r="C8958" s="308">
        <v>7.9715385637479601</v>
      </c>
    </row>
    <row r="8959" spans="1:3" x14ac:dyDescent="0.35">
      <c r="A8959" s="305">
        <v>37207</v>
      </c>
      <c r="B8959" s="306">
        <v>121.0624</v>
      </c>
      <c r="C8959" s="309">
        <v>7.9736216378201599</v>
      </c>
    </row>
    <row r="8960" spans="1:3" x14ac:dyDescent="0.35">
      <c r="A8960" s="302">
        <v>37206</v>
      </c>
      <c r="B8960" s="303">
        <v>121.0479</v>
      </c>
      <c r="C8960" s="308">
        <v>7.9756160871740898</v>
      </c>
    </row>
    <row r="8961" spans="1:3" x14ac:dyDescent="0.35">
      <c r="A8961" s="305">
        <v>37205</v>
      </c>
      <c r="B8961" s="306">
        <v>121.0335</v>
      </c>
      <c r="C8961" s="309">
        <v>7.9777003011833196</v>
      </c>
    </row>
    <row r="8962" spans="1:3" x14ac:dyDescent="0.35">
      <c r="A8962" s="302">
        <v>37204</v>
      </c>
      <c r="B8962" s="303">
        <v>121.01909999999999</v>
      </c>
      <c r="C8962" s="308">
        <v>7.9798814371727698</v>
      </c>
    </row>
    <row r="8963" spans="1:3" x14ac:dyDescent="0.35">
      <c r="A8963" s="305">
        <v>37203</v>
      </c>
      <c r="B8963" s="306">
        <v>121.0047</v>
      </c>
      <c r="C8963" s="309">
        <v>7.9819668195905598</v>
      </c>
    </row>
    <row r="8964" spans="1:3" x14ac:dyDescent="0.35">
      <c r="A8964" s="302">
        <v>37202</v>
      </c>
      <c r="B8964" s="303">
        <v>120.9903</v>
      </c>
      <c r="C8964" s="308">
        <v>7.9840527789826599</v>
      </c>
    </row>
    <row r="8965" spans="1:3" x14ac:dyDescent="0.35">
      <c r="A8965" s="305">
        <v>37201</v>
      </c>
      <c r="B8965" s="306">
        <v>120.9759</v>
      </c>
      <c r="C8965" s="309">
        <v>7.9861393155885398</v>
      </c>
    </row>
    <row r="8966" spans="1:3" x14ac:dyDescent="0.35">
      <c r="A8966" s="302">
        <v>37200</v>
      </c>
      <c r="B8966" s="303">
        <v>120.9614</v>
      </c>
      <c r="C8966" s="308">
        <v>7.9881371547740603</v>
      </c>
    </row>
    <row r="8967" spans="1:3" x14ac:dyDescent="0.35">
      <c r="A8967" s="305">
        <v>37199</v>
      </c>
      <c r="B8967" s="306">
        <v>120.947</v>
      </c>
      <c r="C8967" s="309">
        <v>7.9902248341712898</v>
      </c>
    </row>
    <row r="8968" spans="1:3" x14ac:dyDescent="0.35">
      <c r="A8968" s="302">
        <v>37198</v>
      </c>
      <c r="B8968" s="303">
        <v>120.93259999999999</v>
      </c>
      <c r="C8968" s="308">
        <v>7.99231309149814</v>
      </c>
    </row>
    <row r="8969" spans="1:3" x14ac:dyDescent="0.35">
      <c r="A8969" s="305">
        <v>37197</v>
      </c>
      <c r="B8969" s="306">
        <v>120.9182</v>
      </c>
      <c r="C8969" s="309">
        <v>7.9944019269946303</v>
      </c>
    </row>
    <row r="8970" spans="1:3" x14ac:dyDescent="0.35">
      <c r="A8970" s="302">
        <v>37196</v>
      </c>
      <c r="B8970" s="303">
        <v>120.9038</v>
      </c>
      <c r="C8970" s="308">
        <v>7.9964913409008904</v>
      </c>
    </row>
    <row r="8971" spans="1:3" x14ac:dyDescent="0.35">
      <c r="A8971" s="305">
        <v>37195</v>
      </c>
      <c r="B8971" s="306">
        <v>120.88939999999999</v>
      </c>
      <c r="C8971" s="309">
        <v>7.99858133345721</v>
      </c>
    </row>
    <row r="8972" spans="1:3" x14ac:dyDescent="0.35">
      <c r="A8972" s="302">
        <v>37194</v>
      </c>
      <c r="B8972" s="303">
        <v>120.875</v>
      </c>
      <c r="C8972" s="308">
        <v>8.00067190490401</v>
      </c>
    </row>
    <row r="8973" spans="1:3" x14ac:dyDescent="0.35">
      <c r="A8973" s="305">
        <v>37193</v>
      </c>
      <c r="B8973" s="306">
        <v>120.86060000000001</v>
      </c>
      <c r="C8973" s="309">
        <v>8.0027630554818305</v>
      </c>
    </row>
    <row r="8974" spans="1:3" x14ac:dyDescent="0.35">
      <c r="A8974" s="302">
        <v>37192</v>
      </c>
      <c r="B8974" s="303">
        <v>120.8462</v>
      </c>
      <c r="C8974" s="308">
        <v>8.0048547854313501</v>
      </c>
    </row>
    <row r="8975" spans="1:3" x14ac:dyDescent="0.35">
      <c r="A8975" s="305">
        <v>37191</v>
      </c>
      <c r="B8975" s="306">
        <v>120.8318</v>
      </c>
      <c r="C8975" s="309">
        <v>8.0068505517804809</v>
      </c>
    </row>
    <row r="8976" spans="1:3" x14ac:dyDescent="0.35">
      <c r="A8976" s="302">
        <v>37190</v>
      </c>
      <c r="B8976" s="303">
        <v>120.81740000000001</v>
      </c>
      <c r="C8976" s="308">
        <v>8.0089434259471997</v>
      </c>
    </row>
    <row r="8977" spans="1:3" x14ac:dyDescent="0.35">
      <c r="A8977" s="305">
        <v>37189</v>
      </c>
      <c r="B8977" s="306">
        <v>120.803</v>
      </c>
      <c r="C8977" s="309">
        <v>8.0110368802037097</v>
      </c>
    </row>
    <row r="8978" spans="1:3" x14ac:dyDescent="0.35">
      <c r="A8978" s="302">
        <v>37188</v>
      </c>
      <c r="B8978" s="303">
        <v>120.7886</v>
      </c>
      <c r="C8978" s="308">
        <v>8.0131309147912404</v>
      </c>
    </row>
    <row r="8979" spans="1:3" x14ac:dyDescent="0.35">
      <c r="A8979" s="305">
        <v>37187</v>
      </c>
      <c r="B8979" s="306">
        <v>120.7743</v>
      </c>
      <c r="C8979" s="309">
        <v>8.0153149656298694</v>
      </c>
    </row>
    <row r="8980" spans="1:3" x14ac:dyDescent="0.35">
      <c r="A8980" s="302">
        <v>37186</v>
      </c>
      <c r="B8980" s="303">
        <v>120.7599</v>
      </c>
      <c r="C8980" s="308">
        <v>8.0173135545918992</v>
      </c>
    </row>
    <row r="8981" spans="1:3" x14ac:dyDescent="0.35">
      <c r="A8981" s="305">
        <v>37185</v>
      </c>
      <c r="B8981" s="306">
        <v>120.74550000000001</v>
      </c>
      <c r="C8981" s="309">
        <v>8.0194093287517703</v>
      </c>
    </row>
    <row r="8982" spans="1:3" x14ac:dyDescent="0.35">
      <c r="A8982" s="302">
        <v>37184</v>
      </c>
      <c r="B8982" s="303">
        <v>120.7311</v>
      </c>
      <c r="C8982" s="308">
        <v>8.0215056842075096</v>
      </c>
    </row>
    <row r="8983" spans="1:3" x14ac:dyDescent="0.35">
      <c r="A8983" s="305">
        <v>37183</v>
      </c>
      <c r="B8983" s="306">
        <v>120.7167</v>
      </c>
      <c r="C8983" s="309">
        <v>8.0235059561308102</v>
      </c>
    </row>
    <row r="8984" spans="1:3" x14ac:dyDescent="0.35">
      <c r="A8984" s="302">
        <v>37182</v>
      </c>
      <c r="B8984" s="303">
        <v>120.70229999999999</v>
      </c>
      <c r="C8984" s="308">
        <v>8.0256034596173595</v>
      </c>
    </row>
    <row r="8985" spans="1:3" x14ac:dyDescent="0.35">
      <c r="A8985" s="305">
        <v>37181</v>
      </c>
      <c r="B8985" s="306">
        <v>120.688</v>
      </c>
      <c r="C8985" s="309">
        <v>8.0277910550898106</v>
      </c>
    </row>
    <row r="8986" spans="1:3" x14ac:dyDescent="0.35">
      <c r="A8986" s="302">
        <v>37180</v>
      </c>
      <c r="B8986" s="303">
        <v>120.67359999999999</v>
      </c>
      <c r="C8986" s="308">
        <v>8.0297930244216893</v>
      </c>
    </row>
    <row r="8987" spans="1:3" x14ac:dyDescent="0.35">
      <c r="A8987" s="305">
        <v>37179</v>
      </c>
      <c r="B8987" s="306">
        <v>120.6592</v>
      </c>
      <c r="C8987" s="309">
        <v>8.0318922718095394</v>
      </c>
    </row>
    <row r="8988" spans="1:3" x14ac:dyDescent="0.35">
      <c r="A8988" s="302">
        <v>37178</v>
      </c>
      <c r="B8988" s="303">
        <v>120.64879999999999</v>
      </c>
      <c r="C8988" s="308">
        <v>8.0340912957593602</v>
      </c>
    </row>
    <row r="8989" spans="1:3" x14ac:dyDescent="0.35">
      <c r="A8989" s="305">
        <v>37177</v>
      </c>
      <c r="B8989" s="306">
        <v>120.6383</v>
      </c>
      <c r="C8989" s="309">
        <v>8.0362012345889102</v>
      </c>
    </row>
    <row r="8990" spans="1:3" x14ac:dyDescent="0.35">
      <c r="A8990" s="302">
        <v>37176</v>
      </c>
      <c r="B8990" s="303">
        <v>120.6279</v>
      </c>
      <c r="C8990" s="308">
        <v>8.0384011865354008</v>
      </c>
    </row>
    <row r="8991" spans="1:3" x14ac:dyDescent="0.35">
      <c r="A8991" s="305">
        <v>37175</v>
      </c>
      <c r="B8991" s="306">
        <v>120.6174</v>
      </c>
      <c r="C8991" s="309">
        <v>8.0405120345679801</v>
      </c>
    </row>
    <row r="8992" spans="1:3" x14ac:dyDescent="0.35">
      <c r="A8992" s="302">
        <v>37174</v>
      </c>
      <c r="B8992" s="303">
        <v>120.607</v>
      </c>
      <c r="C8992" s="308">
        <v>8.0427129151027099</v>
      </c>
    </row>
    <row r="8993" spans="1:3" x14ac:dyDescent="0.35">
      <c r="A8993" s="305">
        <v>37173</v>
      </c>
      <c r="B8993" s="306">
        <v>120.5966</v>
      </c>
      <c r="C8993" s="309">
        <v>8.0449142649289396</v>
      </c>
    </row>
    <row r="8994" spans="1:3" x14ac:dyDescent="0.35">
      <c r="A8994" s="302">
        <v>37172</v>
      </c>
      <c r="B8994" s="303">
        <v>120.5861</v>
      </c>
      <c r="C8994" s="308">
        <v>8.0470264826370101</v>
      </c>
    </row>
    <row r="8995" spans="1:3" x14ac:dyDescent="0.35">
      <c r="A8995" s="305">
        <v>37171</v>
      </c>
      <c r="B8995" s="306">
        <v>120.5757</v>
      </c>
      <c r="C8995" s="309">
        <v>8.0492287619417997</v>
      </c>
    </row>
    <row r="8996" spans="1:3" x14ac:dyDescent="0.35">
      <c r="A8996" s="302">
        <v>37170</v>
      </c>
      <c r="B8996" s="303">
        <v>120.5652</v>
      </c>
      <c r="C8996" s="308">
        <v>8.0512450540636191</v>
      </c>
    </row>
    <row r="8997" spans="1:3" x14ac:dyDescent="0.35">
      <c r="A8997" s="305">
        <v>37169</v>
      </c>
      <c r="B8997" s="306">
        <v>120.5548</v>
      </c>
      <c r="C8997" s="309">
        <v>8.0534482511365102</v>
      </c>
    </row>
    <row r="8998" spans="1:3" x14ac:dyDescent="0.35">
      <c r="A8998" s="302">
        <v>37168</v>
      </c>
      <c r="B8998" s="303">
        <v>120.5444</v>
      </c>
      <c r="C8998" s="308">
        <v>8.0556519182449993</v>
      </c>
    </row>
    <row r="8999" spans="1:3" x14ac:dyDescent="0.35">
      <c r="A8999" s="305">
        <v>37167</v>
      </c>
      <c r="B8999" s="306">
        <v>120.5339</v>
      </c>
      <c r="C8999" s="309">
        <v>8.0577664062654097</v>
      </c>
    </row>
    <row r="9000" spans="1:3" x14ac:dyDescent="0.35">
      <c r="A9000" s="302">
        <v>37166</v>
      </c>
      <c r="B9000" s="303">
        <v>120.5235</v>
      </c>
      <c r="C9000" s="308">
        <v>8.0599710043314197</v>
      </c>
    </row>
    <row r="9001" spans="1:3" x14ac:dyDescent="0.35">
      <c r="A9001" s="305">
        <v>37165</v>
      </c>
      <c r="B9001" s="306">
        <v>120.51309999999999</v>
      </c>
      <c r="C9001" s="309">
        <v>8.0620791753383401</v>
      </c>
    </row>
    <row r="9002" spans="1:3" x14ac:dyDescent="0.35">
      <c r="A9002" s="302">
        <v>37164</v>
      </c>
      <c r="B9002" s="303">
        <v>120.5026</v>
      </c>
      <c r="C9002" s="308">
        <v>8.0641950243116796</v>
      </c>
    </row>
    <row r="9003" spans="1:3" x14ac:dyDescent="0.35">
      <c r="A9003" s="305">
        <v>37163</v>
      </c>
      <c r="B9003" s="306">
        <v>120.4922</v>
      </c>
      <c r="C9003" s="309">
        <v>8.0664010123921202</v>
      </c>
    </row>
    <row r="9004" spans="1:3" x14ac:dyDescent="0.35">
      <c r="A9004" s="302">
        <v>37162</v>
      </c>
      <c r="B9004" s="303">
        <v>120.48180000000001</v>
      </c>
      <c r="C9004" s="308">
        <v>8.0686074714045795</v>
      </c>
    </row>
    <row r="9005" spans="1:3" x14ac:dyDescent="0.35">
      <c r="A9005" s="305">
        <v>37161</v>
      </c>
      <c r="B9005" s="306">
        <v>120.4714</v>
      </c>
      <c r="C9005" s="309">
        <v>8.0707174549179808</v>
      </c>
    </row>
    <row r="9006" spans="1:3" x14ac:dyDescent="0.35">
      <c r="A9006" s="302">
        <v>37160</v>
      </c>
      <c r="B9006" s="303">
        <v>120.4609</v>
      </c>
      <c r="C9006" s="308">
        <v>8.0728351278050905</v>
      </c>
    </row>
    <row r="9007" spans="1:3" x14ac:dyDescent="0.35">
      <c r="A9007" s="305">
        <v>37159</v>
      </c>
      <c r="B9007" s="306">
        <v>120.45050000000001</v>
      </c>
      <c r="C9007" s="309">
        <v>8.0750429786058096</v>
      </c>
    </row>
    <row r="9008" spans="1:3" x14ac:dyDescent="0.35">
      <c r="A9008" s="302">
        <v>37158</v>
      </c>
      <c r="B9008" s="303">
        <v>120.4401</v>
      </c>
      <c r="C9008" s="308">
        <v>8.0771543176087395</v>
      </c>
    </row>
    <row r="9009" spans="1:3" x14ac:dyDescent="0.35">
      <c r="A9009" s="305">
        <v>37157</v>
      </c>
      <c r="B9009" s="306">
        <v>120.4297</v>
      </c>
      <c r="C9009" s="309">
        <v>8.0793630992819505</v>
      </c>
    </row>
    <row r="9010" spans="1:3" x14ac:dyDescent="0.35">
      <c r="A9010" s="302">
        <v>37156</v>
      </c>
      <c r="B9010" s="303">
        <v>120.4192</v>
      </c>
      <c r="C9010" s="308">
        <v>8.0814825984246301</v>
      </c>
    </row>
    <row r="9011" spans="1:3" x14ac:dyDescent="0.35">
      <c r="A9011" s="305">
        <v>37155</v>
      </c>
      <c r="B9011" s="306">
        <v>120.4088</v>
      </c>
      <c r="C9011" s="309">
        <v>8.0835952942190303</v>
      </c>
    </row>
    <row r="9012" spans="1:3" x14ac:dyDescent="0.35">
      <c r="A9012" s="302">
        <v>37154</v>
      </c>
      <c r="B9012" s="303">
        <v>120.3984</v>
      </c>
      <c r="C9012" s="308">
        <v>8.0858054698967194</v>
      </c>
    </row>
    <row r="9013" spans="1:3" x14ac:dyDescent="0.35">
      <c r="A9013" s="305">
        <v>37153</v>
      </c>
      <c r="B9013" s="306">
        <v>120.38800000000001</v>
      </c>
      <c r="C9013" s="309">
        <v>8.0880161178528205</v>
      </c>
    </row>
    <row r="9014" spans="1:3" x14ac:dyDescent="0.35">
      <c r="A9014" s="302">
        <v>37152</v>
      </c>
      <c r="B9014" s="303">
        <v>120.3776</v>
      </c>
      <c r="C9014" s="308">
        <v>8.09013018125526</v>
      </c>
    </row>
    <row r="9015" spans="1:3" x14ac:dyDescent="0.35">
      <c r="A9015" s="305">
        <v>37151</v>
      </c>
      <c r="B9015" s="306">
        <v>120.36709999999999</v>
      </c>
      <c r="C9015" s="309">
        <v>8.0922519597075695</v>
      </c>
    </row>
    <row r="9016" spans="1:3" x14ac:dyDescent="0.35">
      <c r="A9016" s="302">
        <v>37150</v>
      </c>
      <c r="B9016" s="303">
        <v>120.3567</v>
      </c>
      <c r="C9016" s="308">
        <v>8.0943669220012602</v>
      </c>
    </row>
    <row r="9017" spans="1:3" x14ac:dyDescent="0.35">
      <c r="A9017" s="305">
        <v>37149</v>
      </c>
      <c r="B9017" s="306">
        <v>120.3463</v>
      </c>
      <c r="C9017" s="309">
        <v>8.0965794262576303</v>
      </c>
    </row>
    <row r="9018" spans="1:3" x14ac:dyDescent="0.35">
      <c r="A9018" s="302">
        <v>37148</v>
      </c>
      <c r="B9018" s="303">
        <v>120.3421</v>
      </c>
      <c r="C9018" s="308">
        <v>8.0913505973483293</v>
      </c>
    </row>
    <row r="9019" spans="1:3" x14ac:dyDescent="0.35">
      <c r="A9019" s="305">
        <v>37147</v>
      </c>
      <c r="B9019" s="306">
        <v>120.3378</v>
      </c>
      <c r="C9019" s="309">
        <v>8.0861291722017601</v>
      </c>
    </row>
    <row r="9020" spans="1:3" x14ac:dyDescent="0.35">
      <c r="A9020" s="302">
        <v>37146</v>
      </c>
      <c r="B9020" s="303">
        <v>120.3335</v>
      </c>
      <c r="C9020" s="308">
        <v>8.0808108025572896</v>
      </c>
    </row>
    <row r="9021" spans="1:3" x14ac:dyDescent="0.35">
      <c r="A9021" s="305">
        <v>37145</v>
      </c>
      <c r="B9021" s="306">
        <v>120.3293</v>
      </c>
      <c r="C9021" s="309">
        <v>8.0756794625375008</v>
      </c>
    </row>
    <row r="9022" spans="1:3" x14ac:dyDescent="0.35">
      <c r="A9022" s="302">
        <v>37144</v>
      </c>
      <c r="B9022" s="303">
        <v>120.325</v>
      </c>
      <c r="C9022" s="308">
        <v>8.0704584360971907</v>
      </c>
    </row>
    <row r="9023" spans="1:3" x14ac:dyDescent="0.35">
      <c r="A9023" s="305">
        <v>37143</v>
      </c>
      <c r="B9023" s="306">
        <v>120.3207</v>
      </c>
      <c r="C9023" s="309">
        <v>8.0651404829671804</v>
      </c>
    </row>
    <row r="9024" spans="1:3" x14ac:dyDescent="0.35">
      <c r="A9024" s="302">
        <v>37142</v>
      </c>
      <c r="B9024" s="303">
        <v>120.3165</v>
      </c>
      <c r="C9024" s="308">
        <v>8.0600095381539596</v>
      </c>
    </row>
    <row r="9025" spans="1:3" x14ac:dyDescent="0.35">
      <c r="A9025" s="305">
        <v>37141</v>
      </c>
      <c r="B9025" s="306">
        <v>120.3122</v>
      </c>
      <c r="C9025" s="309">
        <v>8.0547889103739099</v>
      </c>
    </row>
    <row r="9026" spans="1:3" x14ac:dyDescent="0.35">
      <c r="A9026" s="302">
        <v>37140</v>
      </c>
      <c r="B9026" s="303">
        <v>120.3079</v>
      </c>
      <c r="C9026" s="308">
        <v>8.0494713737098706</v>
      </c>
    </row>
    <row r="9027" spans="1:3" x14ac:dyDescent="0.35">
      <c r="A9027" s="305">
        <v>37139</v>
      </c>
      <c r="B9027" s="306">
        <v>120.30370000000001</v>
      </c>
      <c r="C9027" s="309">
        <v>8.0443408240574907</v>
      </c>
    </row>
    <row r="9028" spans="1:3" x14ac:dyDescent="0.35">
      <c r="A9028" s="302">
        <v>37138</v>
      </c>
      <c r="B9028" s="303">
        <v>120.29940000000001</v>
      </c>
      <c r="C9028" s="308">
        <v>8.0390235666347198</v>
      </c>
    </row>
    <row r="9029" spans="1:3" x14ac:dyDescent="0.35">
      <c r="A9029" s="305">
        <v>37137</v>
      </c>
      <c r="B9029" s="306">
        <v>120.29510000000001</v>
      </c>
      <c r="C9029" s="309">
        <v>8.0338034746451505</v>
      </c>
    </row>
    <row r="9030" spans="1:3" x14ac:dyDescent="0.35">
      <c r="A9030" s="302">
        <v>37136</v>
      </c>
      <c r="B9030" s="303">
        <v>120.29089999999999</v>
      </c>
      <c r="C9030" s="308">
        <v>8.0286733201078793</v>
      </c>
    </row>
    <row r="9031" spans="1:3" x14ac:dyDescent="0.35">
      <c r="A9031" s="305">
        <v>37135</v>
      </c>
      <c r="B9031" s="306">
        <v>120.28660000000001</v>
      </c>
      <c r="C9031" s="309">
        <v>8.0233564790700491</v>
      </c>
    </row>
    <row r="9032" spans="1:3" x14ac:dyDescent="0.35">
      <c r="A9032" s="302">
        <v>37134</v>
      </c>
      <c r="B9032" s="303">
        <v>120.28230000000001</v>
      </c>
      <c r="C9032" s="308">
        <v>8.0181367856328194</v>
      </c>
    </row>
    <row r="9033" spans="1:3" x14ac:dyDescent="0.35">
      <c r="A9033" s="305">
        <v>37133</v>
      </c>
      <c r="B9033" s="306">
        <v>120.27809999999999</v>
      </c>
      <c r="C9033" s="309">
        <v>8.0130070261649209</v>
      </c>
    </row>
    <row r="9034" spans="1:3" x14ac:dyDescent="0.35">
      <c r="A9034" s="302">
        <v>37132</v>
      </c>
      <c r="B9034" s="303">
        <v>120.27379999999999</v>
      </c>
      <c r="C9034" s="308">
        <v>8.0076906014635902</v>
      </c>
    </row>
    <row r="9035" spans="1:3" x14ac:dyDescent="0.35">
      <c r="A9035" s="305">
        <v>37131</v>
      </c>
      <c r="B9035" s="306">
        <v>120.26949999999999</v>
      </c>
      <c r="C9035" s="309">
        <v>8.0024713065327102</v>
      </c>
    </row>
    <row r="9036" spans="1:3" x14ac:dyDescent="0.35">
      <c r="A9036" s="302">
        <v>37130</v>
      </c>
      <c r="B9036" s="303">
        <v>120.2653</v>
      </c>
      <c r="C9036" s="308">
        <v>7.9972449613684002</v>
      </c>
    </row>
    <row r="9037" spans="1:3" x14ac:dyDescent="0.35">
      <c r="A9037" s="305">
        <v>37129</v>
      </c>
      <c r="B9037" s="306">
        <v>120.261</v>
      </c>
      <c r="C9037" s="309">
        <v>7.9920259336751602</v>
      </c>
    </row>
    <row r="9038" spans="1:3" x14ac:dyDescent="0.35">
      <c r="A9038" s="302">
        <v>37128</v>
      </c>
      <c r="B9038" s="303">
        <v>120.2567</v>
      </c>
      <c r="C9038" s="308">
        <v>7.9868070372046596</v>
      </c>
    </row>
    <row r="9039" spans="1:3" x14ac:dyDescent="0.35">
      <c r="A9039" s="305">
        <v>37127</v>
      </c>
      <c r="B9039" s="306">
        <v>120.2525</v>
      </c>
      <c r="C9039" s="309">
        <v>7.9815811048284004</v>
      </c>
    </row>
    <row r="9040" spans="1:3" x14ac:dyDescent="0.35">
      <c r="A9040" s="302">
        <v>37126</v>
      </c>
      <c r="B9040" s="303">
        <v>120.2482</v>
      </c>
      <c r="C9040" s="308">
        <v>7.9763624755646498</v>
      </c>
    </row>
    <row r="9041" spans="1:3" x14ac:dyDescent="0.35">
      <c r="A9041" s="305">
        <v>37125</v>
      </c>
      <c r="B9041" s="306">
        <v>120.2439</v>
      </c>
      <c r="C9041" s="309">
        <v>7.9711439775085404</v>
      </c>
    </row>
    <row r="9042" spans="1:3" x14ac:dyDescent="0.35">
      <c r="A9042" s="302">
        <v>37124</v>
      </c>
      <c r="B9042" s="303">
        <v>120.2397</v>
      </c>
      <c r="C9042" s="308">
        <v>7.9659184578721796</v>
      </c>
    </row>
    <row r="9043" spans="1:3" x14ac:dyDescent="0.35">
      <c r="A9043" s="305">
        <v>37123</v>
      </c>
      <c r="B9043" s="306">
        <v>120.2354</v>
      </c>
      <c r="C9043" s="309">
        <v>7.9607002269919303</v>
      </c>
    </row>
    <row r="9044" spans="1:3" x14ac:dyDescent="0.35">
      <c r="A9044" s="302">
        <v>37122</v>
      </c>
      <c r="B9044" s="303">
        <v>120.2312</v>
      </c>
      <c r="C9044" s="308">
        <v>7.9554749840847396</v>
      </c>
    </row>
    <row r="9045" spans="1:3" x14ac:dyDescent="0.35">
      <c r="A9045" s="305">
        <v>37121</v>
      </c>
      <c r="B9045" s="306">
        <v>120.2269</v>
      </c>
      <c r="C9045" s="309">
        <v>7.9502570203595999</v>
      </c>
    </row>
    <row r="9046" spans="1:3" x14ac:dyDescent="0.35">
      <c r="A9046" s="302">
        <v>37120</v>
      </c>
      <c r="B9046" s="303">
        <v>120.2226</v>
      </c>
      <c r="C9046" s="308">
        <v>7.9450391878168896</v>
      </c>
    </row>
    <row r="9047" spans="1:3" x14ac:dyDescent="0.35">
      <c r="A9047" s="305">
        <v>37119</v>
      </c>
      <c r="B9047" s="306">
        <v>120.2184</v>
      </c>
      <c r="C9047" s="309">
        <v>7.93981435756909</v>
      </c>
    </row>
    <row r="9048" spans="1:3" x14ac:dyDescent="0.35">
      <c r="A9048" s="302">
        <v>37118</v>
      </c>
      <c r="B9048" s="303">
        <v>120.2141</v>
      </c>
      <c r="C9048" s="308">
        <v>7.93459679215061</v>
      </c>
    </row>
    <row r="9049" spans="1:3" x14ac:dyDescent="0.35">
      <c r="A9049" s="305">
        <v>37117</v>
      </c>
      <c r="B9049" s="306">
        <v>120.21250000000001</v>
      </c>
      <c r="C9049" s="309">
        <v>7.93248187470539</v>
      </c>
    </row>
    <row r="9050" spans="1:3" x14ac:dyDescent="0.35">
      <c r="A9050" s="302">
        <v>37116</v>
      </c>
      <c r="B9050" s="303">
        <v>120.211</v>
      </c>
      <c r="C9050" s="308">
        <v>7.9303598636359096</v>
      </c>
    </row>
    <row r="9051" spans="1:3" x14ac:dyDescent="0.35">
      <c r="A9051" s="305">
        <v>37115</v>
      </c>
      <c r="B9051" s="306">
        <v>120.2094</v>
      </c>
      <c r="C9051" s="309">
        <v>7.9282450013018604</v>
      </c>
    </row>
    <row r="9052" spans="1:3" x14ac:dyDescent="0.35">
      <c r="A9052" s="302">
        <v>37114</v>
      </c>
      <c r="B9052" s="303">
        <v>120.2079</v>
      </c>
      <c r="C9052" s="308">
        <v>7.9262199485184501</v>
      </c>
    </row>
    <row r="9053" spans="1:3" x14ac:dyDescent="0.35">
      <c r="A9053" s="305">
        <v>37113</v>
      </c>
      <c r="B9053" s="306">
        <v>120.2063</v>
      </c>
      <c r="C9053" s="309">
        <v>7.9241051387856398</v>
      </c>
    </row>
    <row r="9054" spans="1:3" x14ac:dyDescent="0.35">
      <c r="A9054" s="302">
        <v>37112</v>
      </c>
      <c r="B9054" s="303">
        <v>120.20480000000001</v>
      </c>
      <c r="C9054" s="308">
        <v>7.9220801374739498</v>
      </c>
    </row>
    <row r="9055" spans="1:3" x14ac:dyDescent="0.35">
      <c r="A9055" s="305">
        <v>37111</v>
      </c>
      <c r="B9055" s="306">
        <v>120.2032</v>
      </c>
      <c r="C9055" s="309">
        <v>7.9198684885066601</v>
      </c>
    </row>
    <row r="9056" spans="1:3" x14ac:dyDescent="0.35">
      <c r="A9056" s="302">
        <v>37110</v>
      </c>
      <c r="B9056" s="303">
        <v>120.2017</v>
      </c>
      <c r="C9056" s="308">
        <v>7.9178435410916999</v>
      </c>
    </row>
    <row r="9057" spans="1:3" x14ac:dyDescent="0.35">
      <c r="A9057" s="305">
        <v>37109</v>
      </c>
      <c r="B9057" s="306">
        <v>120.20010000000001</v>
      </c>
      <c r="C9057" s="309">
        <v>7.9157288390629503</v>
      </c>
    </row>
    <row r="9058" spans="1:3" x14ac:dyDescent="0.35">
      <c r="A9058" s="302">
        <v>37108</v>
      </c>
      <c r="B9058" s="303">
        <v>120.1986</v>
      </c>
      <c r="C9058" s="308">
        <v>7.9137039431157099</v>
      </c>
    </row>
    <row r="9059" spans="1:3" x14ac:dyDescent="0.35">
      <c r="A9059" s="305">
        <v>37107</v>
      </c>
      <c r="B9059" s="306">
        <v>120.197</v>
      </c>
      <c r="C9059" s="309">
        <v>7.9115892936821703</v>
      </c>
    </row>
    <row r="9060" spans="1:3" x14ac:dyDescent="0.35">
      <c r="A9060" s="302">
        <v>37106</v>
      </c>
      <c r="B9060" s="303">
        <v>120.1955</v>
      </c>
      <c r="C9060" s="308">
        <v>7.9095644492007002</v>
      </c>
    </row>
    <row r="9061" spans="1:3" x14ac:dyDescent="0.35">
      <c r="A9061" s="305">
        <v>37105</v>
      </c>
      <c r="B9061" s="306">
        <v>120.1939</v>
      </c>
      <c r="C9061" s="307">
        <v>7.9073529755032501</v>
      </c>
    </row>
    <row r="9062" spans="1:3" x14ac:dyDescent="0.35">
      <c r="A9062" s="302">
        <v>37104</v>
      </c>
      <c r="B9062" s="303">
        <v>120.19240000000001</v>
      </c>
      <c r="C9062" s="304">
        <v>7.9053281849122303</v>
      </c>
    </row>
    <row r="9063" spans="1:3" x14ac:dyDescent="0.35">
      <c r="A9063" s="305">
        <v>37103</v>
      </c>
      <c r="B9063" s="306">
        <v>120.1908</v>
      </c>
      <c r="C9063" s="307">
        <v>7.9032136431703304</v>
      </c>
    </row>
    <row r="9064" spans="1:3" x14ac:dyDescent="0.35">
      <c r="A9064" s="302">
        <v>37102</v>
      </c>
      <c r="B9064" s="303">
        <v>120.1893</v>
      </c>
      <c r="C9064" s="304">
        <v>7.9011889040410903</v>
      </c>
    </row>
    <row r="9065" spans="1:3" x14ac:dyDescent="0.35">
      <c r="A9065" s="305">
        <v>37101</v>
      </c>
      <c r="B9065" s="306">
        <v>120.18770000000001</v>
      </c>
      <c r="C9065" s="307">
        <v>7.8990744148883598</v>
      </c>
    </row>
    <row r="9066" spans="1:3" x14ac:dyDescent="0.35">
      <c r="A9066" s="302">
        <v>37100</v>
      </c>
      <c r="B9066" s="303">
        <v>120.1862</v>
      </c>
      <c r="C9066" s="304">
        <v>7.8969528628294503</v>
      </c>
    </row>
    <row r="9067" spans="1:3" x14ac:dyDescent="0.35">
      <c r="A9067" s="305">
        <v>37099</v>
      </c>
      <c r="B9067" s="306">
        <v>120.1846</v>
      </c>
      <c r="C9067" s="307">
        <v>7.8948384287708597</v>
      </c>
    </row>
    <row r="9068" spans="1:3" x14ac:dyDescent="0.35">
      <c r="A9068" s="302">
        <v>37098</v>
      </c>
      <c r="B9068" s="303">
        <v>120.1831</v>
      </c>
      <c r="C9068" s="304">
        <v>7.8928137949856003</v>
      </c>
    </row>
    <row r="9069" spans="1:3" x14ac:dyDescent="0.35">
      <c r="A9069" s="305">
        <v>37097</v>
      </c>
      <c r="B9069" s="306">
        <v>120.1815</v>
      </c>
      <c r="C9069" s="307">
        <v>7.8906994135121096</v>
      </c>
    </row>
    <row r="9070" spans="1:3" x14ac:dyDescent="0.35">
      <c r="A9070" s="302">
        <v>37096</v>
      </c>
      <c r="B9070" s="303">
        <v>120.18</v>
      </c>
      <c r="C9070" s="304">
        <v>7.88867483118268</v>
      </c>
    </row>
    <row r="9071" spans="1:3" x14ac:dyDescent="0.35">
      <c r="A9071" s="305">
        <v>37095</v>
      </c>
      <c r="B9071" s="306">
        <v>120.1784</v>
      </c>
      <c r="C9071" s="307">
        <v>7.8865605022923297</v>
      </c>
    </row>
    <row r="9072" spans="1:3" x14ac:dyDescent="0.35">
      <c r="A9072" s="302">
        <v>37094</v>
      </c>
      <c r="B9072" s="303">
        <v>120.1769</v>
      </c>
      <c r="C9072" s="304">
        <v>7.8844391220001802</v>
      </c>
    </row>
    <row r="9073" spans="1:3" x14ac:dyDescent="0.35">
      <c r="A9073" s="305">
        <v>37093</v>
      </c>
      <c r="B9073" s="306">
        <v>120.17529999999999</v>
      </c>
      <c r="C9073" s="307">
        <v>7.8823248481975803</v>
      </c>
    </row>
    <row r="9074" spans="1:3" x14ac:dyDescent="0.35">
      <c r="A9074" s="302">
        <v>37092</v>
      </c>
      <c r="B9074" s="303">
        <v>120.1738</v>
      </c>
      <c r="C9074" s="304">
        <v>7.88030037119991</v>
      </c>
    </row>
    <row r="9075" spans="1:3" x14ac:dyDescent="0.35">
      <c r="A9075" s="305">
        <v>37091</v>
      </c>
      <c r="B9075" s="306">
        <v>120.1722</v>
      </c>
      <c r="C9075" s="307">
        <v>7.8781861499763899</v>
      </c>
    </row>
    <row r="9076" spans="1:3" x14ac:dyDescent="0.35">
      <c r="A9076" s="302">
        <v>37090</v>
      </c>
      <c r="B9076" s="303">
        <v>120.1707</v>
      </c>
      <c r="C9076" s="304">
        <v>7.8761617244286004</v>
      </c>
    </row>
    <row r="9077" spans="1:3" x14ac:dyDescent="0.35">
      <c r="A9077" s="305">
        <v>37089</v>
      </c>
      <c r="B9077" s="306">
        <v>120.1691</v>
      </c>
      <c r="C9077" s="307">
        <v>7.8739507189107103</v>
      </c>
    </row>
    <row r="9078" spans="1:3" x14ac:dyDescent="0.35">
      <c r="A9078" s="302">
        <v>37088</v>
      </c>
      <c r="B9078" s="303">
        <v>120.16759999999999</v>
      </c>
      <c r="C9078" s="304">
        <v>7.8719263472365899</v>
      </c>
    </row>
    <row r="9079" spans="1:3" x14ac:dyDescent="0.35">
      <c r="A9079" s="305">
        <v>37087</v>
      </c>
      <c r="B9079" s="306">
        <v>120.166</v>
      </c>
      <c r="C9079" s="307">
        <v>7.8698122336715501</v>
      </c>
    </row>
    <row r="9080" spans="1:3" x14ac:dyDescent="0.35">
      <c r="A9080" s="302">
        <v>37086</v>
      </c>
      <c r="B9080" s="303">
        <v>120.14919999999999</v>
      </c>
      <c r="C9080" s="304">
        <v>7.8734204945600501</v>
      </c>
    </row>
    <row r="9081" spans="1:3" x14ac:dyDescent="0.35">
      <c r="A9081" s="305">
        <v>37085</v>
      </c>
      <c r="B9081" s="306">
        <v>120.1324</v>
      </c>
      <c r="C9081" s="307">
        <v>7.8769331343401499</v>
      </c>
    </row>
    <row r="9082" spans="1:3" x14ac:dyDescent="0.35">
      <c r="A9082" s="302">
        <v>37084</v>
      </c>
      <c r="B9082" s="303">
        <v>120.1156</v>
      </c>
      <c r="C9082" s="304">
        <v>7.8805438772495</v>
      </c>
    </row>
    <row r="9083" spans="1:3" x14ac:dyDescent="0.35">
      <c r="A9083" s="305">
        <v>37083</v>
      </c>
      <c r="B9083" s="306">
        <v>120.0989</v>
      </c>
      <c r="C9083" s="307">
        <v>7.8841487898629303</v>
      </c>
    </row>
    <row r="9084" spans="1:3" x14ac:dyDescent="0.35">
      <c r="A9084" s="302">
        <v>37082</v>
      </c>
      <c r="B9084" s="303">
        <v>120.0821</v>
      </c>
      <c r="C9084" s="304">
        <v>7.8877620329407696</v>
      </c>
    </row>
    <row r="9085" spans="1:3" x14ac:dyDescent="0.35">
      <c r="A9085" s="305">
        <v>37081</v>
      </c>
      <c r="B9085" s="306">
        <v>120.06529999999999</v>
      </c>
      <c r="C9085" s="307">
        <v>7.8912795775837603</v>
      </c>
    </row>
    <row r="9086" spans="1:3" x14ac:dyDescent="0.35">
      <c r="A9086" s="302">
        <v>37080</v>
      </c>
      <c r="B9086" s="303">
        <v>120.0485</v>
      </c>
      <c r="C9086" s="304">
        <v>7.8948953078390796</v>
      </c>
    </row>
    <row r="9087" spans="1:3" x14ac:dyDescent="0.35">
      <c r="A9087" s="305">
        <v>37079</v>
      </c>
      <c r="B9087" s="306">
        <v>120.0318</v>
      </c>
      <c r="C9087" s="307">
        <v>7.8985051925882601</v>
      </c>
    </row>
    <row r="9088" spans="1:3" x14ac:dyDescent="0.35">
      <c r="A9088" s="302">
        <v>37078</v>
      </c>
      <c r="B9088" s="303">
        <v>120.015</v>
      </c>
      <c r="C9088" s="304">
        <v>7.9020264165091003</v>
      </c>
    </row>
    <row r="9089" spans="1:3" x14ac:dyDescent="0.35">
      <c r="A9089" s="305">
        <v>37077</v>
      </c>
      <c r="B9089" s="306">
        <v>119.9982</v>
      </c>
      <c r="C9089" s="307">
        <v>7.9055488563189096</v>
      </c>
    </row>
    <row r="9090" spans="1:3" x14ac:dyDescent="0.35">
      <c r="A9090" s="302">
        <v>37076</v>
      </c>
      <c r="B9090" s="303">
        <v>119.9815</v>
      </c>
      <c r="C9090" s="304">
        <v>7.9092595024256296</v>
      </c>
    </row>
    <row r="9091" spans="1:3" x14ac:dyDescent="0.35">
      <c r="A9091" s="305">
        <v>37075</v>
      </c>
      <c r="B9091" s="306">
        <v>119.96469999999999</v>
      </c>
      <c r="C9091" s="307">
        <v>7.9127844113694401</v>
      </c>
    </row>
    <row r="9092" spans="1:3" x14ac:dyDescent="0.35">
      <c r="A9092" s="302">
        <v>37074</v>
      </c>
      <c r="B9092" s="303">
        <v>119.9479</v>
      </c>
      <c r="C9092" s="304">
        <v>7.9163105381065098</v>
      </c>
    </row>
    <row r="9093" spans="1:3" x14ac:dyDescent="0.35">
      <c r="A9093" s="305">
        <v>37073</v>
      </c>
      <c r="B9093" s="306">
        <v>119.9312</v>
      </c>
      <c r="C9093" s="307">
        <v>7.9199278681325804</v>
      </c>
    </row>
    <row r="9094" spans="1:3" x14ac:dyDescent="0.35">
      <c r="A9094" s="302">
        <v>37072</v>
      </c>
      <c r="B9094" s="303">
        <v>119.9144</v>
      </c>
      <c r="C9094" s="304">
        <v>7.9234564478996603</v>
      </c>
    </row>
    <row r="9095" spans="1:3" x14ac:dyDescent="0.35">
      <c r="A9095" s="305">
        <v>37071</v>
      </c>
      <c r="B9095" s="306">
        <v>119.8977</v>
      </c>
      <c r="C9095" s="307">
        <v>7.9270762633291101</v>
      </c>
    </row>
    <row r="9096" spans="1:3" x14ac:dyDescent="0.35">
      <c r="A9096" s="302">
        <v>37070</v>
      </c>
      <c r="B9096" s="303">
        <v>119.8809</v>
      </c>
      <c r="C9096" s="304">
        <v>7.9306072986759997</v>
      </c>
    </row>
    <row r="9097" spans="1:3" x14ac:dyDescent="0.35">
      <c r="A9097" s="305">
        <v>37069</v>
      </c>
      <c r="B9097" s="306">
        <v>119.8642</v>
      </c>
      <c r="C9097" s="307">
        <v>7.9342296020818903</v>
      </c>
    </row>
    <row r="9098" spans="1:3" x14ac:dyDescent="0.35">
      <c r="A9098" s="302">
        <v>37068</v>
      </c>
      <c r="B9098" s="303">
        <v>119.84739999999999</v>
      </c>
      <c r="C9098" s="304">
        <v>7.9377630955618903</v>
      </c>
    </row>
    <row r="9099" spans="1:3" x14ac:dyDescent="0.35">
      <c r="A9099" s="305">
        <v>37067</v>
      </c>
      <c r="B9099" s="306">
        <v>119.83069999999999</v>
      </c>
      <c r="C9099" s="307">
        <v>7.9413878895208398</v>
      </c>
    </row>
    <row r="9100" spans="1:3" x14ac:dyDescent="0.35">
      <c r="A9100" s="302">
        <v>37066</v>
      </c>
      <c r="B9100" s="303">
        <v>119.81399999999999</v>
      </c>
      <c r="C9100" s="304">
        <v>7.9450139375145303</v>
      </c>
    </row>
    <row r="9101" spans="1:3" x14ac:dyDescent="0.35">
      <c r="A9101" s="305">
        <v>37065</v>
      </c>
      <c r="B9101" s="306">
        <v>119.7972</v>
      </c>
      <c r="C9101" s="307">
        <v>7.9485511307829997</v>
      </c>
    </row>
    <row r="9102" spans="1:3" x14ac:dyDescent="0.35">
      <c r="A9102" s="302">
        <v>37064</v>
      </c>
      <c r="B9102" s="303">
        <v>119.7805</v>
      </c>
      <c r="C9102" s="304">
        <v>7.9521796732067402</v>
      </c>
    </row>
    <row r="9103" spans="1:3" x14ac:dyDescent="0.35">
      <c r="A9103" s="305">
        <v>37063</v>
      </c>
      <c r="B9103" s="306">
        <v>119.7637</v>
      </c>
      <c r="C9103" s="307">
        <v>7.9557193310125101</v>
      </c>
    </row>
    <row r="9104" spans="1:3" x14ac:dyDescent="0.35">
      <c r="A9104" s="302">
        <v>37062</v>
      </c>
      <c r="B9104" s="303">
        <v>119.747</v>
      </c>
      <c r="C9104" s="304">
        <v>7.9593503704518396</v>
      </c>
    </row>
    <row r="9105" spans="1:3" x14ac:dyDescent="0.35">
      <c r="A9105" s="305">
        <v>37061</v>
      </c>
      <c r="B9105" s="306">
        <v>119.7303</v>
      </c>
      <c r="C9105" s="307">
        <v>7.9628853150825698</v>
      </c>
    </row>
    <row r="9106" spans="1:3" x14ac:dyDescent="0.35">
      <c r="A9106" s="302">
        <v>37060</v>
      </c>
      <c r="B9106" s="303">
        <v>119.7136</v>
      </c>
      <c r="C9106" s="304">
        <v>7.96651884960629</v>
      </c>
    </row>
    <row r="9107" spans="1:3" x14ac:dyDescent="0.35">
      <c r="A9107" s="305">
        <v>37059</v>
      </c>
      <c r="B9107" s="306">
        <v>119.6968</v>
      </c>
      <c r="C9107" s="307">
        <v>7.9700634397457701</v>
      </c>
    </row>
    <row r="9108" spans="1:3" x14ac:dyDescent="0.35">
      <c r="A9108" s="302">
        <v>37058</v>
      </c>
      <c r="B9108" s="303">
        <v>119.6801</v>
      </c>
      <c r="C9108" s="304">
        <v>7.9736020641994898</v>
      </c>
    </row>
    <row r="9109" spans="1:3" x14ac:dyDescent="0.35">
      <c r="A9109" s="305">
        <v>37057</v>
      </c>
      <c r="B9109" s="306">
        <v>119.6634</v>
      </c>
      <c r="C9109" s="307">
        <v>7.9772393406411002</v>
      </c>
    </row>
    <row r="9110" spans="1:3" x14ac:dyDescent="0.35">
      <c r="A9110" s="302">
        <v>37056</v>
      </c>
      <c r="B9110" s="303">
        <v>119.6193</v>
      </c>
      <c r="C9110" s="304">
        <v>7.9721303544091704</v>
      </c>
    </row>
    <row r="9111" spans="1:3" x14ac:dyDescent="0.35">
      <c r="A9111" s="305">
        <v>37055</v>
      </c>
      <c r="B9111" s="306">
        <v>119.57510000000001</v>
      </c>
      <c r="C9111" s="307">
        <v>7.9669277915623802</v>
      </c>
    </row>
    <row r="9112" spans="1:3" x14ac:dyDescent="0.35">
      <c r="A9112" s="302">
        <v>37054</v>
      </c>
      <c r="B9112" s="303">
        <v>119.53100000000001</v>
      </c>
      <c r="C9112" s="304">
        <v>7.9617146919011796</v>
      </c>
    </row>
    <row r="9113" spans="1:3" x14ac:dyDescent="0.35">
      <c r="A9113" s="305">
        <v>37053</v>
      </c>
      <c r="B9113" s="306">
        <v>119.48699999999999</v>
      </c>
      <c r="C9113" s="307">
        <v>7.9565885981825204</v>
      </c>
    </row>
    <row r="9114" spans="1:3" x14ac:dyDescent="0.35">
      <c r="A9114" s="302">
        <v>37052</v>
      </c>
      <c r="B9114" s="303">
        <v>119.44289999999999</v>
      </c>
      <c r="C9114" s="304">
        <v>7.9514664015545202</v>
      </c>
    </row>
    <row r="9115" spans="1:3" x14ac:dyDescent="0.35">
      <c r="A9115" s="305">
        <v>37051</v>
      </c>
      <c r="B9115" s="306">
        <v>119.39879999999999</v>
      </c>
      <c r="C9115" s="307">
        <v>7.9462433154475898</v>
      </c>
    </row>
    <row r="9116" spans="1:3" x14ac:dyDescent="0.35">
      <c r="A9116" s="302">
        <v>37050</v>
      </c>
      <c r="B9116" s="303">
        <v>119.3548</v>
      </c>
      <c r="C9116" s="304">
        <v>7.9411073127498302</v>
      </c>
    </row>
    <row r="9117" spans="1:3" x14ac:dyDescent="0.35">
      <c r="A9117" s="305">
        <v>37049</v>
      </c>
      <c r="B9117" s="306">
        <v>119.3108</v>
      </c>
      <c r="C9117" s="307">
        <v>7.93596801114544</v>
      </c>
    </row>
    <row r="9118" spans="1:3" x14ac:dyDescent="0.35">
      <c r="A9118" s="302">
        <v>37048</v>
      </c>
      <c r="B9118" s="303">
        <v>119.2668</v>
      </c>
      <c r="C9118" s="304">
        <v>7.9307277352400103</v>
      </c>
    </row>
    <row r="9119" spans="1:3" x14ac:dyDescent="0.35">
      <c r="A9119" s="305">
        <v>37047</v>
      </c>
      <c r="B9119" s="306">
        <v>119.22280000000001</v>
      </c>
      <c r="C9119" s="307">
        <v>7.9255817995502804</v>
      </c>
    </row>
    <row r="9120" spans="1:3" x14ac:dyDescent="0.35">
      <c r="A9120" s="302">
        <v>37046</v>
      </c>
      <c r="B9120" s="303">
        <v>119.1788</v>
      </c>
      <c r="C9120" s="304">
        <v>7.92033482987752</v>
      </c>
    </row>
    <row r="9121" spans="1:3" x14ac:dyDescent="0.35">
      <c r="A9121" s="305">
        <v>37045</v>
      </c>
      <c r="B9121" s="306">
        <v>119.1349</v>
      </c>
      <c r="C9121" s="307">
        <v>7.91527282971321</v>
      </c>
    </row>
    <row r="9122" spans="1:3" x14ac:dyDescent="0.35">
      <c r="A9122" s="302">
        <v>37044</v>
      </c>
      <c r="B9122" s="303">
        <v>119.09099999999999</v>
      </c>
      <c r="C9122" s="304">
        <v>7.9101097939223299</v>
      </c>
    </row>
    <row r="9123" spans="1:3" x14ac:dyDescent="0.35">
      <c r="A9123" s="305">
        <v>37043</v>
      </c>
      <c r="B9123" s="306">
        <v>119.047</v>
      </c>
      <c r="C9123" s="307">
        <v>7.9048528042825801</v>
      </c>
    </row>
    <row r="9124" spans="1:3" x14ac:dyDescent="0.35">
      <c r="A9124" s="302">
        <v>37042</v>
      </c>
      <c r="B9124" s="303">
        <v>119.0031</v>
      </c>
      <c r="C9124" s="304">
        <v>7.8996831096060003</v>
      </c>
    </row>
    <row r="9125" spans="1:3" x14ac:dyDescent="0.35">
      <c r="A9125" s="305">
        <v>37041</v>
      </c>
      <c r="B9125" s="306">
        <v>118.9593</v>
      </c>
      <c r="C9125" s="307">
        <v>7.8946007939768803</v>
      </c>
    </row>
    <row r="9126" spans="1:3" x14ac:dyDescent="0.35">
      <c r="A9126" s="302">
        <v>37040</v>
      </c>
      <c r="B9126" s="303">
        <v>118.91540000000001</v>
      </c>
      <c r="C9126" s="304">
        <v>7.8894244858224098</v>
      </c>
    </row>
    <row r="9127" spans="1:3" x14ac:dyDescent="0.35">
      <c r="A9127" s="305">
        <v>37039</v>
      </c>
      <c r="B9127" s="306">
        <v>118.8715</v>
      </c>
      <c r="C9127" s="307">
        <v>7.8842448515804904</v>
      </c>
    </row>
    <row r="9128" spans="1:3" x14ac:dyDescent="0.35">
      <c r="A9128" s="302">
        <v>37038</v>
      </c>
      <c r="B9128" s="303">
        <v>118.82769999999999</v>
      </c>
      <c r="C9128" s="304">
        <v>7.8791526742436799</v>
      </c>
    </row>
    <row r="9129" spans="1:3" x14ac:dyDescent="0.35">
      <c r="A9129" s="305">
        <v>37037</v>
      </c>
      <c r="B9129" s="306">
        <v>118.7839</v>
      </c>
      <c r="C9129" s="307">
        <v>7.8739592566222498</v>
      </c>
    </row>
    <row r="9130" spans="1:3" x14ac:dyDescent="0.35">
      <c r="A9130" s="302">
        <v>37036</v>
      </c>
      <c r="B9130" s="303">
        <v>118.7401</v>
      </c>
      <c r="C9130" s="304">
        <v>7.8687625081419297</v>
      </c>
    </row>
    <row r="9131" spans="1:3" x14ac:dyDescent="0.35">
      <c r="A9131" s="305">
        <v>37035</v>
      </c>
      <c r="B9131" s="306">
        <v>118.69629999999999</v>
      </c>
      <c r="C9131" s="307">
        <v>7.86366044515366</v>
      </c>
    </row>
    <row r="9132" spans="1:3" x14ac:dyDescent="0.35">
      <c r="A9132" s="302">
        <v>37034</v>
      </c>
      <c r="B9132" s="303">
        <v>118.6525</v>
      </c>
      <c r="C9132" s="304">
        <v>7.8584570520582204</v>
      </c>
    </row>
    <row r="9133" spans="1:3" x14ac:dyDescent="0.35">
      <c r="A9133" s="305">
        <v>37033</v>
      </c>
      <c r="B9133" s="306">
        <v>118.6087</v>
      </c>
      <c r="C9133" s="307">
        <v>7.8532503184892901</v>
      </c>
    </row>
    <row r="9134" spans="1:3" x14ac:dyDescent="0.35">
      <c r="A9134" s="302">
        <v>37032</v>
      </c>
      <c r="B9134" s="303">
        <v>118.565</v>
      </c>
      <c r="C9134" s="304">
        <v>7.8481312024159298</v>
      </c>
    </row>
    <row r="9135" spans="1:3" x14ac:dyDescent="0.35">
      <c r="A9135" s="305">
        <v>37031</v>
      </c>
      <c r="B9135" s="306">
        <v>118.5213</v>
      </c>
      <c r="C9135" s="307">
        <v>7.8430087978620904</v>
      </c>
    </row>
    <row r="9136" spans="1:3" x14ac:dyDescent="0.35">
      <c r="A9136" s="302">
        <v>37030</v>
      </c>
      <c r="B9136" s="303">
        <v>118.4776</v>
      </c>
      <c r="C9136" s="304">
        <v>7.8377849480961004</v>
      </c>
    </row>
    <row r="9137" spans="1:3" x14ac:dyDescent="0.35">
      <c r="A9137" s="305">
        <v>37029</v>
      </c>
      <c r="B9137" s="306">
        <v>118.43389999999999</v>
      </c>
      <c r="C9137" s="307">
        <v>7.8326559301910601</v>
      </c>
    </row>
    <row r="9138" spans="1:3" x14ac:dyDescent="0.35">
      <c r="A9138" s="302">
        <v>37028</v>
      </c>
      <c r="B9138" s="303">
        <v>118.39019999999999</v>
      </c>
      <c r="C9138" s="304">
        <v>7.8274254071186604</v>
      </c>
    </row>
    <row r="9139" spans="1:3" x14ac:dyDescent="0.35">
      <c r="A9139" s="305">
        <v>37027</v>
      </c>
      <c r="B9139" s="306">
        <v>118.34650000000001</v>
      </c>
      <c r="C9139" s="307">
        <v>7.8222897630937096</v>
      </c>
    </row>
    <row r="9140" spans="1:3" x14ac:dyDescent="0.35">
      <c r="A9140" s="302">
        <v>37026</v>
      </c>
      <c r="B9140" s="303">
        <v>118.30289999999999</v>
      </c>
      <c r="C9140" s="304">
        <v>7.8171436903910196</v>
      </c>
    </row>
    <row r="9141" spans="1:3" x14ac:dyDescent="0.35">
      <c r="A9141" s="305">
        <v>37025</v>
      </c>
      <c r="B9141" s="306">
        <v>118.245</v>
      </c>
      <c r="C9141" s="307">
        <v>7.8253019464087901</v>
      </c>
    </row>
    <row r="9142" spans="1:3" x14ac:dyDescent="0.35">
      <c r="A9142" s="302">
        <v>37024</v>
      </c>
      <c r="B9142" s="303">
        <v>118.1871</v>
      </c>
      <c r="C9142" s="304">
        <v>7.8334694324439003</v>
      </c>
    </row>
    <row r="9143" spans="1:3" x14ac:dyDescent="0.35">
      <c r="A9143" s="305">
        <v>37023</v>
      </c>
      <c r="B9143" s="306">
        <v>118.1293</v>
      </c>
      <c r="C9143" s="307">
        <v>7.8416390054373002</v>
      </c>
    </row>
    <row r="9144" spans="1:3" x14ac:dyDescent="0.35">
      <c r="A9144" s="302">
        <v>37022</v>
      </c>
      <c r="B9144" s="303">
        <v>118.0714</v>
      </c>
      <c r="C9144" s="304">
        <v>7.8497264739759798</v>
      </c>
    </row>
    <row r="9145" spans="1:3" x14ac:dyDescent="0.35">
      <c r="A9145" s="305">
        <v>37021</v>
      </c>
      <c r="B9145" s="306">
        <v>118.0136</v>
      </c>
      <c r="C9145" s="307">
        <v>7.8579144876699702</v>
      </c>
    </row>
    <row r="9146" spans="1:3" x14ac:dyDescent="0.35">
      <c r="A9146" s="302">
        <v>37020</v>
      </c>
      <c r="B9146" s="303">
        <v>117.9558</v>
      </c>
      <c r="C9146" s="304">
        <v>7.8660131316641397</v>
      </c>
    </row>
    <row r="9147" spans="1:3" x14ac:dyDescent="0.35">
      <c r="A9147" s="305">
        <v>37019</v>
      </c>
      <c r="B9147" s="306">
        <v>117.8981</v>
      </c>
      <c r="C9147" s="307">
        <v>7.8742124323602196</v>
      </c>
    </row>
    <row r="9148" spans="1:3" x14ac:dyDescent="0.35">
      <c r="A9148" s="302">
        <v>37018</v>
      </c>
      <c r="B9148" s="303">
        <v>117.8404</v>
      </c>
      <c r="C9148" s="304">
        <v>7.8823222451604602</v>
      </c>
    </row>
    <row r="9149" spans="1:3" x14ac:dyDescent="0.35">
      <c r="A9149" s="305">
        <v>37017</v>
      </c>
      <c r="B9149" s="306">
        <v>117.78270000000001</v>
      </c>
      <c r="C9149" s="307">
        <v>7.8905400540631199</v>
      </c>
    </row>
    <row r="9150" spans="1:3" x14ac:dyDescent="0.35">
      <c r="A9150" s="302">
        <v>37016</v>
      </c>
      <c r="B9150" s="303">
        <v>117.72499999999999</v>
      </c>
      <c r="C9150" s="304">
        <v>7.8985693873267602</v>
      </c>
    </row>
    <row r="9151" spans="1:3" x14ac:dyDescent="0.35">
      <c r="A9151" s="305">
        <v>37015</v>
      </c>
      <c r="B9151" s="306">
        <v>117.6674</v>
      </c>
      <c r="C9151" s="307">
        <v>7.9067984527545399</v>
      </c>
    </row>
    <row r="9152" spans="1:3" x14ac:dyDescent="0.35">
      <c r="A9152" s="302">
        <v>37014</v>
      </c>
      <c r="B9152" s="303">
        <v>117.60980000000001</v>
      </c>
      <c r="C9152" s="304">
        <v>7.9149378164461099</v>
      </c>
    </row>
    <row r="9153" spans="1:3" x14ac:dyDescent="0.35">
      <c r="A9153" s="305">
        <v>37013</v>
      </c>
      <c r="B9153" s="306">
        <v>117.5522</v>
      </c>
      <c r="C9153" s="307">
        <v>7.9230863864299499</v>
      </c>
    </row>
    <row r="9154" spans="1:3" x14ac:dyDescent="0.35">
      <c r="A9154" s="302">
        <v>37012</v>
      </c>
      <c r="B9154" s="303">
        <v>117.49460000000001</v>
      </c>
      <c r="C9154" s="304">
        <v>7.9311450321374002</v>
      </c>
    </row>
    <row r="9155" spans="1:3" x14ac:dyDescent="0.35">
      <c r="A9155" s="305">
        <v>37011</v>
      </c>
      <c r="B9155" s="306">
        <v>117.4371</v>
      </c>
      <c r="C9155" s="307">
        <v>7.9393047007698598</v>
      </c>
    </row>
    <row r="9156" spans="1:3" x14ac:dyDescent="0.35">
      <c r="A9156" s="302">
        <v>37010</v>
      </c>
      <c r="B9156" s="303">
        <v>117.3796</v>
      </c>
      <c r="C9156" s="304">
        <v>7.9474735993128398</v>
      </c>
    </row>
    <row r="9157" spans="1:3" x14ac:dyDescent="0.35">
      <c r="A9157" s="305">
        <v>37009</v>
      </c>
      <c r="B9157" s="306">
        <v>117.32210000000001</v>
      </c>
      <c r="C9157" s="307">
        <v>7.9555524065504599</v>
      </c>
    </row>
    <row r="9158" spans="1:3" x14ac:dyDescent="0.35">
      <c r="A9158" s="302">
        <v>37008</v>
      </c>
      <c r="B9158" s="303">
        <v>117.2647</v>
      </c>
      <c r="C9158" s="304">
        <v>7.9637324160865601</v>
      </c>
    </row>
    <row r="9159" spans="1:3" x14ac:dyDescent="0.35">
      <c r="A9159" s="305">
        <v>37007</v>
      </c>
      <c r="B9159" s="306">
        <v>117.2073</v>
      </c>
      <c r="C9159" s="307">
        <v>7.97192167917202</v>
      </c>
    </row>
    <row r="9160" spans="1:3" x14ac:dyDescent="0.35">
      <c r="A9160" s="302">
        <v>37006</v>
      </c>
      <c r="B9160" s="303">
        <v>117.1499</v>
      </c>
      <c r="C9160" s="304">
        <v>7.9801202115176997</v>
      </c>
    </row>
    <row r="9161" spans="1:3" x14ac:dyDescent="0.35">
      <c r="A9161" s="305">
        <v>37005</v>
      </c>
      <c r="B9161" s="306">
        <v>117.0925</v>
      </c>
      <c r="C9161" s="307">
        <v>7.9882284369385799</v>
      </c>
    </row>
    <row r="9162" spans="1:3" x14ac:dyDescent="0.35">
      <c r="A9162" s="302">
        <v>37004</v>
      </c>
      <c r="B9162" s="303">
        <v>117.0352</v>
      </c>
      <c r="C9162" s="304">
        <v>7.99633845654132</v>
      </c>
    </row>
    <row r="9163" spans="1:3" x14ac:dyDescent="0.35">
      <c r="A9163" s="305">
        <v>37003</v>
      </c>
      <c r="B9163" s="306">
        <v>116.97790000000001</v>
      </c>
      <c r="C9163" s="307">
        <v>8.0044576413279103</v>
      </c>
    </row>
    <row r="9164" spans="1:3" x14ac:dyDescent="0.35">
      <c r="A9164" s="302">
        <v>37002</v>
      </c>
      <c r="B9164" s="303">
        <v>116.92059999999999</v>
      </c>
      <c r="C9164" s="304">
        <v>8.0125860068436001</v>
      </c>
    </row>
    <row r="9165" spans="1:3" x14ac:dyDescent="0.35">
      <c r="A9165" s="305">
        <v>37001</v>
      </c>
      <c r="B9165" s="306">
        <v>116.8634</v>
      </c>
      <c r="C9165" s="307">
        <v>8.0208160020705108</v>
      </c>
    </row>
    <row r="9166" spans="1:3" x14ac:dyDescent="0.35">
      <c r="A9166" s="302">
        <v>37000</v>
      </c>
      <c r="B9166" s="303">
        <v>116.8062</v>
      </c>
      <c r="C9166" s="304">
        <v>8.0289554025021097</v>
      </c>
    </row>
    <row r="9167" spans="1:3" x14ac:dyDescent="0.35">
      <c r="A9167" s="305">
        <v>36999</v>
      </c>
      <c r="B9167" s="306">
        <v>116.749</v>
      </c>
      <c r="C9167" s="307">
        <v>8.0371040070772999</v>
      </c>
    </row>
    <row r="9168" spans="1:3" x14ac:dyDescent="0.35">
      <c r="A9168" s="302">
        <v>36998</v>
      </c>
      <c r="B9168" s="303">
        <v>116.6918</v>
      </c>
      <c r="C9168" s="304">
        <v>8.0452618314171804</v>
      </c>
    </row>
    <row r="9169" spans="1:3" x14ac:dyDescent="0.35">
      <c r="A9169" s="305">
        <v>36997</v>
      </c>
      <c r="B9169" s="306">
        <v>116.6347</v>
      </c>
      <c r="C9169" s="307">
        <v>8.0534214302720795</v>
      </c>
    </row>
    <row r="9170" spans="1:3" x14ac:dyDescent="0.35">
      <c r="A9170" s="302">
        <v>36996</v>
      </c>
      <c r="B9170" s="303">
        <v>116.5776</v>
      </c>
      <c r="C9170" s="304">
        <v>8.0615902566446103</v>
      </c>
    </row>
    <row r="9171" spans="1:3" x14ac:dyDescent="0.35">
      <c r="A9171" s="305">
        <v>36995</v>
      </c>
      <c r="B9171" s="306">
        <v>116.5073</v>
      </c>
      <c r="C9171" s="307">
        <v>8.0756686357159797</v>
      </c>
    </row>
    <row r="9172" spans="1:3" x14ac:dyDescent="0.35">
      <c r="A9172" s="302">
        <v>36994</v>
      </c>
      <c r="B9172" s="303">
        <v>116.43689999999999</v>
      </c>
      <c r="C9172" s="304">
        <v>8.0896748590127405</v>
      </c>
    </row>
    <row r="9173" spans="1:3" x14ac:dyDescent="0.35">
      <c r="A9173" s="305">
        <v>36993</v>
      </c>
      <c r="B9173" s="306">
        <v>116.36660000000001</v>
      </c>
      <c r="C9173" s="307">
        <v>8.1036941385220693</v>
      </c>
    </row>
    <row r="9174" spans="1:3" x14ac:dyDescent="0.35">
      <c r="A9174" s="302">
        <v>36992</v>
      </c>
      <c r="B9174" s="303">
        <v>116.2963</v>
      </c>
      <c r="C9174" s="304">
        <v>8.1176334965220907</v>
      </c>
    </row>
    <row r="9175" spans="1:3" x14ac:dyDescent="0.35">
      <c r="A9175" s="305">
        <v>36991</v>
      </c>
      <c r="B9175" s="306">
        <v>116.2261</v>
      </c>
      <c r="C9175" s="307">
        <v>8.1316863545569298</v>
      </c>
    </row>
    <row r="9176" spans="1:3" x14ac:dyDescent="0.35">
      <c r="A9176" s="302">
        <v>36990</v>
      </c>
      <c r="B9176" s="303">
        <v>116.1559</v>
      </c>
      <c r="C9176" s="304">
        <v>8.14565917087263</v>
      </c>
    </row>
    <row r="9177" spans="1:3" x14ac:dyDescent="0.35">
      <c r="A9177" s="305">
        <v>36989</v>
      </c>
      <c r="B9177" s="306">
        <v>116.08580000000001</v>
      </c>
      <c r="C9177" s="307">
        <v>8.1596449022717206</v>
      </c>
    </row>
    <row r="9178" spans="1:3" x14ac:dyDescent="0.35">
      <c r="A9178" s="302">
        <v>36988</v>
      </c>
      <c r="B9178" s="303">
        <v>116.0157</v>
      </c>
      <c r="C9178" s="304">
        <v>8.1736511592128593</v>
      </c>
    </row>
    <row r="9179" spans="1:3" x14ac:dyDescent="0.35">
      <c r="A9179" s="305">
        <v>36987</v>
      </c>
      <c r="B9179" s="306">
        <v>115.9457</v>
      </c>
      <c r="C9179" s="307">
        <v>8.1877712959126896</v>
      </c>
    </row>
    <row r="9180" spans="1:3" x14ac:dyDescent="0.35">
      <c r="A9180" s="302">
        <v>36986</v>
      </c>
      <c r="B9180" s="303">
        <v>115.87569999999999</v>
      </c>
      <c r="C9180" s="304">
        <v>8.2018111496448896</v>
      </c>
    </row>
    <row r="9181" spans="1:3" x14ac:dyDescent="0.35">
      <c r="A9181" s="305">
        <v>36985</v>
      </c>
      <c r="B9181" s="306">
        <v>115.8057</v>
      </c>
      <c r="C9181" s="307">
        <v>8.2157705041504006</v>
      </c>
    </row>
    <row r="9182" spans="1:3" x14ac:dyDescent="0.35">
      <c r="A9182" s="302">
        <v>36984</v>
      </c>
      <c r="B9182" s="303">
        <v>115.7358</v>
      </c>
      <c r="C9182" s="304">
        <v>8.2298438680621508</v>
      </c>
    </row>
    <row r="9183" spans="1:3" x14ac:dyDescent="0.35">
      <c r="A9183" s="305">
        <v>36983</v>
      </c>
      <c r="B9183" s="306">
        <v>115.66589999999999</v>
      </c>
      <c r="C9183" s="307">
        <v>8.2438366112404609</v>
      </c>
    </row>
    <row r="9184" spans="1:3" x14ac:dyDescent="0.35">
      <c r="A9184" s="302">
        <v>36982</v>
      </c>
      <c r="B9184" s="303">
        <v>115.596</v>
      </c>
      <c r="C9184" s="304">
        <v>8.2577485167894302</v>
      </c>
    </row>
    <row r="9185" spans="1:3" x14ac:dyDescent="0.35">
      <c r="A9185" s="305">
        <v>36981</v>
      </c>
      <c r="B9185" s="306">
        <v>115.5262</v>
      </c>
      <c r="C9185" s="307">
        <v>8.27177456087243</v>
      </c>
    </row>
    <row r="9186" spans="1:3" x14ac:dyDescent="0.35">
      <c r="A9186" s="302">
        <v>36980</v>
      </c>
      <c r="B9186" s="303">
        <v>115.45650000000001</v>
      </c>
      <c r="C9186" s="304">
        <v>8.2859149949494402</v>
      </c>
    </row>
    <row r="9187" spans="1:3" x14ac:dyDescent="0.35">
      <c r="A9187" s="305">
        <v>36979</v>
      </c>
      <c r="B9187" s="306">
        <v>115.38679999999999</v>
      </c>
      <c r="C9187" s="307">
        <v>8.2999745644275507</v>
      </c>
    </row>
    <row r="9188" spans="1:3" x14ac:dyDescent="0.35">
      <c r="A9188" s="302">
        <v>36978</v>
      </c>
      <c r="B9188" s="303">
        <v>115.3171</v>
      </c>
      <c r="C9188" s="304">
        <v>8.3139530515020805</v>
      </c>
    </row>
    <row r="9189" spans="1:3" x14ac:dyDescent="0.35">
      <c r="A9189" s="305">
        <v>36977</v>
      </c>
      <c r="B9189" s="306">
        <v>115.2475</v>
      </c>
      <c r="C9189" s="307">
        <v>8.3279442341024694</v>
      </c>
    </row>
    <row r="9190" spans="1:3" x14ac:dyDescent="0.35">
      <c r="A9190" s="302">
        <v>36976</v>
      </c>
      <c r="B9190" s="303">
        <v>115.17789999999999</v>
      </c>
      <c r="C9190" s="304">
        <v>8.3420578593634591</v>
      </c>
    </row>
    <row r="9191" spans="1:3" x14ac:dyDescent="0.35">
      <c r="A9191" s="305">
        <v>36975</v>
      </c>
      <c r="B9191" s="306">
        <v>115.1083</v>
      </c>
      <c r="C9191" s="307">
        <v>8.3559882370217498</v>
      </c>
    </row>
    <row r="9192" spans="1:3" x14ac:dyDescent="0.35">
      <c r="A9192" s="302">
        <v>36974</v>
      </c>
      <c r="B9192" s="303">
        <v>115.03879999999999</v>
      </c>
      <c r="C9192" s="304">
        <v>8.3700332630892795</v>
      </c>
    </row>
    <row r="9193" spans="1:3" x14ac:dyDescent="0.35">
      <c r="A9193" s="305">
        <v>36973</v>
      </c>
      <c r="B9193" s="306">
        <v>114.96939999999999</v>
      </c>
      <c r="C9193" s="307">
        <v>8.3840910140757696</v>
      </c>
    </row>
    <row r="9194" spans="1:3" x14ac:dyDescent="0.35">
      <c r="A9194" s="302">
        <v>36972</v>
      </c>
      <c r="B9194" s="303">
        <v>114.9</v>
      </c>
      <c r="C9194" s="304">
        <v>8.3981694011496408</v>
      </c>
    </row>
    <row r="9195" spans="1:3" x14ac:dyDescent="0.35">
      <c r="A9195" s="305">
        <v>36971</v>
      </c>
      <c r="B9195" s="306">
        <v>114.8306</v>
      </c>
      <c r="C9195" s="307">
        <v>8.4121661171974402</v>
      </c>
    </row>
    <row r="9196" spans="1:3" x14ac:dyDescent="0.35">
      <c r="A9196" s="302">
        <v>36970</v>
      </c>
      <c r="B9196" s="303">
        <v>114.7612</v>
      </c>
      <c r="C9196" s="304">
        <v>8.4261833834548803</v>
      </c>
    </row>
    <row r="9197" spans="1:3" x14ac:dyDescent="0.35">
      <c r="A9197" s="305">
        <v>36969</v>
      </c>
      <c r="B9197" s="306">
        <v>114.69199999999999</v>
      </c>
      <c r="C9197" s="307">
        <v>8.4403078142033596</v>
      </c>
    </row>
    <row r="9198" spans="1:3" x14ac:dyDescent="0.35">
      <c r="A9198" s="302">
        <v>36968</v>
      </c>
      <c r="B9198" s="303">
        <v>114.62269999999999</v>
      </c>
      <c r="C9198" s="304">
        <v>8.4543583678296894</v>
      </c>
    </row>
    <row r="9199" spans="1:3" x14ac:dyDescent="0.35">
      <c r="A9199" s="305">
        <v>36967</v>
      </c>
      <c r="B9199" s="306">
        <v>114.5535</v>
      </c>
      <c r="C9199" s="307">
        <v>8.4684215509894898</v>
      </c>
    </row>
    <row r="9200" spans="1:3" x14ac:dyDescent="0.35">
      <c r="A9200" s="302">
        <v>36966</v>
      </c>
      <c r="B9200" s="303">
        <v>114.4843</v>
      </c>
      <c r="C9200" s="304">
        <v>8.4824025940799306</v>
      </c>
    </row>
    <row r="9201" spans="1:3" x14ac:dyDescent="0.35">
      <c r="A9201" s="305">
        <v>36965</v>
      </c>
      <c r="B9201" s="306">
        <v>114.4152</v>
      </c>
      <c r="C9201" s="307">
        <v>8.4964989872476693</v>
      </c>
    </row>
    <row r="9202" spans="1:3" x14ac:dyDescent="0.35">
      <c r="A9202" s="302">
        <v>36964</v>
      </c>
      <c r="B9202" s="303">
        <v>114.3725</v>
      </c>
      <c r="C9202" s="304">
        <v>8.5039550852586991</v>
      </c>
    </row>
    <row r="9203" spans="1:3" x14ac:dyDescent="0.35">
      <c r="A9203" s="305">
        <v>36963</v>
      </c>
      <c r="B9203" s="306">
        <v>114.32980000000001</v>
      </c>
      <c r="C9203" s="307">
        <v>8.5113147896634604</v>
      </c>
    </row>
    <row r="9204" spans="1:3" x14ac:dyDescent="0.35">
      <c r="A9204" s="302">
        <v>36962</v>
      </c>
      <c r="B9204" s="303">
        <v>114.2872</v>
      </c>
      <c r="C9204" s="304">
        <v>8.5188789874235002</v>
      </c>
    </row>
    <row r="9205" spans="1:3" x14ac:dyDescent="0.35">
      <c r="A9205" s="305">
        <v>36961</v>
      </c>
      <c r="B9205" s="306">
        <v>114.24460000000001</v>
      </c>
      <c r="C9205" s="307">
        <v>8.5263467877532797</v>
      </c>
    </row>
    <row r="9206" spans="1:3" x14ac:dyDescent="0.35">
      <c r="A9206" s="302">
        <v>36960</v>
      </c>
      <c r="B9206" s="303">
        <v>114.202</v>
      </c>
      <c r="C9206" s="304">
        <v>8.5338211884340307</v>
      </c>
    </row>
    <row r="9207" spans="1:3" x14ac:dyDescent="0.35">
      <c r="A9207" s="305">
        <v>36959</v>
      </c>
      <c r="B9207" s="306">
        <v>114.15940000000001</v>
      </c>
      <c r="C9207" s="307">
        <v>8.54130219822013</v>
      </c>
    </row>
    <row r="9208" spans="1:3" x14ac:dyDescent="0.35">
      <c r="A9208" s="302">
        <v>36958</v>
      </c>
      <c r="B9208" s="303">
        <v>114.1168</v>
      </c>
      <c r="C9208" s="304">
        <v>8.5487898258814106</v>
      </c>
    </row>
    <row r="9209" spans="1:3" x14ac:dyDescent="0.35">
      <c r="A9209" s="305">
        <v>36957</v>
      </c>
      <c r="B9209" s="306">
        <v>114.0742</v>
      </c>
      <c r="C9209" s="307">
        <v>8.5562840802032696</v>
      </c>
    </row>
    <row r="9210" spans="1:3" x14ac:dyDescent="0.35">
      <c r="A9210" s="302">
        <v>36956</v>
      </c>
      <c r="B9210" s="303">
        <v>114.0317</v>
      </c>
      <c r="C9210" s="304">
        <v>8.5637768168428892</v>
      </c>
    </row>
    <row r="9211" spans="1:3" x14ac:dyDescent="0.35">
      <c r="A9211" s="305">
        <v>36955</v>
      </c>
      <c r="B9211" s="306">
        <v>113.9892</v>
      </c>
      <c r="C9211" s="307">
        <v>8.5712761762526402</v>
      </c>
    </row>
    <row r="9212" spans="1:3" x14ac:dyDescent="0.35">
      <c r="A9212" s="302">
        <v>36954</v>
      </c>
      <c r="B9212" s="303">
        <v>113.9466</v>
      </c>
      <c r="C9212" s="304">
        <v>8.5786868781195302</v>
      </c>
    </row>
    <row r="9213" spans="1:3" x14ac:dyDescent="0.35">
      <c r="A9213" s="305">
        <v>36953</v>
      </c>
      <c r="B9213" s="306">
        <v>113.9041</v>
      </c>
      <c r="C9213" s="307">
        <v>8.5861994672889903</v>
      </c>
    </row>
    <row r="9214" spans="1:3" x14ac:dyDescent="0.35">
      <c r="A9214" s="302">
        <v>36952</v>
      </c>
      <c r="B9214" s="303">
        <v>113.8617</v>
      </c>
      <c r="C9214" s="304">
        <v>8.5937105094748603</v>
      </c>
    </row>
    <row r="9215" spans="1:3" x14ac:dyDescent="0.35">
      <c r="A9215" s="305">
        <v>36951</v>
      </c>
      <c r="B9215" s="306">
        <v>113.8192</v>
      </c>
      <c r="C9215" s="307">
        <v>8.6012363949326698</v>
      </c>
    </row>
    <row r="9216" spans="1:3" x14ac:dyDescent="0.35">
      <c r="A9216" s="302">
        <v>36950</v>
      </c>
      <c r="B9216" s="303">
        <v>113.77670000000001</v>
      </c>
      <c r="C9216" s="304">
        <v>8.6566881955380399</v>
      </c>
    </row>
    <row r="9217" spans="1:3" x14ac:dyDescent="0.35">
      <c r="A9217" s="305">
        <v>36949</v>
      </c>
      <c r="B9217" s="306">
        <v>113.7343</v>
      </c>
      <c r="C9217" s="307">
        <v>8.6641398965661196</v>
      </c>
    </row>
    <row r="9218" spans="1:3" x14ac:dyDescent="0.35">
      <c r="A9218" s="302">
        <v>36948</v>
      </c>
      <c r="B9218" s="303">
        <v>113.6919</v>
      </c>
      <c r="C9218" s="304">
        <v>8.6717020520055499</v>
      </c>
    </row>
    <row r="9219" spans="1:3" x14ac:dyDescent="0.35">
      <c r="A9219" s="305">
        <v>36947</v>
      </c>
      <c r="B9219" s="306">
        <v>113.6495</v>
      </c>
      <c r="C9219" s="307">
        <v>8.6791669774531606</v>
      </c>
    </row>
    <row r="9220" spans="1:3" x14ac:dyDescent="0.35">
      <c r="A9220" s="302">
        <v>36946</v>
      </c>
      <c r="B9220" s="303">
        <v>113.6071</v>
      </c>
      <c r="C9220" s="304">
        <v>8.6866385017488295</v>
      </c>
    </row>
    <row r="9221" spans="1:3" x14ac:dyDescent="0.35">
      <c r="A9221" s="305">
        <v>36945</v>
      </c>
      <c r="B9221" s="306">
        <v>113.5647</v>
      </c>
      <c r="C9221" s="307">
        <v>8.6941166336463098</v>
      </c>
    </row>
    <row r="9222" spans="1:3" x14ac:dyDescent="0.35">
      <c r="A9222" s="302">
        <v>36944</v>
      </c>
      <c r="B9222" s="303">
        <v>113.5224</v>
      </c>
      <c r="C9222" s="304">
        <v>8.7016971354376107</v>
      </c>
    </row>
    <row r="9223" spans="1:3" x14ac:dyDescent="0.35">
      <c r="A9223" s="305">
        <v>36943</v>
      </c>
      <c r="B9223" s="306">
        <v>113.48</v>
      </c>
      <c r="C9223" s="307">
        <v>8.7090844123933007</v>
      </c>
    </row>
    <row r="9224" spans="1:3" x14ac:dyDescent="0.35">
      <c r="A9224" s="302">
        <v>36942</v>
      </c>
      <c r="B9224" s="303">
        <v>113.43770000000001</v>
      </c>
      <c r="C9224" s="304">
        <v>8.7166782471188604</v>
      </c>
    </row>
    <row r="9225" spans="1:3" x14ac:dyDescent="0.35">
      <c r="A9225" s="305">
        <v>36941</v>
      </c>
      <c r="B9225" s="306">
        <v>113.3954</v>
      </c>
      <c r="C9225" s="307">
        <v>8.7241745640309691</v>
      </c>
    </row>
    <row r="9226" spans="1:3" x14ac:dyDescent="0.35">
      <c r="A9226" s="302">
        <v>36940</v>
      </c>
      <c r="B9226" s="303">
        <v>113.3531</v>
      </c>
      <c r="C9226" s="304">
        <v>8.7316775107601607</v>
      </c>
    </row>
    <row r="9227" spans="1:3" x14ac:dyDescent="0.35">
      <c r="A9227" s="305">
        <v>36939</v>
      </c>
      <c r="B9227" s="306">
        <v>113.3108</v>
      </c>
      <c r="C9227" s="307">
        <v>8.7390827441861791</v>
      </c>
    </row>
    <row r="9228" spans="1:3" x14ac:dyDescent="0.35">
      <c r="A9228" s="302">
        <v>36938</v>
      </c>
      <c r="B9228" s="303">
        <v>113.2685</v>
      </c>
      <c r="C9228" s="304">
        <v>8.7465989235605104</v>
      </c>
    </row>
    <row r="9229" spans="1:3" x14ac:dyDescent="0.35">
      <c r="A9229" s="305">
        <v>36937</v>
      </c>
      <c r="B9229" s="306">
        <v>113.22629999999999</v>
      </c>
      <c r="C9229" s="307">
        <v>8.7541133507888595</v>
      </c>
    </row>
    <row r="9230" spans="1:3" x14ac:dyDescent="0.35">
      <c r="A9230" s="302">
        <v>36936</v>
      </c>
      <c r="B9230" s="303">
        <v>113.20950000000001</v>
      </c>
      <c r="C9230" s="304">
        <v>8.7565709586682896</v>
      </c>
    </row>
    <row r="9231" spans="1:3" x14ac:dyDescent="0.35">
      <c r="A9231" s="305">
        <v>36935</v>
      </c>
      <c r="B9231" s="306">
        <v>113.1927</v>
      </c>
      <c r="C9231" s="307">
        <v>8.7589249082647704</v>
      </c>
    </row>
    <row r="9232" spans="1:3" x14ac:dyDescent="0.35">
      <c r="A9232" s="302">
        <v>36934</v>
      </c>
      <c r="B9232" s="303">
        <v>113.176</v>
      </c>
      <c r="C9232" s="304">
        <v>8.7614802770354103</v>
      </c>
    </row>
    <row r="9233" spans="1:3" x14ac:dyDescent="0.35">
      <c r="A9233" s="305">
        <v>36933</v>
      </c>
      <c r="B9233" s="306">
        <v>113.1592</v>
      </c>
      <c r="C9233" s="307">
        <v>8.7638358650227008</v>
      </c>
    </row>
    <row r="9234" spans="1:3" x14ac:dyDescent="0.35">
      <c r="A9234" s="302">
        <v>36932</v>
      </c>
      <c r="B9234" s="303">
        <v>113.1425</v>
      </c>
      <c r="C9234" s="304">
        <v>8.7662883867587595</v>
      </c>
    </row>
    <row r="9235" spans="1:3" x14ac:dyDescent="0.35">
      <c r="A9235" s="305">
        <v>36931</v>
      </c>
      <c r="B9235" s="306">
        <v>113.12569999999999</v>
      </c>
      <c r="C9235" s="307">
        <v>8.7687501742692895</v>
      </c>
    </row>
    <row r="9236" spans="1:3" x14ac:dyDescent="0.35">
      <c r="A9236" s="302">
        <v>36930</v>
      </c>
      <c r="B9236" s="303">
        <v>113.10899999999999</v>
      </c>
      <c r="C9236" s="304">
        <v>8.7712043697349706</v>
      </c>
    </row>
    <row r="9237" spans="1:3" x14ac:dyDescent="0.35">
      <c r="A9237" s="305">
        <v>36929</v>
      </c>
      <c r="B9237" s="306">
        <v>113.09220000000001</v>
      </c>
      <c r="C9237" s="307">
        <v>8.7735632194963404</v>
      </c>
    </row>
    <row r="9238" spans="1:3" x14ac:dyDescent="0.35">
      <c r="A9238" s="302">
        <v>36928</v>
      </c>
      <c r="B9238" s="303">
        <v>113.07550000000001</v>
      </c>
      <c r="C9238" s="304">
        <v>8.7761237103484806</v>
      </c>
    </row>
    <row r="9239" spans="1:3" x14ac:dyDescent="0.35">
      <c r="A9239" s="305">
        <v>36927</v>
      </c>
      <c r="B9239" s="306">
        <v>113.05880000000001</v>
      </c>
      <c r="C9239" s="307">
        <v>8.7785804177234201</v>
      </c>
    </row>
    <row r="9240" spans="1:3" x14ac:dyDescent="0.35">
      <c r="A9240" s="302">
        <v>36926</v>
      </c>
      <c r="B9240" s="303">
        <v>113.042</v>
      </c>
      <c r="C9240" s="304">
        <v>8.7809417314378493</v>
      </c>
    </row>
    <row r="9241" spans="1:3" x14ac:dyDescent="0.35">
      <c r="A9241" s="305">
        <v>36925</v>
      </c>
      <c r="B9241" s="306">
        <v>113.0253</v>
      </c>
      <c r="C9241" s="307">
        <v>8.7834000966319294</v>
      </c>
    </row>
    <row r="9242" spans="1:3" x14ac:dyDescent="0.35">
      <c r="A9242" s="302">
        <v>36924</v>
      </c>
      <c r="B9242" s="303">
        <v>113.0085</v>
      </c>
      <c r="C9242" s="304">
        <v>8.7857630362229298</v>
      </c>
    </row>
    <row r="9243" spans="1:3" x14ac:dyDescent="0.35">
      <c r="A9243" s="305">
        <v>36923</v>
      </c>
      <c r="B9243" s="306">
        <v>112.9918</v>
      </c>
      <c r="C9243" s="307">
        <v>8.7883278020563402</v>
      </c>
    </row>
    <row r="9244" spans="1:3" x14ac:dyDescent="0.35">
      <c r="A9244" s="302">
        <v>36922</v>
      </c>
      <c r="B9244" s="303">
        <v>112.9751</v>
      </c>
      <c r="C9244" s="304">
        <v>8.7907886855754001</v>
      </c>
    </row>
    <row r="9245" spans="1:3" x14ac:dyDescent="0.35">
      <c r="A9245" s="305">
        <v>36921</v>
      </c>
      <c r="B9245" s="306">
        <v>112.9584</v>
      </c>
      <c r="C9245" s="307">
        <v>8.7932504081249405</v>
      </c>
    </row>
    <row r="9246" spans="1:3" x14ac:dyDescent="0.35">
      <c r="A9246" s="302">
        <v>36920</v>
      </c>
      <c r="B9246" s="303">
        <v>112.94159999999999</v>
      </c>
      <c r="C9246" s="304">
        <v>8.7956166410431305</v>
      </c>
    </row>
    <row r="9247" spans="1:3" x14ac:dyDescent="0.35">
      <c r="A9247" s="305">
        <v>36919</v>
      </c>
      <c r="B9247" s="306">
        <v>112.92489999999999</v>
      </c>
      <c r="C9247" s="307">
        <v>8.79808002651429</v>
      </c>
    </row>
    <row r="9248" spans="1:3" x14ac:dyDescent="0.35">
      <c r="A9248" s="302">
        <v>36918</v>
      </c>
      <c r="B9248" s="303">
        <v>112.90819999999999</v>
      </c>
      <c r="C9248" s="304">
        <v>8.8005442522987103</v>
      </c>
    </row>
    <row r="9249" spans="1:3" x14ac:dyDescent="0.35">
      <c r="A9249" s="305">
        <v>36917</v>
      </c>
      <c r="B9249" s="306">
        <v>112.89149999999999</v>
      </c>
      <c r="C9249" s="307">
        <v>8.8030093188264598</v>
      </c>
    </row>
    <row r="9250" spans="1:3" x14ac:dyDescent="0.35">
      <c r="A9250" s="302">
        <v>36916</v>
      </c>
      <c r="B9250" s="303">
        <v>112.87479999999999</v>
      </c>
      <c r="C9250" s="304">
        <v>8.8054752265278609</v>
      </c>
    </row>
    <row r="9251" spans="1:3" x14ac:dyDescent="0.35">
      <c r="A9251" s="305">
        <v>36915</v>
      </c>
      <c r="B9251" s="306">
        <v>112.85809999999999</v>
      </c>
      <c r="C9251" s="307">
        <v>8.8078370728020197</v>
      </c>
    </row>
    <row r="9252" spans="1:3" x14ac:dyDescent="0.35">
      <c r="A9252" s="302">
        <v>36914</v>
      </c>
      <c r="B9252" s="303">
        <v>112.84139999999999</v>
      </c>
      <c r="C9252" s="304">
        <v>8.8103046438589594</v>
      </c>
    </row>
    <row r="9253" spans="1:3" x14ac:dyDescent="0.35">
      <c r="A9253" s="305">
        <v>36913</v>
      </c>
      <c r="B9253" s="306">
        <v>112.82470000000001</v>
      </c>
      <c r="C9253" s="307">
        <v>8.8127730573745993</v>
      </c>
    </row>
    <row r="9254" spans="1:3" x14ac:dyDescent="0.35">
      <c r="A9254" s="302">
        <v>36912</v>
      </c>
      <c r="B9254" s="303">
        <v>112.80800000000001</v>
      </c>
      <c r="C9254" s="304">
        <v>8.8152423137804501</v>
      </c>
    </row>
    <row r="9255" spans="1:3" x14ac:dyDescent="0.35">
      <c r="A9255" s="305">
        <v>36911</v>
      </c>
      <c r="B9255" s="306">
        <v>112.79130000000001</v>
      </c>
      <c r="C9255" s="307">
        <v>8.81771241350833</v>
      </c>
    </row>
    <row r="9256" spans="1:3" x14ac:dyDescent="0.35">
      <c r="A9256" s="302">
        <v>36910</v>
      </c>
      <c r="B9256" s="303">
        <v>112.77460000000001</v>
      </c>
      <c r="C9256" s="304">
        <v>8.8200783526641793</v>
      </c>
    </row>
    <row r="9257" spans="1:3" x14ac:dyDescent="0.35">
      <c r="A9257" s="305">
        <v>36909</v>
      </c>
      <c r="B9257" s="306">
        <v>112.75790000000001</v>
      </c>
      <c r="C9257" s="307">
        <v>8.8225501200100798</v>
      </c>
    </row>
    <row r="9258" spans="1:3" x14ac:dyDescent="0.35">
      <c r="A9258" s="302">
        <v>36908</v>
      </c>
      <c r="B9258" s="303">
        <v>112.74120000000001</v>
      </c>
      <c r="C9258" s="304">
        <v>8.8250227319674206</v>
      </c>
    </row>
    <row r="9259" spans="1:3" x14ac:dyDescent="0.35">
      <c r="A9259" s="305">
        <v>36907</v>
      </c>
      <c r="B9259" s="306">
        <v>112.72450000000001</v>
      </c>
      <c r="C9259" s="307">
        <v>8.8273911238547598</v>
      </c>
    </row>
    <row r="9260" spans="1:3" x14ac:dyDescent="0.35">
      <c r="A9260" s="302">
        <v>36906</v>
      </c>
      <c r="B9260" s="303">
        <v>112.70780000000001</v>
      </c>
      <c r="C9260" s="304">
        <v>8.8298654059884107</v>
      </c>
    </row>
    <row r="9261" spans="1:3" x14ac:dyDescent="0.35">
      <c r="A9261" s="305">
        <v>36905</v>
      </c>
      <c r="B9261" s="306">
        <v>112.69580000000001</v>
      </c>
      <c r="C9261" s="307">
        <v>8.8350927547121003</v>
      </c>
    </row>
    <row r="9262" spans="1:3" x14ac:dyDescent="0.35">
      <c r="A9262" s="302">
        <v>36904</v>
      </c>
      <c r="B9262" s="303">
        <v>112.68389999999999</v>
      </c>
      <c r="C9262" s="304">
        <v>8.8404183082797196</v>
      </c>
    </row>
    <row r="9263" spans="1:3" x14ac:dyDescent="0.35">
      <c r="A9263" s="305">
        <v>36903</v>
      </c>
      <c r="B9263" s="306">
        <v>112.67189999999999</v>
      </c>
      <c r="C9263" s="307">
        <v>8.8456489040750501</v>
      </c>
    </row>
    <row r="9264" spans="1:3" x14ac:dyDescent="0.35">
      <c r="A9264" s="302">
        <v>36902</v>
      </c>
      <c r="B9264" s="303">
        <v>112.65989999999999</v>
      </c>
      <c r="C9264" s="304">
        <v>8.8507759465272304</v>
      </c>
    </row>
    <row r="9265" spans="1:3" x14ac:dyDescent="0.35">
      <c r="A9265" s="305">
        <v>36901</v>
      </c>
      <c r="B9265" s="306">
        <v>112.64790000000001</v>
      </c>
      <c r="C9265" s="307">
        <v>8.8560097561541298</v>
      </c>
    </row>
    <row r="9266" spans="1:3" x14ac:dyDescent="0.35">
      <c r="A9266" s="302">
        <v>36900</v>
      </c>
      <c r="B9266" s="303">
        <v>112.636</v>
      </c>
      <c r="C9266" s="304">
        <v>8.8613418332730909</v>
      </c>
    </row>
    <row r="9267" spans="1:3" x14ac:dyDescent="0.35">
      <c r="A9267" s="305">
        <v>36899</v>
      </c>
      <c r="B9267" s="306">
        <v>112.624</v>
      </c>
      <c r="C9267" s="307">
        <v>8.8665788959840093</v>
      </c>
    </row>
    <row r="9268" spans="1:3" x14ac:dyDescent="0.35">
      <c r="A9268" s="302">
        <v>36898</v>
      </c>
      <c r="B9268" s="303">
        <v>112.61199999999999</v>
      </c>
      <c r="C9268" s="304">
        <v>8.8718175788946496</v>
      </c>
    </row>
    <row r="9269" spans="1:3" x14ac:dyDescent="0.35">
      <c r="A9269" s="305">
        <v>36897</v>
      </c>
      <c r="B9269" s="306">
        <v>112.6001</v>
      </c>
      <c r="C9269" s="307">
        <v>8.8770492992134002</v>
      </c>
    </row>
    <row r="9270" spans="1:3" x14ac:dyDescent="0.35">
      <c r="A9270" s="302">
        <v>36896</v>
      </c>
      <c r="B9270" s="303">
        <v>112.5881</v>
      </c>
      <c r="C9270" s="304">
        <v>8.8822912183823597</v>
      </c>
    </row>
    <row r="9271" spans="1:3" x14ac:dyDescent="0.35">
      <c r="A9271" s="305">
        <v>36895</v>
      </c>
      <c r="B9271" s="306">
        <v>112.5761</v>
      </c>
      <c r="C9271" s="307">
        <v>8.88753476000484</v>
      </c>
    </row>
    <row r="9272" spans="1:3" x14ac:dyDescent="0.35">
      <c r="A9272" s="302">
        <v>36894</v>
      </c>
      <c r="B9272" s="303">
        <v>112.5642</v>
      </c>
      <c r="C9272" s="304">
        <v>8.8928766632969403</v>
      </c>
    </row>
    <row r="9273" spans="1:3" x14ac:dyDescent="0.35">
      <c r="A9273" s="305">
        <v>36893</v>
      </c>
      <c r="B9273" s="306">
        <v>112.5522</v>
      </c>
      <c r="C9273" s="307">
        <v>8.8980181044858693</v>
      </c>
    </row>
    <row r="9274" spans="1:3" x14ac:dyDescent="0.35">
      <c r="A9274" s="302">
        <v>36892</v>
      </c>
      <c r="B9274" s="303">
        <v>112.5402</v>
      </c>
      <c r="C9274" s="304">
        <v>8.9032665115793002</v>
      </c>
    </row>
    <row r="9275" spans="1:3" x14ac:dyDescent="0.35">
      <c r="A9275" s="305">
        <v>36891</v>
      </c>
      <c r="B9275" s="306">
        <v>112.5283</v>
      </c>
      <c r="C9275" s="307" t="s">
        <v>156</v>
      </c>
    </row>
    <row r="9276" spans="1:3" x14ac:dyDescent="0.35">
      <c r="A9276" s="302">
        <v>36890</v>
      </c>
      <c r="B9276" s="303">
        <v>112.5163</v>
      </c>
      <c r="C9276" s="304" t="s">
        <v>156</v>
      </c>
    </row>
    <row r="9277" spans="1:3" x14ac:dyDescent="0.35">
      <c r="A9277" s="305">
        <v>36889</v>
      </c>
      <c r="B9277" s="306">
        <v>112.5044</v>
      </c>
      <c r="C9277" s="307" t="s">
        <v>156</v>
      </c>
    </row>
    <row r="9278" spans="1:3" x14ac:dyDescent="0.35">
      <c r="A9278" s="302">
        <v>36888</v>
      </c>
      <c r="B9278" s="303">
        <v>112.4924</v>
      </c>
      <c r="C9278" s="304" t="s">
        <v>156</v>
      </c>
    </row>
    <row r="9279" spans="1:3" x14ac:dyDescent="0.35">
      <c r="A9279" s="305">
        <v>36887</v>
      </c>
      <c r="B9279" s="306">
        <v>112.48050000000001</v>
      </c>
      <c r="C9279" s="307" t="s">
        <v>156</v>
      </c>
    </row>
    <row r="9280" spans="1:3" x14ac:dyDescent="0.35">
      <c r="A9280" s="302">
        <v>36886</v>
      </c>
      <c r="B9280" s="303">
        <v>112.46850000000001</v>
      </c>
      <c r="C9280" s="304" t="s">
        <v>156</v>
      </c>
    </row>
    <row r="9281" spans="1:3" x14ac:dyDescent="0.35">
      <c r="A9281" s="305">
        <v>36885</v>
      </c>
      <c r="B9281" s="306">
        <v>112.45659999999999</v>
      </c>
      <c r="C9281" s="307" t="s">
        <v>156</v>
      </c>
    </row>
    <row r="9282" spans="1:3" x14ac:dyDescent="0.35">
      <c r="A9282" s="302">
        <v>36884</v>
      </c>
      <c r="B9282" s="303">
        <v>112.44459999999999</v>
      </c>
      <c r="C9282" s="304" t="s">
        <v>156</v>
      </c>
    </row>
    <row r="9283" spans="1:3" x14ac:dyDescent="0.35">
      <c r="A9283" s="305">
        <v>36883</v>
      </c>
      <c r="B9283" s="306">
        <v>112.4327</v>
      </c>
      <c r="C9283" s="307" t="s">
        <v>156</v>
      </c>
    </row>
    <row r="9284" spans="1:3" x14ac:dyDescent="0.35">
      <c r="A9284" s="302">
        <v>36882</v>
      </c>
      <c r="B9284" s="303">
        <v>112.4207</v>
      </c>
      <c r="C9284" s="304" t="s">
        <v>156</v>
      </c>
    </row>
    <row r="9285" spans="1:3" x14ac:dyDescent="0.35">
      <c r="A9285" s="305">
        <v>36881</v>
      </c>
      <c r="B9285" s="306">
        <v>112.4088</v>
      </c>
      <c r="C9285" s="307" t="s">
        <v>156</v>
      </c>
    </row>
    <row r="9286" spans="1:3" x14ac:dyDescent="0.35">
      <c r="A9286" s="302">
        <v>36880</v>
      </c>
      <c r="B9286" s="303">
        <v>112.3968</v>
      </c>
      <c r="C9286" s="304" t="s">
        <v>156</v>
      </c>
    </row>
    <row r="9287" spans="1:3" x14ac:dyDescent="0.35">
      <c r="A9287" s="305">
        <v>36879</v>
      </c>
      <c r="B9287" s="306">
        <v>112.3849</v>
      </c>
      <c r="C9287" s="307" t="s">
        <v>156</v>
      </c>
    </row>
    <row r="9288" spans="1:3" x14ac:dyDescent="0.35">
      <c r="A9288" s="302">
        <v>36878</v>
      </c>
      <c r="B9288" s="303">
        <v>112.3729</v>
      </c>
      <c r="C9288" s="304" t="s">
        <v>156</v>
      </c>
    </row>
    <row r="9289" spans="1:3" x14ac:dyDescent="0.35">
      <c r="A9289" s="305">
        <v>36877</v>
      </c>
      <c r="B9289" s="306">
        <v>112.361</v>
      </c>
      <c r="C9289" s="307" t="s">
        <v>156</v>
      </c>
    </row>
    <row r="9290" spans="1:3" x14ac:dyDescent="0.35">
      <c r="A9290" s="302">
        <v>36876</v>
      </c>
      <c r="B9290" s="303">
        <v>112.349</v>
      </c>
      <c r="C9290" s="304" t="s">
        <v>156</v>
      </c>
    </row>
    <row r="9291" spans="1:3" x14ac:dyDescent="0.35">
      <c r="A9291" s="305">
        <v>36875</v>
      </c>
      <c r="B9291" s="306">
        <v>112.33710000000001</v>
      </c>
      <c r="C9291" s="307" t="s">
        <v>156</v>
      </c>
    </row>
    <row r="9292" spans="1:3" x14ac:dyDescent="0.35">
      <c r="A9292" s="302">
        <v>36874</v>
      </c>
      <c r="B9292" s="303">
        <v>112.3314</v>
      </c>
      <c r="C9292" s="304" t="s">
        <v>156</v>
      </c>
    </row>
    <row r="9293" spans="1:3" x14ac:dyDescent="0.35">
      <c r="A9293" s="305">
        <v>36873</v>
      </c>
      <c r="B9293" s="306">
        <v>112.3258</v>
      </c>
      <c r="C9293" s="307" t="s">
        <v>156</v>
      </c>
    </row>
    <row r="9294" spans="1:3" x14ac:dyDescent="0.35">
      <c r="A9294" s="302">
        <v>36872</v>
      </c>
      <c r="B9294" s="303">
        <v>112.3202</v>
      </c>
      <c r="C9294" s="304" t="s">
        <v>156</v>
      </c>
    </row>
    <row r="9295" spans="1:3" x14ac:dyDescent="0.35">
      <c r="A9295" s="305">
        <v>36871</v>
      </c>
      <c r="B9295" s="306">
        <v>112.3146</v>
      </c>
      <c r="C9295" s="307" t="s">
        <v>156</v>
      </c>
    </row>
    <row r="9296" spans="1:3" x14ac:dyDescent="0.35">
      <c r="A9296" s="302">
        <v>36870</v>
      </c>
      <c r="B9296" s="303">
        <v>112.309</v>
      </c>
      <c r="C9296" s="304" t="s">
        <v>156</v>
      </c>
    </row>
    <row r="9297" spans="1:3" x14ac:dyDescent="0.35">
      <c r="A9297" s="305">
        <v>36869</v>
      </c>
      <c r="B9297" s="306">
        <v>112.3034</v>
      </c>
      <c r="C9297" s="307" t="s">
        <v>156</v>
      </c>
    </row>
    <row r="9298" spans="1:3" x14ac:dyDescent="0.35">
      <c r="A9298" s="302">
        <v>36868</v>
      </c>
      <c r="B9298" s="303">
        <v>112.2978</v>
      </c>
      <c r="C9298" s="304" t="s">
        <v>156</v>
      </c>
    </row>
    <row r="9299" spans="1:3" x14ac:dyDescent="0.35">
      <c r="A9299" s="305">
        <v>36867</v>
      </c>
      <c r="B9299" s="306">
        <v>112.29219999999999</v>
      </c>
      <c r="C9299" s="307" t="s">
        <v>156</v>
      </c>
    </row>
    <row r="9300" spans="1:3" x14ac:dyDescent="0.35">
      <c r="A9300" s="302">
        <v>36866</v>
      </c>
      <c r="B9300" s="303">
        <v>112.28660000000001</v>
      </c>
      <c r="C9300" s="304" t="s">
        <v>156</v>
      </c>
    </row>
    <row r="9301" spans="1:3" x14ac:dyDescent="0.35">
      <c r="A9301" s="305">
        <v>36865</v>
      </c>
      <c r="B9301" s="306">
        <v>112.2809</v>
      </c>
      <c r="C9301" s="307" t="s">
        <v>156</v>
      </c>
    </row>
    <row r="9302" spans="1:3" x14ac:dyDescent="0.35">
      <c r="A9302" s="302">
        <v>36864</v>
      </c>
      <c r="B9302" s="303">
        <v>112.2753</v>
      </c>
      <c r="C9302" s="304" t="s">
        <v>156</v>
      </c>
    </row>
    <row r="9303" spans="1:3" x14ac:dyDescent="0.35">
      <c r="A9303" s="305">
        <v>36863</v>
      </c>
      <c r="B9303" s="306">
        <v>112.2697</v>
      </c>
      <c r="C9303" s="307" t="s">
        <v>156</v>
      </c>
    </row>
    <row r="9304" spans="1:3" x14ac:dyDescent="0.35">
      <c r="A9304" s="302">
        <v>36862</v>
      </c>
      <c r="B9304" s="303">
        <v>112.2641</v>
      </c>
      <c r="C9304" s="304" t="s">
        <v>156</v>
      </c>
    </row>
    <row r="9305" spans="1:3" x14ac:dyDescent="0.35">
      <c r="A9305" s="305">
        <v>36861</v>
      </c>
      <c r="B9305" s="306">
        <v>112.2585</v>
      </c>
      <c r="C9305" s="307" t="s">
        <v>156</v>
      </c>
    </row>
    <row r="9306" spans="1:3" x14ac:dyDescent="0.35">
      <c r="A9306" s="302">
        <v>36860</v>
      </c>
      <c r="B9306" s="303">
        <v>112.2529</v>
      </c>
      <c r="C9306" s="304" t="s">
        <v>156</v>
      </c>
    </row>
    <row r="9307" spans="1:3" x14ac:dyDescent="0.35">
      <c r="A9307" s="305">
        <v>36859</v>
      </c>
      <c r="B9307" s="306">
        <v>112.2473</v>
      </c>
      <c r="C9307" s="307" t="s">
        <v>156</v>
      </c>
    </row>
    <row r="9308" spans="1:3" x14ac:dyDescent="0.35">
      <c r="A9308" s="302">
        <v>36858</v>
      </c>
      <c r="B9308" s="303">
        <v>112.24169999999999</v>
      </c>
      <c r="C9308" s="304" t="s">
        <v>156</v>
      </c>
    </row>
    <row r="9309" spans="1:3" x14ac:dyDescent="0.35">
      <c r="A9309" s="305">
        <v>36857</v>
      </c>
      <c r="B9309" s="306">
        <v>112.23609999999999</v>
      </c>
      <c r="C9309" s="307" t="s">
        <v>156</v>
      </c>
    </row>
    <row r="9310" spans="1:3" x14ac:dyDescent="0.35">
      <c r="A9310" s="302">
        <v>36856</v>
      </c>
      <c r="B9310" s="303">
        <v>112.23050000000001</v>
      </c>
      <c r="C9310" s="304" t="s">
        <v>156</v>
      </c>
    </row>
    <row r="9311" spans="1:3" x14ac:dyDescent="0.35">
      <c r="A9311" s="305">
        <v>36855</v>
      </c>
      <c r="B9311" s="306">
        <v>112.22490000000001</v>
      </c>
      <c r="C9311" s="307" t="s">
        <v>156</v>
      </c>
    </row>
    <row r="9312" spans="1:3" x14ac:dyDescent="0.35">
      <c r="A9312" s="302">
        <v>36854</v>
      </c>
      <c r="B9312" s="303">
        <v>112.2192</v>
      </c>
      <c r="C9312" s="304" t="s">
        <v>156</v>
      </c>
    </row>
    <row r="9313" spans="1:3" x14ac:dyDescent="0.35">
      <c r="A9313" s="305">
        <v>36853</v>
      </c>
      <c r="B9313" s="306">
        <v>112.2136</v>
      </c>
      <c r="C9313" s="307" t="s">
        <v>156</v>
      </c>
    </row>
    <row r="9314" spans="1:3" x14ac:dyDescent="0.35">
      <c r="A9314" s="302">
        <v>36852</v>
      </c>
      <c r="B9314" s="303">
        <v>112.208</v>
      </c>
      <c r="C9314" s="304" t="s">
        <v>156</v>
      </c>
    </row>
    <row r="9315" spans="1:3" x14ac:dyDescent="0.35">
      <c r="A9315" s="305">
        <v>36851</v>
      </c>
      <c r="B9315" s="306">
        <v>112.2024</v>
      </c>
      <c r="C9315" s="307" t="s">
        <v>156</v>
      </c>
    </row>
    <row r="9316" spans="1:3" x14ac:dyDescent="0.35">
      <c r="A9316" s="302">
        <v>36850</v>
      </c>
      <c r="B9316" s="303">
        <v>112.1968</v>
      </c>
      <c r="C9316" s="304" t="s">
        <v>156</v>
      </c>
    </row>
    <row r="9317" spans="1:3" x14ac:dyDescent="0.35">
      <c r="A9317" s="305">
        <v>36849</v>
      </c>
      <c r="B9317" s="306">
        <v>112.19119999999999</v>
      </c>
      <c r="C9317" s="307" t="s">
        <v>156</v>
      </c>
    </row>
    <row r="9318" spans="1:3" x14ac:dyDescent="0.35">
      <c r="A9318" s="302">
        <v>36848</v>
      </c>
      <c r="B9318" s="303">
        <v>112.18559999999999</v>
      </c>
      <c r="C9318" s="304" t="s">
        <v>156</v>
      </c>
    </row>
    <row r="9319" spans="1:3" x14ac:dyDescent="0.35">
      <c r="A9319" s="305">
        <v>36847</v>
      </c>
      <c r="B9319" s="306">
        <v>112.18</v>
      </c>
      <c r="C9319" s="307" t="s">
        <v>156</v>
      </c>
    </row>
    <row r="9320" spans="1:3" x14ac:dyDescent="0.35">
      <c r="A9320" s="302">
        <v>36846</v>
      </c>
      <c r="B9320" s="303">
        <v>112.17440000000001</v>
      </c>
      <c r="C9320" s="304" t="s">
        <v>156</v>
      </c>
    </row>
    <row r="9321" spans="1:3" x14ac:dyDescent="0.35">
      <c r="A9321" s="305">
        <v>36845</v>
      </c>
      <c r="B9321" s="306">
        <v>112.1688</v>
      </c>
      <c r="C9321" s="307" t="s">
        <v>156</v>
      </c>
    </row>
    <row r="9322" spans="1:3" x14ac:dyDescent="0.35">
      <c r="A9322" s="302">
        <v>36844</v>
      </c>
      <c r="B9322" s="303">
        <v>112.1532</v>
      </c>
      <c r="C9322" s="304" t="s">
        <v>156</v>
      </c>
    </row>
    <row r="9323" spans="1:3" x14ac:dyDescent="0.35">
      <c r="A9323" s="305">
        <v>36843</v>
      </c>
      <c r="B9323" s="306">
        <v>112.1377</v>
      </c>
      <c r="C9323" s="307" t="s">
        <v>156</v>
      </c>
    </row>
    <row r="9324" spans="1:3" x14ac:dyDescent="0.35">
      <c r="A9324" s="302">
        <v>36842</v>
      </c>
      <c r="B9324" s="303">
        <v>112.12220000000001</v>
      </c>
      <c r="C9324" s="304" t="s">
        <v>156</v>
      </c>
    </row>
    <row r="9325" spans="1:3" x14ac:dyDescent="0.35">
      <c r="A9325" s="305">
        <v>36841</v>
      </c>
      <c r="B9325" s="306">
        <v>112.1067</v>
      </c>
      <c r="C9325" s="307" t="s">
        <v>156</v>
      </c>
    </row>
    <row r="9326" spans="1:3" x14ac:dyDescent="0.35">
      <c r="A9326" s="302">
        <v>36840</v>
      </c>
      <c r="B9326" s="303">
        <v>112.0912</v>
      </c>
      <c r="C9326" s="304" t="s">
        <v>156</v>
      </c>
    </row>
    <row r="9327" spans="1:3" x14ac:dyDescent="0.35">
      <c r="A9327" s="305">
        <v>36839</v>
      </c>
      <c r="B9327" s="306">
        <v>112.07559999999999</v>
      </c>
      <c r="C9327" s="307" t="s">
        <v>156</v>
      </c>
    </row>
    <row r="9328" spans="1:3" x14ac:dyDescent="0.35">
      <c r="A9328" s="302">
        <v>36838</v>
      </c>
      <c r="B9328" s="303">
        <v>112.06010000000001</v>
      </c>
      <c r="C9328" s="304" t="s">
        <v>156</v>
      </c>
    </row>
    <row r="9329" spans="1:3" x14ac:dyDescent="0.35">
      <c r="A9329" s="305">
        <v>36837</v>
      </c>
      <c r="B9329" s="306">
        <v>112.0446</v>
      </c>
      <c r="C9329" s="307" t="s">
        <v>156</v>
      </c>
    </row>
    <row r="9330" spans="1:3" x14ac:dyDescent="0.35">
      <c r="A9330" s="302">
        <v>36836</v>
      </c>
      <c r="B9330" s="303">
        <v>112.0291</v>
      </c>
      <c r="C9330" s="304" t="s">
        <v>156</v>
      </c>
    </row>
    <row r="9331" spans="1:3" x14ac:dyDescent="0.35">
      <c r="A9331" s="305">
        <v>36835</v>
      </c>
      <c r="B9331" s="306">
        <v>112.0136</v>
      </c>
      <c r="C9331" s="307" t="s">
        <v>156</v>
      </c>
    </row>
    <row r="9332" spans="1:3" x14ac:dyDescent="0.35">
      <c r="A9332" s="302">
        <v>36834</v>
      </c>
      <c r="B9332" s="303">
        <v>111.99809999999999</v>
      </c>
      <c r="C9332" s="304" t="s">
        <v>156</v>
      </c>
    </row>
    <row r="9333" spans="1:3" x14ac:dyDescent="0.35">
      <c r="A9333" s="305">
        <v>36833</v>
      </c>
      <c r="B9333" s="306">
        <v>111.98260000000001</v>
      </c>
      <c r="C9333" s="307" t="s">
        <v>156</v>
      </c>
    </row>
    <row r="9334" spans="1:3" x14ac:dyDescent="0.35">
      <c r="A9334" s="302">
        <v>36832</v>
      </c>
      <c r="B9334" s="303">
        <v>111.9671</v>
      </c>
      <c r="C9334" s="304" t="s">
        <v>156</v>
      </c>
    </row>
    <row r="9335" spans="1:3" x14ac:dyDescent="0.35">
      <c r="A9335" s="305">
        <v>36831</v>
      </c>
      <c r="B9335" s="306">
        <v>111.9516</v>
      </c>
      <c r="C9335" s="307" t="s">
        <v>156</v>
      </c>
    </row>
    <row r="9336" spans="1:3" x14ac:dyDescent="0.35">
      <c r="A9336" s="302">
        <v>36830</v>
      </c>
      <c r="B9336" s="303">
        <v>111.9361</v>
      </c>
      <c r="C9336" s="304" t="s">
        <v>156</v>
      </c>
    </row>
    <row r="9337" spans="1:3" x14ac:dyDescent="0.35">
      <c r="A9337" s="305">
        <v>36829</v>
      </c>
      <c r="B9337" s="306">
        <v>111.92059999999999</v>
      </c>
      <c r="C9337" s="307" t="s">
        <v>156</v>
      </c>
    </row>
    <row r="9338" spans="1:3" x14ac:dyDescent="0.35">
      <c r="A9338" s="302">
        <v>36828</v>
      </c>
      <c r="B9338" s="303">
        <v>111.9051</v>
      </c>
      <c r="C9338" s="304" t="s">
        <v>156</v>
      </c>
    </row>
    <row r="9339" spans="1:3" x14ac:dyDescent="0.35">
      <c r="A9339" s="305">
        <v>36827</v>
      </c>
      <c r="B9339" s="306">
        <v>111.8896</v>
      </c>
      <c r="C9339" s="307" t="s">
        <v>156</v>
      </c>
    </row>
    <row r="9340" spans="1:3" x14ac:dyDescent="0.35">
      <c r="A9340" s="302">
        <v>36826</v>
      </c>
      <c r="B9340" s="303">
        <v>111.8742</v>
      </c>
      <c r="C9340" s="304" t="s">
        <v>156</v>
      </c>
    </row>
    <row r="9341" spans="1:3" x14ac:dyDescent="0.35">
      <c r="A9341" s="305">
        <v>36825</v>
      </c>
      <c r="B9341" s="306">
        <v>111.8587</v>
      </c>
      <c r="C9341" s="307" t="s">
        <v>156</v>
      </c>
    </row>
    <row r="9342" spans="1:3" x14ac:dyDescent="0.35">
      <c r="A9342" s="302">
        <v>36824</v>
      </c>
      <c r="B9342" s="303">
        <v>111.8432</v>
      </c>
      <c r="C9342" s="304" t="s">
        <v>156</v>
      </c>
    </row>
    <row r="9343" spans="1:3" x14ac:dyDescent="0.35">
      <c r="A9343" s="305">
        <v>36823</v>
      </c>
      <c r="B9343" s="306">
        <v>111.82769999999999</v>
      </c>
      <c r="C9343" s="307" t="s">
        <v>156</v>
      </c>
    </row>
    <row r="9344" spans="1:3" x14ac:dyDescent="0.35">
      <c r="A9344" s="302">
        <v>36822</v>
      </c>
      <c r="B9344" s="303">
        <v>111.8122</v>
      </c>
      <c r="C9344" s="304" t="s">
        <v>156</v>
      </c>
    </row>
    <row r="9345" spans="1:3" x14ac:dyDescent="0.35">
      <c r="A9345" s="305">
        <v>36821</v>
      </c>
      <c r="B9345" s="306">
        <v>111.7968</v>
      </c>
      <c r="C9345" s="307" t="s">
        <v>156</v>
      </c>
    </row>
    <row r="9346" spans="1:3" x14ac:dyDescent="0.35">
      <c r="A9346" s="302">
        <v>36820</v>
      </c>
      <c r="B9346" s="303">
        <v>111.7813</v>
      </c>
      <c r="C9346" s="304" t="s">
        <v>156</v>
      </c>
    </row>
    <row r="9347" spans="1:3" x14ac:dyDescent="0.35">
      <c r="A9347" s="305">
        <v>36819</v>
      </c>
      <c r="B9347" s="306">
        <v>111.7658</v>
      </c>
      <c r="C9347" s="307" t="s">
        <v>156</v>
      </c>
    </row>
    <row r="9348" spans="1:3" x14ac:dyDescent="0.35">
      <c r="A9348" s="302">
        <v>36818</v>
      </c>
      <c r="B9348" s="303">
        <v>111.7504</v>
      </c>
      <c r="C9348" s="304" t="s">
        <v>156</v>
      </c>
    </row>
    <row r="9349" spans="1:3" x14ac:dyDescent="0.35">
      <c r="A9349" s="305">
        <v>36817</v>
      </c>
      <c r="B9349" s="306">
        <v>111.7349</v>
      </c>
      <c r="C9349" s="307" t="s">
        <v>156</v>
      </c>
    </row>
    <row r="9350" spans="1:3" x14ac:dyDescent="0.35">
      <c r="A9350" s="302">
        <v>36816</v>
      </c>
      <c r="B9350" s="303">
        <v>111.71939999999999</v>
      </c>
      <c r="C9350" s="304" t="s">
        <v>156</v>
      </c>
    </row>
    <row r="9351" spans="1:3" x14ac:dyDescent="0.35">
      <c r="A9351" s="305">
        <v>36815</v>
      </c>
      <c r="B9351" s="306">
        <v>111.70399999999999</v>
      </c>
      <c r="C9351" s="307" t="s">
        <v>156</v>
      </c>
    </row>
    <row r="9352" spans="1:3" x14ac:dyDescent="0.35">
      <c r="A9352" s="302">
        <v>36814</v>
      </c>
      <c r="B9352" s="303">
        <v>111.6885</v>
      </c>
      <c r="C9352" s="304" t="s">
        <v>156</v>
      </c>
    </row>
    <row r="9353" spans="1:3" x14ac:dyDescent="0.35">
      <c r="A9353" s="305">
        <v>36813</v>
      </c>
      <c r="B9353" s="306">
        <v>111.67659999999999</v>
      </c>
      <c r="C9353" s="307" t="s">
        <v>156</v>
      </c>
    </row>
    <row r="9354" spans="1:3" x14ac:dyDescent="0.35">
      <c r="A9354" s="302">
        <v>36812</v>
      </c>
      <c r="B9354" s="303">
        <v>111.6647</v>
      </c>
      <c r="C9354" s="304" t="s">
        <v>156</v>
      </c>
    </row>
    <row r="9355" spans="1:3" x14ac:dyDescent="0.35">
      <c r="A9355" s="305">
        <v>36811</v>
      </c>
      <c r="B9355" s="306">
        <v>111.6528</v>
      </c>
      <c r="C9355" s="307" t="s">
        <v>156</v>
      </c>
    </row>
    <row r="9356" spans="1:3" x14ac:dyDescent="0.35">
      <c r="A9356" s="302">
        <v>36810</v>
      </c>
      <c r="B9356" s="303">
        <v>111.6409</v>
      </c>
      <c r="C9356" s="304" t="s">
        <v>156</v>
      </c>
    </row>
    <row r="9357" spans="1:3" x14ac:dyDescent="0.35">
      <c r="A9357" s="305">
        <v>36809</v>
      </c>
      <c r="B9357" s="306">
        <v>111.629</v>
      </c>
      <c r="C9357" s="307" t="s">
        <v>156</v>
      </c>
    </row>
    <row r="9358" spans="1:3" x14ac:dyDescent="0.35">
      <c r="A9358" s="302">
        <v>36808</v>
      </c>
      <c r="B9358" s="303">
        <v>111.61709999999999</v>
      </c>
      <c r="C9358" s="304" t="s">
        <v>156</v>
      </c>
    </row>
    <row r="9359" spans="1:3" x14ac:dyDescent="0.35">
      <c r="A9359" s="305">
        <v>36807</v>
      </c>
      <c r="B9359" s="306">
        <v>111.6052</v>
      </c>
      <c r="C9359" s="307" t="s">
        <v>156</v>
      </c>
    </row>
    <row r="9360" spans="1:3" x14ac:dyDescent="0.35">
      <c r="A9360" s="302">
        <v>36806</v>
      </c>
      <c r="B9360" s="303">
        <v>111.5933</v>
      </c>
      <c r="C9360" s="304" t="s">
        <v>156</v>
      </c>
    </row>
    <row r="9361" spans="1:3" x14ac:dyDescent="0.35">
      <c r="A9361" s="305">
        <v>36805</v>
      </c>
      <c r="B9361" s="306">
        <v>111.58150000000001</v>
      </c>
      <c r="C9361" s="307" t="s">
        <v>156</v>
      </c>
    </row>
    <row r="9362" spans="1:3" x14ac:dyDescent="0.35">
      <c r="A9362" s="302">
        <v>36804</v>
      </c>
      <c r="B9362" s="303">
        <v>111.56959999999999</v>
      </c>
      <c r="C9362" s="304" t="s">
        <v>156</v>
      </c>
    </row>
    <row r="9363" spans="1:3" x14ac:dyDescent="0.35">
      <c r="A9363" s="305">
        <v>36803</v>
      </c>
      <c r="B9363" s="306">
        <v>111.5577</v>
      </c>
      <c r="C9363" s="307" t="s">
        <v>156</v>
      </c>
    </row>
    <row r="9364" spans="1:3" x14ac:dyDescent="0.35">
      <c r="A9364" s="302">
        <v>36802</v>
      </c>
      <c r="B9364" s="303">
        <v>111.5458</v>
      </c>
      <c r="C9364" s="304" t="s">
        <v>156</v>
      </c>
    </row>
    <row r="9365" spans="1:3" x14ac:dyDescent="0.35">
      <c r="A9365" s="305">
        <v>36801</v>
      </c>
      <c r="B9365" s="306">
        <v>111.5339</v>
      </c>
      <c r="C9365" s="307" t="s">
        <v>156</v>
      </c>
    </row>
    <row r="9366" spans="1:3" x14ac:dyDescent="0.35">
      <c r="A9366" s="302">
        <v>36800</v>
      </c>
      <c r="B9366" s="303">
        <v>111.52209999999999</v>
      </c>
      <c r="C9366" s="304" t="s">
        <v>156</v>
      </c>
    </row>
    <row r="9367" spans="1:3" x14ac:dyDescent="0.35">
      <c r="A9367" s="305">
        <v>36799</v>
      </c>
      <c r="B9367" s="306">
        <v>111.5102</v>
      </c>
      <c r="C9367" s="307" t="s">
        <v>156</v>
      </c>
    </row>
    <row r="9368" spans="1:3" x14ac:dyDescent="0.35">
      <c r="A9368" s="302">
        <v>36798</v>
      </c>
      <c r="B9368" s="303">
        <v>111.4983</v>
      </c>
      <c r="C9368" s="304" t="s">
        <v>156</v>
      </c>
    </row>
    <row r="9369" spans="1:3" x14ac:dyDescent="0.35">
      <c r="A9369" s="305">
        <v>36797</v>
      </c>
      <c r="B9369" s="306">
        <v>111.4864</v>
      </c>
      <c r="C9369" s="307" t="s">
        <v>156</v>
      </c>
    </row>
    <row r="9370" spans="1:3" x14ac:dyDescent="0.35">
      <c r="A9370" s="302">
        <v>36796</v>
      </c>
      <c r="B9370" s="303">
        <v>111.4746</v>
      </c>
      <c r="C9370" s="304" t="s">
        <v>156</v>
      </c>
    </row>
    <row r="9371" spans="1:3" x14ac:dyDescent="0.35">
      <c r="A9371" s="305">
        <v>36795</v>
      </c>
      <c r="B9371" s="306">
        <v>111.4627</v>
      </c>
      <c r="C9371" s="307" t="s">
        <v>156</v>
      </c>
    </row>
    <row r="9372" spans="1:3" x14ac:dyDescent="0.35">
      <c r="A9372" s="302">
        <v>36794</v>
      </c>
      <c r="B9372" s="303">
        <v>111.4508</v>
      </c>
      <c r="C9372" s="304" t="s">
        <v>156</v>
      </c>
    </row>
    <row r="9373" spans="1:3" x14ac:dyDescent="0.35">
      <c r="A9373" s="305">
        <v>36793</v>
      </c>
      <c r="B9373" s="306">
        <v>111.43899999999999</v>
      </c>
      <c r="C9373" s="307" t="s">
        <v>156</v>
      </c>
    </row>
    <row r="9374" spans="1:3" x14ac:dyDescent="0.35">
      <c r="A9374" s="302">
        <v>36792</v>
      </c>
      <c r="B9374" s="303">
        <v>111.4271</v>
      </c>
      <c r="C9374" s="304" t="s">
        <v>156</v>
      </c>
    </row>
    <row r="9375" spans="1:3" x14ac:dyDescent="0.35">
      <c r="A9375" s="305">
        <v>36791</v>
      </c>
      <c r="B9375" s="306">
        <v>111.4152</v>
      </c>
      <c r="C9375" s="307" t="s">
        <v>156</v>
      </c>
    </row>
    <row r="9376" spans="1:3" x14ac:dyDescent="0.35">
      <c r="A9376" s="302">
        <v>36790</v>
      </c>
      <c r="B9376" s="303">
        <v>111.4034</v>
      </c>
      <c r="C9376" s="304" t="s">
        <v>156</v>
      </c>
    </row>
    <row r="9377" spans="1:3" x14ac:dyDescent="0.35">
      <c r="A9377" s="305">
        <v>36789</v>
      </c>
      <c r="B9377" s="306">
        <v>111.39149999999999</v>
      </c>
      <c r="C9377" s="307" t="s">
        <v>156</v>
      </c>
    </row>
    <row r="9378" spans="1:3" x14ac:dyDescent="0.35">
      <c r="A9378" s="302">
        <v>36788</v>
      </c>
      <c r="B9378" s="303">
        <v>111.3796</v>
      </c>
      <c r="C9378" s="304" t="s">
        <v>156</v>
      </c>
    </row>
    <row r="9379" spans="1:3" x14ac:dyDescent="0.35">
      <c r="A9379" s="305">
        <v>36787</v>
      </c>
      <c r="B9379" s="306">
        <v>111.3678</v>
      </c>
      <c r="C9379" s="307" t="s">
        <v>156</v>
      </c>
    </row>
    <row r="9380" spans="1:3" x14ac:dyDescent="0.35">
      <c r="A9380" s="302">
        <v>36786</v>
      </c>
      <c r="B9380" s="303">
        <v>111.35590000000001</v>
      </c>
      <c r="C9380" s="304" t="s">
        <v>156</v>
      </c>
    </row>
    <row r="9381" spans="1:3" x14ac:dyDescent="0.35">
      <c r="A9381" s="305">
        <v>36785</v>
      </c>
      <c r="B9381" s="306">
        <v>111.3441</v>
      </c>
      <c r="C9381" s="307" t="s">
        <v>156</v>
      </c>
    </row>
    <row r="9382" spans="1:3" x14ac:dyDescent="0.35">
      <c r="A9382" s="302">
        <v>36784</v>
      </c>
      <c r="B9382" s="303">
        <v>111.3322</v>
      </c>
      <c r="C9382" s="304" t="s">
        <v>156</v>
      </c>
    </row>
    <row r="9383" spans="1:3" x14ac:dyDescent="0.35">
      <c r="A9383" s="305">
        <v>36783</v>
      </c>
      <c r="B9383" s="306">
        <v>111.33369999999999</v>
      </c>
      <c r="C9383" s="307" t="s">
        <v>156</v>
      </c>
    </row>
    <row r="9384" spans="1:3" x14ac:dyDescent="0.35">
      <c r="A9384" s="302">
        <v>36782</v>
      </c>
      <c r="B9384" s="303">
        <v>111.3351</v>
      </c>
      <c r="C9384" s="304" t="s">
        <v>156</v>
      </c>
    </row>
    <row r="9385" spans="1:3" x14ac:dyDescent="0.35">
      <c r="A9385" s="305">
        <v>36781</v>
      </c>
      <c r="B9385" s="306">
        <v>111.3366</v>
      </c>
      <c r="C9385" s="307" t="s">
        <v>156</v>
      </c>
    </row>
    <row r="9386" spans="1:3" x14ac:dyDescent="0.35">
      <c r="A9386" s="302">
        <v>36780</v>
      </c>
      <c r="B9386" s="303">
        <v>111.33799999999999</v>
      </c>
      <c r="C9386" s="304" t="s">
        <v>156</v>
      </c>
    </row>
    <row r="9387" spans="1:3" x14ac:dyDescent="0.35">
      <c r="A9387" s="305">
        <v>36779</v>
      </c>
      <c r="B9387" s="306">
        <v>111.3394</v>
      </c>
      <c r="C9387" s="307" t="s">
        <v>156</v>
      </c>
    </row>
    <row r="9388" spans="1:3" x14ac:dyDescent="0.35">
      <c r="A9388" s="302">
        <v>36778</v>
      </c>
      <c r="B9388" s="303">
        <v>111.3409</v>
      </c>
      <c r="C9388" s="304" t="s">
        <v>156</v>
      </c>
    </row>
    <row r="9389" spans="1:3" x14ac:dyDescent="0.35">
      <c r="A9389" s="305">
        <v>36777</v>
      </c>
      <c r="B9389" s="306">
        <v>111.34229999999999</v>
      </c>
      <c r="C9389" s="307" t="s">
        <v>156</v>
      </c>
    </row>
    <row r="9390" spans="1:3" x14ac:dyDescent="0.35">
      <c r="A9390" s="302">
        <v>36776</v>
      </c>
      <c r="B9390" s="303">
        <v>111.3437</v>
      </c>
      <c r="C9390" s="304" t="s">
        <v>156</v>
      </c>
    </row>
    <row r="9391" spans="1:3" x14ac:dyDescent="0.35">
      <c r="A9391" s="305">
        <v>36775</v>
      </c>
      <c r="B9391" s="306">
        <v>111.34520000000001</v>
      </c>
      <c r="C9391" s="307" t="s">
        <v>156</v>
      </c>
    </row>
    <row r="9392" spans="1:3" x14ac:dyDescent="0.35">
      <c r="A9392" s="302">
        <v>36774</v>
      </c>
      <c r="B9392" s="303">
        <v>111.3466</v>
      </c>
      <c r="C9392" s="304" t="s">
        <v>156</v>
      </c>
    </row>
    <row r="9393" spans="1:3" x14ac:dyDescent="0.35">
      <c r="A9393" s="305">
        <v>36773</v>
      </c>
      <c r="B9393" s="306">
        <v>111.3481</v>
      </c>
      <c r="C9393" s="307" t="s">
        <v>156</v>
      </c>
    </row>
    <row r="9394" spans="1:3" x14ac:dyDescent="0.35">
      <c r="A9394" s="302">
        <v>36772</v>
      </c>
      <c r="B9394" s="303">
        <v>111.34950000000001</v>
      </c>
      <c r="C9394" s="304" t="s">
        <v>156</v>
      </c>
    </row>
    <row r="9395" spans="1:3" x14ac:dyDescent="0.35">
      <c r="A9395" s="305">
        <v>36771</v>
      </c>
      <c r="B9395" s="306">
        <v>111.3509</v>
      </c>
      <c r="C9395" s="307" t="s">
        <v>156</v>
      </c>
    </row>
    <row r="9396" spans="1:3" x14ac:dyDescent="0.35">
      <c r="A9396" s="302">
        <v>36770</v>
      </c>
      <c r="B9396" s="303">
        <v>111.3524</v>
      </c>
      <c r="C9396" s="304" t="s">
        <v>156</v>
      </c>
    </row>
    <row r="9397" spans="1:3" x14ac:dyDescent="0.35">
      <c r="A9397" s="305">
        <v>36769</v>
      </c>
      <c r="B9397" s="306">
        <v>111.35380000000001</v>
      </c>
      <c r="C9397" s="307" t="s">
        <v>156</v>
      </c>
    </row>
    <row r="9398" spans="1:3" x14ac:dyDescent="0.35">
      <c r="A9398" s="302">
        <v>36768</v>
      </c>
      <c r="B9398" s="303">
        <v>111.3552</v>
      </c>
      <c r="C9398" s="304" t="s">
        <v>156</v>
      </c>
    </row>
    <row r="9399" spans="1:3" x14ac:dyDescent="0.35">
      <c r="A9399" s="305">
        <v>36767</v>
      </c>
      <c r="B9399" s="306">
        <v>111.3567</v>
      </c>
      <c r="C9399" s="307" t="s">
        <v>156</v>
      </c>
    </row>
    <row r="9400" spans="1:3" x14ac:dyDescent="0.35">
      <c r="A9400" s="302">
        <v>36766</v>
      </c>
      <c r="B9400" s="303">
        <v>111.35809999999999</v>
      </c>
      <c r="C9400" s="304" t="s">
        <v>156</v>
      </c>
    </row>
    <row r="9401" spans="1:3" x14ac:dyDescent="0.35">
      <c r="A9401" s="305">
        <v>36765</v>
      </c>
      <c r="B9401" s="306">
        <v>111.3596</v>
      </c>
      <c r="C9401" s="307" t="s">
        <v>156</v>
      </c>
    </row>
    <row r="9402" spans="1:3" x14ac:dyDescent="0.35">
      <c r="A9402" s="302">
        <v>36764</v>
      </c>
      <c r="B9402" s="303">
        <v>111.361</v>
      </c>
      <c r="C9402" s="304" t="s">
        <v>156</v>
      </c>
    </row>
    <row r="9403" spans="1:3" x14ac:dyDescent="0.35">
      <c r="A9403" s="305">
        <v>36763</v>
      </c>
      <c r="B9403" s="306">
        <v>111.36239999999999</v>
      </c>
      <c r="C9403" s="307" t="s">
        <v>156</v>
      </c>
    </row>
    <row r="9404" spans="1:3" x14ac:dyDescent="0.35">
      <c r="A9404" s="302">
        <v>36762</v>
      </c>
      <c r="B9404" s="303">
        <v>111.3639</v>
      </c>
      <c r="C9404" s="304" t="s">
        <v>156</v>
      </c>
    </row>
    <row r="9405" spans="1:3" x14ac:dyDescent="0.35">
      <c r="A9405" s="305">
        <v>36761</v>
      </c>
      <c r="B9405" s="306">
        <v>111.3653</v>
      </c>
      <c r="C9405" s="307" t="s">
        <v>156</v>
      </c>
    </row>
    <row r="9406" spans="1:3" x14ac:dyDescent="0.35">
      <c r="A9406" s="302">
        <v>36760</v>
      </c>
      <c r="B9406" s="303">
        <v>111.36669999999999</v>
      </c>
      <c r="C9406" s="304" t="s">
        <v>156</v>
      </c>
    </row>
    <row r="9407" spans="1:3" x14ac:dyDescent="0.35">
      <c r="A9407" s="305">
        <v>36759</v>
      </c>
      <c r="B9407" s="306">
        <v>111.3682</v>
      </c>
      <c r="C9407" s="307" t="s">
        <v>156</v>
      </c>
    </row>
    <row r="9408" spans="1:3" x14ac:dyDescent="0.35">
      <c r="A9408" s="302">
        <v>36758</v>
      </c>
      <c r="B9408" s="303">
        <v>111.36960000000001</v>
      </c>
      <c r="C9408" s="304" t="s">
        <v>156</v>
      </c>
    </row>
    <row r="9409" spans="1:3" x14ac:dyDescent="0.35">
      <c r="A9409" s="305">
        <v>36757</v>
      </c>
      <c r="B9409" s="306">
        <v>111.3711</v>
      </c>
      <c r="C9409" s="307" t="s">
        <v>156</v>
      </c>
    </row>
    <row r="9410" spans="1:3" x14ac:dyDescent="0.35">
      <c r="A9410" s="302">
        <v>36756</v>
      </c>
      <c r="B9410" s="303">
        <v>111.3725</v>
      </c>
      <c r="C9410" s="304" t="s">
        <v>156</v>
      </c>
    </row>
    <row r="9411" spans="1:3" x14ac:dyDescent="0.35">
      <c r="A9411" s="305">
        <v>36755</v>
      </c>
      <c r="B9411" s="306">
        <v>111.37390000000001</v>
      </c>
      <c r="C9411" s="307" t="s">
        <v>156</v>
      </c>
    </row>
    <row r="9412" spans="1:3" x14ac:dyDescent="0.35">
      <c r="A9412" s="302">
        <v>36754</v>
      </c>
      <c r="B9412" s="303">
        <v>111.3754</v>
      </c>
      <c r="C9412" s="304" t="s">
        <v>156</v>
      </c>
    </row>
    <row r="9413" spans="1:3" x14ac:dyDescent="0.35">
      <c r="A9413" s="305">
        <v>36753</v>
      </c>
      <c r="B9413" s="306">
        <v>111.3768</v>
      </c>
      <c r="C9413" s="307" t="s">
        <v>156</v>
      </c>
    </row>
    <row r="9414" spans="1:3" x14ac:dyDescent="0.35">
      <c r="A9414" s="302">
        <v>36752</v>
      </c>
      <c r="B9414" s="303">
        <v>111.3775</v>
      </c>
      <c r="C9414" s="304" t="s">
        <v>156</v>
      </c>
    </row>
    <row r="9415" spans="1:3" x14ac:dyDescent="0.35">
      <c r="A9415" s="305">
        <v>36751</v>
      </c>
      <c r="B9415" s="306">
        <v>111.3783</v>
      </c>
      <c r="C9415" s="307" t="s">
        <v>156</v>
      </c>
    </row>
    <row r="9416" spans="1:3" x14ac:dyDescent="0.35">
      <c r="A9416" s="302">
        <v>36750</v>
      </c>
      <c r="B9416" s="303">
        <v>111.379</v>
      </c>
      <c r="C9416" s="304" t="s">
        <v>156</v>
      </c>
    </row>
    <row r="9417" spans="1:3" x14ac:dyDescent="0.35">
      <c r="A9417" s="305">
        <v>36749</v>
      </c>
      <c r="B9417" s="306">
        <v>111.3797</v>
      </c>
      <c r="C9417" s="307" t="s">
        <v>156</v>
      </c>
    </row>
    <row r="9418" spans="1:3" x14ac:dyDescent="0.35">
      <c r="A9418" s="302">
        <v>36748</v>
      </c>
      <c r="B9418" s="303">
        <v>111.38039999999999</v>
      </c>
      <c r="C9418" s="304" t="s">
        <v>156</v>
      </c>
    </row>
    <row r="9419" spans="1:3" x14ac:dyDescent="0.35">
      <c r="A9419" s="305">
        <v>36747</v>
      </c>
      <c r="B9419" s="306">
        <v>111.3811</v>
      </c>
      <c r="C9419" s="307" t="s">
        <v>156</v>
      </c>
    </row>
    <row r="9420" spans="1:3" x14ac:dyDescent="0.35">
      <c r="A9420" s="302">
        <v>36746</v>
      </c>
      <c r="B9420" s="303">
        <v>111.3819</v>
      </c>
      <c r="C9420" s="304" t="s">
        <v>156</v>
      </c>
    </row>
    <row r="9421" spans="1:3" x14ac:dyDescent="0.35">
      <c r="A9421" s="305">
        <v>36745</v>
      </c>
      <c r="B9421" s="306">
        <v>111.3826</v>
      </c>
      <c r="C9421" s="307" t="s">
        <v>156</v>
      </c>
    </row>
    <row r="9422" spans="1:3" x14ac:dyDescent="0.35">
      <c r="A9422" s="302">
        <v>36744</v>
      </c>
      <c r="B9422" s="303">
        <v>111.38330000000001</v>
      </c>
      <c r="C9422" s="304" t="s">
        <v>156</v>
      </c>
    </row>
    <row r="9423" spans="1:3" x14ac:dyDescent="0.35">
      <c r="A9423" s="305">
        <v>36743</v>
      </c>
      <c r="B9423" s="306">
        <v>111.384</v>
      </c>
      <c r="C9423" s="307" t="s">
        <v>156</v>
      </c>
    </row>
    <row r="9424" spans="1:3" x14ac:dyDescent="0.35">
      <c r="A9424" s="302">
        <v>36742</v>
      </c>
      <c r="B9424" s="303">
        <v>111.3847</v>
      </c>
      <c r="C9424" s="304" t="s">
        <v>156</v>
      </c>
    </row>
    <row r="9425" spans="1:3" x14ac:dyDescent="0.35">
      <c r="A9425" s="305">
        <v>36741</v>
      </c>
      <c r="B9425" s="306">
        <v>111.3854</v>
      </c>
      <c r="C9425" s="307" t="s">
        <v>156</v>
      </c>
    </row>
    <row r="9426" spans="1:3" x14ac:dyDescent="0.35">
      <c r="A9426" s="302">
        <v>36740</v>
      </c>
      <c r="B9426" s="303">
        <v>111.3862</v>
      </c>
      <c r="C9426" s="304" t="s">
        <v>156</v>
      </c>
    </row>
    <row r="9427" spans="1:3" x14ac:dyDescent="0.35">
      <c r="A9427" s="305">
        <v>36739</v>
      </c>
      <c r="B9427" s="306">
        <v>111.3869</v>
      </c>
      <c r="C9427" s="307" t="s">
        <v>156</v>
      </c>
    </row>
    <row r="9428" spans="1:3" x14ac:dyDescent="0.35">
      <c r="A9428" s="302">
        <v>36738</v>
      </c>
      <c r="B9428" s="303">
        <v>111.38760000000001</v>
      </c>
      <c r="C9428" s="304" t="s">
        <v>156</v>
      </c>
    </row>
    <row r="9429" spans="1:3" x14ac:dyDescent="0.35">
      <c r="A9429" s="305">
        <v>36737</v>
      </c>
      <c r="B9429" s="306">
        <v>111.3883</v>
      </c>
      <c r="C9429" s="307" t="s">
        <v>156</v>
      </c>
    </row>
    <row r="9430" spans="1:3" x14ac:dyDescent="0.35">
      <c r="A9430" s="302">
        <v>36736</v>
      </c>
      <c r="B9430" s="303">
        <v>111.389</v>
      </c>
      <c r="C9430" s="304" t="s">
        <v>156</v>
      </c>
    </row>
    <row r="9431" spans="1:3" x14ac:dyDescent="0.35">
      <c r="A9431" s="305">
        <v>36735</v>
      </c>
      <c r="B9431" s="306">
        <v>111.38979999999999</v>
      </c>
      <c r="C9431" s="307" t="s">
        <v>156</v>
      </c>
    </row>
    <row r="9432" spans="1:3" x14ac:dyDescent="0.35">
      <c r="A9432" s="302">
        <v>36734</v>
      </c>
      <c r="B9432" s="303">
        <v>111.3905</v>
      </c>
      <c r="C9432" s="304" t="s">
        <v>156</v>
      </c>
    </row>
    <row r="9433" spans="1:3" x14ac:dyDescent="0.35">
      <c r="A9433" s="305">
        <v>36733</v>
      </c>
      <c r="B9433" s="306">
        <v>111.3912</v>
      </c>
      <c r="C9433" s="307" t="s">
        <v>156</v>
      </c>
    </row>
    <row r="9434" spans="1:3" x14ac:dyDescent="0.35">
      <c r="A9434" s="302">
        <v>36732</v>
      </c>
      <c r="B9434" s="303">
        <v>111.39190000000001</v>
      </c>
      <c r="C9434" s="304" t="s">
        <v>156</v>
      </c>
    </row>
    <row r="9435" spans="1:3" x14ac:dyDescent="0.35">
      <c r="A9435" s="305">
        <v>36731</v>
      </c>
      <c r="B9435" s="306">
        <v>111.3926</v>
      </c>
      <c r="C9435" s="307" t="s">
        <v>156</v>
      </c>
    </row>
    <row r="9436" spans="1:3" x14ac:dyDescent="0.35">
      <c r="A9436" s="302">
        <v>36730</v>
      </c>
      <c r="B9436" s="303">
        <v>111.3933</v>
      </c>
      <c r="C9436" s="304" t="s">
        <v>156</v>
      </c>
    </row>
    <row r="9437" spans="1:3" x14ac:dyDescent="0.35">
      <c r="A9437" s="305">
        <v>36729</v>
      </c>
      <c r="B9437" s="306">
        <v>111.39409999999999</v>
      </c>
      <c r="C9437" s="307" t="s">
        <v>156</v>
      </c>
    </row>
    <row r="9438" spans="1:3" x14ac:dyDescent="0.35">
      <c r="A9438" s="302">
        <v>36728</v>
      </c>
      <c r="B9438" s="303">
        <v>111.3948</v>
      </c>
      <c r="C9438" s="304" t="s">
        <v>156</v>
      </c>
    </row>
    <row r="9439" spans="1:3" x14ac:dyDescent="0.35">
      <c r="A9439" s="305">
        <v>36727</v>
      </c>
      <c r="B9439" s="306">
        <v>111.3955</v>
      </c>
      <c r="C9439" s="307" t="s">
        <v>156</v>
      </c>
    </row>
    <row r="9440" spans="1:3" x14ac:dyDescent="0.35">
      <c r="A9440" s="302">
        <v>36726</v>
      </c>
      <c r="B9440" s="303">
        <v>111.39619999999999</v>
      </c>
      <c r="C9440" s="304" t="s">
        <v>156</v>
      </c>
    </row>
    <row r="9441" spans="1:3" x14ac:dyDescent="0.35">
      <c r="A9441" s="305">
        <v>36725</v>
      </c>
      <c r="B9441" s="306">
        <v>111.3969</v>
      </c>
      <c r="C9441" s="307" t="s">
        <v>156</v>
      </c>
    </row>
    <row r="9442" spans="1:3" x14ac:dyDescent="0.35">
      <c r="A9442" s="302">
        <v>36724</v>
      </c>
      <c r="B9442" s="303">
        <v>111.3977</v>
      </c>
      <c r="C9442" s="304" t="s">
        <v>156</v>
      </c>
    </row>
    <row r="9443" spans="1:3" x14ac:dyDescent="0.35">
      <c r="A9443" s="305">
        <v>36723</v>
      </c>
      <c r="B9443" s="306">
        <v>111.3984</v>
      </c>
      <c r="C9443" s="307" t="s">
        <v>156</v>
      </c>
    </row>
    <row r="9444" spans="1:3" x14ac:dyDescent="0.35">
      <c r="A9444" s="302">
        <v>36722</v>
      </c>
      <c r="B9444" s="303">
        <v>111.3991</v>
      </c>
      <c r="C9444" s="304" t="s">
        <v>156</v>
      </c>
    </row>
    <row r="9445" spans="1:3" x14ac:dyDescent="0.35">
      <c r="A9445" s="305">
        <v>36721</v>
      </c>
      <c r="B9445" s="306">
        <v>111.3798</v>
      </c>
      <c r="C9445" s="307" t="s">
        <v>156</v>
      </c>
    </row>
    <row r="9446" spans="1:3" x14ac:dyDescent="0.35">
      <c r="A9446" s="302">
        <v>36720</v>
      </c>
      <c r="B9446" s="303">
        <v>111.36060000000001</v>
      </c>
      <c r="C9446" s="304" t="s">
        <v>156</v>
      </c>
    </row>
    <row r="9447" spans="1:3" x14ac:dyDescent="0.35">
      <c r="A9447" s="305">
        <v>36719</v>
      </c>
      <c r="B9447" s="306">
        <v>111.3413</v>
      </c>
      <c r="C9447" s="307" t="s">
        <v>156</v>
      </c>
    </row>
    <row r="9448" spans="1:3" x14ac:dyDescent="0.35">
      <c r="A9448" s="302">
        <v>36718</v>
      </c>
      <c r="B9448" s="303">
        <v>111.32210000000001</v>
      </c>
      <c r="C9448" s="304" t="s">
        <v>156</v>
      </c>
    </row>
    <row r="9449" spans="1:3" x14ac:dyDescent="0.35">
      <c r="A9449" s="305">
        <v>36717</v>
      </c>
      <c r="B9449" s="306">
        <v>111.3028</v>
      </c>
      <c r="C9449" s="307" t="s">
        <v>156</v>
      </c>
    </row>
    <row r="9450" spans="1:3" x14ac:dyDescent="0.35">
      <c r="A9450" s="302">
        <v>36716</v>
      </c>
      <c r="B9450" s="303">
        <v>111.28360000000001</v>
      </c>
      <c r="C9450" s="304" t="s">
        <v>156</v>
      </c>
    </row>
    <row r="9451" spans="1:3" x14ac:dyDescent="0.35">
      <c r="A9451" s="305">
        <v>36715</v>
      </c>
      <c r="B9451" s="306">
        <v>111.26430000000001</v>
      </c>
      <c r="C9451" s="307" t="s">
        <v>156</v>
      </c>
    </row>
    <row r="9452" spans="1:3" x14ac:dyDescent="0.35">
      <c r="A9452" s="302">
        <v>36714</v>
      </c>
      <c r="B9452" s="303">
        <v>111.24509999999999</v>
      </c>
      <c r="C9452" s="304" t="s">
        <v>156</v>
      </c>
    </row>
    <row r="9453" spans="1:3" x14ac:dyDescent="0.35">
      <c r="A9453" s="305">
        <v>36713</v>
      </c>
      <c r="B9453" s="306">
        <v>111.2259</v>
      </c>
      <c r="C9453" s="307" t="s">
        <v>156</v>
      </c>
    </row>
    <row r="9454" spans="1:3" x14ac:dyDescent="0.35">
      <c r="A9454" s="302">
        <v>36712</v>
      </c>
      <c r="B9454" s="303">
        <v>111.2067</v>
      </c>
      <c r="C9454" s="304" t="s">
        <v>156</v>
      </c>
    </row>
    <row r="9455" spans="1:3" x14ac:dyDescent="0.35">
      <c r="A9455" s="305">
        <v>36711</v>
      </c>
      <c r="B9455" s="306">
        <v>111.1874</v>
      </c>
      <c r="C9455" s="307" t="s">
        <v>156</v>
      </c>
    </row>
    <row r="9456" spans="1:3" x14ac:dyDescent="0.35">
      <c r="A9456" s="302">
        <v>36710</v>
      </c>
      <c r="B9456" s="303">
        <v>111.1682</v>
      </c>
      <c r="C9456" s="304" t="s">
        <v>156</v>
      </c>
    </row>
    <row r="9457" spans="1:3" x14ac:dyDescent="0.35">
      <c r="A9457" s="305">
        <v>36709</v>
      </c>
      <c r="B9457" s="306">
        <v>111.149</v>
      </c>
      <c r="C9457" s="307" t="s">
        <v>156</v>
      </c>
    </row>
    <row r="9458" spans="1:3" x14ac:dyDescent="0.35">
      <c r="A9458" s="302">
        <v>36708</v>
      </c>
      <c r="B9458" s="303">
        <v>111.1298</v>
      </c>
      <c r="C9458" s="304" t="s">
        <v>156</v>
      </c>
    </row>
    <row r="9459" spans="1:3" x14ac:dyDescent="0.35">
      <c r="A9459" s="305">
        <v>36707</v>
      </c>
      <c r="B9459" s="306">
        <v>111.11060000000001</v>
      </c>
      <c r="C9459" s="307" t="s">
        <v>156</v>
      </c>
    </row>
    <row r="9460" spans="1:3" x14ac:dyDescent="0.35">
      <c r="A9460" s="302">
        <v>36706</v>
      </c>
      <c r="B9460" s="303">
        <v>111.09139999999999</v>
      </c>
      <c r="C9460" s="304" t="s">
        <v>156</v>
      </c>
    </row>
    <row r="9461" spans="1:3" x14ac:dyDescent="0.35">
      <c r="A9461" s="305">
        <v>36705</v>
      </c>
      <c r="B9461" s="306">
        <v>111.0722</v>
      </c>
      <c r="C9461" s="307" t="s">
        <v>156</v>
      </c>
    </row>
    <row r="9462" spans="1:3" x14ac:dyDescent="0.35">
      <c r="A9462" s="302">
        <v>36704</v>
      </c>
      <c r="B9462" s="303">
        <v>111.053</v>
      </c>
      <c r="C9462" s="304" t="s">
        <v>156</v>
      </c>
    </row>
    <row r="9463" spans="1:3" x14ac:dyDescent="0.35">
      <c r="A9463" s="305">
        <v>36703</v>
      </c>
      <c r="B9463" s="306">
        <v>111.0338</v>
      </c>
      <c r="C9463" s="307" t="s">
        <v>156</v>
      </c>
    </row>
    <row r="9464" spans="1:3" x14ac:dyDescent="0.35">
      <c r="A9464" s="302">
        <v>36702</v>
      </c>
      <c r="B9464" s="303">
        <v>111.0146</v>
      </c>
      <c r="C9464" s="304" t="s">
        <v>156</v>
      </c>
    </row>
    <row r="9465" spans="1:3" x14ac:dyDescent="0.35">
      <c r="A9465" s="305">
        <v>36701</v>
      </c>
      <c r="B9465" s="306">
        <v>110.9954</v>
      </c>
      <c r="C9465" s="307" t="s">
        <v>156</v>
      </c>
    </row>
    <row r="9466" spans="1:3" x14ac:dyDescent="0.35">
      <c r="A9466" s="302">
        <v>36700</v>
      </c>
      <c r="B9466" s="303">
        <v>110.97620000000001</v>
      </c>
      <c r="C9466" s="304" t="s">
        <v>156</v>
      </c>
    </row>
    <row r="9467" spans="1:3" x14ac:dyDescent="0.35">
      <c r="A9467" s="305">
        <v>36699</v>
      </c>
      <c r="B9467" s="306">
        <v>110.95699999999999</v>
      </c>
      <c r="C9467" s="307" t="s">
        <v>156</v>
      </c>
    </row>
    <row r="9468" spans="1:3" x14ac:dyDescent="0.35">
      <c r="A9468" s="302">
        <v>36698</v>
      </c>
      <c r="B9468" s="303">
        <v>110.9378</v>
      </c>
      <c r="C9468" s="304" t="s">
        <v>156</v>
      </c>
    </row>
    <row r="9469" spans="1:3" x14ac:dyDescent="0.35">
      <c r="A9469" s="305">
        <v>36697</v>
      </c>
      <c r="B9469" s="306">
        <v>110.9186</v>
      </c>
      <c r="C9469" s="307" t="s">
        <v>156</v>
      </c>
    </row>
    <row r="9470" spans="1:3" x14ac:dyDescent="0.35">
      <c r="A9470" s="302">
        <v>36696</v>
      </c>
      <c r="B9470" s="303">
        <v>110.8995</v>
      </c>
      <c r="C9470" s="304" t="s">
        <v>156</v>
      </c>
    </row>
    <row r="9471" spans="1:3" x14ac:dyDescent="0.35">
      <c r="A9471" s="305">
        <v>36695</v>
      </c>
      <c r="B9471" s="306">
        <v>110.88030000000001</v>
      </c>
      <c r="C9471" s="307" t="s">
        <v>156</v>
      </c>
    </row>
    <row r="9472" spans="1:3" x14ac:dyDescent="0.35">
      <c r="A9472" s="302">
        <v>36694</v>
      </c>
      <c r="B9472" s="303">
        <v>110.86109999999999</v>
      </c>
      <c r="C9472" s="304" t="s">
        <v>156</v>
      </c>
    </row>
    <row r="9473" spans="1:3" x14ac:dyDescent="0.35">
      <c r="A9473" s="305">
        <v>36693</v>
      </c>
      <c r="B9473" s="306">
        <v>110.842</v>
      </c>
      <c r="C9473" s="307" t="s">
        <v>156</v>
      </c>
    </row>
    <row r="9474" spans="1:3" x14ac:dyDescent="0.35">
      <c r="A9474" s="302">
        <v>36692</v>
      </c>
      <c r="B9474" s="303">
        <v>110.8228</v>
      </c>
      <c r="C9474" s="304" t="s">
        <v>156</v>
      </c>
    </row>
    <row r="9475" spans="1:3" x14ac:dyDescent="0.35">
      <c r="A9475" s="305">
        <v>36691</v>
      </c>
      <c r="B9475" s="306">
        <v>110.7872</v>
      </c>
      <c r="C9475" s="307" t="s">
        <v>156</v>
      </c>
    </row>
    <row r="9476" spans="1:3" x14ac:dyDescent="0.35">
      <c r="A9476" s="302">
        <v>36690</v>
      </c>
      <c r="B9476" s="303">
        <v>110.7516</v>
      </c>
      <c r="C9476" s="304" t="s">
        <v>156</v>
      </c>
    </row>
    <row r="9477" spans="1:3" x14ac:dyDescent="0.35">
      <c r="A9477" s="305">
        <v>36689</v>
      </c>
      <c r="B9477" s="306">
        <v>110.7161</v>
      </c>
      <c r="C9477" s="307" t="s">
        <v>156</v>
      </c>
    </row>
    <row r="9478" spans="1:3" x14ac:dyDescent="0.35">
      <c r="A9478" s="302">
        <v>36688</v>
      </c>
      <c r="B9478" s="303">
        <v>110.6806</v>
      </c>
      <c r="C9478" s="304" t="s">
        <v>156</v>
      </c>
    </row>
    <row r="9479" spans="1:3" x14ac:dyDescent="0.35">
      <c r="A9479" s="305">
        <v>36687</v>
      </c>
      <c r="B9479" s="306">
        <v>110.645</v>
      </c>
      <c r="C9479" s="307" t="s">
        <v>156</v>
      </c>
    </row>
    <row r="9480" spans="1:3" x14ac:dyDescent="0.35">
      <c r="A9480" s="302">
        <v>36686</v>
      </c>
      <c r="B9480" s="303">
        <v>110.6095</v>
      </c>
      <c r="C9480" s="304" t="s">
        <v>156</v>
      </c>
    </row>
    <row r="9481" spans="1:3" x14ac:dyDescent="0.35">
      <c r="A9481" s="305">
        <v>36685</v>
      </c>
      <c r="B9481" s="306">
        <v>110.574</v>
      </c>
      <c r="C9481" s="307" t="s">
        <v>156</v>
      </c>
    </row>
    <row r="9482" spans="1:3" x14ac:dyDescent="0.35">
      <c r="A9482" s="302">
        <v>36684</v>
      </c>
      <c r="B9482" s="303">
        <v>110.5385</v>
      </c>
      <c r="C9482" s="304" t="s">
        <v>156</v>
      </c>
    </row>
    <row r="9483" spans="1:3" x14ac:dyDescent="0.35">
      <c r="A9483" s="305">
        <v>36683</v>
      </c>
      <c r="B9483" s="306">
        <v>110.5031</v>
      </c>
      <c r="C9483" s="307" t="s">
        <v>156</v>
      </c>
    </row>
    <row r="9484" spans="1:3" x14ac:dyDescent="0.35">
      <c r="A9484" s="302">
        <v>36682</v>
      </c>
      <c r="B9484" s="303">
        <v>110.4676</v>
      </c>
      <c r="C9484" s="304" t="s">
        <v>156</v>
      </c>
    </row>
    <row r="9485" spans="1:3" x14ac:dyDescent="0.35">
      <c r="A9485" s="305">
        <v>36681</v>
      </c>
      <c r="B9485" s="306">
        <v>110.43219999999999</v>
      </c>
      <c r="C9485" s="307" t="s">
        <v>156</v>
      </c>
    </row>
    <row r="9486" spans="1:3" x14ac:dyDescent="0.35">
      <c r="A9486" s="302">
        <v>36680</v>
      </c>
      <c r="B9486" s="303">
        <v>110.3967</v>
      </c>
      <c r="C9486" s="304" t="s">
        <v>156</v>
      </c>
    </row>
    <row r="9487" spans="1:3" x14ac:dyDescent="0.35">
      <c r="A9487" s="305">
        <v>36679</v>
      </c>
      <c r="B9487" s="306">
        <v>110.3613</v>
      </c>
      <c r="C9487" s="307" t="s">
        <v>156</v>
      </c>
    </row>
    <row r="9488" spans="1:3" x14ac:dyDescent="0.35">
      <c r="A9488" s="302">
        <v>36678</v>
      </c>
      <c r="B9488" s="303">
        <v>110.3259</v>
      </c>
      <c r="C9488" s="304" t="s">
        <v>156</v>
      </c>
    </row>
    <row r="9489" spans="1:3" x14ac:dyDescent="0.35">
      <c r="A9489" s="305">
        <v>36677</v>
      </c>
      <c r="B9489" s="306">
        <v>110.29049999999999</v>
      </c>
      <c r="C9489" s="307" t="s">
        <v>156</v>
      </c>
    </row>
    <row r="9490" spans="1:3" x14ac:dyDescent="0.35">
      <c r="A9490" s="302">
        <v>36676</v>
      </c>
      <c r="B9490" s="303">
        <v>110.2551</v>
      </c>
      <c r="C9490" s="304" t="s">
        <v>156</v>
      </c>
    </row>
    <row r="9491" spans="1:3" x14ac:dyDescent="0.35">
      <c r="A9491" s="305">
        <v>36675</v>
      </c>
      <c r="B9491" s="306">
        <v>110.2197</v>
      </c>
      <c r="C9491" s="307" t="s">
        <v>156</v>
      </c>
    </row>
    <row r="9492" spans="1:3" x14ac:dyDescent="0.35">
      <c r="A9492" s="302">
        <v>36674</v>
      </c>
      <c r="B9492" s="303">
        <v>110.18429999999999</v>
      </c>
      <c r="C9492" s="304" t="s">
        <v>156</v>
      </c>
    </row>
    <row r="9493" spans="1:3" x14ac:dyDescent="0.35">
      <c r="A9493" s="305">
        <v>36673</v>
      </c>
      <c r="B9493" s="306">
        <v>110.1489</v>
      </c>
      <c r="C9493" s="307" t="s">
        <v>156</v>
      </c>
    </row>
    <row r="9494" spans="1:3" x14ac:dyDescent="0.35">
      <c r="A9494" s="302">
        <v>36672</v>
      </c>
      <c r="B9494" s="303">
        <v>110.11360000000001</v>
      </c>
      <c r="C9494" s="304" t="s">
        <v>156</v>
      </c>
    </row>
    <row r="9495" spans="1:3" x14ac:dyDescent="0.35">
      <c r="A9495" s="305">
        <v>36671</v>
      </c>
      <c r="B9495" s="306">
        <v>110.0783</v>
      </c>
      <c r="C9495" s="307" t="s">
        <v>156</v>
      </c>
    </row>
    <row r="9496" spans="1:3" x14ac:dyDescent="0.35">
      <c r="A9496" s="302">
        <v>36670</v>
      </c>
      <c r="B9496" s="303">
        <v>110.0429</v>
      </c>
      <c r="C9496" s="304" t="s">
        <v>156</v>
      </c>
    </row>
    <row r="9497" spans="1:3" x14ac:dyDescent="0.35">
      <c r="A9497" s="305">
        <v>36669</v>
      </c>
      <c r="B9497" s="306">
        <v>110.0076</v>
      </c>
      <c r="C9497" s="307" t="s">
        <v>156</v>
      </c>
    </row>
    <row r="9498" spans="1:3" x14ac:dyDescent="0.35">
      <c r="A9498" s="302">
        <v>36668</v>
      </c>
      <c r="B9498" s="303">
        <v>109.9723</v>
      </c>
      <c r="C9498" s="304" t="s">
        <v>156</v>
      </c>
    </row>
    <row r="9499" spans="1:3" x14ac:dyDescent="0.35">
      <c r="A9499" s="305">
        <v>36667</v>
      </c>
      <c r="B9499" s="306">
        <v>109.937</v>
      </c>
      <c r="C9499" s="307" t="s">
        <v>156</v>
      </c>
    </row>
    <row r="9500" spans="1:3" x14ac:dyDescent="0.35">
      <c r="A9500" s="302">
        <v>36666</v>
      </c>
      <c r="B9500" s="303">
        <v>109.90170000000001</v>
      </c>
      <c r="C9500" s="304" t="s">
        <v>156</v>
      </c>
    </row>
    <row r="9501" spans="1:3" x14ac:dyDescent="0.35">
      <c r="A9501" s="305">
        <v>36665</v>
      </c>
      <c r="B9501" s="306">
        <v>109.8665</v>
      </c>
      <c r="C9501" s="307" t="s">
        <v>156</v>
      </c>
    </row>
    <row r="9502" spans="1:3" x14ac:dyDescent="0.35">
      <c r="A9502" s="302">
        <v>36664</v>
      </c>
      <c r="B9502" s="303">
        <v>109.8312</v>
      </c>
      <c r="C9502" s="304" t="s">
        <v>156</v>
      </c>
    </row>
    <row r="9503" spans="1:3" x14ac:dyDescent="0.35">
      <c r="A9503" s="305">
        <v>36663</v>
      </c>
      <c r="B9503" s="306">
        <v>109.79600000000001</v>
      </c>
      <c r="C9503" s="307" t="s">
        <v>156</v>
      </c>
    </row>
    <row r="9504" spans="1:3" x14ac:dyDescent="0.35">
      <c r="A9504" s="302">
        <v>36662</v>
      </c>
      <c r="B9504" s="303">
        <v>109.7607</v>
      </c>
      <c r="C9504" s="304" t="s">
        <v>156</v>
      </c>
    </row>
    <row r="9505" spans="1:3" x14ac:dyDescent="0.35">
      <c r="A9505" s="305">
        <v>36661</v>
      </c>
      <c r="B9505" s="306">
        <v>109.7255</v>
      </c>
      <c r="C9505" s="307" t="s">
        <v>156</v>
      </c>
    </row>
    <row r="9506" spans="1:3" x14ac:dyDescent="0.35">
      <c r="A9506" s="302">
        <v>36660</v>
      </c>
      <c r="B9506" s="303">
        <v>109.6635</v>
      </c>
      <c r="C9506" s="304" t="s">
        <v>156</v>
      </c>
    </row>
    <row r="9507" spans="1:3" x14ac:dyDescent="0.35">
      <c r="A9507" s="305">
        <v>36659</v>
      </c>
      <c r="B9507" s="306">
        <v>109.6015</v>
      </c>
      <c r="C9507" s="307" t="s">
        <v>156</v>
      </c>
    </row>
    <row r="9508" spans="1:3" x14ac:dyDescent="0.35">
      <c r="A9508" s="302">
        <v>36658</v>
      </c>
      <c r="B9508" s="303">
        <v>109.53959999999999</v>
      </c>
      <c r="C9508" s="304" t="s">
        <v>156</v>
      </c>
    </row>
    <row r="9509" spans="1:3" x14ac:dyDescent="0.35">
      <c r="A9509" s="305">
        <v>36657</v>
      </c>
      <c r="B9509" s="306">
        <v>109.4777</v>
      </c>
      <c r="C9509" s="307" t="s">
        <v>156</v>
      </c>
    </row>
    <row r="9510" spans="1:3" x14ac:dyDescent="0.35">
      <c r="A9510" s="302">
        <v>36656</v>
      </c>
      <c r="B9510" s="303">
        <v>109.4158</v>
      </c>
      <c r="C9510" s="304" t="s">
        <v>156</v>
      </c>
    </row>
    <row r="9511" spans="1:3" x14ac:dyDescent="0.35">
      <c r="A9511" s="305">
        <v>36655</v>
      </c>
      <c r="B9511" s="306">
        <v>109.354</v>
      </c>
      <c r="C9511" s="307" t="s">
        <v>156</v>
      </c>
    </row>
    <row r="9512" spans="1:3" x14ac:dyDescent="0.35">
      <c r="A9512" s="302">
        <v>36654</v>
      </c>
      <c r="B9512" s="303">
        <v>109.29219999999999</v>
      </c>
      <c r="C9512" s="304" t="s">
        <v>156</v>
      </c>
    </row>
    <row r="9513" spans="1:3" x14ac:dyDescent="0.35">
      <c r="A9513" s="305">
        <v>36653</v>
      </c>
      <c r="B9513" s="306">
        <v>109.23050000000001</v>
      </c>
      <c r="C9513" s="307" t="s">
        <v>156</v>
      </c>
    </row>
    <row r="9514" spans="1:3" x14ac:dyDescent="0.35">
      <c r="A9514" s="302">
        <v>36652</v>
      </c>
      <c r="B9514" s="303">
        <v>109.1687</v>
      </c>
      <c r="C9514" s="304" t="s">
        <v>156</v>
      </c>
    </row>
    <row r="9515" spans="1:3" x14ac:dyDescent="0.35">
      <c r="A9515" s="305">
        <v>36651</v>
      </c>
      <c r="B9515" s="306">
        <v>109.1071</v>
      </c>
      <c r="C9515" s="307" t="s">
        <v>156</v>
      </c>
    </row>
    <row r="9516" spans="1:3" x14ac:dyDescent="0.35">
      <c r="A9516" s="302">
        <v>36650</v>
      </c>
      <c r="B9516" s="303">
        <v>109.0454</v>
      </c>
      <c r="C9516" s="304" t="s">
        <v>156</v>
      </c>
    </row>
    <row r="9517" spans="1:3" x14ac:dyDescent="0.35">
      <c r="A9517" s="305">
        <v>36649</v>
      </c>
      <c r="B9517" s="306">
        <v>108.9838</v>
      </c>
      <c r="C9517" s="307" t="s">
        <v>156</v>
      </c>
    </row>
    <row r="9518" spans="1:3" x14ac:dyDescent="0.35">
      <c r="A9518" s="302">
        <v>36648</v>
      </c>
      <c r="B9518" s="303">
        <v>108.9222</v>
      </c>
      <c r="C9518" s="304" t="s">
        <v>156</v>
      </c>
    </row>
    <row r="9519" spans="1:3" x14ac:dyDescent="0.35">
      <c r="A9519" s="305">
        <v>36647</v>
      </c>
      <c r="B9519" s="306">
        <v>108.86069999999999</v>
      </c>
      <c r="C9519" s="307" t="s">
        <v>156</v>
      </c>
    </row>
    <row r="9520" spans="1:3" x14ac:dyDescent="0.35">
      <c r="A9520" s="302">
        <v>36646</v>
      </c>
      <c r="B9520" s="303">
        <v>108.7992</v>
      </c>
      <c r="C9520" s="304" t="s">
        <v>156</v>
      </c>
    </row>
    <row r="9521" spans="1:3" x14ac:dyDescent="0.35">
      <c r="A9521" s="305">
        <v>36645</v>
      </c>
      <c r="B9521" s="306">
        <v>108.7377</v>
      </c>
      <c r="C9521" s="307" t="s">
        <v>156</v>
      </c>
    </row>
    <row r="9522" spans="1:3" x14ac:dyDescent="0.35">
      <c r="A9522" s="302">
        <v>36644</v>
      </c>
      <c r="B9522" s="303">
        <v>108.6763</v>
      </c>
      <c r="C9522" s="304" t="s">
        <v>156</v>
      </c>
    </row>
    <row r="9523" spans="1:3" x14ac:dyDescent="0.35">
      <c r="A9523" s="305">
        <v>36643</v>
      </c>
      <c r="B9523" s="306">
        <v>108.61490000000001</v>
      </c>
      <c r="C9523" s="307" t="s">
        <v>156</v>
      </c>
    </row>
    <row r="9524" spans="1:3" x14ac:dyDescent="0.35">
      <c r="A9524" s="302">
        <v>36642</v>
      </c>
      <c r="B9524" s="303">
        <v>108.5535</v>
      </c>
      <c r="C9524" s="304" t="s">
        <v>156</v>
      </c>
    </row>
    <row r="9525" spans="1:3" x14ac:dyDescent="0.35">
      <c r="A9525" s="305">
        <v>36641</v>
      </c>
      <c r="B9525" s="306">
        <v>108.49209999999999</v>
      </c>
      <c r="C9525" s="307" t="s">
        <v>156</v>
      </c>
    </row>
    <row r="9526" spans="1:3" x14ac:dyDescent="0.35">
      <c r="A9526" s="302">
        <v>36640</v>
      </c>
      <c r="B9526" s="303">
        <v>108.4308</v>
      </c>
      <c r="C9526" s="304" t="s">
        <v>156</v>
      </c>
    </row>
    <row r="9527" spans="1:3" x14ac:dyDescent="0.35">
      <c r="A9527" s="305">
        <v>36639</v>
      </c>
      <c r="B9527" s="306">
        <v>108.36960000000001</v>
      </c>
      <c r="C9527" s="307" t="s">
        <v>156</v>
      </c>
    </row>
    <row r="9528" spans="1:3" x14ac:dyDescent="0.35">
      <c r="A9528" s="302">
        <v>36638</v>
      </c>
      <c r="B9528" s="303">
        <v>108.30840000000001</v>
      </c>
      <c r="C9528" s="304" t="s">
        <v>156</v>
      </c>
    </row>
    <row r="9529" spans="1:3" x14ac:dyDescent="0.35">
      <c r="A9529" s="305">
        <v>36637</v>
      </c>
      <c r="B9529" s="306">
        <v>108.24720000000001</v>
      </c>
      <c r="C9529" s="307" t="s">
        <v>156</v>
      </c>
    </row>
    <row r="9530" spans="1:3" x14ac:dyDescent="0.35">
      <c r="A9530" s="302">
        <v>36636</v>
      </c>
      <c r="B9530" s="303">
        <v>108.18600000000001</v>
      </c>
      <c r="C9530" s="304" t="s">
        <v>156</v>
      </c>
    </row>
    <row r="9531" spans="1:3" x14ac:dyDescent="0.35">
      <c r="A9531" s="305">
        <v>36635</v>
      </c>
      <c r="B9531" s="306">
        <v>108.1249</v>
      </c>
      <c r="C9531" s="307" t="s">
        <v>156</v>
      </c>
    </row>
    <row r="9532" spans="1:3" x14ac:dyDescent="0.35">
      <c r="A9532" s="302">
        <v>36634</v>
      </c>
      <c r="B9532" s="303">
        <v>108.0638</v>
      </c>
      <c r="C9532" s="304" t="s">
        <v>156</v>
      </c>
    </row>
    <row r="9533" spans="1:3" x14ac:dyDescent="0.35">
      <c r="A9533" s="305">
        <v>36633</v>
      </c>
      <c r="B9533" s="306">
        <v>108.0027</v>
      </c>
      <c r="C9533" s="307" t="s">
        <v>156</v>
      </c>
    </row>
    <row r="9534" spans="1:3" x14ac:dyDescent="0.35">
      <c r="A9534" s="302">
        <v>36632</v>
      </c>
      <c r="B9534" s="303">
        <v>107.9417</v>
      </c>
      <c r="C9534" s="304" t="s">
        <v>156</v>
      </c>
    </row>
    <row r="9535" spans="1:3" x14ac:dyDescent="0.35">
      <c r="A9535" s="305">
        <v>36631</v>
      </c>
      <c r="B9535" s="306">
        <v>107.8807</v>
      </c>
      <c r="C9535" s="307" t="s">
        <v>156</v>
      </c>
    </row>
    <row r="9536" spans="1:3" x14ac:dyDescent="0.35">
      <c r="A9536" s="302">
        <v>36630</v>
      </c>
      <c r="B9536" s="303">
        <v>107.80159999999999</v>
      </c>
      <c r="C9536" s="304" t="s">
        <v>156</v>
      </c>
    </row>
    <row r="9537" spans="1:3" x14ac:dyDescent="0.35">
      <c r="A9537" s="305">
        <v>36629</v>
      </c>
      <c r="B9537" s="306">
        <v>107.7225</v>
      </c>
      <c r="C9537" s="307" t="s">
        <v>156</v>
      </c>
    </row>
    <row r="9538" spans="1:3" x14ac:dyDescent="0.35">
      <c r="A9538" s="302">
        <v>36628</v>
      </c>
      <c r="B9538" s="303">
        <v>107.6435</v>
      </c>
      <c r="C9538" s="304" t="s">
        <v>156</v>
      </c>
    </row>
    <row r="9539" spans="1:3" x14ac:dyDescent="0.35">
      <c r="A9539" s="305">
        <v>36627</v>
      </c>
      <c r="B9539" s="306">
        <v>107.5646</v>
      </c>
      <c r="C9539" s="307" t="s">
        <v>156</v>
      </c>
    </row>
    <row r="9540" spans="1:3" x14ac:dyDescent="0.35">
      <c r="A9540" s="302">
        <v>36626</v>
      </c>
      <c r="B9540" s="303">
        <v>107.48569999999999</v>
      </c>
      <c r="C9540" s="304" t="s">
        <v>156</v>
      </c>
    </row>
    <row r="9541" spans="1:3" x14ac:dyDescent="0.35">
      <c r="A9541" s="305">
        <v>36625</v>
      </c>
      <c r="B9541" s="306">
        <v>107.40689999999999</v>
      </c>
      <c r="C9541" s="307" t="s">
        <v>156</v>
      </c>
    </row>
    <row r="9542" spans="1:3" x14ac:dyDescent="0.35">
      <c r="A9542" s="302">
        <v>36624</v>
      </c>
      <c r="B9542" s="303">
        <v>107.3282</v>
      </c>
      <c r="C9542" s="304" t="s">
        <v>156</v>
      </c>
    </row>
    <row r="9543" spans="1:3" x14ac:dyDescent="0.35">
      <c r="A9543" s="305">
        <v>36623</v>
      </c>
      <c r="B9543" s="306">
        <v>107.2495</v>
      </c>
      <c r="C9543" s="307" t="s">
        <v>156</v>
      </c>
    </row>
    <row r="9544" spans="1:3" x14ac:dyDescent="0.35">
      <c r="A9544" s="302">
        <v>36622</v>
      </c>
      <c r="B9544" s="303">
        <v>107.1708</v>
      </c>
      <c r="C9544" s="304" t="s">
        <v>156</v>
      </c>
    </row>
    <row r="9545" spans="1:3" x14ac:dyDescent="0.35">
      <c r="A9545" s="305">
        <v>36621</v>
      </c>
      <c r="B9545" s="306">
        <v>107.09220000000001</v>
      </c>
      <c r="C9545" s="307" t="s">
        <v>156</v>
      </c>
    </row>
    <row r="9546" spans="1:3" x14ac:dyDescent="0.35">
      <c r="A9546" s="302">
        <v>36620</v>
      </c>
      <c r="B9546" s="303">
        <v>107.0137</v>
      </c>
      <c r="C9546" s="304" t="s">
        <v>156</v>
      </c>
    </row>
    <row r="9547" spans="1:3" x14ac:dyDescent="0.35">
      <c r="A9547" s="305">
        <v>36619</v>
      </c>
      <c r="B9547" s="306">
        <v>106.93519999999999</v>
      </c>
      <c r="C9547" s="307" t="s">
        <v>156</v>
      </c>
    </row>
    <row r="9548" spans="1:3" x14ac:dyDescent="0.35">
      <c r="A9548" s="302">
        <v>36618</v>
      </c>
      <c r="B9548" s="303">
        <v>106.85680000000001</v>
      </c>
      <c r="C9548" s="304" t="s">
        <v>156</v>
      </c>
    </row>
    <row r="9549" spans="1:3" x14ac:dyDescent="0.35">
      <c r="A9549" s="305">
        <v>36617</v>
      </c>
      <c r="B9549" s="306">
        <v>106.77849999999999</v>
      </c>
      <c r="C9549" s="307" t="s">
        <v>156</v>
      </c>
    </row>
    <row r="9550" spans="1:3" x14ac:dyDescent="0.35">
      <c r="A9550" s="302">
        <v>36616</v>
      </c>
      <c r="B9550" s="303">
        <v>106.7002</v>
      </c>
      <c r="C9550" s="304" t="s">
        <v>156</v>
      </c>
    </row>
    <row r="9551" spans="1:3" x14ac:dyDescent="0.35">
      <c r="A9551" s="305">
        <v>36615</v>
      </c>
      <c r="B9551" s="306">
        <v>106.6219</v>
      </c>
      <c r="C9551" s="307" t="s">
        <v>156</v>
      </c>
    </row>
    <row r="9552" spans="1:3" x14ac:dyDescent="0.35">
      <c r="A9552" s="302">
        <v>36614</v>
      </c>
      <c r="B9552" s="303">
        <v>106.5437</v>
      </c>
      <c r="C9552" s="304" t="s">
        <v>156</v>
      </c>
    </row>
    <row r="9553" spans="1:3" x14ac:dyDescent="0.35">
      <c r="A9553" s="305">
        <v>36613</v>
      </c>
      <c r="B9553" s="306">
        <v>106.46559999999999</v>
      </c>
      <c r="C9553" s="307" t="s">
        <v>156</v>
      </c>
    </row>
    <row r="9554" spans="1:3" x14ac:dyDescent="0.35">
      <c r="A9554" s="302">
        <v>36612</v>
      </c>
      <c r="B9554" s="303">
        <v>106.38760000000001</v>
      </c>
      <c r="C9554" s="304" t="s">
        <v>156</v>
      </c>
    </row>
    <row r="9555" spans="1:3" x14ac:dyDescent="0.35">
      <c r="A9555" s="305">
        <v>36611</v>
      </c>
      <c r="B9555" s="306">
        <v>106.3095</v>
      </c>
      <c r="C9555" s="307" t="s">
        <v>156</v>
      </c>
    </row>
    <row r="9556" spans="1:3" x14ac:dyDescent="0.35">
      <c r="A9556" s="302">
        <v>36610</v>
      </c>
      <c r="B9556" s="303">
        <v>106.2316</v>
      </c>
      <c r="C9556" s="304" t="s">
        <v>156</v>
      </c>
    </row>
    <row r="9557" spans="1:3" x14ac:dyDescent="0.35">
      <c r="A9557" s="305">
        <v>36609</v>
      </c>
      <c r="B9557" s="306">
        <v>106.1537</v>
      </c>
      <c r="C9557" s="307" t="s">
        <v>156</v>
      </c>
    </row>
    <row r="9558" spans="1:3" x14ac:dyDescent="0.35">
      <c r="A9558" s="302">
        <v>36608</v>
      </c>
      <c r="B9558" s="303">
        <v>106.0759</v>
      </c>
      <c r="C9558" s="304" t="s">
        <v>156</v>
      </c>
    </row>
    <row r="9559" spans="1:3" x14ac:dyDescent="0.35">
      <c r="A9559" s="305">
        <v>36607</v>
      </c>
      <c r="B9559" s="306">
        <v>105.99809999999999</v>
      </c>
      <c r="C9559" s="307" t="s">
        <v>156</v>
      </c>
    </row>
    <row r="9560" spans="1:3" x14ac:dyDescent="0.35">
      <c r="A9560" s="302">
        <v>36606</v>
      </c>
      <c r="B9560" s="303">
        <v>105.9204</v>
      </c>
      <c r="C9560" s="304" t="s">
        <v>156</v>
      </c>
    </row>
    <row r="9561" spans="1:3" x14ac:dyDescent="0.35">
      <c r="A9561" s="305">
        <v>36605</v>
      </c>
      <c r="B9561" s="306">
        <v>105.84269999999999</v>
      </c>
      <c r="C9561" s="307" t="s">
        <v>156</v>
      </c>
    </row>
    <row r="9562" spans="1:3" x14ac:dyDescent="0.35">
      <c r="A9562" s="302">
        <v>36604</v>
      </c>
      <c r="B9562" s="303">
        <v>105.7651</v>
      </c>
      <c r="C9562" s="304" t="s">
        <v>156</v>
      </c>
    </row>
    <row r="9563" spans="1:3" x14ac:dyDescent="0.35">
      <c r="A9563" s="305">
        <v>36603</v>
      </c>
      <c r="B9563" s="306">
        <v>105.6875</v>
      </c>
      <c r="C9563" s="307" t="s">
        <v>156</v>
      </c>
    </row>
    <row r="9564" spans="1:3" x14ac:dyDescent="0.35">
      <c r="A9564" s="302">
        <v>36602</v>
      </c>
      <c r="B9564" s="303">
        <v>105.61</v>
      </c>
      <c r="C9564" s="304" t="s">
        <v>156</v>
      </c>
    </row>
    <row r="9565" spans="1:3" x14ac:dyDescent="0.35">
      <c r="A9565" s="305">
        <v>36601</v>
      </c>
      <c r="B9565" s="306">
        <v>105.5326</v>
      </c>
      <c r="C9565" s="307" t="s">
        <v>156</v>
      </c>
    </row>
    <row r="9566" spans="1:3" x14ac:dyDescent="0.35">
      <c r="A9566" s="302">
        <v>36600</v>
      </c>
      <c r="B9566" s="303">
        <v>105.4552</v>
      </c>
      <c r="C9566" s="304" t="s">
        <v>156</v>
      </c>
    </row>
    <row r="9567" spans="1:3" x14ac:dyDescent="0.35">
      <c r="A9567" s="305">
        <v>36599</v>
      </c>
      <c r="B9567" s="306">
        <v>105.40860000000001</v>
      </c>
      <c r="C9567" s="307" t="s">
        <v>156</v>
      </c>
    </row>
    <row r="9568" spans="1:3" x14ac:dyDescent="0.35">
      <c r="A9568" s="302">
        <v>36598</v>
      </c>
      <c r="B9568" s="303">
        <v>105.3621</v>
      </c>
      <c r="C9568" s="304" t="s">
        <v>156</v>
      </c>
    </row>
    <row r="9569" spans="1:3" x14ac:dyDescent="0.35">
      <c r="A9569" s="305">
        <v>36597</v>
      </c>
      <c r="B9569" s="306">
        <v>105.3155</v>
      </c>
      <c r="C9569" s="307" t="s">
        <v>156</v>
      </c>
    </row>
    <row r="9570" spans="1:3" x14ac:dyDescent="0.35">
      <c r="A9570" s="302">
        <v>36596</v>
      </c>
      <c r="B9570" s="303">
        <v>105.26900000000001</v>
      </c>
      <c r="C9570" s="304" t="s">
        <v>156</v>
      </c>
    </row>
    <row r="9571" spans="1:3" x14ac:dyDescent="0.35">
      <c r="A9571" s="305">
        <v>36595</v>
      </c>
      <c r="B9571" s="306">
        <v>105.2225</v>
      </c>
      <c r="C9571" s="307" t="s">
        <v>156</v>
      </c>
    </row>
    <row r="9572" spans="1:3" x14ac:dyDescent="0.35">
      <c r="A9572" s="302">
        <v>36594</v>
      </c>
      <c r="B9572" s="303">
        <v>105.176</v>
      </c>
      <c r="C9572" s="304" t="s">
        <v>156</v>
      </c>
    </row>
    <row r="9573" spans="1:3" x14ac:dyDescent="0.35">
      <c r="A9573" s="305">
        <v>36593</v>
      </c>
      <c r="B9573" s="306">
        <v>105.12949999999999</v>
      </c>
      <c r="C9573" s="307" t="s">
        <v>156</v>
      </c>
    </row>
    <row r="9574" spans="1:3" x14ac:dyDescent="0.35">
      <c r="A9574" s="302">
        <v>36592</v>
      </c>
      <c r="B9574" s="303">
        <v>105.083</v>
      </c>
      <c r="C9574" s="304" t="s">
        <v>156</v>
      </c>
    </row>
    <row r="9575" spans="1:3" x14ac:dyDescent="0.35">
      <c r="A9575" s="305">
        <v>36591</v>
      </c>
      <c r="B9575" s="306">
        <v>105.03660000000001</v>
      </c>
      <c r="C9575" s="307" t="s">
        <v>156</v>
      </c>
    </row>
    <row r="9576" spans="1:3" x14ac:dyDescent="0.35">
      <c r="A9576" s="302">
        <v>36590</v>
      </c>
      <c r="B9576" s="303">
        <v>104.9902</v>
      </c>
      <c r="C9576" s="304" t="s">
        <v>156</v>
      </c>
    </row>
    <row r="9577" spans="1:3" x14ac:dyDescent="0.35">
      <c r="A9577" s="305">
        <v>36589</v>
      </c>
      <c r="B9577" s="306">
        <v>104.9438</v>
      </c>
      <c r="C9577" s="307" t="s">
        <v>156</v>
      </c>
    </row>
    <row r="9578" spans="1:3" x14ac:dyDescent="0.35">
      <c r="A9578" s="302">
        <v>36588</v>
      </c>
      <c r="B9578" s="303">
        <v>104.8974</v>
      </c>
      <c r="C9578" s="304" t="s">
        <v>156</v>
      </c>
    </row>
    <row r="9579" spans="1:3" x14ac:dyDescent="0.35">
      <c r="A9579" s="305">
        <v>36587</v>
      </c>
      <c r="B9579" s="306">
        <v>104.8511</v>
      </c>
      <c r="C9579" s="307" t="s">
        <v>156</v>
      </c>
    </row>
    <row r="9580" spans="1:3" x14ac:dyDescent="0.35">
      <c r="A9580" s="302">
        <v>36586</v>
      </c>
      <c r="B9580" s="303">
        <v>104.8047</v>
      </c>
      <c r="C9580" s="304" t="s">
        <v>156</v>
      </c>
    </row>
    <row r="9581" spans="1:3" x14ac:dyDescent="0.35">
      <c r="A9581" s="305">
        <v>36585</v>
      </c>
      <c r="B9581" s="306">
        <v>104.75839999999999</v>
      </c>
      <c r="C9581" s="307" t="s">
        <v>156</v>
      </c>
    </row>
    <row r="9582" spans="1:3" x14ac:dyDescent="0.35">
      <c r="A9582" s="302">
        <v>36584</v>
      </c>
      <c r="B9582" s="303">
        <v>104.71210000000001</v>
      </c>
      <c r="C9582" s="304" t="s">
        <v>156</v>
      </c>
    </row>
    <row r="9583" spans="1:3" x14ac:dyDescent="0.35">
      <c r="A9583" s="305">
        <v>36583</v>
      </c>
      <c r="B9583" s="306">
        <v>104.66589999999999</v>
      </c>
      <c r="C9583" s="307" t="s">
        <v>156</v>
      </c>
    </row>
    <row r="9584" spans="1:3" x14ac:dyDescent="0.35">
      <c r="A9584" s="302">
        <v>36582</v>
      </c>
      <c r="B9584" s="303">
        <v>104.61960000000001</v>
      </c>
      <c r="C9584" s="304" t="s">
        <v>156</v>
      </c>
    </row>
    <row r="9585" spans="1:3" x14ac:dyDescent="0.35">
      <c r="A9585" s="305">
        <v>36581</v>
      </c>
      <c r="B9585" s="306">
        <v>104.57340000000001</v>
      </c>
      <c r="C9585" s="307" t="s">
        <v>156</v>
      </c>
    </row>
    <row r="9586" spans="1:3" x14ac:dyDescent="0.35">
      <c r="A9586" s="302">
        <v>36580</v>
      </c>
      <c r="B9586" s="303">
        <v>104.52719999999999</v>
      </c>
      <c r="C9586" s="304" t="s">
        <v>156</v>
      </c>
    </row>
    <row r="9587" spans="1:3" x14ac:dyDescent="0.35">
      <c r="A9587" s="305">
        <v>36579</v>
      </c>
      <c r="B9587" s="306">
        <v>104.48099999999999</v>
      </c>
      <c r="C9587" s="307" t="s">
        <v>156</v>
      </c>
    </row>
    <row r="9588" spans="1:3" x14ac:dyDescent="0.35">
      <c r="A9588" s="302">
        <v>36578</v>
      </c>
      <c r="B9588" s="303">
        <v>104.4348</v>
      </c>
      <c r="C9588" s="304" t="s">
        <v>156</v>
      </c>
    </row>
    <row r="9589" spans="1:3" x14ac:dyDescent="0.35">
      <c r="A9589" s="305">
        <v>36577</v>
      </c>
      <c r="B9589" s="306">
        <v>104.3887</v>
      </c>
      <c r="C9589" s="307" t="s">
        <v>156</v>
      </c>
    </row>
    <row r="9590" spans="1:3" x14ac:dyDescent="0.35">
      <c r="A9590" s="302">
        <v>36576</v>
      </c>
      <c r="B9590" s="303">
        <v>104.3425</v>
      </c>
      <c r="C9590" s="304" t="s">
        <v>156</v>
      </c>
    </row>
    <row r="9591" spans="1:3" x14ac:dyDescent="0.35">
      <c r="A9591" s="305">
        <v>36575</v>
      </c>
      <c r="B9591" s="306">
        <v>104.29640000000001</v>
      </c>
      <c r="C9591" s="307" t="s">
        <v>156</v>
      </c>
    </row>
    <row r="9592" spans="1:3" x14ac:dyDescent="0.35">
      <c r="A9592" s="302">
        <v>36574</v>
      </c>
      <c r="B9592" s="303">
        <v>104.2503</v>
      </c>
      <c r="C9592" s="304" t="s">
        <v>156</v>
      </c>
    </row>
    <row r="9593" spans="1:3" x14ac:dyDescent="0.35">
      <c r="A9593" s="305">
        <v>36573</v>
      </c>
      <c r="B9593" s="306">
        <v>104.2043</v>
      </c>
      <c r="C9593" s="307" t="s">
        <v>156</v>
      </c>
    </row>
    <row r="9594" spans="1:3" x14ac:dyDescent="0.35">
      <c r="A9594" s="302">
        <v>36572</v>
      </c>
      <c r="B9594" s="303">
        <v>104.15819999999999</v>
      </c>
      <c r="C9594" s="304" t="s">
        <v>156</v>
      </c>
    </row>
    <row r="9595" spans="1:3" x14ac:dyDescent="0.35">
      <c r="A9595" s="305">
        <v>36571</v>
      </c>
      <c r="B9595" s="306">
        <v>104.1122</v>
      </c>
      <c r="C9595" s="307" t="s">
        <v>156</v>
      </c>
    </row>
    <row r="9596" spans="1:3" x14ac:dyDescent="0.35">
      <c r="A9596" s="302">
        <v>36570</v>
      </c>
      <c r="B9596" s="303">
        <v>104.09439999999999</v>
      </c>
      <c r="C9596" s="304" t="s">
        <v>156</v>
      </c>
    </row>
    <row r="9597" spans="1:3" x14ac:dyDescent="0.35">
      <c r="A9597" s="305">
        <v>36569</v>
      </c>
      <c r="B9597" s="306">
        <v>104.0767</v>
      </c>
      <c r="C9597" s="307" t="s">
        <v>156</v>
      </c>
    </row>
    <row r="9598" spans="1:3" x14ac:dyDescent="0.35">
      <c r="A9598" s="302">
        <v>36568</v>
      </c>
      <c r="B9598" s="303">
        <v>104.05889999999999</v>
      </c>
      <c r="C9598" s="304" t="s">
        <v>156</v>
      </c>
    </row>
    <row r="9599" spans="1:3" x14ac:dyDescent="0.35">
      <c r="A9599" s="305">
        <v>36567</v>
      </c>
      <c r="B9599" s="306">
        <v>104.0412</v>
      </c>
      <c r="C9599" s="307" t="s">
        <v>156</v>
      </c>
    </row>
    <row r="9600" spans="1:3" x14ac:dyDescent="0.35">
      <c r="A9600" s="302">
        <v>36566</v>
      </c>
      <c r="B9600" s="303">
        <v>104.0235</v>
      </c>
      <c r="C9600" s="304" t="s">
        <v>156</v>
      </c>
    </row>
    <row r="9601" spans="1:3" x14ac:dyDescent="0.35">
      <c r="A9601" s="305">
        <v>36565</v>
      </c>
      <c r="B9601" s="306">
        <v>104.0057</v>
      </c>
      <c r="C9601" s="307" t="s">
        <v>156</v>
      </c>
    </row>
    <row r="9602" spans="1:3" x14ac:dyDescent="0.35">
      <c r="A9602" s="302">
        <v>36564</v>
      </c>
      <c r="B9602" s="303">
        <v>103.988</v>
      </c>
      <c r="C9602" s="304" t="s">
        <v>156</v>
      </c>
    </row>
    <row r="9603" spans="1:3" x14ac:dyDescent="0.35">
      <c r="A9603" s="305">
        <v>36563</v>
      </c>
      <c r="B9603" s="306">
        <v>103.97029999999999</v>
      </c>
      <c r="C9603" s="307" t="s">
        <v>156</v>
      </c>
    </row>
    <row r="9604" spans="1:3" x14ac:dyDescent="0.35">
      <c r="A9604" s="302">
        <v>36562</v>
      </c>
      <c r="B9604" s="303">
        <v>103.9525</v>
      </c>
      <c r="C9604" s="304" t="s">
        <v>156</v>
      </c>
    </row>
    <row r="9605" spans="1:3" x14ac:dyDescent="0.35">
      <c r="A9605" s="305">
        <v>36561</v>
      </c>
      <c r="B9605" s="306">
        <v>103.9348</v>
      </c>
      <c r="C9605" s="307" t="s">
        <v>156</v>
      </c>
    </row>
    <row r="9606" spans="1:3" x14ac:dyDescent="0.35">
      <c r="A9606" s="302">
        <v>36560</v>
      </c>
      <c r="B9606" s="303">
        <v>103.9171</v>
      </c>
      <c r="C9606" s="304" t="s">
        <v>156</v>
      </c>
    </row>
    <row r="9607" spans="1:3" x14ac:dyDescent="0.35">
      <c r="A9607" s="305">
        <v>36559</v>
      </c>
      <c r="B9607" s="306">
        <v>103.8994</v>
      </c>
      <c r="C9607" s="307" t="s">
        <v>156</v>
      </c>
    </row>
    <row r="9608" spans="1:3" x14ac:dyDescent="0.35">
      <c r="A9608" s="302">
        <v>36558</v>
      </c>
      <c r="B9608" s="303">
        <v>103.8817</v>
      </c>
      <c r="C9608" s="304" t="s">
        <v>156</v>
      </c>
    </row>
    <row r="9609" spans="1:3" x14ac:dyDescent="0.35">
      <c r="A9609" s="305">
        <v>36557</v>
      </c>
      <c r="B9609" s="306">
        <v>103.8639</v>
      </c>
      <c r="C9609" s="307" t="s">
        <v>156</v>
      </c>
    </row>
    <row r="9610" spans="1:3" x14ac:dyDescent="0.35">
      <c r="A9610" s="302">
        <v>36556</v>
      </c>
      <c r="B9610" s="303">
        <v>103.8462</v>
      </c>
      <c r="C9610" s="304" t="s">
        <v>156</v>
      </c>
    </row>
    <row r="9611" spans="1:3" x14ac:dyDescent="0.35">
      <c r="A9611" s="305">
        <v>36555</v>
      </c>
      <c r="B9611" s="306">
        <v>103.82850000000001</v>
      </c>
      <c r="C9611" s="307" t="s">
        <v>156</v>
      </c>
    </row>
    <row r="9612" spans="1:3" x14ac:dyDescent="0.35">
      <c r="A9612" s="302">
        <v>36554</v>
      </c>
      <c r="B9612" s="303">
        <v>103.8108</v>
      </c>
      <c r="C9612" s="304" t="s">
        <v>156</v>
      </c>
    </row>
    <row r="9613" spans="1:3" x14ac:dyDescent="0.35">
      <c r="A9613" s="305">
        <v>36553</v>
      </c>
      <c r="B9613" s="306">
        <v>103.7931</v>
      </c>
      <c r="C9613" s="307" t="s">
        <v>156</v>
      </c>
    </row>
    <row r="9614" spans="1:3" x14ac:dyDescent="0.35">
      <c r="A9614" s="302">
        <v>36552</v>
      </c>
      <c r="B9614" s="303">
        <v>103.7754</v>
      </c>
      <c r="C9614" s="304" t="s">
        <v>156</v>
      </c>
    </row>
    <row r="9615" spans="1:3" x14ac:dyDescent="0.35">
      <c r="A9615" s="305">
        <v>36551</v>
      </c>
      <c r="B9615" s="306">
        <v>103.7577</v>
      </c>
      <c r="C9615" s="307" t="s">
        <v>156</v>
      </c>
    </row>
    <row r="9616" spans="1:3" x14ac:dyDescent="0.35">
      <c r="A9616" s="302">
        <v>36550</v>
      </c>
      <c r="B9616" s="303">
        <v>103.74</v>
      </c>
      <c r="C9616" s="304" t="s">
        <v>156</v>
      </c>
    </row>
    <row r="9617" spans="1:3" x14ac:dyDescent="0.35">
      <c r="A9617" s="305">
        <v>36549</v>
      </c>
      <c r="B9617" s="306">
        <v>103.72239999999999</v>
      </c>
      <c r="C9617" s="307" t="s">
        <v>156</v>
      </c>
    </row>
    <row r="9618" spans="1:3" x14ac:dyDescent="0.35">
      <c r="A9618" s="302">
        <v>36548</v>
      </c>
      <c r="B9618" s="303">
        <v>103.7047</v>
      </c>
      <c r="C9618" s="304" t="s">
        <v>156</v>
      </c>
    </row>
    <row r="9619" spans="1:3" x14ac:dyDescent="0.35">
      <c r="A9619" s="305">
        <v>36547</v>
      </c>
      <c r="B9619" s="306">
        <v>103.687</v>
      </c>
      <c r="C9619" s="307" t="s">
        <v>156</v>
      </c>
    </row>
    <row r="9620" spans="1:3" x14ac:dyDescent="0.35">
      <c r="A9620" s="302">
        <v>36546</v>
      </c>
      <c r="B9620" s="303">
        <v>103.66930000000001</v>
      </c>
      <c r="C9620" s="304" t="s">
        <v>156</v>
      </c>
    </row>
    <row r="9621" spans="1:3" x14ac:dyDescent="0.35">
      <c r="A9621" s="305">
        <v>36545</v>
      </c>
      <c r="B9621" s="306">
        <v>103.6516</v>
      </c>
      <c r="C9621" s="307" t="s">
        <v>156</v>
      </c>
    </row>
    <row r="9622" spans="1:3" x14ac:dyDescent="0.35">
      <c r="A9622" s="302">
        <v>36544</v>
      </c>
      <c r="B9622" s="303">
        <v>103.634</v>
      </c>
      <c r="C9622" s="304" t="s">
        <v>156</v>
      </c>
    </row>
    <row r="9623" spans="1:3" x14ac:dyDescent="0.35">
      <c r="A9623" s="305">
        <v>36543</v>
      </c>
      <c r="B9623" s="306">
        <v>103.6163</v>
      </c>
      <c r="C9623" s="307" t="s">
        <v>156</v>
      </c>
    </row>
    <row r="9624" spans="1:3" x14ac:dyDescent="0.35">
      <c r="A9624" s="302">
        <v>36542</v>
      </c>
      <c r="B9624" s="303">
        <v>103.5986</v>
      </c>
      <c r="C9624" s="304" t="s">
        <v>156</v>
      </c>
    </row>
    <row r="9625" spans="1:3" x14ac:dyDescent="0.35">
      <c r="A9625" s="305">
        <v>36541</v>
      </c>
      <c r="B9625" s="306">
        <v>103.581</v>
      </c>
      <c r="C9625" s="307" t="s">
        <v>156</v>
      </c>
    </row>
    <row r="9626" spans="1:3" x14ac:dyDescent="0.35">
      <c r="A9626" s="302">
        <v>36540</v>
      </c>
      <c r="B9626" s="303">
        <v>103.5633</v>
      </c>
      <c r="C9626" s="304" t="s">
        <v>156</v>
      </c>
    </row>
    <row r="9627" spans="1:3" x14ac:dyDescent="0.35">
      <c r="A9627" s="305">
        <v>36539</v>
      </c>
      <c r="B9627" s="306">
        <v>103.54730000000001</v>
      </c>
      <c r="C9627" s="307" t="s">
        <v>156</v>
      </c>
    </row>
    <row r="9628" spans="1:3" x14ac:dyDescent="0.35">
      <c r="A9628" s="302">
        <v>36538</v>
      </c>
      <c r="B9628" s="303">
        <v>103.5313</v>
      </c>
      <c r="C9628" s="304" t="s">
        <v>156</v>
      </c>
    </row>
    <row r="9629" spans="1:3" x14ac:dyDescent="0.35">
      <c r="A9629" s="305">
        <v>36537</v>
      </c>
      <c r="B9629" s="306">
        <v>103.5153</v>
      </c>
      <c r="C9629" s="307" t="s">
        <v>156</v>
      </c>
    </row>
    <row r="9630" spans="1:3" x14ac:dyDescent="0.35">
      <c r="A9630" s="302">
        <v>36536</v>
      </c>
      <c r="B9630" s="303">
        <v>103.49939999999999</v>
      </c>
      <c r="C9630" s="304" t="s">
        <v>156</v>
      </c>
    </row>
    <row r="9631" spans="1:3" x14ac:dyDescent="0.35">
      <c r="A9631" s="305">
        <v>36535</v>
      </c>
      <c r="B9631" s="306">
        <v>103.4834</v>
      </c>
      <c r="C9631" s="307" t="s">
        <v>156</v>
      </c>
    </row>
    <row r="9632" spans="1:3" x14ac:dyDescent="0.35">
      <c r="A9632" s="302">
        <v>36534</v>
      </c>
      <c r="B9632" s="303">
        <v>103.4674</v>
      </c>
      <c r="C9632" s="304" t="s">
        <v>156</v>
      </c>
    </row>
    <row r="9633" spans="1:3" x14ac:dyDescent="0.35">
      <c r="A9633" s="305">
        <v>36533</v>
      </c>
      <c r="B9633" s="306">
        <v>103.45140000000001</v>
      </c>
      <c r="C9633" s="307" t="s">
        <v>156</v>
      </c>
    </row>
    <row r="9634" spans="1:3" x14ac:dyDescent="0.35">
      <c r="A9634" s="302">
        <v>36532</v>
      </c>
      <c r="B9634" s="303">
        <v>103.4354</v>
      </c>
      <c r="C9634" s="304" t="s">
        <v>156</v>
      </c>
    </row>
    <row r="9635" spans="1:3" x14ac:dyDescent="0.35">
      <c r="A9635" s="305">
        <v>36531</v>
      </c>
      <c r="B9635" s="306">
        <v>103.4195</v>
      </c>
      <c r="C9635" s="307" t="s">
        <v>156</v>
      </c>
    </row>
    <row r="9636" spans="1:3" x14ac:dyDescent="0.35">
      <c r="A9636" s="302">
        <v>36530</v>
      </c>
      <c r="B9636" s="303">
        <v>103.40349999999999</v>
      </c>
      <c r="C9636" s="304" t="s">
        <v>156</v>
      </c>
    </row>
    <row r="9637" spans="1:3" x14ac:dyDescent="0.35">
      <c r="A9637" s="305">
        <v>36529</v>
      </c>
      <c r="B9637" s="306">
        <v>103.3875</v>
      </c>
      <c r="C9637" s="307" t="s">
        <v>156</v>
      </c>
    </row>
    <row r="9638" spans="1:3" x14ac:dyDescent="0.35">
      <c r="A9638" s="302">
        <v>36528</v>
      </c>
      <c r="B9638" s="303">
        <v>103.3715</v>
      </c>
      <c r="C9638" s="304" t="s">
        <v>156</v>
      </c>
    </row>
    <row r="9639" spans="1:3" x14ac:dyDescent="0.35">
      <c r="A9639" s="305">
        <v>36527</v>
      </c>
      <c r="B9639" s="306">
        <v>103.3556</v>
      </c>
      <c r="C9639" s="307" t="s">
        <v>156</v>
      </c>
    </row>
    <row r="9640" spans="1:3" x14ac:dyDescent="0.35">
      <c r="A9640" s="302">
        <v>36526</v>
      </c>
      <c r="B9640" s="303">
        <v>103.3396</v>
      </c>
      <c r="C9640" s="304" t="s">
        <v>156</v>
      </c>
    </row>
    <row r="9641" spans="1:3" x14ac:dyDescent="0.35">
      <c r="A9641" s="305" t="s">
        <v>156</v>
      </c>
      <c r="B9641" s="306"/>
      <c r="C9641" s="307"/>
    </row>
    <row r="9642" spans="1:3" ht="125" x14ac:dyDescent="0.35">
      <c r="A9642" s="302" t="s">
        <v>2624</v>
      </c>
      <c r="B9642" s="303"/>
      <c r="C9642" s="304"/>
    </row>
    <row r="9643" spans="1:3" x14ac:dyDescent="0.35">
      <c r="A9643" s="305" t="s">
        <v>156</v>
      </c>
      <c r="B9643" s="306"/>
      <c r="C9643" s="307"/>
    </row>
    <row r="9644" spans="1:3" ht="62.5" x14ac:dyDescent="0.35">
      <c r="A9644" s="302" t="s">
        <v>2625</v>
      </c>
      <c r="B9644" s="303"/>
      <c r="C9644" s="304"/>
    </row>
    <row r="9645" spans="1:3" x14ac:dyDescent="0.35">
      <c r="A9645" s="305" t="s">
        <v>156</v>
      </c>
      <c r="B9645" s="306"/>
      <c r="C9645" s="307"/>
    </row>
    <row r="9646" spans="1:3" ht="37.5" x14ac:dyDescent="0.35">
      <c r="A9646" s="302" t="s">
        <v>2626</v>
      </c>
      <c r="B9646" s="303"/>
      <c r="C9646" s="304"/>
    </row>
    <row r="9647" spans="1:3" x14ac:dyDescent="0.35">
      <c r="A9647" s="305"/>
      <c r="B9647" s="306"/>
      <c r="C9647" s="307"/>
    </row>
    <row r="9648" spans="1:3" x14ac:dyDescent="0.35">
      <c r="A9648" s="302"/>
      <c r="B9648" s="303"/>
      <c r="C9648" s="304"/>
    </row>
    <row r="9649" spans="1:3" x14ac:dyDescent="0.35">
      <c r="A9649" s="305"/>
      <c r="B9649" s="306"/>
      <c r="C9649" s="307"/>
    </row>
    <row r="9650" spans="1:3" x14ac:dyDescent="0.35">
      <c r="A9650" s="302"/>
      <c r="B9650" s="303"/>
      <c r="C9650" s="304"/>
    </row>
    <row r="9651" spans="1:3" x14ac:dyDescent="0.35">
      <c r="A9651" s="305"/>
      <c r="B9651" s="306"/>
      <c r="C9651" s="307"/>
    </row>
    <row r="9652" spans="1:3" x14ac:dyDescent="0.35">
      <c r="A9652" s="302"/>
      <c r="B9652" s="303"/>
      <c r="C9652" s="304"/>
    </row>
    <row r="9653" spans="1:3" x14ac:dyDescent="0.35">
      <c r="A9653" s="305"/>
      <c r="B9653" s="306"/>
      <c r="C9653" s="307"/>
    </row>
    <row r="9654" spans="1:3" x14ac:dyDescent="0.35">
      <c r="A9654" s="302"/>
      <c r="B9654" s="303"/>
      <c r="C9654" s="304"/>
    </row>
    <row r="9655" spans="1:3" x14ac:dyDescent="0.35">
      <c r="A9655" s="305"/>
      <c r="B9655" s="306"/>
      <c r="C9655" s="307"/>
    </row>
    <row r="9656" spans="1:3" x14ac:dyDescent="0.35">
      <c r="A9656" s="302"/>
      <c r="B9656" s="303"/>
      <c r="C9656" s="304"/>
    </row>
    <row r="9657" spans="1:3" x14ac:dyDescent="0.35">
      <c r="A9657" s="305"/>
      <c r="B9657" s="306"/>
      <c r="C9657" s="307"/>
    </row>
    <row r="9658" spans="1:3" x14ac:dyDescent="0.35">
      <c r="A9658" s="302"/>
      <c r="B9658" s="303"/>
      <c r="C9658" s="304"/>
    </row>
    <row r="9659" spans="1:3" x14ac:dyDescent="0.35">
      <c r="A9659" s="305"/>
      <c r="B9659" s="306"/>
      <c r="C9659" s="307"/>
    </row>
    <row r="9660" spans="1:3" x14ac:dyDescent="0.35">
      <c r="A9660" s="302"/>
      <c r="B9660" s="303"/>
      <c r="C9660" s="304"/>
    </row>
    <row r="9661" spans="1:3" x14ac:dyDescent="0.35">
      <c r="A9661" s="305"/>
      <c r="B9661" s="306"/>
      <c r="C9661" s="307"/>
    </row>
    <row r="9662" spans="1:3" x14ac:dyDescent="0.35">
      <c r="A9662" s="302"/>
      <c r="B9662" s="303"/>
      <c r="C9662" s="304"/>
    </row>
    <row r="9663" spans="1:3" x14ac:dyDescent="0.35">
      <c r="A9663" s="305"/>
      <c r="B9663" s="306"/>
      <c r="C9663" s="307"/>
    </row>
    <row r="9664" spans="1:3" x14ac:dyDescent="0.35">
      <c r="A9664" s="302"/>
      <c r="B9664" s="303"/>
      <c r="C9664" s="304"/>
    </row>
    <row r="9665" spans="1:3" x14ac:dyDescent="0.35">
      <c r="A9665" s="305"/>
      <c r="B9665" s="306"/>
      <c r="C9665" s="307"/>
    </row>
    <row r="9666" spans="1:3" x14ac:dyDescent="0.35">
      <c r="A9666" s="302"/>
      <c r="B9666" s="303"/>
      <c r="C9666" s="304"/>
    </row>
    <row r="9667" spans="1:3" x14ac:dyDescent="0.35">
      <c r="A9667" s="305"/>
      <c r="B9667" s="306"/>
      <c r="C9667" s="307"/>
    </row>
    <row r="9668" spans="1:3" x14ac:dyDescent="0.35">
      <c r="A9668" s="302"/>
      <c r="B9668" s="303"/>
      <c r="C9668" s="304"/>
    </row>
    <row r="9669" spans="1:3" x14ac:dyDescent="0.35">
      <c r="A9669" s="305"/>
      <c r="B9669" s="306"/>
      <c r="C9669" s="307"/>
    </row>
    <row r="9670" spans="1:3" x14ac:dyDescent="0.35">
      <c r="A9670" s="302"/>
      <c r="B9670" s="303"/>
      <c r="C9670" s="304"/>
    </row>
    <row r="9671" spans="1:3" x14ac:dyDescent="0.35">
      <c r="A9671" s="305"/>
      <c r="B9671" s="306"/>
      <c r="C9671" s="307"/>
    </row>
    <row r="9672" spans="1:3" x14ac:dyDescent="0.35">
      <c r="A9672" s="302"/>
      <c r="B9672" s="303"/>
      <c r="C9672" s="304"/>
    </row>
    <row r="9673" spans="1:3" x14ac:dyDescent="0.35">
      <c r="A9673" s="305"/>
      <c r="B9673" s="306"/>
      <c r="C9673" s="307"/>
    </row>
    <row r="9674" spans="1:3" x14ac:dyDescent="0.35">
      <c r="A9674" s="302"/>
      <c r="B9674" s="303"/>
      <c r="C9674" s="304"/>
    </row>
    <row r="9675" spans="1:3" x14ac:dyDescent="0.35">
      <c r="A9675" s="305"/>
      <c r="B9675" s="306"/>
      <c r="C9675" s="307"/>
    </row>
    <row r="9676" spans="1:3" x14ac:dyDescent="0.35">
      <c r="A9676" s="302"/>
      <c r="B9676" s="303"/>
      <c r="C9676" s="304"/>
    </row>
    <row r="9677" spans="1:3" x14ac:dyDescent="0.35">
      <c r="A9677" s="305"/>
      <c r="B9677" s="306"/>
      <c r="C9677" s="307"/>
    </row>
    <row r="9678" spans="1:3" x14ac:dyDescent="0.35">
      <c r="A9678" s="302"/>
      <c r="B9678" s="303"/>
      <c r="C9678" s="304"/>
    </row>
    <row r="9679" spans="1:3" x14ac:dyDescent="0.35">
      <c r="A9679" s="305"/>
      <c r="B9679" s="306"/>
      <c r="C9679" s="307"/>
    </row>
    <row r="9680" spans="1:3" x14ac:dyDescent="0.35">
      <c r="A9680" s="302"/>
      <c r="B9680" s="303"/>
      <c r="C9680" s="304"/>
    </row>
    <row r="9681" spans="1:3" x14ac:dyDescent="0.35">
      <c r="A9681" s="305"/>
      <c r="B9681" s="306"/>
      <c r="C9681" s="307"/>
    </row>
    <row r="9682" spans="1:3" x14ac:dyDescent="0.35">
      <c r="A9682" s="302"/>
      <c r="B9682" s="303"/>
      <c r="C9682" s="304"/>
    </row>
    <row r="9683" spans="1:3" x14ac:dyDescent="0.35">
      <c r="A9683" s="305"/>
      <c r="B9683" s="306"/>
      <c r="C9683" s="307"/>
    </row>
    <row r="9684" spans="1:3" x14ac:dyDescent="0.35">
      <c r="A9684" s="302"/>
      <c r="B9684" s="303"/>
      <c r="C9684" s="304"/>
    </row>
    <row r="9685" spans="1:3" x14ac:dyDescent="0.35">
      <c r="A9685" s="305"/>
      <c r="B9685" s="306"/>
      <c r="C9685" s="307"/>
    </row>
    <row r="9686" spans="1:3" x14ac:dyDescent="0.35">
      <c r="A9686" s="302"/>
      <c r="B9686" s="303"/>
      <c r="C9686" s="304"/>
    </row>
    <row r="9687" spans="1:3" x14ac:dyDescent="0.35">
      <c r="A9687" s="305"/>
      <c r="B9687" s="306"/>
      <c r="C9687" s="307"/>
    </row>
    <row r="9688" spans="1:3" x14ac:dyDescent="0.35">
      <c r="A9688" s="302"/>
      <c r="B9688" s="303"/>
      <c r="C9688" s="304"/>
    </row>
    <row r="9689" spans="1:3" x14ac:dyDescent="0.35">
      <c r="A9689" s="305"/>
      <c r="B9689" s="306"/>
      <c r="C9689" s="307"/>
    </row>
    <row r="9690" spans="1:3" x14ac:dyDescent="0.35">
      <c r="A9690" s="302"/>
      <c r="B9690" s="303"/>
      <c r="C9690" s="304"/>
    </row>
    <row r="9691" spans="1:3" x14ac:dyDescent="0.35">
      <c r="A9691" s="305"/>
      <c r="B9691" s="306"/>
      <c r="C9691" s="307"/>
    </row>
    <row r="9692" spans="1:3" x14ac:dyDescent="0.35">
      <c r="A9692" s="302"/>
      <c r="B9692" s="303"/>
      <c r="C9692" s="304"/>
    </row>
    <row r="9693" spans="1:3" x14ac:dyDescent="0.35">
      <c r="A9693" s="305"/>
      <c r="B9693" s="306"/>
      <c r="C9693" s="307"/>
    </row>
    <row r="9694" spans="1:3" x14ac:dyDescent="0.35">
      <c r="A9694" s="302"/>
      <c r="B9694" s="303"/>
      <c r="C9694" s="304"/>
    </row>
    <row r="9695" spans="1:3" x14ac:dyDescent="0.35">
      <c r="A9695" s="305"/>
      <c r="B9695" s="306"/>
      <c r="C9695" s="307"/>
    </row>
    <row r="9696" spans="1:3" x14ac:dyDescent="0.35">
      <c r="A9696" s="302"/>
      <c r="B9696" s="303"/>
      <c r="C9696" s="304"/>
    </row>
    <row r="9697" spans="1:3" x14ac:dyDescent="0.35">
      <c r="A9697" s="305"/>
      <c r="B9697" s="306"/>
      <c r="C9697" s="307"/>
    </row>
    <row r="9698" spans="1:3" x14ac:dyDescent="0.35">
      <c r="A9698" s="302"/>
      <c r="B9698" s="303"/>
      <c r="C9698" s="304"/>
    </row>
    <row r="9699" spans="1:3" x14ac:dyDescent="0.35">
      <c r="A9699" s="305"/>
      <c r="B9699" s="306"/>
      <c r="C9699" s="307"/>
    </row>
    <row r="9700" spans="1:3" x14ac:dyDescent="0.35">
      <c r="A9700" s="302"/>
      <c r="B9700" s="303"/>
      <c r="C9700" s="304"/>
    </row>
    <row r="9701" spans="1:3" x14ac:dyDescent="0.35">
      <c r="A9701" s="305"/>
      <c r="B9701" s="306"/>
      <c r="C9701" s="307"/>
    </row>
    <row r="9702" spans="1:3" x14ac:dyDescent="0.35">
      <c r="A9702" s="302"/>
      <c r="B9702" s="303"/>
      <c r="C9702" s="304"/>
    </row>
    <row r="9703" spans="1:3" x14ac:dyDescent="0.35">
      <c r="A9703" s="305"/>
      <c r="B9703" s="306"/>
      <c r="C9703" s="307"/>
    </row>
    <row r="9704" spans="1:3" x14ac:dyDescent="0.35">
      <c r="A9704" s="302"/>
      <c r="B9704" s="303"/>
      <c r="C9704" s="304"/>
    </row>
    <row r="9705" spans="1:3" x14ac:dyDescent="0.35">
      <c r="A9705" s="305"/>
      <c r="B9705" s="306"/>
      <c r="C9705" s="307"/>
    </row>
    <row r="9706" spans="1:3" x14ac:dyDescent="0.35">
      <c r="A9706" s="302"/>
      <c r="B9706" s="303"/>
      <c r="C9706" s="304"/>
    </row>
    <row r="9707" spans="1:3" x14ac:dyDescent="0.35">
      <c r="A9707" s="305"/>
      <c r="B9707" s="306"/>
      <c r="C9707" s="307"/>
    </row>
    <row r="9708" spans="1:3" x14ac:dyDescent="0.35">
      <c r="A9708" s="302"/>
      <c r="B9708" s="303"/>
      <c r="C9708" s="304"/>
    </row>
    <row r="9709" spans="1:3" x14ac:dyDescent="0.35">
      <c r="A9709" s="305"/>
      <c r="B9709" s="306"/>
      <c r="C9709" s="307"/>
    </row>
    <row r="9710" spans="1:3" x14ac:dyDescent="0.35">
      <c r="A9710" s="302"/>
      <c r="B9710" s="303"/>
      <c r="C9710" s="304"/>
    </row>
    <row r="9711" spans="1:3" x14ac:dyDescent="0.35">
      <c r="A9711" s="305"/>
      <c r="B9711" s="306"/>
      <c r="C9711" s="307"/>
    </row>
    <row r="9712" spans="1:3" x14ac:dyDescent="0.35">
      <c r="A9712" s="302"/>
      <c r="B9712" s="303"/>
      <c r="C9712" s="304"/>
    </row>
    <row r="9713" spans="1:3" x14ac:dyDescent="0.35">
      <c r="A9713" s="305"/>
      <c r="B9713" s="306"/>
      <c r="C9713" s="307"/>
    </row>
    <row r="9714" spans="1:3" x14ac:dyDescent="0.35">
      <c r="A9714" s="302"/>
      <c r="B9714" s="303"/>
      <c r="C9714" s="304"/>
    </row>
    <row r="9715" spans="1:3" x14ac:dyDescent="0.35">
      <c r="A9715" s="305"/>
      <c r="B9715" s="306"/>
      <c r="C9715" s="307"/>
    </row>
    <row r="9716" spans="1:3" x14ac:dyDescent="0.35">
      <c r="A9716" s="302"/>
      <c r="B9716" s="303"/>
      <c r="C9716" s="304"/>
    </row>
    <row r="9717" spans="1:3" x14ac:dyDescent="0.35">
      <c r="A9717" s="305"/>
      <c r="B9717" s="306"/>
      <c r="C9717" s="307"/>
    </row>
    <row r="9718" spans="1:3" x14ac:dyDescent="0.35">
      <c r="A9718" s="302"/>
      <c r="B9718" s="303"/>
      <c r="C9718" s="304"/>
    </row>
    <row r="9719" spans="1:3" x14ac:dyDescent="0.35">
      <c r="A9719" s="305"/>
      <c r="B9719" s="306"/>
      <c r="C9719" s="307"/>
    </row>
    <row r="9720" spans="1:3" x14ac:dyDescent="0.35">
      <c r="A9720" s="302"/>
      <c r="B9720" s="303"/>
      <c r="C9720" s="304"/>
    </row>
    <row r="9721" spans="1:3" x14ac:dyDescent="0.35">
      <c r="A9721" s="305"/>
      <c r="B9721" s="306"/>
      <c r="C9721" s="307"/>
    </row>
    <row r="9722" spans="1:3" x14ac:dyDescent="0.35">
      <c r="A9722" s="302"/>
      <c r="B9722" s="303"/>
      <c r="C9722" s="304"/>
    </row>
    <row r="9723" spans="1:3" x14ac:dyDescent="0.35">
      <c r="A9723" s="305"/>
      <c r="B9723" s="306"/>
      <c r="C9723" s="307"/>
    </row>
    <row r="9724" spans="1:3" x14ac:dyDescent="0.35">
      <c r="A9724" s="302"/>
      <c r="B9724" s="303"/>
      <c r="C9724" s="304"/>
    </row>
    <row r="9725" spans="1:3" x14ac:dyDescent="0.35">
      <c r="A9725" s="305"/>
      <c r="B9725" s="306"/>
      <c r="C9725" s="307"/>
    </row>
    <row r="9726" spans="1:3" x14ac:dyDescent="0.35">
      <c r="A9726" s="302"/>
      <c r="B9726" s="303"/>
      <c r="C9726" s="304"/>
    </row>
    <row r="9727" spans="1:3" x14ac:dyDescent="0.35">
      <c r="A9727" s="305"/>
      <c r="B9727" s="306"/>
      <c r="C9727" s="307"/>
    </row>
    <row r="9728" spans="1:3" x14ac:dyDescent="0.35">
      <c r="A9728" s="302"/>
      <c r="B9728" s="303"/>
      <c r="C9728" s="304"/>
    </row>
    <row r="9729" spans="1:3" x14ac:dyDescent="0.35">
      <c r="A9729" s="305"/>
      <c r="B9729" s="306"/>
      <c r="C9729" s="307"/>
    </row>
    <row r="9730" spans="1:3" x14ac:dyDescent="0.35">
      <c r="A9730" s="302"/>
      <c r="B9730" s="303"/>
      <c r="C9730" s="304"/>
    </row>
    <row r="9731" spans="1:3" x14ac:dyDescent="0.35">
      <c r="A9731" s="305"/>
      <c r="B9731" s="306"/>
      <c r="C9731" s="307"/>
    </row>
    <row r="9732" spans="1:3" x14ac:dyDescent="0.35">
      <c r="A9732" s="302"/>
      <c r="B9732" s="303"/>
      <c r="C9732" s="304"/>
    </row>
    <row r="9733" spans="1:3" x14ac:dyDescent="0.35">
      <c r="A9733" s="305"/>
      <c r="B9733" s="306"/>
      <c r="C9733" s="307"/>
    </row>
    <row r="9734" spans="1:3" x14ac:dyDescent="0.35">
      <c r="A9734" s="302"/>
      <c r="B9734" s="303"/>
      <c r="C9734" s="304"/>
    </row>
    <row r="9735" spans="1:3" x14ac:dyDescent="0.35">
      <c r="A9735" s="305"/>
      <c r="B9735" s="306"/>
      <c r="C9735" s="307"/>
    </row>
    <row r="9736" spans="1:3" x14ac:dyDescent="0.35">
      <c r="A9736" s="302"/>
      <c r="B9736" s="303"/>
      <c r="C9736" s="304"/>
    </row>
    <row r="9737" spans="1:3" x14ac:dyDescent="0.35">
      <c r="A9737" s="305"/>
      <c r="B9737" s="306"/>
      <c r="C9737" s="307"/>
    </row>
    <row r="9738" spans="1:3" x14ac:dyDescent="0.35">
      <c r="A9738" s="302"/>
      <c r="B9738" s="303"/>
      <c r="C9738" s="304"/>
    </row>
    <row r="9739" spans="1:3" x14ac:dyDescent="0.35">
      <c r="A9739" s="305"/>
      <c r="B9739" s="306"/>
      <c r="C9739" s="307"/>
    </row>
    <row r="9740" spans="1:3" x14ac:dyDescent="0.35">
      <c r="A9740" s="302"/>
      <c r="B9740" s="303"/>
      <c r="C9740" s="304"/>
    </row>
    <row r="9741" spans="1:3" x14ac:dyDescent="0.35">
      <c r="A9741" s="305"/>
      <c r="B9741" s="306"/>
      <c r="C9741" s="307"/>
    </row>
    <row r="9742" spans="1:3" x14ac:dyDescent="0.35">
      <c r="A9742" s="302"/>
      <c r="B9742" s="303"/>
      <c r="C9742" s="304"/>
    </row>
    <row r="9743" spans="1:3" x14ac:dyDescent="0.35">
      <c r="A9743" s="305"/>
      <c r="B9743" s="306"/>
      <c r="C9743" s="307"/>
    </row>
    <row r="9744" spans="1:3" x14ac:dyDescent="0.35">
      <c r="A9744" s="302"/>
      <c r="B9744" s="303"/>
      <c r="C9744" s="304"/>
    </row>
    <row r="9745" spans="1:3" x14ac:dyDescent="0.35">
      <c r="A9745" s="305"/>
      <c r="B9745" s="306"/>
      <c r="C9745" s="307"/>
    </row>
    <row r="9746" spans="1:3" x14ac:dyDescent="0.35">
      <c r="A9746" s="302"/>
      <c r="B9746" s="303"/>
      <c r="C9746" s="304"/>
    </row>
    <row r="9747" spans="1:3" x14ac:dyDescent="0.35">
      <c r="A9747" s="305"/>
      <c r="B9747" s="306"/>
      <c r="C9747" s="307"/>
    </row>
    <row r="9748" spans="1:3" x14ac:dyDescent="0.35">
      <c r="A9748" s="302"/>
      <c r="B9748" s="303"/>
      <c r="C9748" s="304"/>
    </row>
    <row r="9749" spans="1:3" x14ac:dyDescent="0.35">
      <c r="A9749" s="305"/>
      <c r="B9749" s="306"/>
      <c r="C9749" s="307"/>
    </row>
    <row r="9750" spans="1:3" x14ac:dyDescent="0.35">
      <c r="A9750" s="302"/>
      <c r="B9750" s="303"/>
      <c r="C9750" s="304"/>
    </row>
    <row r="9751" spans="1:3" x14ac:dyDescent="0.35">
      <c r="A9751" s="305"/>
      <c r="B9751" s="306"/>
      <c r="C9751" s="307"/>
    </row>
    <row r="9752" spans="1:3" x14ac:dyDescent="0.35">
      <c r="A9752" s="302"/>
      <c r="B9752" s="303"/>
      <c r="C9752" s="304"/>
    </row>
    <row r="9753" spans="1:3" x14ac:dyDescent="0.35">
      <c r="A9753" s="305"/>
      <c r="B9753" s="306"/>
      <c r="C9753" s="307"/>
    </row>
    <row r="9754" spans="1:3" x14ac:dyDescent="0.35">
      <c r="A9754" s="302"/>
      <c r="B9754" s="303"/>
      <c r="C9754" s="304"/>
    </row>
    <row r="9755" spans="1:3" x14ac:dyDescent="0.35">
      <c r="A9755" s="305"/>
      <c r="B9755" s="306"/>
      <c r="C9755" s="307"/>
    </row>
    <row r="9756" spans="1:3" x14ac:dyDescent="0.35">
      <c r="A9756" s="302"/>
      <c r="B9756" s="303"/>
      <c r="C9756" s="304"/>
    </row>
    <row r="9757" spans="1:3" x14ac:dyDescent="0.35">
      <c r="A9757" s="305"/>
      <c r="B9757" s="306"/>
      <c r="C9757" s="307"/>
    </row>
    <row r="9758" spans="1:3" x14ac:dyDescent="0.35">
      <c r="A9758" s="302"/>
      <c r="B9758" s="303"/>
      <c r="C9758" s="304"/>
    </row>
    <row r="9759" spans="1:3" x14ac:dyDescent="0.35">
      <c r="A9759" s="305"/>
      <c r="B9759" s="306"/>
      <c r="C9759" s="307"/>
    </row>
    <row r="9760" spans="1:3" x14ac:dyDescent="0.35">
      <c r="A9760" s="302"/>
      <c r="B9760" s="303"/>
      <c r="C9760" s="304"/>
    </row>
    <row r="9761" spans="1:3" x14ac:dyDescent="0.35">
      <c r="A9761" s="305"/>
      <c r="B9761" s="306"/>
      <c r="C9761" s="307"/>
    </row>
    <row r="9762" spans="1:3" x14ac:dyDescent="0.35">
      <c r="A9762" s="302"/>
      <c r="B9762" s="303"/>
      <c r="C9762" s="304"/>
    </row>
    <row r="9763" spans="1:3" x14ac:dyDescent="0.35">
      <c r="A9763" s="305"/>
      <c r="B9763" s="306"/>
      <c r="C9763" s="307"/>
    </row>
    <row r="9764" spans="1:3" x14ac:dyDescent="0.35">
      <c r="A9764" s="302"/>
      <c r="B9764" s="303"/>
      <c r="C9764" s="304"/>
    </row>
    <row r="9765" spans="1:3" x14ac:dyDescent="0.35">
      <c r="A9765" s="305"/>
      <c r="B9765" s="306"/>
      <c r="C9765" s="307"/>
    </row>
    <row r="9766" spans="1:3" x14ac:dyDescent="0.35">
      <c r="A9766" s="302"/>
      <c r="B9766" s="303"/>
      <c r="C9766" s="304"/>
    </row>
    <row r="9767" spans="1:3" x14ac:dyDescent="0.35">
      <c r="A9767" s="305"/>
      <c r="B9767" s="306"/>
      <c r="C9767" s="307"/>
    </row>
    <row r="9768" spans="1:3" x14ac:dyDescent="0.35">
      <c r="A9768" s="302"/>
      <c r="B9768" s="303"/>
      <c r="C9768" s="304"/>
    </row>
    <row r="9769" spans="1:3" x14ac:dyDescent="0.35">
      <c r="A9769" s="305"/>
      <c r="B9769" s="306"/>
      <c r="C9769" s="307"/>
    </row>
    <row r="9770" spans="1:3" x14ac:dyDescent="0.35">
      <c r="A9770" s="302"/>
      <c r="B9770" s="303"/>
      <c r="C9770" s="304"/>
    </row>
    <row r="9771" spans="1:3" x14ac:dyDescent="0.35">
      <c r="A9771" s="305"/>
      <c r="B9771" s="306"/>
      <c r="C9771" s="307"/>
    </row>
    <row r="9772" spans="1:3" x14ac:dyDescent="0.35">
      <c r="A9772" s="302"/>
      <c r="B9772" s="303"/>
      <c r="C9772" s="304"/>
    </row>
    <row r="9773" spans="1:3" x14ac:dyDescent="0.35">
      <c r="A9773" s="305"/>
      <c r="B9773" s="306"/>
      <c r="C9773" s="307"/>
    </row>
    <row r="9774" spans="1:3" x14ac:dyDescent="0.35">
      <c r="A9774" s="302"/>
      <c r="B9774" s="303"/>
      <c r="C9774" s="304"/>
    </row>
    <row r="9775" spans="1:3" x14ac:dyDescent="0.35">
      <c r="A9775" s="305"/>
      <c r="B9775" s="306"/>
      <c r="C9775" s="307"/>
    </row>
    <row r="9776" spans="1:3" x14ac:dyDescent="0.35">
      <c r="A9776" s="302"/>
      <c r="B9776" s="303"/>
      <c r="C9776" s="304"/>
    </row>
    <row r="9777" spans="1:3" x14ac:dyDescent="0.35">
      <c r="A9777" s="305"/>
      <c r="B9777" s="306"/>
      <c r="C9777" s="307"/>
    </row>
    <row r="9778" spans="1:3" x14ac:dyDescent="0.35">
      <c r="A9778" s="302"/>
      <c r="B9778" s="303"/>
      <c r="C9778" s="304"/>
    </row>
    <row r="9779" spans="1:3" x14ac:dyDescent="0.35">
      <c r="A9779" s="305"/>
      <c r="B9779" s="306"/>
      <c r="C9779" s="307"/>
    </row>
    <row r="9780" spans="1:3" x14ac:dyDescent="0.35">
      <c r="A9780" s="302"/>
      <c r="B9780" s="303"/>
      <c r="C9780" s="304"/>
    </row>
    <row r="9781" spans="1:3" x14ac:dyDescent="0.35">
      <c r="A9781" s="305"/>
      <c r="B9781" s="306"/>
      <c r="C9781" s="307"/>
    </row>
    <row r="9782" spans="1:3" x14ac:dyDescent="0.35">
      <c r="A9782" s="302"/>
      <c r="B9782" s="303"/>
      <c r="C9782" s="304"/>
    </row>
    <row r="9783" spans="1:3" x14ac:dyDescent="0.35">
      <c r="A9783" s="305"/>
      <c r="B9783" s="306"/>
      <c r="C9783" s="307"/>
    </row>
    <row r="9784" spans="1:3" x14ac:dyDescent="0.35">
      <c r="A9784" s="302"/>
      <c r="B9784" s="303"/>
      <c r="C9784" s="304"/>
    </row>
    <row r="9785" spans="1:3" x14ac:dyDescent="0.35">
      <c r="A9785" s="305"/>
      <c r="B9785" s="306"/>
      <c r="C9785" s="307"/>
    </row>
    <row r="9786" spans="1:3" x14ac:dyDescent="0.35">
      <c r="A9786" s="302"/>
      <c r="B9786" s="303"/>
      <c r="C9786" s="304"/>
    </row>
    <row r="9787" spans="1:3" x14ac:dyDescent="0.35">
      <c r="A9787" s="305"/>
      <c r="B9787" s="306"/>
      <c r="C9787" s="307"/>
    </row>
    <row r="9788" spans="1:3" x14ac:dyDescent="0.35">
      <c r="A9788" s="302"/>
      <c r="B9788" s="303"/>
      <c r="C9788" s="304"/>
    </row>
    <row r="9789" spans="1:3" x14ac:dyDescent="0.35">
      <c r="A9789" s="305"/>
      <c r="B9789" s="306"/>
      <c r="C9789" s="307"/>
    </row>
    <row r="9790" spans="1:3" x14ac:dyDescent="0.35">
      <c r="A9790" s="302"/>
      <c r="B9790" s="303"/>
      <c r="C9790" s="304"/>
    </row>
    <row r="9791" spans="1:3" x14ac:dyDescent="0.35">
      <c r="A9791" s="305"/>
      <c r="B9791" s="306"/>
      <c r="C9791" s="307"/>
    </row>
    <row r="9792" spans="1:3" x14ac:dyDescent="0.35">
      <c r="A9792" s="302"/>
      <c r="B9792" s="303"/>
      <c r="C9792" s="304"/>
    </row>
    <row r="9793" spans="1:3" x14ac:dyDescent="0.35">
      <c r="A9793" s="305"/>
      <c r="B9793" s="306"/>
      <c r="C9793" s="307"/>
    </row>
    <row r="9794" spans="1:3" x14ac:dyDescent="0.35">
      <c r="A9794" s="302"/>
      <c r="B9794" s="303"/>
      <c r="C9794" s="304"/>
    </row>
    <row r="9795" spans="1:3" x14ac:dyDescent="0.35">
      <c r="A9795" s="305"/>
      <c r="B9795" s="306"/>
      <c r="C9795" s="307"/>
    </row>
    <row r="9796" spans="1:3" x14ac:dyDescent="0.35">
      <c r="A9796" s="302"/>
      <c r="B9796" s="303"/>
      <c r="C9796" s="304"/>
    </row>
    <row r="9797" spans="1:3" x14ac:dyDescent="0.35">
      <c r="A9797" s="305"/>
      <c r="B9797" s="306"/>
      <c r="C9797" s="307"/>
    </row>
    <row r="9798" spans="1:3" x14ac:dyDescent="0.35">
      <c r="A9798" s="302"/>
      <c r="B9798" s="303"/>
      <c r="C9798" s="304"/>
    </row>
    <row r="9799" spans="1:3" x14ac:dyDescent="0.35">
      <c r="A9799" s="305"/>
      <c r="B9799" s="306"/>
      <c r="C9799" s="307"/>
    </row>
    <row r="9800" spans="1:3" x14ac:dyDescent="0.35">
      <c r="A9800" s="302"/>
      <c r="B9800" s="303"/>
      <c r="C9800" s="304"/>
    </row>
    <row r="9801" spans="1:3" x14ac:dyDescent="0.35">
      <c r="A9801" s="305"/>
      <c r="B9801" s="306"/>
      <c r="C9801" s="307"/>
    </row>
    <row r="9802" spans="1:3" x14ac:dyDescent="0.35">
      <c r="A9802" s="302"/>
      <c r="B9802" s="303"/>
      <c r="C9802" s="304"/>
    </row>
    <row r="9803" spans="1:3" x14ac:dyDescent="0.35">
      <c r="A9803" s="305"/>
      <c r="B9803" s="306"/>
      <c r="C9803" s="307"/>
    </row>
    <row r="9804" spans="1:3" x14ac:dyDescent="0.35">
      <c r="A9804" s="302"/>
      <c r="B9804" s="303"/>
      <c r="C9804" s="304"/>
    </row>
    <row r="9805" spans="1:3" x14ac:dyDescent="0.35">
      <c r="A9805" s="305"/>
      <c r="B9805" s="306"/>
      <c r="C9805" s="307"/>
    </row>
    <row r="9806" spans="1:3" x14ac:dyDescent="0.35">
      <c r="A9806" s="302"/>
      <c r="B9806" s="303"/>
      <c r="C9806" s="304"/>
    </row>
    <row r="9807" spans="1:3" x14ac:dyDescent="0.35">
      <c r="A9807" s="305"/>
      <c r="B9807" s="306"/>
      <c r="C9807" s="307"/>
    </row>
    <row r="9808" spans="1:3" x14ac:dyDescent="0.35">
      <c r="A9808" s="302"/>
      <c r="B9808" s="303"/>
      <c r="C9808" s="304"/>
    </row>
    <row r="9809" spans="1:3" x14ac:dyDescent="0.35">
      <c r="A9809" s="305"/>
      <c r="B9809" s="306"/>
      <c r="C9809" s="307"/>
    </row>
    <row r="9810" spans="1:3" x14ac:dyDescent="0.35">
      <c r="A9810" s="302"/>
      <c r="B9810" s="303"/>
      <c r="C9810" s="304"/>
    </row>
    <row r="9811" spans="1:3" x14ac:dyDescent="0.35">
      <c r="A9811" s="305"/>
      <c r="B9811" s="306"/>
      <c r="C9811" s="307"/>
    </row>
    <row r="9812" spans="1:3" x14ac:dyDescent="0.35">
      <c r="A9812" s="302"/>
      <c r="B9812" s="303"/>
      <c r="C9812" s="304"/>
    </row>
    <row r="9813" spans="1:3" x14ac:dyDescent="0.35">
      <c r="A9813" s="305"/>
      <c r="B9813" s="306"/>
      <c r="C9813" s="307"/>
    </row>
    <row r="9814" spans="1:3" x14ac:dyDescent="0.35">
      <c r="A9814" s="302"/>
      <c r="B9814" s="303"/>
      <c r="C9814" s="304"/>
    </row>
    <row r="9815" spans="1:3" x14ac:dyDescent="0.35">
      <c r="A9815" s="305"/>
      <c r="B9815" s="306"/>
      <c r="C9815" s="307"/>
    </row>
    <row r="9816" spans="1:3" x14ac:dyDescent="0.35">
      <c r="A9816" s="302"/>
      <c r="B9816" s="303"/>
      <c r="C9816" s="304"/>
    </row>
    <row r="9817" spans="1:3" x14ac:dyDescent="0.35">
      <c r="A9817" s="305"/>
      <c r="B9817" s="306"/>
      <c r="C9817" s="307"/>
    </row>
    <row r="9818" spans="1:3" x14ac:dyDescent="0.35">
      <c r="A9818" s="302"/>
      <c r="B9818" s="303"/>
      <c r="C9818" s="304"/>
    </row>
    <row r="9819" spans="1:3" x14ac:dyDescent="0.35">
      <c r="A9819" s="305"/>
      <c r="B9819" s="306"/>
      <c r="C9819" s="307"/>
    </row>
    <row r="9820" spans="1:3" x14ac:dyDescent="0.35">
      <c r="A9820" s="302"/>
      <c r="B9820" s="303"/>
      <c r="C9820" s="304"/>
    </row>
    <row r="9821" spans="1:3" x14ac:dyDescent="0.35">
      <c r="A9821" s="305"/>
      <c r="B9821" s="306"/>
      <c r="C9821" s="307"/>
    </row>
    <row r="9822" spans="1:3" x14ac:dyDescent="0.35">
      <c r="A9822" s="302"/>
      <c r="B9822" s="303"/>
      <c r="C9822" s="304"/>
    </row>
    <row r="9823" spans="1:3" x14ac:dyDescent="0.35">
      <c r="A9823" s="305"/>
      <c r="B9823" s="306"/>
      <c r="C9823" s="307"/>
    </row>
    <row r="9824" spans="1:3" x14ac:dyDescent="0.35">
      <c r="A9824" s="302"/>
      <c r="B9824" s="303"/>
      <c r="C9824" s="304"/>
    </row>
    <row r="9825" spans="1:3" x14ac:dyDescent="0.35">
      <c r="A9825" s="305"/>
      <c r="B9825" s="306"/>
      <c r="C9825" s="307"/>
    </row>
    <row r="9826" spans="1:3" x14ac:dyDescent="0.35">
      <c r="A9826" s="302"/>
      <c r="B9826" s="303"/>
      <c r="C9826" s="304"/>
    </row>
    <row r="9827" spans="1:3" x14ac:dyDescent="0.35">
      <c r="A9827" s="305"/>
      <c r="B9827" s="306"/>
      <c r="C9827" s="307"/>
    </row>
    <row r="9828" spans="1:3" x14ac:dyDescent="0.35">
      <c r="A9828" s="302"/>
      <c r="B9828" s="303"/>
      <c r="C9828" s="304"/>
    </row>
    <row r="9829" spans="1:3" x14ac:dyDescent="0.35">
      <c r="A9829" s="305"/>
      <c r="B9829" s="306"/>
      <c r="C9829" s="307"/>
    </row>
    <row r="9830" spans="1:3" x14ac:dyDescent="0.35">
      <c r="A9830" s="302"/>
      <c r="B9830" s="303"/>
      <c r="C9830" s="304"/>
    </row>
    <row r="9831" spans="1:3" x14ac:dyDescent="0.35">
      <c r="A9831" s="305"/>
      <c r="B9831" s="306"/>
      <c r="C9831" s="307"/>
    </row>
    <row r="9832" spans="1:3" x14ac:dyDescent="0.35">
      <c r="A9832" s="302"/>
      <c r="B9832" s="303"/>
      <c r="C9832" s="304"/>
    </row>
    <row r="9833" spans="1:3" x14ac:dyDescent="0.35">
      <c r="A9833" s="305"/>
      <c r="B9833" s="306"/>
      <c r="C9833" s="307"/>
    </row>
    <row r="9834" spans="1:3" x14ac:dyDescent="0.35">
      <c r="A9834" s="302"/>
      <c r="B9834" s="303"/>
      <c r="C9834" s="304"/>
    </row>
    <row r="9835" spans="1:3" x14ac:dyDescent="0.35">
      <c r="A9835" s="305"/>
      <c r="B9835" s="306"/>
      <c r="C9835" s="307"/>
    </row>
    <row r="9836" spans="1:3" x14ac:dyDescent="0.35">
      <c r="A9836" s="302"/>
      <c r="B9836" s="303"/>
      <c r="C9836" s="304"/>
    </row>
    <row r="9837" spans="1:3" x14ac:dyDescent="0.35">
      <c r="A9837" s="305"/>
      <c r="B9837" s="306"/>
      <c r="C9837" s="307"/>
    </row>
    <row r="9838" spans="1:3" x14ac:dyDescent="0.35">
      <c r="A9838" s="302"/>
      <c r="B9838" s="303"/>
      <c r="C9838" s="304"/>
    </row>
    <row r="9839" spans="1:3" x14ac:dyDescent="0.35">
      <c r="A9839" s="305"/>
      <c r="B9839" s="306"/>
      <c r="C9839" s="307"/>
    </row>
    <row r="9840" spans="1:3" x14ac:dyDescent="0.35">
      <c r="A9840" s="302"/>
      <c r="B9840" s="303"/>
      <c r="C9840" s="304"/>
    </row>
    <row r="9841" spans="1:3" x14ac:dyDescent="0.35">
      <c r="A9841" s="305"/>
      <c r="B9841" s="306"/>
      <c r="C9841" s="307"/>
    </row>
    <row r="9842" spans="1:3" x14ac:dyDescent="0.35">
      <c r="A9842" s="302"/>
      <c r="B9842" s="303"/>
      <c r="C9842" s="304"/>
    </row>
    <row r="9843" spans="1:3" x14ac:dyDescent="0.35">
      <c r="A9843" s="305"/>
      <c r="B9843" s="306"/>
      <c r="C9843" s="307"/>
    </row>
    <row r="9844" spans="1:3" x14ac:dyDescent="0.35">
      <c r="A9844" s="302"/>
      <c r="B9844" s="303"/>
      <c r="C9844" s="304"/>
    </row>
    <row r="9845" spans="1:3" x14ac:dyDescent="0.35">
      <c r="A9845" s="305"/>
      <c r="B9845" s="306"/>
      <c r="C9845" s="307"/>
    </row>
    <row r="9846" spans="1:3" x14ac:dyDescent="0.35">
      <c r="A9846" s="302"/>
      <c r="B9846" s="303"/>
      <c r="C9846" s="304"/>
    </row>
    <row r="9847" spans="1:3" x14ac:dyDescent="0.35">
      <c r="A9847" s="305"/>
      <c r="B9847" s="306"/>
      <c r="C9847" s="307"/>
    </row>
    <row r="9848" spans="1:3" x14ac:dyDescent="0.35">
      <c r="A9848" s="302"/>
      <c r="B9848" s="303"/>
      <c r="C9848" s="304"/>
    </row>
    <row r="9849" spans="1:3" x14ac:dyDescent="0.35">
      <c r="A9849" s="305"/>
      <c r="B9849" s="306"/>
      <c r="C9849" s="307"/>
    </row>
    <row r="9850" spans="1:3" x14ac:dyDescent="0.35">
      <c r="A9850" s="302"/>
      <c r="B9850" s="303"/>
      <c r="C9850" s="304"/>
    </row>
    <row r="9851" spans="1:3" x14ac:dyDescent="0.35">
      <c r="A9851" s="305"/>
      <c r="B9851" s="306"/>
      <c r="C9851" s="307"/>
    </row>
    <row r="9852" spans="1:3" x14ac:dyDescent="0.35">
      <c r="A9852" s="302"/>
      <c r="B9852" s="303"/>
      <c r="C9852" s="304"/>
    </row>
    <row r="9853" spans="1:3" x14ac:dyDescent="0.35">
      <c r="A9853" s="305"/>
      <c r="B9853" s="306"/>
      <c r="C9853" s="307"/>
    </row>
    <row r="9854" spans="1:3" x14ac:dyDescent="0.35">
      <c r="A9854" s="302"/>
      <c r="B9854" s="303"/>
      <c r="C9854" s="304"/>
    </row>
    <row r="9855" spans="1:3" x14ac:dyDescent="0.35">
      <c r="A9855" s="305"/>
      <c r="B9855" s="306"/>
      <c r="C9855" s="307"/>
    </row>
    <row r="9856" spans="1:3" x14ac:dyDescent="0.35">
      <c r="A9856" s="302"/>
      <c r="B9856" s="303"/>
      <c r="C9856" s="304"/>
    </row>
    <row r="9857" spans="1:3" x14ac:dyDescent="0.35">
      <c r="A9857" s="305"/>
      <c r="B9857" s="306"/>
      <c r="C9857" s="307"/>
    </row>
    <row r="9858" spans="1:3" x14ac:dyDescent="0.35">
      <c r="A9858" s="302"/>
      <c r="B9858" s="303"/>
      <c r="C9858" s="304"/>
    </row>
    <row r="9859" spans="1:3" x14ac:dyDescent="0.35">
      <c r="A9859" s="305"/>
      <c r="B9859" s="306"/>
      <c r="C9859" s="307"/>
    </row>
    <row r="9860" spans="1:3" x14ac:dyDescent="0.35">
      <c r="A9860" s="302"/>
      <c r="B9860" s="303"/>
      <c r="C9860" s="304"/>
    </row>
    <row r="9861" spans="1:3" x14ac:dyDescent="0.35">
      <c r="A9861" s="305"/>
      <c r="B9861" s="306"/>
      <c r="C9861" s="307"/>
    </row>
    <row r="9862" spans="1:3" x14ac:dyDescent="0.35">
      <c r="A9862" s="302"/>
      <c r="B9862" s="303"/>
      <c r="C9862" s="304"/>
    </row>
    <row r="9863" spans="1:3" x14ac:dyDescent="0.35">
      <c r="A9863" s="305"/>
      <c r="B9863" s="306"/>
      <c r="C9863" s="307"/>
    </row>
    <row r="9864" spans="1:3" x14ac:dyDescent="0.35">
      <c r="A9864" s="302"/>
      <c r="B9864" s="303"/>
      <c r="C9864" s="304"/>
    </row>
    <row r="9865" spans="1:3" x14ac:dyDescent="0.35">
      <c r="A9865" s="305"/>
      <c r="B9865" s="306"/>
      <c r="C9865" s="307"/>
    </row>
    <row r="9866" spans="1:3" x14ac:dyDescent="0.35">
      <c r="A9866" s="302"/>
      <c r="B9866" s="303"/>
      <c r="C9866" s="304"/>
    </row>
    <row r="9867" spans="1:3" x14ac:dyDescent="0.35">
      <c r="A9867" s="305"/>
      <c r="B9867" s="306"/>
      <c r="C9867" s="307"/>
    </row>
    <row r="9868" spans="1:3" x14ac:dyDescent="0.35">
      <c r="A9868" s="302"/>
      <c r="B9868" s="303"/>
      <c r="C9868" s="304"/>
    </row>
    <row r="9869" spans="1:3" x14ac:dyDescent="0.35">
      <c r="A9869" s="305"/>
      <c r="B9869" s="306"/>
      <c r="C9869" s="307"/>
    </row>
    <row r="9870" spans="1:3" x14ac:dyDescent="0.35">
      <c r="A9870" s="302"/>
      <c r="B9870" s="303"/>
      <c r="C9870" s="304"/>
    </row>
    <row r="9871" spans="1:3" x14ac:dyDescent="0.35">
      <c r="A9871" s="305"/>
      <c r="B9871" s="306"/>
      <c r="C9871" s="307"/>
    </row>
    <row r="9872" spans="1:3" x14ac:dyDescent="0.35">
      <c r="A9872" s="302"/>
      <c r="B9872" s="303"/>
      <c r="C9872" s="304"/>
    </row>
    <row r="9873" spans="1:3" x14ac:dyDescent="0.35">
      <c r="A9873" s="305"/>
      <c r="B9873" s="306"/>
      <c r="C9873" s="307"/>
    </row>
    <row r="9874" spans="1:3" x14ac:dyDescent="0.35">
      <c r="A9874" s="302"/>
      <c r="B9874" s="303"/>
      <c r="C9874" s="304"/>
    </row>
    <row r="9875" spans="1:3" x14ac:dyDescent="0.35">
      <c r="A9875" s="305"/>
      <c r="B9875" s="306"/>
      <c r="C9875" s="307"/>
    </row>
    <row r="9876" spans="1:3" x14ac:dyDescent="0.35">
      <c r="A9876" s="302"/>
      <c r="B9876" s="303"/>
      <c r="C9876" s="304"/>
    </row>
    <row r="9877" spans="1:3" x14ac:dyDescent="0.35">
      <c r="A9877" s="305"/>
      <c r="B9877" s="306"/>
      <c r="C9877" s="307"/>
    </row>
    <row r="9878" spans="1:3" x14ac:dyDescent="0.35">
      <c r="A9878" s="302"/>
      <c r="B9878" s="303"/>
      <c r="C9878" s="304"/>
    </row>
    <row r="9879" spans="1:3" x14ac:dyDescent="0.35">
      <c r="A9879" s="305"/>
      <c r="B9879" s="306"/>
      <c r="C9879" s="307"/>
    </row>
    <row r="9880" spans="1:3" x14ac:dyDescent="0.35">
      <c r="A9880" s="302"/>
      <c r="B9880" s="303"/>
      <c r="C9880" s="304"/>
    </row>
    <row r="9881" spans="1:3" x14ac:dyDescent="0.35">
      <c r="A9881" s="305"/>
      <c r="B9881" s="306"/>
      <c r="C9881" s="307"/>
    </row>
    <row r="9882" spans="1:3" x14ac:dyDescent="0.35">
      <c r="A9882" s="302"/>
      <c r="B9882" s="303"/>
      <c r="C9882" s="304"/>
    </row>
    <row r="9883" spans="1:3" x14ac:dyDescent="0.35">
      <c r="A9883" s="305"/>
      <c r="B9883" s="306"/>
      <c r="C9883" s="307"/>
    </row>
    <row r="9884" spans="1:3" x14ac:dyDescent="0.35">
      <c r="A9884" s="302"/>
      <c r="B9884" s="303"/>
      <c r="C9884" s="304"/>
    </row>
    <row r="9885" spans="1:3" x14ac:dyDescent="0.35">
      <c r="A9885" s="305"/>
      <c r="B9885" s="306"/>
      <c r="C9885" s="307"/>
    </row>
    <row r="9886" spans="1:3" x14ac:dyDescent="0.35">
      <c r="A9886" s="302"/>
      <c r="B9886" s="303"/>
      <c r="C9886" s="304"/>
    </row>
    <row r="9887" spans="1:3" x14ac:dyDescent="0.35">
      <c r="A9887" s="305"/>
      <c r="B9887" s="306"/>
      <c r="C9887" s="307"/>
    </row>
    <row r="9888" spans="1:3" x14ac:dyDescent="0.35">
      <c r="A9888" s="302"/>
      <c r="B9888" s="303"/>
      <c r="C9888" s="304"/>
    </row>
    <row r="9889" spans="1:3" x14ac:dyDescent="0.35">
      <c r="A9889" s="305"/>
      <c r="B9889" s="306"/>
      <c r="C9889" s="307"/>
    </row>
    <row r="9890" spans="1:3" x14ac:dyDescent="0.35">
      <c r="A9890" s="302"/>
      <c r="B9890" s="303"/>
      <c r="C9890" s="304"/>
    </row>
    <row r="9891" spans="1:3" x14ac:dyDescent="0.35">
      <c r="A9891" s="305"/>
      <c r="B9891" s="306"/>
      <c r="C9891" s="307"/>
    </row>
    <row r="9892" spans="1:3" x14ac:dyDescent="0.35">
      <c r="A9892" s="302"/>
      <c r="B9892" s="303"/>
      <c r="C9892" s="304"/>
    </row>
    <row r="9893" spans="1:3" x14ac:dyDescent="0.35">
      <c r="A9893" s="305"/>
      <c r="B9893" s="306"/>
      <c r="C9893" s="307"/>
    </row>
    <row r="9894" spans="1:3" x14ac:dyDescent="0.35">
      <c r="A9894" s="302"/>
      <c r="B9894" s="303"/>
      <c r="C9894" s="304"/>
    </row>
    <row r="9895" spans="1:3" x14ac:dyDescent="0.35">
      <c r="A9895" s="305"/>
      <c r="B9895" s="306"/>
      <c r="C9895" s="307"/>
    </row>
    <row r="9896" spans="1:3" x14ac:dyDescent="0.35">
      <c r="A9896" s="302"/>
      <c r="B9896" s="303"/>
      <c r="C9896" s="304"/>
    </row>
    <row r="9897" spans="1:3" x14ac:dyDescent="0.35">
      <c r="A9897" s="305"/>
      <c r="B9897" s="306"/>
      <c r="C9897" s="307"/>
    </row>
    <row r="9898" spans="1:3" x14ac:dyDescent="0.35">
      <c r="A9898" s="302"/>
      <c r="B9898" s="303"/>
      <c r="C9898" s="304"/>
    </row>
    <row r="9899" spans="1:3" x14ac:dyDescent="0.35">
      <c r="A9899" s="305"/>
      <c r="B9899" s="306"/>
      <c r="C9899" s="307"/>
    </row>
    <row r="9900" spans="1:3" x14ac:dyDescent="0.35">
      <c r="A9900" s="302"/>
      <c r="B9900" s="303"/>
      <c r="C9900" s="304"/>
    </row>
    <row r="9901" spans="1:3" x14ac:dyDescent="0.35">
      <c r="A9901" s="305"/>
      <c r="B9901" s="306"/>
      <c r="C9901" s="307"/>
    </row>
    <row r="9902" spans="1:3" x14ac:dyDescent="0.35">
      <c r="A9902" s="302"/>
      <c r="B9902" s="303"/>
      <c r="C9902" s="304"/>
    </row>
    <row r="9903" spans="1:3" x14ac:dyDescent="0.35">
      <c r="A9903" s="305"/>
      <c r="B9903" s="306"/>
      <c r="C9903" s="307"/>
    </row>
    <row r="9904" spans="1:3" x14ac:dyDescent="0.35">
      <c r="A9904" s="302"/>
      <c r="B9904" s="303"/>
      <c r="C9904" s="304"/>
    </row>
    <row r="9905" spans="1:3" x14ac:dyDescent="0.35">
      <c r="A9905" s="305"/>
      <c r="B9905" s="306"/>
      <c r="C9905" s="307"/>
    </row>
    <row r="9906" spans="1:3" x14ac:dyDescent="0.35">
      <c r="A9906" s="302"/>
      <c r="B9906" s="303"/>
      <c r="C9906" s="304"/>
    </row>
    <row r="9907" spans="1:3" x14ac:dyDescent="0.35">
      <c r="A9907" s="305"/>
      <c r="B9907" s="306"/>
      <c r="C9907" s="307"/>
    </row>
    <row r="9908" spans="1:3" x14ac:dyDescent="0.35">
      <c r="A9908" s="302"/>
      <c r="B9908" s="303"/>
      <c r="C9908" s="304"/>
    </row>
    <row r="9909" spans="1:3" x14ac:dyDescent="0.35">
      <c r="A9909" s="305"/>
      <c r="B9909" s="306"/>
      <c r="C9909" s="307"/>
    </row>
    <row r="9910" spans="1:3" x14ac:dyDescent="0.35">
      <c r="A9910" s="302"/>
      <c r="B9910" s="303"/>
      <c r="C9910" s="304"/>
    </row>
    <row r="9911" spans="1:3" x14ac:dyDescent="0.35">
      <c r="A9911" s="305"/>
      <c r="B9911" s="306"/>
      <c r="C9911" s="307"/>
    </row>
    <row r="9912" spans="1:3" x14ac:dyDescent="0.35">
      <c r="A9912" s="302"/>
      <c r="B9912" s="303"/>
      <c r="C9912" s="304"/>
    </row>
    <row r="9913" spans="1:3" x14ac:dyDescent="0.35">
      <c r="A9913" s="305"/>
      <c r="B9913" s="306"/>
      <c r="C9913" s="307"/>
    </row>
    <row r="9914" spans="1:3" x14ac:dyDescent="0.35">
      <c r="A9914" s="302"/>
      <c r="B9914" s="303"/>
      <c r="C9914" s="304"/>
    </row>
    <row r="9915" spans="1:3" x14ac:dyDescent="0.35">
      <c r="A9915" s="305"/>
      <c r="B9915" s="306"/>
      <c r="C9915" s="307"/>
    </row>
    <row r="9916" spans="1:3" x14ac:dyDescent="0.35">
      <c r="A9916" s="302"/>
      <c r="B9916" s="303"/>
      <c r="C9916" s="304"/>
    </row>
    <row r="9917" spans="1:3" x14ac:dyDescent="0.35">
      <c r="A9917" s="305"/>
      <c r="B9917" s="306"/>
      <c r="C9917" s="307"/>
    </row>
    <row r="9918" spans="1:3" x14ac:dyDescent="0.35">
      <c r="A9918" s="302"/>
      <c r="B9918" s="303"/>
      <c r="C9918" s="304"/>
    </row>
    <row r="9919" spans="1:3" x14ac:dyDescent="0.35">
      <c r="A9919" s="305"/>
      <c r="B9919" s="306"/>
      <c r="C9919" s="307"/>
    </row>
    <row r="9920" spans="1:3" x14ac:dyDescent="0.35">
      <c r="A9920" s="302"/>
      <c r="B9920" s="303"/>
      <c r="C9920" s="304"/>
    </row>
    <row r="9921" spans="1:3" x14ac:dyDescent="0.35">
      <c r="A9921" s="305"/>
      <c r="B9921" s="306"/>
      <c r="C9921" s="307"/>
    </row>
    <row r="9922" spans="1:3" x14ac:dyDescent="0.35">
      <c r="A9922" s="302"/>
      <c r="B9922" s="303"/>
      <c r="C9922" s="304"/>
    </row>
    <row r="9923" spans="1:3" x14ac:dyDescent="0.35">
      <c r="A9923" s="305"/>
      <c r="B9923" s="306"/>
      <c r="C9923" s="307"/>
    </row>
    <row r="9924" spans="1:3" x14ac:dyDescent="0.35">
      <c r="A9924" s="302"/>
      <c r="B9924" s="303"/>
      <c r="C9924" s="304"/>
    </row>
    <row r="9925" spans="1:3" x14ac:dyDescent="0.35">
      <c r="A9925" s="305"/>
      <c r="B9925" s="306"/>
      <c r="C9925" s="307"/>
    </row>
    <row r="9926" spans="1:3" x14ac:dyDescent="0.35">
      <c r="A9926" s="302"/>
      <c r="B9926" s="303"/>
      <c r="C9926" s="304"/>
    </row>
    <row r="9927" spans="1:3" x14ac:dyDescent="0.35">
      <c r="A9927" s="305"/>
      <c r="B9927" s="306"/>
      <c r="C9927" s="307"/>
    </row>
    <row r="9928" spans="1:3" x14ac:dyDescent="0.35">
      <c r="A9928" s="302"/>
      <c r="B9928" s="303"/>
      <c r="C9928" s="304"/>
    </row>
    <row r="9929" spans="1:3" x14ac:dyDescent="0.35">
      <c r="A9929" s="305"/>
      <c r="B9929" s="306"/>
      <c r="C9929" s="307"/>
    </row>
    <row r="9930" spans="1:3" x14ac:dyDescent="0.35">
      <c r="A9930" s="302"/>
      <c r="B9930" s="303"/>
      <c r="C9930" s="304"/>
    </row>
    <row r="9931" spans="1:3" x14ac:dyDescent="0.35">
      <c r="A9931" s="305"/>
      <c r="B9931" s="306"/>
      <c r="C9931" s="307"/>
    </row>
    <row r="9932" spans="1:3" x14ac:dyDescent="0.35">
      <c r="A9932" s="302"/>
      <c r="B9932" s="303"/>
      <c r="C9932" s="304"/>
    </row>
    <row r="9933" spans="1:3" x14ac:dyDescent="0.35">
      <c r="A9933" s="305"/>
      <c r="B9933" s="306"/>
      <c r="C9933" s="307"/>
    </row>
    <row r="9934" spans="1:3" x14ac:dyDescent="0.35">
      <c r="A9934" s="302"/>
      <c r="B9934" s="303"/>
      <c r="C9934" s="304"/>
    </row>
    <row r="9935" spans="1:3" x14ac:dyDescent="0.35">
      <c r="A9935" s="305"/>
      <c r="B9935" s="306"/>
      <c r="C9935" s="307"/>
    </row>
    <row r="9936" spans="1:3" x14ac:dyDescent="0.35">
      <c r="A9936" s="302"/>
      <c r="B9936" s="303"/>
      <c r="C9936" s="304"/>
    </row>
    <row r="9937" spans="1:3" x14ac:dyDescent="0.35">
      <c r="A9937" s="305"/>
      <c r="B9937" s="306"/>
      <c r="C9937" s="307"/>
    </row>
    <row r="9938" spans="1:3" x14ac:dyDescent="0.35">
      <c r="A9938" s="302"/>
      <c r="B9938" s="303"/>
      <c r="C9938" s="304"/>
    </row>
    <row r="9939" spans="1:3" x14ac:dyDescent="0.35">
      <c r="A9939" s="305"/>
      <c r="B9939" s="306"/>
      <c r="C9939" s="307"/>
    </row>
    <row r="9940" spans="1:3" x14ac:dyDescent="0.35">
      <c r="A9940" s="302"/>
      <c r="B9940" s="303"/>
      <c r="C9940" s="304"/>
    </row>
    <row r="9941" spans="1:3" x14ac:dyDescent="0.35">
      <c r="A9941" s="305"/>
      <c r="B9941" s="306"/>
      <c r="C9941" s="307"/>
    </row>
    <row r="9942" spans="1:3" x14ac:dyDescent="0.35">
      <c r="A9942" s="302"/>
      <c r="B9942" s="303"/>
      <c r="C9942" s="304"/>
    </row>
    <row r="9943" spans="1:3" x14ac:dyDescent="0.35">
      <c r="A9943" s="305"/>
      <c r="B9943" s="306"/>
      <c r="C9943" s="307"/>
    </row>
    <row r="9944" spans="1:3" x14ac:dyDescent="0.35">
      <c r="A9944" s="302"/>
      <c r="B9944" s="303"/>
      <c r="C9944" s="304"/>
    </row>
    <row r="9945" spans="1:3" x14ac:dyDescent="0.35">
      <c r="A9945" s="305"/>
      <c r="B9945" s="306"/>
      <c r="C9945" s="307"/>
    </row>
    <row r="9946" spans="1:3" x14ac:dyDescent="0.35">
      <c r="A9946" s="302"/>
      <c r="B9946" s="303"/>
      <c r="C9946" s="304"/>
    </row>
    <row r="9947" spans="1:3" x14ac:dyDescent="0.35">
      <c r="A9947" s="305"/>
      <c r="B9947" s="306"/>
      <c r="C9947" s="307"/>
    </row>
    <row r="9948" spans="1:3" x14ac:dyDescent="0.35">
      <c r="A9948" s="302"/>
      <c r="B9948" s="303"/>
      <c r="C9948" s="304"/>
    </row>
    <row r="9949" spans="1:3" x14ac:dyDescent="0.35">
      <c r="A9949" s="305"/>
      <c r="B9949" s="306"/>
      <c r="C9949" s="307"/>
    </row>
    <row r="9950" spans="1:3" x14ac:dyDescent="0.35">
      <c r="A9950" s="302"/>
      <c r="B9950" s="303"/>
      <c r="C9950" s="304"/>
    </row>
    <row r="9951" spans="1:3" x14ac:dyDescent="0.35">
      <c r="A9951" s="305"/>
      <c r="B9951" s="306"/>
      <c r="C9951" s="307"/>
    </row>
    <row r="9952" spans="1:3" x14ac:dyDescent="0.35">
      <c r="A9952" s="302"/>
      <c r="B9952" s="303"/>
      <c r="C9952" s="304"/>
    </row>
    <row r="9953" spans="1:3" x14ac:dyDescent="0.35">
      <c r="A9953" s="305"/>
      <c r="B9953" s="306"/>
      <c r="C9953" s="307"/>
    </row>
    <row r="9954" spans="1:3" x14ac:dyDescent="0.35">
      <c r="A9954" s="302"/>
      <c r="B9954" s="303"/>
      <c r="C9954" s="304"/>
    </row>
    <row r="9955" spans="1:3" x14ac:dyDescent="0.35">
      <c r="A9955" s="305"/>
      <c r="B9955" s="306"/>
      <c r="C9955" s="307"/>
    </row>
    <row r="9956" spans="1:3" x14ac:dyDescent="0.35">
      <c r="A9956" s="302"/>
      <c r="B9956" s="303"/>
      <c r="C9956" s="304"/>
    </row>
    <row r="9957" spans="1:3" x14ac:dyDescent="0.35">
      <c r="A9957" s="305"/>
      <c r="B9957" s="306"/>
      <c r="C9957" s="307"/>
    </row>
    <row r="9958" spans="1:3" x14ac:dyDescent="0.35">
      <c r="A9958" s="302"/>
      <c r="B9958" s="303"/>
      <c r="C9958" s="304"/>
    </row>
    <row r="9959" spans="1:3" x14ac:dyDescent="0.35">
      <c r="A9959" s="305"/>
      <c r="B9959" s="306"/>
      <c r="C9959" s="307"/>
    </row>
    <row r="9960" spans="1:3" x14ac:dyDescent="0.35">
      <c r="A9960" s="302"/>
      <c r="B9960" s="303"/>
      <c r="C9960" s="304"/>
    </row>
    <row r="9961" spans="1:3" x14ac:dyDescent="0.35">
      <c r="A9961" s="305"/>
      <c r="B9961" s="306"/>
      <c r="C9961" s="307"/>
    </row>
    <row r="9962" spans="1:3" x14ac:dyDescent="0.35">
      <c r="A9962" s="302"/>
      <c r="B9962" s="303"/>
      <c r="C9962" s="304"/>
    </row>
    <row r="9963" spans="1:3" x14ac:dyDescent="0.35">
      <c r="A9963" s="305"/>
      <c r="B9963" s="306"/>
      <c r="C9963" s="307"/>
    </row>
    <row r="9964" spans="1:3" x14ac:dyDescent="0.35">
      <c r="A9964" s="302"/>
      <c r="B9964" s="303"/>
      <c r="C9964" s="304"/>
    </row>
    <row r="9965" spans="1:3" x14ac:dyDescent="0.35">
      <c r="A9965" s="305"/>
      <c r="B9965" s="306"/>
      <c r="C9965" s="307"/>
    </row>
    <row r="9966" spans="1:3" x14ac:dyDescent="0.35">
      <c r="A9966" s="302"/>
      <c r="B9966" s="303"/>
      <c r="C9966" s="304"/>
    </row>
    <row r="9967" spans="1:3" x14ac:dyDescent="0.35">
      <c r="A9967" s="305"/>
      <c r="B9967" s="306"/>
      <c r="C9967" s="307"/>
    </row>
    <row r="9968" spans="1:3" x14ac:dyDescent="0.35">
      <c r="A9968" s="302"/>
      <c r="B9968" s="303"/>
      <c r="C9968" s="304"/>
    </row>
    <row r="9969" spans="1:3" x14ac:dyDescent="0.35">
      <c r="A9969" s="305"/>
      <c r="B9969" s="306"/>
      <c r="C9969" s="307"/>
    </row>
    <row r="9970" spans="1:3" x14ac:dyDescent="0.35">
      <c r="A9970" s="302"/>
      <c r="B9970" s="303"/>
      <c r="C9970" s="304"/>
    </row>
    <row r="9971" spans="1:3" x14ac:dyDescent="0.35">
      <c r="A9971" s="305"/>
      <c r="B9971" s="306"/>
      <c r="C9971" s="307"/>
    </row>
    <row r="9972" spans="1:3" x14ac:dyDescent="0.35">
      <c r="A9972" s="302"/>
      <c r="B9972" s="303"/>
      <c r="C9972" s="304"/>
    </row>
    <row r="9973" spans="1:3" x14ac:dyDescent="0.35">
      <c r="A9973" s="305"/>
      <c r="B9973" s="306"/>
      <c r="C9973" s="307"/>
    </row>
    <row r="9974" spans="1:3" x14ac:dyDescent="0.35">
      <c r="A9974" s="302"/>
      <c r="B9974" s="303"/>
      <c r="C9974" s="304"/>
    </row>
    <row r="9975" spans="1:3" x14ac:dyDescent="0.35">
      <c r="A9975" s="305"/>
      <c r="B9975" s="306"/>
      <c r="C9975" s="307"/>
    </row>
    <row r="9976" spans="1:3" x14ac:dyDescent="0.35">
      <c r="A9976" s="302"/>
      <c r="B9976" s="303"/>
      <c r="C9976" s="304"/>
    </row>
    <row r="9977" spans="1:3" x14ac:dyDescent="0.35">
      <c r="A9977" s="305"/>
      <c r="B9977" s="306"/>
      <c r="C9977" s="307"/>
    </row>
    <row r="9978" spans="1:3" x14ac:dyDescent="0.35">
      <c r="A9978" s="302"/>
      <c r="B9978" s="303"/>
      <c r="C9978" s="304"/>
    </row>
    <row r="9979" spans="1:3" x14ac:dyDescent="0.35">
      <c r="A9979" s="305"/>
      <c r="B9979" s="306"/>
      <c r="C9979" s="307"/>
    </row>
    <row r="9980" spans="1:3" x14ac:dyDescent="0.35">
      <c r="A9980" s="302"/>
      <c r="B9980" s="303"/>
      <c r="C9980" s="304"/>
    </row>
    <row r="9981" spans="1:3" x14ac:dyDescent="0.35">
      <c r="A9981" s="305"/>
      <c r="B9981" s="306"/>
      <c r="C9981" s="307"/>
    </row>
    <row r="9982" spans="1:3" x14ac:dyDescent="0.35">
      <c r="A9982" s="302"/>
      <c r="B9982" s="303"/>
      <c r="C9982" s="304"/>
    </row>
    <row r="9983" spans="1:3" x14ac:dyDescent="0.35">
      <c r="A9983" s="305"/>
      <c r="B9983" s="306"/>
      <c r="C9983" s="307"/>
    </row>
    <row r="9984" spans="1:3" x14ac:dyDescent="0.35">
      <c r="A9984" s="302"/>
      <c r="B9984" s="303"/>
      <c r="C9984" s="304"/>
    </row>
    <row r="9985" spans="1:3" x14ac:dyDescent="0.35">
      <c r="A9985" s="305"/>
      <c r="B9985" s="306"/>
      <c r="C9985" s="307"/>
    </row>
    <row r="9986" spans="1:3" x14ac:dyDescent="0.35">
      <c r="A9986" s="302"/>
      <c r="B9986" s="303"/>
      <c r="C9986" s="304"/>
    </row>
    <row r="9987" spans="1:3" x14ac:dyDescent="0.35">
      <c r="A9987" s="305"/>
      <c r="B9987" s="306"/>
      <c r="C9987" s="307"/>
    </row>
    <row r="9988" spans="1:3" x14ac:dyDescent="0.35">
      <c r="A9988" s="302"/>
      <c r="B9988" s="303"/>
      <c r="C9988" s="304"/>
    </row>
    <row r="9989" spans="1:3" x14ac:dyDescent="0.35">
      <c r="A9989" s="305"/>
      <c r="B9989" s="306"/>
      <c r="C9989" s="307"/>
    </row>
    <row r="9990" spans="1:3" x14ac:dyDescent="0.35">
      <c r="A9990" s="302"/>
      <c r="B9990" s="303"/>
      <c r="C9990" s="304"/>
    </row>
    <row r="9991" spans="1:3" x14ac:dyDescent="0.35">
      <c r="A9991" s="305"/>
      <c r="B9991" s="306"/>
      <c r="C9991" s="307"/>
    </row>
    <row r="9992" spans="1:3" x14ac:dyDescent="0.35">
      <c r="A9992" s="302"/>
      <c r="B9992" s="303"/>
      <c r="C9992" s="304"/>
    </row>
    <row r="9993" spans="1:3" x14ac:dyDescent="0.35">
      <c r="A9993" s="305"/>
      <c r="B9993" s="306"/>
      <c r="C9993" s="307"/>
    </row>
    <row r="9994" spans="1:3" x14ac:dyDescent="0.35">
      <c r="A9994" s="302"/>
      <c r="B9994" s="303"/>
      <c r="C9994" s="304"/>
    </row>
    <row r="9995" spans="1:3" x14ac:dyDescent="0.35">
      <c r="A9995" s="305"/>
      <c r="B9995" s="306"/>
      <c r="C9995" s="307"/>
    </row>
    <row r="9996" spans="1:3" x14ac:dyDescent="0.35">
      <c r="A9996" s="302"/>
      <c r="B9996" s="303"/>
      <c r="C9996" s="304"/>
    </row>
    <row r="9997" spans="1:3" x14ac:dyDescent="0.35">
      <c r="A9997" s="305"/>
      <c r="B9997" s="306"/>
      <c r="C9997" s="307"/>
    </row>
    <row r="9998" spans="1:3" x14ac:dyDescent="0.35">
      <c r="A9998" s="302"/>
      <c r="B9998" s="303"/>
      <c r="C9998" s="304"/>
    </row>
    <row r="9999" spans="1:3" x14ac:dyDescent="0.35">
      <c r="A9999" s="305"/>
      <c r="B9999" s="306"/>
      <c r="C9999" s="307"/>
    </row>
    <row r="10000" spans="1:3" x14ac:dyDescent="0.35">
      <c r="A10000" s="302"/>
      <c r="B10000" s="303"/>
      <c r="C10000" s="304"/>
    </row>
    <row r="10001" spans="1:3" x14ac:dyDescent="0.35">
      <c r="A10001" s="305"/>
      <c r="B10001" s="306"/>
      <c r="C10001" s="307"/>
    </row>
    <row r="10002" spans="1:3" x14ac:dyDescent="0.35">
      <c r="A10002" s="302"/>
      <c r="B10002" s="303"/>
      <c r="C10002" s="304"/>
    </row>
    <row r="10003" spans="1:3" x14ac:dyDescent="0.35">
      <c r="A10003" s="305"/>
      <c r="B10003" s="306"/>
      <c r="C10003" s="307"/>
    </row>
    <row r="10004" spans="1:3" x14ac:dyDescent="0.35">
      <c r="A10004" s="302"/>
      <c r="B10004" s="303"/>
      <c r="C10004" s="304"/>
    </row>
    <row r="10005" spans="1:3" x14ac:dyDescent="0.35">
      <c r="A10005" s="305"/>
      <c r="B10005" s="306"/>
      <c r="C10005" s="307"/>
    </row>
    <row r="10006" spans="1:3" x14ac:dyDescent="0.35">
      <c r="A10006" s="302"/>
      <c r="B10006" s="303"/>
      <c r="C10006" s="304"/>
    </row>
    <row r="10007" spans="1:3" x14ac:dyDescent="0.35">
      <c r="A10007" s="305"/>
      <c r="B10007" s="306"/>
      <c r="C10007" s="307"/>
    </row>
    <row r="10008" spans="1:3" x14ac:dyDescent="0.35">
      <c r="A10008" s="302"/>
      <c r="B10008" s="303"/>
      <c r="C10008" s="304"/>
    </row>
    <row r="10009" spans="1:3" x14ac:dyDescent="0.35">
      <c r="A10009" s="305"/>
      <c r="B10009" s="306"/>
      <c r="C10009" s="307"/>
    </row>
    <row r="10010" spans="1:3" x14ac:dyDescent="0.35">
      <c r="A10010" s="302"/>
      <c r="B10010" s="303"/>
      <c r="C10010" s="304"/>
    </row>
    <row r="10011" spans="1:3" x14ac:dyDescent="0.35">
      <c r="A10011" s="305"/>
      <c r="B10011" s="306"/>
      <c r="C10011" s="307"/>
    </row>
    <row r="10012" spans="1:3" x14ac:dyDescent="0.35">
      <c r="A10012" s="302"/>
      <c r="B10012" s="303"/>
      <c r="C10012" s="304"/>
    </row>
    <row r="10013" spans="1:3" x14ac:dyDescent="0.35">
      <c r="A10013" s="305"/>
      <c r="B10013" s="306"/>
      <c r="C10013" s="307"/>
    </row>
    <row r="10014" spans="1:3" x14ac:dyDescent="0.35">
      <c r="A10014" s="302"/>
      <c r="B10014" s="303"/>
      <c r="C10014" s="304"/>
    </row>
    <row r="10015" spans="1:3" x14ac:dyDescent="0.35">
      <c r="A10015" s="305"/>
      <c r="B10015" s="306"/>
      <c r="C10015" s="307"/>
    </row>
    <row r="10016" spans="1:3" x14ac:dyDescent="0.35">
      <c r="A10016" s="302"/>
      <c r="B10016" s="303"/>
      <c r="C10016" s="304"/>
    </row>
    <row r="10017" spans="1:3" x14ac:dyDescent="0.35">
      <c r="A10017" s="305"/>
      <c r="B10017" s="306"/>
      <c r="C10017" s="307"/>
    </row>
    <row r="10018" spans="1:3" x14ac:dyDescent="0.35">
      <c r="A10018" s="302"/>
      <c r="B10018" s="303"/>
      <c r="C10018" s="304"/>
    </row>
    <row r="10019" spans="1:3" x14ac:dyDescent="0.35">
      <c r="A10019" s="305"/>
      <c r="B10019" s="306"/>
      <c r="C10019" s="307"/>
    </row>
    <row r="10020" spans="1:3" x14ac:dyDescent="0.35">
      <c r="A10020" s="302"/>
      <c r="B10020" s="303"/>
      <c r="C10020" s="304"/>
    </row>
    <row r="10021" spans="1:3" x14ac:dyDescent="0.35">
      <c r="A10021" s="305"/>
      <c r="B10021" s="306"/>
      <c r="C10021" s="307"/>
    </row>
    <row r="10022" spans="1:3" x14ac:dyDescent="0.35">
      <c r="A10022" s="302"/>
      <c r="B10022" s="303"/>
      <c r="C10022" s="304"/>
    </row>
    <row r="10023" spans="1:3" x14ac:dyDescent="0.35">
      <c r="A10023" s="305"/>
      <c r="B10023" s="306"/>
      <c r="C10023" s="307"/>
    </row>
    <row r="10024" spans="1:3" x14ac:dyDescent="0.35">
      <c r="A10024" s="302"/>
      <c r="B10024" s="303"/>
      <c r="C10024" s="304"/>
    </row>
    <row r="10025" spans="1:3" x14ac:dyDescent="0.35">
      <c r="A10025" s="305"/>
      <c r="B10025" s="306"/>
      <c r="C10025" s="307"/>
    </row>
    <row r="10026" spans="1:3" x14ac:dyDescent="0.35">
      <c r="A10026" s="302"/>
      <c r="B10026" s="303"/>
      <c r="C10026" s="304"/>
    </row>
    <row r="10027" spans="1:3" x14ac:dyDescent="0.35">
      <c r="A10027" s="305"/>
      <c r="B10027" s="306"/>
      <c r="C10027" s="307"/>
    </row>
    <row r="10028" spans="1:3" x14ac:dyDescent="0.35">
      <c r="A10028" s="302"/>
      <c r="B10028" s="303"/>
      <c r="C10028" s="304"/>
    </row>
    <row r="10029" spans="1:3" x14ac:dyDescent="0.35">
      <c r="A10029" s="305"/>
      <c r="B10029" s="306"/>
      <c r="C10029" s="307"/>
    </row>
    <row r="10030" spans="1:3" x14ac:dyDescent="0.35">
      <c r="A10030" s="302"/>
      <c r="B10030" s="303"/>
      <c r="C10030" s="304"/>
    </row>
    <row r="10031" spans="1:3" x14ac:dyDescent="0.35">
      <c r="A10031" s="305"/>
      <c r="B10031" s="306"/>
      <c r="C10031" s="307"/>
    </row>
    <row r="10032" spans="1:3" x14ac:dyDescent="0.35">
      <c r="A10032" s="302"/>
      <c r="B10032" s="303"/>
      <c r="C10032" s="304"/>
    </row>
    <row r="10033" spans="1:3" x14ac:dyDescent="0.35">
      <c r="A10033" s="305"/>
      <c r="B10033" s="306"/>
      <c r="C10033" s="307"/>
    </row>
    <row r="10034" spans="1:3" x14ac:dyDescent="0.35">
      <c r="A10034" s="302"/>
      <c r="B10034" s="303"/>
      <c r="C10034" s="304"/>
    </row>
    <row r="10035" spans="1:3" x14ac:dyDescent="0.35">
      <c r="A10035" s="305"/>
      <c r="B10035" s="306"/>
      <c r="C10035" s="307"/>
    </row>
    <row r="10036" spans="1:3" x14ac:dyDescent="0.35">
      <c r="A10036" s="302"/>
      <c r="B10036" s="303"/>
      <c r="C10036" s="304"/>
    </row>
    <row r="10037" spans="1:3" x14ac:dyDescent="0.35">
      <c r="A10037" s="305"/>
      <c r="B10037" s="306"/>
      <c r="C10037" s="307"/>
    </row>
    <row r="10038" spans="1:3" x14ac:dyDescent="0.35">
      <c r="A10038" s="302"/>
      <c r="B10038" s="303"/>
      <c r="C10038" s="304"/>
    </row>
    <row r="10039" spans="1:3" x14ac:dyDescent="0.35">
      <c r="A10039" s="305"/>
      <c r="B10039" s="306"/>
      <c r="C10039" s="307"/>
    </row>
    <row r="10040" spans="1:3" x14ac:dyDescent="0.35">
      <c r="A10040" s="302"/>
      <c r="B10040" s="303"/>
      <c r="C10040" s="304"/>
    </row>
    <row r="10041" spans="1:3" x14ac:dyDescent="0.35">
      <c r="A10041" s="305"/>
      <c r="B10041" s="306"/>
      <c r="C10041" s="307"/>
    </row>
    <row r="10042" spans="1:3" x14ac:dyDescent="0.35">
      <c r="A10042" s="302"/>
      <c r="B10042" s="303"/>
      <c r="C10042" s="304"/>
    </row>
    <row r="10043" spans="1:3" x14ac:dyDescent="0.35">
      <c r="A10043" s="305"/>
      <c r="B10043" s="306"/>
      <c r="C10043" s="307"/>
    </row>
    <row r="10044" spans="1:3" x14ac:dyDescent="0.35">
      <c r="A10044" s="302"/>
      <c r="B10044" s="303"/>
      <c r="C10044" s="304"/>
    </row>
    <row r="10045" spans="1:3" x14ac:dyDescent="0.35">
      <c r="A10045" s="305"/>
      <c r="B10045" s="306"/>
      <c r="C10045" s="307"/>
    </row>
    <row r="10046" spans="1:3" x14ac:dyDescent="0.35">
      <c r="A10046" s="302"/>
      <c r="B10046" s="303"/>
      <c r="C10046" s="304"/>
    </row>
    <row r="10047" spans="1:3" x14ac:dyDescent="0.35">
      <c r="A10047" s="305"/>
      <c r="B10047" s="306"/>
      <c r="C10047" s="307"/>
    </row>
    <row r="10048" spans="1:3" x14ac:dyDescent="0.35">
      <c r="A10048" s="302"/>
      <c r="B10048" s="303"/>
      <c r="C10048" s="304"/>
    </row>
    <row r="10049" spans="1:3" x14ac:dyDescent="0.35">
      <c r="A10049" s="305"/>
      <c r="B10049" s="306"/>
      <c r="C10049" s="307"/>
    </row>
    <row r="10050" spans="1:3" x14ac:dyDescent="0.35">
      <c r="A10050" s="302"/>
      <c r="B10050" s="303"/>
      <c r="C10050" s="304"/>
    </row>
    <row r="10051" spans="1:3" x14ac:dyDescent="0.35">
      <c r="A10051" s="305"/>
      <c r="B10051" s="306"/>
      <c r="C10051" s="307"/>
    </row>
    <row r="10052" spans="1:3" x14ac:dyDescent="0.35">
      <c r="A10052" s="302"/>
      <c r="B10052" s="303"/>
      <c r="C10052" s="304"/>
    </row>
    <row r="10053" spans="1:3" x14ac:dyDescent="0.35">
      <c r="A10053" s="305"/>
      <c r="B10053" s="306"/>
      <c r="C10053" s="307"/>
    </row>
    <row r="10054" spans="1:3" x14ac:dyDescent="0.35">
      <c r="A10054" s="302"/>
      <c r="B10054" s="303"/>
      <c r="C10054" s="304"/>
    </row>
    <row r="10055" spans="1:3" x14ac:dyDescent="0.35">
      <c r="A10055" s="305"/>
      <c r="B10055" s="306"/>
      <c r="C10055" s="307"/>
    </row>
    <row r="10056" spans="1:3" x14ac:dyDescent="0.35">
      <c r="A10056" s="302"/>
      <c r="B10056" s="303"/>
      <c r="C10056" s="304"/>
    </row>
    <row r="10057" spans="1:3" x14ac:dyDescent="0.35">
      <c r="A10057" s="305"/>
      <c r="B10057" s="306"/>
      <c r="C10057" s="307"/>
    </row>
    <row r="10058" spans="1:3" x14ac:dyDescent="0.35">
      <c r="A10058" s="302"/>
      <c r="B10058" s="303"/>
      <c r="C10058" s="304"/>
    </row>
    <row r="10059" spans="1:3" x14ac:dyDescent="0.35">
      <c r="A10059" s="305"/>
      <c r="B10059" s="306"/>
      <c r="C10059" s="307"/>
    </row>
    <row r="10060" spans="1:3" x14ac:dyDescent="0.35">
      <c r="A10060" s="302"/>
      <c r="B10060" s="303"/>
      <c r="C10060" s="304"/>
    </row>
    <row r="10061" spans="1:3" x14ac:dyDescent="0.35">
      <c r="A10061" s="305"/>
      <c r="B10061" s="306"/>
      <c r="C10061" s="307"/>
    </row>
    <row r="10062" spans="1:3" x14ac:dyDescent="0.35">
      <c r="A10062" s="302"/>
      <c r="B10062" s="303"/>
      <c r="C10062" s="304"/>
    </row>
    <row r="10063" spans="1:3" x14ac:dyDescent="0.35">
      <c r="A10063" s="305"/>
      <c r="B10063" s="306"/>
      <c r="C10063" s="307"/>
    </row>
    <row r="10064" spans="1:3" x14ac:dyDescent="0.35">
      <c r="A10064" s="302"/>
      <c r="B10064" s="303"/>
      <c r="C10064" s="304"/>
    </row>
    <row r="10065" spans="1:3" x14ac:dyDescent="0.35">
      <c r="A10065" s="305"/>
      <c r="B10065" s="306"/>
      <c r="C10065" s="307"/>
    </row>
    <row r="10066" spans="1:3" x14ac:dyDescent="0.35">
      <c r="A10066" s="302"/>
      <c r="B10066" s="303"/>
      <c r="C10066" s="304"/>
    </row>
    <row r="10067" spans="1:3" x14ac:dyDescent="0.35">
      <c r="A10067" s="305"/>
      <c r="B10067" s="306"/>
      <c r="C10067" s="307"/>
    </row>
    <row r="10068" spans="1:3" x14ac:dyDescent="0.35">
      <c r="A10068" s="302"/>
      <c r="B10068" s="303"/>
      <c r="C10068" s="304"/>
    </row>
    <row r="10069" spans="1:3" x14ac:dyDescent="0.35">
      <c r="A10069" s="305"/>
      <c r="B10069" s="306"/>
      <c r="C10069" s="307"/>
    </row>
    <row r="10070" spans="1:3" x14ac:dyDescent="0.35">
      <c r="A10070" s="302"/>
      <c r="B10070" s="303"/>
      <c r="C10070" s="304"/>
    </row>
    <row r="10071" spans="1:3" x14ac:dyDescent="0.35">
      <c r="A10071" s="305"/>
      <c r="B10071" s="306"/>
      <c r="C10071" s="307"/>
    </row>
    <row r="10072" spans="1:3" x14ac:dyDescent="0.35">
      <c r="A10072" s="302"/>
      <c r="B10072" s="303"/>
      <c r="C10072" s="304"/>
    </row>
    <row r="10073" spans="1:3" x14ac:dyDescent="0.35">
      <c r="A10073" s="305"/>
      <c r="B10073" s="306"/>
      <c r="C10073" s="307"/>
    </row>
    <row r="10074" spans="1:3" x14ac:dyDescent="0.35">
      <c r="A10074" s="302"/>
      <c r="B10074" s="303"/>
      <c r="C10074" s="304"/>
    </row>
    <row r="10075" spans="1:3" x14ac:dyDescent="0.35">
      <c r="A10075" s="305"/>
      <c r="B10075" s="306"/>
      <c r="C10075" s="307"/>
    </row>
    <row r="10076" spans="1:3" x14ac:dyDescent="0.35">
      <c r="A10076" s="302"/>
      <c r="B10076" s="303"/>
      <c r="C10076" s="304"/>
    </row>
    <row r="10077" spans="1:3" x14ac:dyDescent="0.35">
      <c r="A10077" s="305"/>
      <c r="B10077" s="306"/>
      <c r="C10077" s="307"/>
    </row>
    <row r="10078" spans="1:3" x14ac:dyDescent="0.35">
      <c r="A10078" s="302"/>
      <c r="B10078" s="303"/>
      <c r="C10078" s="304"/>
    </row>
    <row r="10079" spans="1:3" x14ac:dyDescent="0.35">
      <c r="A10079" s="305"/>
      <c r="B10079" s="306"/>
      <c r="C10079" s="307"/>
    </row>
    <row r="10080" spans="1:3" x14ac:dyDescent="0.35">
      <c r="A10080" s="302"/>
      <c r="B10080" s="303"/>
      <c r="C10080" s="304"/>
    </row>
    <row r="10081" spans="1:3" x14ac:dyDescent="0.35">
      <c r="A10081" s="305"/>
      <c r="B10081" s="306"/>
      <c r="C10081" s="307"/>
    </row>
    <row r="10082" spans="1:3" x14ac:dyDescent="0.35">
      <c r="A10082" s="302"/>
      <c r="B10082" s="303"/>
      <c r="C10082" s="304"/>
    </row>
    <row r="10083" spans="1:3" x14ac:dyDescent="0.35">
      <c r="A10083" s="305"/>
      <c r="B10083" s="306"/>
      <c r="C10083" s="307"/>
    </row>
    <row r="10084" spans="1:3" x14ac:dyDescent="0.35">
      <c r="A10084" s="302"/>
      <c r="B10084" s="303"/>
      <c r="C10084" s="304"/>
    </row>
    <row r="10085" spans="1:3" x14ac:dyDescent="0.35">
      <c r="A10085" s="305"/>
      <c r="B10085" s="306"/>
      <c r="C10085" s="307"/>
    </row>
    <row r="10086" spans="1:3" x14ac:dyDescent="0.35">
      <c r="A10086" s="302"/>
      <c r="B10086" s="303"/>
      <c r="C10086" s="304"/>
    </row>
    <row r="10087" spans="1:3" x14ac:dyDescent="0.35">
      <c r="A10087" s="305"/>
      <c r="B10087" s="306"/>
      <c r="C10087" s="307"/>
    </row>
    <row r="10088" spans="1:3" x14ac:dyDescent="0.35">
      <c r="A10088" s="302"/>
      <c r="B10088" s="303"/>
      <c r="C10088" s="304"/>
    </row>
    <row r="10089" spans="1:3" x14ac:dyDescent="0.35">
      <c r="A10089" s="305"/>
      <c r="B10089" s="306"/>
      <c r="C10089" s="307"/>
    </row>
    <row r="10090" spans="1:3" x14ac:dyDescent="0.35">
      <c r="A10090" s="302"/>
      <c r="B10090" s="303"/>
      <c r="C10090" s="304"/>
    </row>
    <row r="10091" spans="1:3" x14ac:dyDescent="0.35">
      <c r="A10091" s="305"/>
      <c r="B10091" s="306"/>
      <c r="C10091" s="307"/>
    </row>
    <row r="10092" spans="1:3" x14ac:dyDescent="0.35">
      <c r="A10092" s="302"/>
      <c r="B10092" s="303"/>
      <c r="C10092" s="304"/>
    </row>
    <row r="10093" spans="1:3" x14ac:dyDescent="0.35">
      <c r="A10093" s="305"/>
      <c r="B10093" s="306"/>
      <c r="C10093" s="307"/>
    </row>
    <row r="10094" spans="1:3" x14ac:dyDescent="0.35">
      <c r="A10094" s="302"/>
      <c r="B10094" s="303"/>
      <c r="C10094" s="304"/>
    </row>
    <row r="10095" spans="1:3" x14ac:dyDescent="0.35">
      <c r="A10095" s="305"/>
      <c r="B10095" s="306"/>
      <c r="C10095" s="307"/>
    </row>
    <row r="10096" spans="1:3" x14ac:dyDescent="0.35">
      <c r="A10096" s="302"/>
      <c r="B10096" s="303"/>
      <c r="C10096" s="304"/>
    </row>
    <row r="10097" spans="1:3" x14ac:dyDescent="0.35">
      <c r="A10097" s="305"/>
      <c r="B10097" s="306"/>
      <c r="C10097" s="307"/>
    </row>
    <row r="10098" spans="1:3" x14ac:dyDescent="0.35">
      <c r="A10098" s="302"/>
      <c r="B10098" s="303"/>
      <c r="C10098" s="304"/>
    </row>
    <row r="10099" spans="1:3" x14ac:dyDescent="0.35">
      <c r="A10099" s="305"/>
      <c r="B10099" s="306"/>
      <c r="C10099" s="307"/>
    </row>
    <row r="10100" spans="1:3" x14ac:dyDescent="0.35">
      <c r="A10100" s="302"/>
      <c r="B10100" s="303"/>
      <c r="C10100" s="304"/>
    </row>
    <row r="10101" spans="1:3" x14ac:dyDescent="0.35">
      <c r="A10101" s="305"/>
      <c r="B10101" s="306"/>
      <c r="C10101" s="307"/>
    </row>
    <row r="10102" spans="1:3" x14ac:dyDescent="0.35">
      <c r="A10102" s="302"/>
      <c r="B10102" s="303"/>
      <c r="C10102" s="304"/>
    </row>
    <row r="10103" spans="1:3" x14ac:dyDescent="0.35">
      <c r="A10103" s="305"/>
      <c r="B10103" s="306"/>
      <c r="C10103" s="307"/>
    </row>
    <row r="10104" spans="1:3" x14ac:dyDescent="0.35">
      <c r="A10104" s="302"/>
      <c r="B10104" s="303"/>
      <c r="C10104" s="304"/>
    </row>
    <row r="10105" spans="1:3" x14ac:dyDescent="0.35">
      <c r="A10105" s="305"/>
      <c r="B10105" s="306"/>
      <c r="C10105" s="307"/>
    </row>
    <row r="10106" spans="1:3" x14ac:dyDescent="0.35">
      <c r="A10106" s="302"/>
      <c r="B10106" s="303"/>
      <c r="C10106" s="304"/>
    </row>
    <row r="10107" spans="1:3" x14ac:dyDescent="0.35">
      <c r="A10107" s="305"/>
      <c r="B10107" s="306"/>
      <c r="C10107" s="307"/>
    </row>
    <row r="10108" spans="1:3" x14ac:dyDescent="0.35">
      <c r="A10108" s="302"/>
      <c r="B10108" s="303"/>
      <c r="C10108" s="304"/>
    </row>
    <row r="10109" spans="1:3" x14ac:dyDescent="0.35">
      <c r="A10109" s="305"/>
      <c r="B10109" s="306"/>
      <c r="C10109" s="307"/>
    </row>
    <row r="10110" spans="1:3" x14ac:dyDescent="0.35">
      <c r="A10110" s="302"/>
      <c r="B10110" s="303"/>
      <c r="C10110" s="304"/>
    </row>
    <row r="10111" spans="1:3" x14ac:dyDescent="0.35">
      <c r="A10111" s="305"/>
      <c r="B10111" s="306"/>
      <c r="C10111" s="307"/>
    </row>
    <row r="10112" spans="1:3" x14ac:dyDescent="0.35">
      <c r="A10112" s="302"/>
      <c r="B10112" s="303"/>
      <c r="C10112" s="304"/>
    </row>
    <row r="10113" spans="1:3" x14ac:dyDescent="0.35">
      <c r="A10113" s="305"/>
      <c r="B10113" s="306"/>
      <c r="C10113" s="307"/>
    </row>
    <row r="10114" spans="1:3" x14ac:dyDescent="0.35">
      <c r="A10114" s="302"/>
      <c r="B10114" s="303"/>
      <c r="C10114" s="304"/>
    </row>
    <row r="10115" spans="1:3" x14ac:dyDescent="0.35">
      <c r="A10115" s="305"/>
      <c r="B10115" s="306"/>
      <c r="C10115" s="307"/>
    </row>
    <row r="10116" spans="1:3" x14ac:dyDescent="0.35">
      <c r="A10116" s="302"/>
      <c r="B10116" s="303"/>
      <c r="C10116" s="304"/>
    </row>
    <row r="10117" spans="1:3" x14ac:dyDescent="0.35">
      <c r="A10117" s="305"/>
      <c r="B10117" s="306"/>
      <c r="C10117" s="307"/>
    </row>
    <row r="10118" spans="1:3" x14ac:dyDescent="0.35">
      <c r="A10118" s="302"/>
      <c r="B10118" s="303"/>
      <c r="C10118" s="304"/>
    </row>
    <row r="10119" spans="1:3" x14ac:dyDescent="0.35">
      <c r="A10119" s="305"/>
      <c r="B10119" s="306"/>
      <c r="C10119" s="307"/>
    </row>
    <row r="10120" spans="1:3" x14ac:dyDescent="0.35">
      <c r="A10120" s="302"/>
      <c r="B10120" s="303"/>
      <c r="C10120" s="304"/>
    </row>
    <row r="10121" spans="1:3" x14ac:dyDescent="0.35">
      <c r="A10121" s="305"/>
      <c r="B10121" s="306"/>
      <c r="C10121" s="307"/>
    </row>
    <row r="10122" spans="1:3" x14ac:dyDescent="0.35">
      <c r="A10122" s="302"/>
      <c r="B10122" s="303"/>
      <c r="C10122" s="304"/>
    </row>
    <row r="10123" spans="1:3" x14ac:dyDescent="0.35">
      <c r="A10123" s="305"/>
      <c r="B10123" s="306"/>
      <c r="C10123" s="307"/>
    </row>
    <row r="10124" spans="1:3" x14ac:dyDescent="0.35">
      <c r="A10124" s="302"/>
      <c r="B10124" s="303"/>
      <c r="C10124" s="304"/>
    </row>
    <row r="10125" spans="1:3" x14ac:dyDescent="0.35">
      <c r="A10125" s="305"/>
      <c r="B10125" s="306"/>
      <c r="C10125" s="307"/>
    </row>
    <row r="10126" spans="1:3" x14ac:dyDescent="0.35">
      <c r="A10126" s="302"/>
      <c r="B10126" s="303"/>
      <c r="C10126" s="304"/>
    </row>
    <row r="10127" spans="1:3" x14ac:dyDescent="0.35">
      <c r="A10127" s="305"/>
      <c r="B10127" s="306"/>
      <c r="C10127" s="307"/>
    </row>
    <row r="10128" spans="1:3" x14ac:dyDescent="0.35">
      <c r="A10128" s="302"/>
      <c r="B10128" s="303"/>
      <c r="C10128" s="304"/>
    </row>
    <row r="10129" spans="1:3" x14ac:dyDescent="0.35">
      <c r="A10129" s="305"/>
      <c r="B10129" s="306"/>
      <c r="C10129" s="307"/>
    </row>
    <row r="10130" spans="1:3" x14ac:dyDescent="0.35">
      <c r="A10130" s="302"/>
      <c r="B10130" s="303"/>
      <c r="C10130" s="304"/>
    </row>
    <row r="10131" spans="1:3" x14ac:dyDescent="0.35">
      <c r="A10131" s="305"/>
      <c r="B10131" s="306"/>
      <c r="C10131" s="307"/>
    </row>
    <row r="10132" spans="1:3" x14ac:dyDescent="0.35">
      <c r="A10132" s="302"/>
      <c r="B10132" s="303"/>
      <c r="C10132" s="304"/>
    </row>
    <row r="10133" spans="1:3" x14ac:dyDescent="0.35">
      <c r="A10133" s="305"/>
      <c r="B10133" s="306"/>
      <c r="C10133" s="307"/>
    </row>
    <row r="10134" spans="1:3" x14ac:dyDescent="0.35">
      <c r="A10134" s="302"/>
      <c r="B10134" s="303"/>
      <c r="C10134" s="304"/>
    </row>
    <row r="10135" spans="1:3" x14ac:dyDescent="0.35">
      <c r="A10135" s="305"/>
      <c r="B10135" s="306"/>
      <c r="C10135" s="307"/>
    </row>
    <row r="10136" spans="1:3" x14ac:dyDescent="0.35">
      <c r="A10136" s="302"/>
      <c r="B10136" s="303"/>
      <c r="C10136" s="304"/>
    </row>
    <row r="10137" spans="1:3" x14ac:dyDescent="0.35">
      <c r="A10137" s="305"/>
      <c r="B10137" s="306"/>
      <c r="C10137" s="307"/>
    </row>
    <row r="10138" spans="1:3" x14ac:dyDescent="0.35">
      <c r="A10138" s="302"/>
      <c r="B10138" s="303"/>
      <c r="C10138" s="304"/>
    </row>
    <row r="10139" spans="1:3" x14ac:dyDescent="0.35">
      <c r="A10139" s="305"/>
      <c r="B10139" s="306"/>
      <c r="C10139" s="307"/>
    </row>
    <row r="10140" spans="1:3" x14ac:dyDescent="0.35">
      <c r="A10140" s="302"/>
      <c r="B10140" s="303"/>
      <c r="C10140" s="304"/>
    </row>
    <row r="10141" spans="1:3" x14ac:dyDescent="0.35">
      <c r="A10141" s="305"/>
      <c r="B10141" s="306"/>
      <c r="C10141" s="307"/>
    </row>
    <row r="10142" spans="1:3" x14ac:dyDescent="0.35">
      <c r="A10142" s="302"/>
      <c r="B10142" s="303"/>
      <c r="C10142" s="304"/>
    </row>
    <row r="10143" spans="1:3" x14ac:dyDescent="0.35">
      <c r="A10143" s="305"/>
      <c r="B10143" s="306"/>
      <c r="C10143" s="307"/>
    </row>
    <row r="10144" spans="1:3" x14ac:dyDescent="0.35">
      <c r="A10144" s="302"/>
      <c r="B10144" s="303"/>
      <c r="C10144" s="304"/>
    </row>
    <row r="10145" spans="1:3" x14ac:dyDescent="0.35">
      <c r="A10145" s="305"/>
      <c r="B10145" s="306"/>
      <c r="C10145" s="307"/>
    </row>
    <row r="10146" spans="1:3" x14ac:dyDescent="0.35">
      <c r="A10146" s="302"/>
      <c r="B10146" s="303"/>
      <c r="C10146" s="304"/>
    </row>
    <row r="10147" spans="1:3" x14ac:dyDescent="0.35">
      <c r="A10147" s="305"/>
      <c r="B10147" s="306"/>
      <c r="C10147" s="307"/>
    </row>
    <row r="10148" spans="1:3" x14ac:dyDescent="0.35">
      <c r="A10148" s="302"/>
      <c r="B10148" s="303"/>
      <c r="C10148" s="304"/>
    </row>
    <row r="10149" spans="1:3" x14ac:dyDescent="0.35">
      <c r="A10149" s="305"/>
      <c r="B10149" s="306"/>
      <c r="C10149" s="307"/>
    </row>
    <row r="10150" spans="1:3" x14ac:dyDescent="0.35">
      <c r="A10150" s="302"/>
      <c r="B10150" s="303"/>
      <c r="C10150" s="304"/>
    </row>
    <row r="10151" spans="1:3" x14ac:dyDescent="0.35">
      <c r="A10151" s="305"/>
      <c r="B10151" s="306"/>
      <c r="C10151" s="307"/>
    </row>
    <row r="10152" spans="1:3" x14ac:dyDescent="0.35">
      <c r="A10152" s="302"/>
      <c r="B10152" s="303"/>
      <c r="C10152" s="304"/>
    </row>
    <row r="10153" spans="1:3" x14ac:dyDescent="0.35">
      <c r="A10153" s="305"/>
      <c r="B10153" s="306"/>
      <c r="C10153" s="307"/>
    </row>
    <row r="10154" spans="1:3" x14ac:dyDescent="0.35">
      <c r="A10154" s="302"/>
      <c r="B10154" s="303"/>
      <c r="C10154" s="304"/>
    </row>
    <row r="10155" spans="1:3" x14ac:dyDescent="0.35">
      <c r="A10155" s="305"/>
      <c r="B10155" s="306"/>
      <c r="C10155" s="307"/>
    </row>
    <row r="10156" spans="1:3" x14ac:dyDescent="0.35">
      <c r="A10156" s="302"/>
      <c r="B10156" s="303"/>
      <c r="C10156" s="304"/>
    </row>
    <row r="10157" spans="1:3" x14ac:dyDescent="0.35">
      <c r="A10157" s="305"/>
      <c r="B10157" s="306"/>
      <c r="C10157" s="307"/>
    </row>
    <row r="10158" spans="1:3" x14ac:dyDescent="0.35">
      <c r="A10158" s="302"/>
      <c r="B10158" s="303"/>
      <c r="C10158" s="304"/>
    </row>
    <row r="10159" spans="1:3" x14ac:dyDescent="0.35">
      <c r="A10159" s="305"/>
      <c r="B10159" s="306"/>
      <c r="C10159" s="307"/>
    </row>
    <row r="10160" spans="1:3" x14ac:dyDescent="0.35">
      <c r="A10160" s="302"/>
      <c r="B10160" s="303"/>
      <c r="C10160" s="304"/>
    </row>
    <row r="10161" spans="1:3" x14ac:dyDescent="0.35">
      <c r="A10161" s="305"/>
      <c r="B10161" s="306"/>
      <c r="C10161" s="307"/>
    </row>
    <row r="10162" spans="1:3" x14ac:dyDescent="0.35">
      <c r="A10162" s="302"/>
      <c r="B10162" s="303"/>
      <c r="C10162" s="304"/>
    </row>
    <row r="10163" spans="1:3" x14ac:dyDescent="0.35">
      <c r="A10163" s="305"/>
      <c r="B10163" s="306"/>
      <c r="C10163" s="307"/>
    </row>
    <row r="10164" spans="1:3" x14ac:dyDescent="0.35">
      <c r="A10164" s="302"/>
      <c r="B10164" s="303"/>
      <c r="C10164" s="304"/>
    </row>
    <row r="10165" spans="1:3" x14ac:dyDescent="0.35">
      <c r="A10165" s="305"/>
      <c r="B10165" s="306"/>
      <c r="C10165" s="307"/>
    </row>
    <row r="10166" spans="1:3" x14ac:dyDescent="0.35">
      <c r="A10166" s="302"/>
      <c r="B10166" s="303"/>
      <c r="C10166" s="304"/>
    </row>
    <row r="10167" spans="1:3" x14ac:dyDescent="0.35">
      <c r="A10167" s="305"/>
      <c r="B10167" s="306"/>
      <c r="C10167" s="307"/>
    </row>
    <row r="10168" spans="1:3" x14ac:dyDescent="0.35">
      <c r="A10168" s="302"/>
      <c r="B10168" s="303"/>
      <c r="C10168" s="304"/>
    </row>
    <row r="10169" spans="1:3" x14ac:dyDescent="0.35">
      <c r="A10169" s="305"/>
      <c r="B10169" s="306"/>
      <c r="C10169" s="307"/>
    </row>
    <row r="10170" spans="1:3" x14ac:dyDescent="0.35">
      <c r="A10170" s="302"/>
      <c r="B10170" s="303"/>
      <c r="C10170" s="304"/>
    </row>
    <row r="10171" spans="1:3" x14ac:dyDescent="0.35">
      <c r="A10171" s="305"/>
      <c r="B10171" s="306"/>
      <c r="C10171" s="307"/>
    </row>
    <row r="10172" spans="1:3" x14ac:dyDescent="0.35">
      <c r="A10172" s="302"/>
      <c r="B10172" s="303"/>
      <c r="C10172" s="304"/>
    </row>
    <row r="10173" spans="1:3" x14ac:dyDescent="0.35">
      <c r="A10173" s="305"/>
      <c r="B10173" s="306"/>
      <c r="C10173" s="307"/>
    </row>
    <row r="10174" spans="1:3" x14ac:dyDescent="0.35">
      <c r="A10174" s="302"/>
      <c r="B10174" s="303"/>
      <c r="C10174" s="304"/>
    </row>
    <row r="10175" spans="1:3" x14ac:dyDescent="0.35">
      <c r="A10175" s="305"/>
      <c r="B10175" s="306"/>
      <c r="C10175" s="307"/>
    </row>
    <row r="10176" spans="1:3" x14ac:dyDescent="0.35">
      <c r="A10176" s="302"/>
      <c r="B10176" s="303"/>
      <c r="C10176" s="304"/>
    </row>
    <row r="10177" spans="1:3" x14ac:dyDescent="0.35">
      <c r="A10177" s="305"/>
      <c r="B10177" s="306"/>
      <c r="C10177" s="307"/>
    </row>
    <row r="10178" spans="1:3" x14ac:dyDescent="0.35">
      <c r="A10178" s="302"/>
      <c r="B10178" s="303"/>
      <c r="C10178" s="304"/>
    </row>
    <row r="10179" spans="1:3" x14ac:dyDescent="0.35">
      <c r="A10179" s="305"/>
      <c r="B10179" s="306"/>
      <c r="C10179" s="307"/>
    </row>
    <row r="10180" spans="1:3" x14ac:dyDescent="0.35">
      <c r="A10180" s="302"/>
      <c r="B10180" s="303"/>
      <c r="C10180" s="304"/>
    </row>
    <row r="10181" spans="1:3" x14ac:dyDescent="0.35">
      <c r="A10181" s="305"/>
      <c r="B10181" s="306"/>
      <c r="C10181" s="307"/>
    </row>
    <row r="10182" spans="1:3" x14ac:dyDescent="0.35">
      <c r="A10182" s="302"/>
      <c r="B10182" s="303"/>
      <c r="C10182" s="304"/>
    </row>
    <row r="10183" spans="1:3" x14ac:dyDescent="0.35">
      <c r="A10183" s="305"/>
      <c r="B10183" s="306"/>
      <c r="C10183" s="307"/>
    </row>
    <row r="10184" spans="1:3" x14ac:dyDescent="0.35">
      <c r="A10184" s="302"/>
      <c r="B10184" s="303"/>
      <c r="C10184" s="304"/>
    </row>
    <row r="10185" spans="1:3" x14ac:dyDescent="0.35">
      <c r="A10185" s="305"/>
      <c r="B10185" s="306"/>
      <c r="C10185" s="307"/>
    </row>
    <row r="10186" spans="1:3" x14ac:dyDescent="0.35">
      <c r="A10186" s="302"/>
      <c r="B10186" s="303"/>
      <c r="C10186" s="304"/>
    </row>
    <row r="10187" spans="1:3" x14ac:dyDescent="0.35">
      <c r="A10187" s="305"/>
      <c r="B10187" s="306"/>
      <c r="C10187" s="307"/>
    </row>
    <row r="10188" spans="1:3" x14ac:dyDescent="0.35">
      <c r="A10188" s="302"/>
      <c r="B10188" s="303"/>
      <c r="C10188" s="304"/>
    </row>
    <row r="10189" spans="1:3" x14ac:dyDescent="0.35">
      <c r="A10189" s="305"/>
      <c r="B10189" s="306"/>
      <c r="C10189" s="307"/>
    </row>
    <row r="10190" spans="1:3" x14ac:dyDescent="0.35">
      <c r="A10190" s="302"/>
      <c r="B10190" s="303"/>
      <c r="C10190" s="304"/>
    </row>
    <row r="10191" spans="1:3" x14ac:dyDescent="0.35">
      <c r="A10191" s="305"/>
      <c r="B10191" s="306"/>
      <c r="C10191" s="307"/>
    </row>
    <row r="10192" spans="1:3" x14ac:dyDescent="0.35">
      <c r="A10192" s="302"/>
      <c r="B10192" s="303"/>
      <c r="C10192" s="304"/>
    </row>
    <row r="10193" spans="1:3" x14ac:dyDescent="0.35">
      <c r="A10193" s="305"/>
      <c r="B10193" s="306"/>
      <c r="C10193" s="307"/>
    </row>
    <row r="10194" spans="1:3" x14ac:dyDescent="0.35">
      <c r="A10194" s="302"/>
      <c r="B10194" s="303"/>
      <c r="C10194" s="304"/>
    </row>
    <row r="10195" spans="1:3" x14ac:dyDescent="0.35">
      <c r="A10195" s="305"/>
      <c r="B10195" s="306"/>
      <c r="C10195" s="307"/>
    </row>
    <row r="10196" spans="1:3" x14ac:dyDescent="0.35">
      <c r="A10196" s="302"/>
      <c r="B10196" s="303"/>
      <c r="C10196" s="304"/>
    </row>
    <row r="10197" spans="1:3" x14ac:dyDescent="0.35">
      <c r="A10197" s="305"/>
      <c r="B10197" s="306"/>
      <c r="C10197" s="307"/>
    </row>
    <row r="10198" spans="1:3" x14ac:dyDescent="0.35">
      <c r="A10198" s="302"/>
      <c r="B10198" s="303"/>
      <c r="C10198" s="304"/>
    </row>
    <row r="10199" spans="1:3" x14ac:dyDescent="0.35">
      <c r="A10199" s="305"/>
      <c r="B10199" s="306"/>
      <c r="C10199" s="307"/>
    </row>
    <row r="10200" spans="1:3" x14ac:dyDescent="0.35">
      <c r="A10200" s="302"/>
      <c r="B10200" s="303"/>
      <c r="C10200" s="304"/>
    </row>
    <row r="10201" spans="1:3" x14ac:dyDescent="0.35">
      <c r="A10201" s="305"/>
      <c r="B10201" s="306"/>
      <c r="C10201" s="307"/>
    </row>
    <row r="10202" spans="1:3" x14ac:dyDescent="0.35">
      <c r="A10202" s="302"/>
      <c r="B10202" s="303"/>
      <c r="C10202" s="304"/>
    </row>
    <row r="10203" spans="1:3" x14ac:dyDescent="0.35">
      <c r="A10203" s="305"/>
      <c r="B10203" s="306"/>
      <c r="C10203" s="307"/>
    </row>
    <row r="10204" spans="1:3" x14ac:dyDescent="0.35">
      <c r="A10204" s="302"/>
      <c r="B10204" s="303"/>
      <c r="C10204" s="304"/>
    </row>
    <row r="10205" spans="1:3" x14ac:dyDescent="0.35">
      <c r="A10205" s="305"/>
      <c r="B10205" s="306"/>
      <c r="C10205" s="307"/>
    </row>
    <row r="10206" spans="1:3" x14ac:dyDescent="0.35">
      <c r="A10206" s="302"/>
      <c r="B10206" s="303"/>
      <c r="C10206" s="304"/>
    </row>
    <row r="10207" spans="1:3" x14ac:dyDescent="0.35">
      <c r="A10207" s="305"/>
      <c r="B10207" s="306"/>
      <c r="C10207" s="307"/>
    </row>
    <row r="10208" spans="1:3" x14ac:dyDescent="0.35">
      <c r="A10208" s="302"/>
      <c r="B10208" s="303"/>
      <c r="C10208" s="304"/>
    </row>
    <row r="10209" spans="1:3" x14ac:dyDescent="0.35">
      <c r="A10209" s="305"/>
      <c r="B10209" s="306"/>
      <c r="C10209" s="307"/>
    </row>
    <row r="10210" spans="1:3" x14ac:dyDescent="0.35">
      <c r="A10210" s="302"/>
      <c r="B10210" s="303"/>
      <c r="C10210" s="304"/>
    </row>
    <row r="10211" spans="1:3" x14ac:dyDescent="0.35">
      <c r="A10211" s="305"/>
      <c r="B10211" s="306"/>
      <c r="C10211" s="307"/>
    </row>
    <row r="10212" spans="1:3" x14ac:dyDescent="0.35">
      <c r="A10212" s="302"/>
      <c r="B10212" s="303"/>
      <c r="C10212" s="304"/>
    </row>
    <row r="10213" spans="1:3" x14ac:dyDescent="0.35">
      <c r="A10213" s="305"/>
      <c r="B10213" s="306"/>
      <c r="C10213" s="307"/>
    </row>
    <row r="10214" spans="1:3" x14ac:dyDescent="0.35">
      <c r="A10214" s="302"/>
      <c r="B10214" s="303"/>
      <c r="C10214" s="304"/>
    </row>
    <row r="10215" spans="1:3" x14ac:dyDescent="0.35">
      <c r="A10215" s="305"/>
      <c r="B10215" s="306"/>
      <c r="C10215" s="307"/>
    </row>
    <row r="10216" spans="1:3" x14ac:dyDescent="0.35">
      <c r="A10216" s="302"/>
      <c r="B10216" s="303"/>
      <c r="C10216" s="304"/>
    </row>
    <row r="10217" spans="1:3" x14ac:dyDescent="0.35">
      <c r="A10217" s="305"/>
      <c r="B10217" s="306"/>
      <c r="C10217" s="307"/>
    </row>
    <row r="10218" spans="1:3" x14ac:dyDescent="0.35">
      <c r="A10218" s="302"/>
      <c r="B10218" s="303"/>
      <c r="C10218" s="304"/>
    </row>
    <row r="10219" spans="1:3" x14ac:dyDescent="0.35">
      <c r="A10219" s="305"/>
      <c r="B10219" s="306"/>
      <c r="C10219" s="307"/>
    </row>
    <row r="10220" spans="1:3" x14ac:dyDescent="0.35">
      <c r="A10220" s="302"/>
      <c r="B10220" s="303"/>
      <c r="C10220" s="304"/>
    </row>
    <row r="10221" spans="1:3" x14ac:dyDescent="0.35">
      <c r="A10221" s="305"/>
      <c r="B10221" s="306"/>
      <c r="C10221" s="307"/>
    </row>
    <row r="10222" spans="1:3" x14ac:dyDescent="0.35">
      <c r="A10222" s="302"/>
      <c r="B10222" s="303"/>
      <c r="C10222" s="304"/>
    </row>
    <row r="10223" spans="1:3" x14ac:dyDescent="0.35">
      <c r="A10223" s="305"/>
      <c r="B10223" s="306"/>
      <c r="C10223" s="307"/>
    </row>
    <row r="10224" spans="1:3" x14ac:dyDescent="0.35">
      <c r="A10224" s="302"/>
      <c r="B10224" s="303"/>
      <c r="C10224" s="304"/>
    </row>
    <row r="10225" spans="1:3" x14ac:dyDescent="0.35">
      <c r="A10225" s="305"/>
      <c r="B10225" s="306"/>
      <c r="C10225" s="307"/>
    </row>
    <row r="10226" spans="1:3" x14ac:dyDescent="0.35">
      <c r="A10226" s="302"/>
      <c r="B10226" s="303"/>
      <c r="C10226" s="304"/>
    </row>
    <row r="10227" spans="1:3" x14ac:dyDescent="0.35">
      <c r="A10227" s="305"/>
      <c r="B10227" s="306"/>
      <c r="C10227" s="307"/>
    </row>
    <row r="10228" spans="1:3" x14ac:dyDescent="0.35">
      <c r="A10228" s="302"/>
      <c r="B10228" s="303"/>
      <c r="C10228" s="304"/>
    </row>
    <row r="10229" spans="1:3" x14ac:dyDescent="0.35">
      <c r="A10229" s="305"/>
      <c r="B10229" s="306"/>
      <c r="C10229" s="307"/>
    </row>
    <row r="10230" spans="1:3" x14ac:dyDescent="0.35">
      <c r="A10230" s="302"/>
      <c r="B10230" s="303"/>
      <c r="C10230" s="304"/>
    </row>
    <row r="10231" spans="1:3" x14ac:dyDescent="0.35">
      <c r="A10231" s="305"/>
      <c r="B10231" s="306"/>
      <c r="C10231" s="307"/>
    </row>
    <row r="10232" spans="1:3" x14ac:dyDescent="0.35">
      <c r="A10232" s="302"/>
      <c r="B10232" s="303"/>
      <c r="C10232" s="304"/>
    </row>
    <row r="10233" spans="1:3" x14ac:dyDescent="0.35">
      <c r="A10233" s="305"/>
      <c r="B10233" s="306"/>
      <c r="C10233" s="307"/>
    </row>
    <row r="10234" spans="1:3" x14ac:dyDescent="0.35">
      <c r="A10234" s="302"/>
      <c r="B10234" s="303"/>
      <c r="C10234" s="304"/>
    </row>
    <row r="10235" spans="1:3" x14ac:dyDescent="0.35">
      <c r="A10235" s="305"/>
      <c r="B10235" s="306"/>
      <c r="C10235" s="307"/>
    </row>
    <row r="10236" spans="1:3" x14ac:dyDescent="0.35">
      <c r="A10236" s="302"/>
      <c r="B10236" s="303"/>
      <c r="C10236" s="304"/>
    </row>
    <row r="10237" spans="1:3" x14ac:dyDescent="0.35">
      <c r="A10237" s="305"/>
      <c r="B10237" s="306"/>
      <c r="C10237" s="307"/>
    </row>
    <row r="10238" spans="1:3" x14ac:dyDescent="0.35">
      <c r="A10238" s="302"/>
      <c r="B10238" s="303"/>
      <c r="C10238" s="304"/>
    </row>
    <row r="10239" spans="1:3" x14ac:dyDescent="0.35">
      <c r="A10239" s="305"/>
      <c r="B10239" s="306"/>
      <c r="C10239" s="307"/>
    </row>
    <row r="10240" spans="1:3" x14ac:dyDescent="0.35">
      <c r="A10240" s="302"/>
      <c r="B10240" s="303"/>
      <c r="C10240" s="304"/>
    </row>
    <row r="10241" spans="1:3" x14ac:dyDescent="0.35">
      <c r="A10241" s="305"/>
      <c r="B10241" s="306"/>
      <c r="C10241" s="307"/>
    </row>
    <row r="10242" spans="1:3" x14ac:dyDescent="0.35">
      <c r="A10242" s="302"/>
      <c r="B10242" s="303"/>
      <c r="C10242" s="304"/>
    </row>
    <row r="10243" spans="1:3" x14ac:dyDescent="0.35">
      <c r="A10243" s="305"/>
      <c r="B10243" s="306"/>
      <c r="C10243" s="307"/>
    </row>
    <row r="10244" spans="1:3" x14ac:dyDescent="0.35">
      <c r="A10244" s="302"/>
      <c r="B10244" s="303"/>
      <c r="C10244" s="304"/>
    </row>
    <row r="10245" spans="1:3" x14ac:dyDescent="0.35">
      <c r="A10245" s="305"/>
      <c r="B10245" s="306"/>
      <c r="C10245" s="307"/>
    </row>
    <row r="10246" spans="1:3" x14ac:dyDescent="0.35">
      <c r="A10246" s="302"/>
      <c r="B10246" s="303"/>
      <c r="C10246" s="304"/>
    </row>
    <row r="10247" spans="1:3" x14ac:dyDescent="0.35">
      <c r="A10247" s="305"/>
      <c r="B10247" s="306"/>
      <c r="C10247" s="307"/>
    </row>
    <row r="10248" spans="1:3" x14ac:dyDescent="0.35">
      <c r="A10248" s="302"/>
      <c r="B10248" s="303"/>
      <c r="C10248" s="304"/>
    </row>
    <row r="10249" spans="1:3" x14ac:dyDescent="0.35">
      <c r="A10249" s="305"/>
      <c r="B10249" s="306"/>
      <c r="C10249" s="307"/>
    </row>
    <row r="10250" spans="1:3" x14ac:dyDescent="0.35">
      <c r="A10250" s="302"/>
      <c r="B10250" s="303"/>
      <c r="C10250" s="304"/>
    </row>
    <row r="10251" spans="1:3" x14ac:dyDescent="0.35">
      <c r="A10251" s="305"/>
      <c r="B10251" s="306"/>
      <c r="C10251" s="307"/>
    </row>
    <row r="10252" spans="1:3" x14ac:dyDescent="0.35">
      <c r="A10252" s="302"/>
      <c r="B10252" s="303"/>
      <c r="C10252" s="304"/>
    </row>
    <row r="10253" spans="1:3" x14ac:dyDescent="0.35">
      <c r="A10253" s="305"/>
      <c r="B10253" s="306"/>
      <c r="C10253" s="307"/>
    </row>
    <row r="10254" spans="1:3" x14ac:dyDescent="0.35">
      <c r="A10254" s="302"/>
      <c r="B10254" s="303"/>
      <c r="C10254" s="304"/>
    </row>
    <row r="10255" spans="1:3" x14ac:dyDescent="0.35">
      <c r="A10255" s="305"/>
      <c r="B10255" s="306"/>
      <c r="C10255" s="307"/>
    </row>
    <row r="10256" spans="1:3" x14ac:dyDescent="0.35">
      <c r="A10256" s="302"/>
      <c r="B10256" s="303"/>
      <c r="C10256" s="304"/>
    </row>
    <row r="10257" spans="1:3" x14ac:dyDescent="0.35">
      <c r="A10257" s="305"/>
      <c r="B10257" s="306"/>
      <c r="C10257" s="307"/>
    </row>
    <row r="10258" spans="1:3" x14ac:dyDescent="0.35">
      <c r="A10258" s="302"/>
      <c r="B10258" s="303"/>
      <c r="C10258" s="304"/>
    </row>
    <row r="10259" spans="1:3" x14ac:dyDescent="0.35">
      <c r="A10259" s="305"/>
      <c r="B10259" s="306"/>
      <c r="C10259" s="307"/>
    </row>
    <row r="10260" spans="1:3" x14ac:dyDescent="0.35">
      <c r="A10260" s="302"/>
      <c r="B10260" s="303"/>
      <c r="C10260" s="304"/>
    </row>
    <row r="10261" spans="1:3" x14ac:dyDescent="0.35">
      <c r="A10261" s="305"/>
      <c r="B10261" s="306"/>
      <c r="C10261" s="307"/>
    </row>
    <row r="10262" spans="1:3" x14ac:dyDescent="0.35">
      <c r="A10262" s="302"/>
      <c r="B10262" s="303"/>
      <c r="C10262" s="304"/>
    </row>
    <row r="10263" spans="1:3" x14ac:dyDescent="0.35">
      <c r="A10263" s="305"/>
      <c r="B10263" s="306"/>
      <c r="C10263" s="307"/>
    </row>
    <row r="10264" spans="1:3" x14ac:dyDescent="0.35">
      <c r="A10264" s="302"/>
      <c r="B10264" s="303"/>
      <c r="C10264" s="304"/>
    </row>
    <row r="10265" spans="1:3" x14ac:dyDescent="0.35">
      <c r="A10265" s="305"/>
      <c r="B10265" s="306"/>
      <c r="C10265" s="307"/>
    </row>
    <row r="10266" spans="1:3" x14ac:dyDescent="0.35">
      <c r="A10266" s="302"/>
      <c r="B10266" s="303"/>
      <c r="C10266" s="304"/>
    </row>
    <row r="10267" spans="1:3" x14ac:dyDescent="0.35">
      <c r="A10267" s="305"/>
      <c r="B10267" s="306"/>
      <c r="C10267" s="307"/>
    </row>
    <row r="10268" spans="1:3" x14ac:dyDescent="0.35">
      <c r="A10268" s="302"/>
      <c r="B10268" s="303"/>
      <c r="C10268" s="304"/>
    </row>
    <row r="10269" spans="1:3" x14ac:dyDescent="0.35">
      <c r="A10269" s="305"/>
      <c r="B10269" s="306"/>
      <c r="C10269" s="307"/>
    </row>
    <row r="10270" spans="1:3" x14ac:dyDescent="0.35">
      <c r="A10270" s="302"/>
      <c r="B10270" s="303"/>
      <c r="C10270" s="304"/>
    </row>
    <row r="10271" spans="1:3" x14ac:dyDescent="0.35">
      <c r="A10271" s="305"/>
      <c r="B10271" s="306"/>
      <c r="C10271" s="307"/>
    </row>
    <row r="10272" spans="1:3" x14ac:dyDescent="0.35">
      <c r="A10272" s="302"/>
      <c r="B10272" s="303"/>
      <c r="C10272" s="304"/>
    </row>
    <row r="10273" spans="1:3" x14ac:dyDescent="0.35">
      <c r="A10273" s="305"/>
      <c r="B10273" s="306"/>
      <c r="C10273" s="307"/>
    </row>
    <row r="10274" spans="1:3" x14ac:dyDescent="0.35">
      <c r="A10274" s="302"/>
      <c r="B10274" s="303"/>
      <c r="C10274" s="304"/>
    </row>
    <row r="10275" spans="1:3" x14ac:dyDescent="0.35">
      <c r="A10275" s="305"/>
      <c r="B10275" s="306"/>
      <c r="C10275" s="307"/>
    </row>
    <row r="10276" spans="1:3" x14ac:dyDescent="0.35">
      <c r="A10276" s="302"/>
      <c r="B10276" s="303"/>
      <c r="C10276" s="304"/>
    </row>
    <row r="10277" spans="1:3" x14ac:dyDescent="0.35">
      <c r="A10277" s="305"/>
      <c r="B10277" s="306"/>
      <c r="C10277" s="307"/>
    </row>
    <row r="10278" spans="1:3" x14ac:dyDescent="0.35">
      <c r="A10278" s="302"/>
      <c r="B10278" s="303"/>
      <c r="C10278" s="304"/>
    </row>
    <row r="10279" spans="1:3" x14ac:dyDescent="0.35">
      <c r="A10279" s="305"/>
      <c r="B10279" s="306"/>
      <c r="C10279" s="307"/>
    </row>
    <row r="10280" spans="1:3" x14ac:dyDescent="0.35">
      <c r="A10280" s="302"/>
      <c r="B10280" s="303"/>
      <c r="C10280" s="304"/>
    </row>
    <row r="10281" spans="1:3" x14ac:dyDescent="0.35">
      <c r="A10281" s="305"/>
      <c r="B10281" s="306"/>
      <c r="C10281" s="307"/>
    </row>
    <row r="10282" spans="1:3" x14ac:dyDescent="0.35">
      <c r="A10282" s="302"/>
      <c r="B10282" s="303"/>
      <c r="C10282" s="304"/>
    </row>
    <row r="10283" spans="1:3" x14ac:dyDescent="0.35">
      <c r="A10283" s="305"/>
      <c r="B10283" s="306"/>
      <c r="C10283" s="307"/>
    </row>
    <row r="10284" spans="1:3" x14ac:dyDescent="0.35">
      <c r="A10284" s="302"/>
      <c r="B10284" s="303"/>
      <c r="C10284" s="304"/>
    </row>
    <row r="10285" spans="1:3" x14ac:dyDescent="0.35">
      <c r="A10285" s="305"/>
      <c r="B10285" s="306"/>
      <c r="C10285" s="307"/>
    </row>
    <row r="10286" spans="1:3" x14ac:dyDescent="0.35">
      <c r="A10286" s="302"/>
      <c r="B10286" s="303"/>
      <c r="C10286" s="304"/>
    </row>
    <row r="10287" spans="1:3" x14ac:dyDescent="0.35">
      <c r="A10287" s="305"/>
      <c r="B10287" s="306"/>
      <c r="C10287" s="307"/>
    </row>
    <row r="10288" spans="1:3" x14ac:dyDescent="0.35">
      <c r="A10288" s="302"/>
      <c r="B10288" s="303"/>
      <c r="C10288" s="304"/>
    </row>
    <row r="10289" spans="1:3" x14ac:dyDescent="0.35">
      <c r="A10289" s="305"/>
      <c r="B10289" s="306"/>
      <c r="C10289" s="307"/>
    </row>
    <row r="10290" spans="1:3" x14ac:dyDescent="0.35">
      <c r="A10290" s="302"/>
      <c r="B10290" s="303"/>
      <c r="C10290" s="304"/>
    </row>
    <row r="10291" spans="1:3" x14ac:dyDescent="0.35">
      <c r="A10291" s="305"/>
      <c r="B10291" s="306"/>
      <c r="C10291" s="307"/>
    </row>
    <row r="10292" spans="1:3" x14ac:dyDescent="0.35">
      <c r="A10292" s="302"/>
      <c r="B10292" s="303"/>
      <c r="C10292" s="304"/>
    </row>
    <row r="10293" spans="1:3" x14ac:dyDescent="0.35">
      <c r="A10293" s="305"/>
      <c r="B10293" s="306"/>
      <c r="C10293" s="307"/>
    </row>
    <row r="10294" spans="1:3" x14ac:dyDescent="0.35">
      <c r="A10294" s="302"/>
      <c r="B10294" s="303"/>
      <c r="C10294" s="304"/>
    </row>
    <row r="10295" spans="1:3" x14ac:dyDescent="0.35">
      <c r="A10295" s="305"/>
      <c r="B10295" s="306"/>
      <c r="C10295" s="307"/>
    </row>
    <row r="10296" spans="1:3" x14ac:dyDescent="0.35">
      <c r="A10296" s="302"/>
      <c r="B10296" s="303"/>
      <c r="C10296" s="304"/>
    </row>
    <row r="10297" spans="1:3" x14ac:dyDescent="0.35">
      <c r="A10297" s="305"/>
      <c r="B10297" s="306"/>
      <c r="C10297" s="307"/>
    </row>
    <row r="10298" spans="1:3" x14ac:dyDescent="0.35">
      <c r="A10298" s="302"/>
      <c r="B10298" s="303"/>
      <c r="C10298" s="304"/>
    </row>
    <row r="10299" spans="1:3" x14ac:dyDescent="0.35">
      <c r="A10299" s="305"/>
      <c r="B10299" s="306"/>
      <c r="C10299" s="307"/>
    </row>
    <row r="10300" spans="1:3" x14ac:dyDescent="0.35">
      <c r="A10300" s="302"/>
      <c r="B10300" s="303"/>
      <c r="C10300" s="304"/>
    </row>
    <row r="10301" spans="1:3" x14ac:dyDescent="0.35">
      <c r="A10301" s="305"/>
      <c r="B10301" s="306"/>
      <c r="C10301" s="307"/>
    </row>
    <row r="10302" spans="1:3" x14ac:dyDescent="0.35">
      <c r="A10302" s="302"/>
      <c r="B10302" s="303"/>
      <c r="C10302" s="304"/>
    </row>
    <row r="10303" spans="1:3" x14ac:dyDescent="0.35">
      <c r="A10303" s="305"/>
      <c r="B10303" s="306"/>
      <c r="C10303" s="307"/>
    </row>
    <row r="10304" spans="1:3" x14ac:dyDescent="0.35">
      <c r="A10304" s="302"/>
      <c r="B10304" s="303"/>
      <c r="C10304" s="304"/>
    </row>
    <row r="10305" spans="1:3" x14ac:dyDescent="0.35">
      <c r="A10305" s="305"/>
      <c r="B10305" s="306"/>
      <c r="C10305" s="307"/>
    </row>
    <row r="10306" spans="1:3" x14ac:dyDescent="0.35">
      <c r="A10306" s="302"/>
      <c r="B10306" s="303"/>
      <c r="C10306" s="304"/>
    </row>
    <row r="10307" spans="1:3" x14ac:dyDescent="0.35">
      <c r="A10307" s="305"/>
      <c r="B10307" s="306"/>
      <c r="C10307" s="307"/>
    </row>
    <row r="10308" spans="1:3" x14ac:dyDescent="0.35">
      <c r="A10308" s="302"/>
      <c r="B10308" s="303"/>
      <c r="C10308" s="304"/>
    </row>
    <row r="10309" spans="1:3" x14ac:dyDescent="0.35">
      <c r="A10309" s="305"/>
      <c r="B10309" s="306"/>
      <c r="C10309" s="307"/>
    </row>
    <row r="10310" spans="1:3" x14ac:dyDescent="0.35">
      <c r="A10310" s="302"/>
      <c r="B10310" s="303"/>
      <c r="C10310" s="304"/>
    </row>
    <row r="10311" spans="1:3" x14ac:dyDescent="0.35">
      <c r="A10311" s="305"/>
      <c r="B10311" s="306"/>
      <c r="C10311" s="307"/>
    </row>
    <row r="10312" spans="1:3" x14ac:dyDescent="0.35">
      <c r="A10312" s="302"/>
      <c r="B10312" s="303"/>
      <c r="C10312" s="304"/>
    </row>
    <row r="10313" spans="1:3" x14ac:dyDescent="0.35">
      <c r="A10313" s="305"/>
      <c r="B10313" s="306"/>
      <c r="C10313" s="307"/>
    </row>
    <row r="10314" spans="1:3" x14ac:dyDescent="0.35">
      <c r="A10314" s="302"/>
      <c r="B10314" s="303"/>
      <c r="C10314" s="304"/>
    </row>
    <row r="10315" spans="1:3" x14ac:dyDescent="0.35">
      <c r="A10315" s="305"/>
      <c r="B10315" s="306"/>
      <c r="C10315" s="307"/>
    </row>
    <row r="10316" spans="1:3" x14ac:dyDescent="0.35">
      <c r="A10316" s="302"/>
      <c r="B10316" s="303"/>
      <c r="C10316" s="304"/>
    </row>
    <row r="10317" spans="1:3" x14ac:dyDescent="0.35">
      <c r="A10317" s="305"/>
      <c r="B10317" s="306"/>
      <c r="C10317" s="307"/>
    </row>
    <row r="10318" spans="1:3" x14ac:dyDescent="0.35">
      <c r="A10318" s="302"/>
      <c r="B10318" s="303"/>
      <c r="C10318" s="304"/>
    </row>
    <row r="10319" spans="1:3" x14ac:dyDescent="0.35">
      <c r="A10319" s="305"/>
      <c r="B10319" s="306"/>
      <c r="C10319" s="307"/>
    </row>
    <row r="10320" spans="1:3" x14ac:dyDescent="0.35">
      <c r="A10320" s="302"/>
      <c r="B10320" s="303"/>
      <c r="C10320" s="304"/>
    </row>
    <row r="10321" spans="1:3" x14ac:dyDescent="0.35">
      <c r="A10321" s="305"/>
      <c r="B10321" s="306"/>
      <c r="C10321" s="307"/>
    </row>
    <row r="10322" spans="1:3" x14ac:dyDescent="0.35">
      <c r="A10322" s="302"/>
      <c r="B10322" s="303"/>
      <c r="C10322" s="304"/>
    </row>
    <row r="10323" spans="1:3" x14ac:dyDescent="0.35">
      <c r="A10323" s="305"/>
      <c r="B10323" s="306"/>
      <c r="C10323" s="307"/>
    </row>
    <row r="10324" spans="1:3" x14ac:dyDescent="0.35">
      <c r="A10324" s="302"/>
      <c r="B10324" s="303"/>
      <c r="C10324" s="304"/>
    </row>
    <row r="10325" spans="1:3" x14ac:dyDescent="0.35">
      <c r="A10325" s="305"/>
      <c r="B10325" s="306"/>
      <c r="C10325" s="307"/>
    </row>
    <row r="10326" spans="1:3" x14ac:dyDescent="0.35">
      <c r="A10326" s="302"/>
      <c r="B10326" s="303"/>
      <c r="C10326" s="304"/>
    </row>
    <row r="10327" spans="1:3" x14ac:dyDescent="0.35">
      <c r="A10327" s="305"/>
      <c r="B10327" s="306"/>
      <c r="C10327" s="307"/>
    </row>
    <row r="10328" spans="1:3" x14ac:dyDescent="0.35">
      <c r="A10328" s="302"/>
      <c r="B10328" s="303"/>
      <c r="C10328" s="304"/>
    </row>
    <row r="10329" spans="1:3" x14ac:dyDescent="0.35">
      <c r="A10329" s="305"/>
      <c r="B10329" s="306"/>
      <c r="C10329" s="307"/>
    </row>
    <row r="10330" spans="1:3" x14ac:dyDescent="0.35">
      <c r="A10330" s="302"/>
      <c r="B10330" s="303"/>
      <c r="C10330" s="304"/>
    </row>
    <row r="10331" spans="1:3" x14ac:dyDescent="0.35">
      <c r="A10331" s="305"/>
      <c r="B10331" s="306"/>
      <c r="C10331" s="307"/>
    </row>
    <row r="10332" spans="1:3" x14ac:dyDescent="0.35">
      <c r="A10332" s="302"/>
      <c r="B10332" s="303"/>
      <c r="C10332" s="304"/>
    </row>
    <row r="10333" spans="1:3" x14ac:dyDescent="0.35">
      <c r="A10333" s="305"/>
      <c r="B10333" s="306"/>
      <c r="C10333" s="307"/>
    </row>
    <row r="10334" spans="1:3" x14ac:dyDescent="0.35">
      <c r="A10334" s="302"/>
      <c r="B10334" s="303"/>
      <c r="C10334" s="304"/>
    </row>
    <row r="10335" spans="1:3" x14ac:dyDescent="0.35">
      <c r="A10335" s="305"/>
      <c r="B10335" s="306"/>
      <c r="C10335" s="307"/>
    </row>
    <row r="10336" spans="1:3" x14ac:dyDescent="0.35">
      <c r="A10336" s="302"/>
      <c r="B10336" s="303"/>
      <c r="C10336" s="304"/>
    </row>
    <row r="10337" spans="1:3" x14ac:dyDescent="0.35">
      <c r="A10337" s="305"/>
      <c r="B10337" s="306"/>
      <c r="C10337" s="307"/>
    </row>
    <row r="10338" spans="1:3" x14ac:dyDescent="0.35">
      <c r="A10338" s="302"/>
      <c r="B10338" s="303"/>
      <c r="C10338" s="304"/>
    </row>
    <row r="10339" spans="1:3" x14ac:dyDescent="0.35">
      <c r="A10339" s="305"/>
      <c r="B10339" s="306"/>
      <c r="C10339" s="307"/>
    </row>
    <row r="10340" spans="1:3" x14ac:dyDescent="0.35">
      <c r="A10340" s="302"/>
      <c r="B10340" s="303"/>
      <c r="C10340" s="304"/>
    </row>
    <row r="10341" spans="1:3" x14ac:dyDescent="0.35">
      <c r="A10341" s="305"/>
      <c r="B10341" s="306"/>
      <c r="C10341" s="307"/>
    </row>
    <row r="10342" spans="1:3" x14ac:dyDescent="0.35">
      <c r="A10342" s="302"/>
      <c r="B10342" s="303"/>
      <c r="C10342" s="304"/>
    </row>
    <row r="10343" spans="1:3" x14ac:dyDescent="0.35">
      <c r="A10343" s="305"/>
      <c r="B10343" s="306"/>
      <c r="C10343" s="307"/>
    </row>
    <row r="10344" spans="1:3" x14ac:dyDescent="0.35">
      <c r="A10344" s="302"/>
      <c r="B10344" s="303"/>
      <c r="C10344" s="304"/>
    </row>
    <row r="10345" spans="1:3" x14ac:dyDescent="0.35">
      <c r="A10345" s="305"/>
      <c r="B10345" s="306"/>
      <c r="C10345" s="307"/>
    </row>
    <row r="10346" spans="1:3" x14ac:dyDescent="0.35">
      <c r="A10346" s="302"/>
      <c r="B10346" s="303"/>
      <c r="C10346" s="304"/>
    </row>
    <row r="10347" spans="1:3" x14ac:dyDescent="0.35">
      <c r="A10347" s="305"/>
      <c r="B10347" s="306"/>
      <c r="C10347" s="307"/>
    </row>
    <row r="10348" spans="1:3" x14ac:dyDescent="0.35">
      <c r="A10348" s="302"/>
      <c r="B10348" s="303"/>
      <c r="C10348" s="304"/>
    </row>
    <row r="10349" spans="1:3" x14ac:dyDescent="0.35">
      <c r="A10349" s="305"/>
      <c r="B10349" s="306"/>
      <c r="C10349" s="307"/>
    </row>
    <row r="10350" spans="1:3" x14ac:dyDescent="0.35">
      <c r="A10350" s="302"/>
      <c r="B10350" s="303"/>
      <c r="C10350" s="304"/>
    </row>
    <row r="10351" spans="1:3" x14ac:dyDescent="0.35">
      <c r="A10351" s="305"/>
      <c r="B10351" s="306"/>
      <c r="C10351" s="307"/>
    </row>
    <row r="10352" spans="1:3" x14ac:dyDescent="0.35">
      <c r="A10352" s="302"/>
      <c r="B10352" s="303"/>
      <c r="C10352" s="304"/>
    </row>
    <row r="10353" spans="1:3" x14ac:dyDescent="0.35">
      <c r="A10353" s="305"/>
      <c r="B10353" s="306"/>
      <c r="C10353" s="307"/>
    </row>
    <row r="10354" spans="1:3" x14ac:dyDescent="0.35">
      <c r="A10354" s="302"/>
      <c r="B10354" s="303"/>
      <c r="C10354" s="304"/>
    </row>
    <row r="10355" spans="1:3" x14ac:dyDescent="0.35">
      <c r="A10355" s="305"/>
      <c r="B10355" s="306"/>
      <c r="C10355" s="307"/>
    </row>
    <row r="10356" spans="1:3" x14ac:dyDescent="0.35">
      <c r="A10356" s="302"/>
      <c r="B10356" s="303"/>
      <c r="C10356" s="304"/>
    </row>
    <row r="10357" spans="1:3" x14ac:dyDescent="0.35">
      <c r="A10357" s="305"/>
      <c r="B10357" s="306"/>
      <c r="C10357" s="307"/>
    </row>
    <row r="10358" spans="1:3" x14ac:dyDescent="0.35">
      <c r="A10358" s="302"/>
      <c r="B10358" s="303"/>
      <c r="C10358" s="304"/>
    </row>
    <row r="10359" spans="1:3" x14ac:dyDescent="0.35">
      <c r="A10359" s="305"/>
      <c r="B10359" s="306"/>
      <c r="C10359" s="307"/>
    </row>
    <row r="10360" spans="1:3" x14ac:dyDescent="0.35">
      <c r="A10360" s="302"/>
      <c r="B10360" s="303"/>
      <c r="C10360" s="304"/>
    </row>
    <row r="10361" spans="1:3" x14ac:dyDescent="0.35">
      <c r="A10361" s="305"/>
      <c r="B10361" s="306"/>
      <c r="C10361" s="307"/>
    </row>
    <row r="10362" spans="1:3" x14ac:dyDescent="0.35">
      <c r="A10362" s="302"/>
      <c r="B10362" s="303"/>
      <c r="C10362" s="304"/>
    </row>
    <row r="10363" spans="1:3" x14ac:dyDescent="0.35">
      <c r="A10363" s="305"/>
      <c r="B10363" s="306"/>
      <c r="C10363" s="307"/>
    </row>
    <row r="10364" spans="1:3" x14ac:dyDescent="0.35">
      <c r="A10364" s="302"/>
      <c r="B10364" s="303"/>
      <c r="C10364" s="304"/>
    </row>
    <row r="10365" spans="1:3" x14ac:dyDescent="0.35">
      <c r="A10365" s="305"/>
      <c r="B10365" s="306"/>
      <c r="C10365" s="307"/>
    </row>
    <row r="10366" spans="1:3" x14ac:dyDescent="0.35">
      <c r="A10366" s="302"/>
      <c r="B10366" s="303"/>
      <c r="C10366" s="304"/>
    </row>
    <row r="10367" spans="1:3" x14ac:dyDescent="0.35">
      <c r="A10367" s="305"/>
      <c r="B10367" s="306"/>
      <c r="C10367" s="307"/>
    </row>
    <row r="10368" spans="1:3" x14ac:dyDescent="0.35">
      <c r="A10368" s="302"/>
      <c r="B10368" s="303"/>
      <c r="C10368" s="304"/>
    </row>
    <row r="10369" spans="1:3" x14ac:dyDescent="0.35">
      <c r="A10369" s="305"/>
      <c r="B10369" s="306"/>
      <c r="C10369" s="307"/>
    </row>
    <row r="10370" spans="1:3" x14ac:dyDescent="0.35">
      <c r="A10370" s="302"/>
      <c r="B10370" s="303"/>
      <c r="C10370" s="304"/>
    </row>
    <row r="10371" spans="1:3" x14ac:dyDescent="0.35">
      <c r="A10371" s="305"/>
      <c r="B10371" s="306"/>
      <c r="C10371" s="307"/>
    </row>
    <row r="10372" spans="1:3" x14ac:dyDescent="0.35">
      <c r="A10372" s="302"/>
      <c r="B10372" s="303"/>
      <c r="C10372" s="304"/>
    </row>
    <row r="10373" spans="1:3" x14ac:dyDescent="0.35">
      <c r="A10373" s="305"/>
      <c r="B10373" s="306"/>
      <c r="C10373" s="307"/>
    </row>
    <row r="10374" spans="1:3" x14ac:dyDescent="0.35">
      <c r="A10374" s="302"/>
      <c r="B10374" s="303"/>
      <c r="C10374" s="304"/>
    </row>
    <row r="10375" spans="1:3" x14ac:dyDescent="0.35">
      <c r="A10375" s="305"/>
      <c r="B10375" s="306"/>
      <c r="C10375" s="307"/>
    </row>
    <row r="10376" spans="1:3" x14ac:dyDescent="0.35">
      <c r="A10376" s="302"/>
      <c r="B10376" s="303"/>
      <c r="C10376" s="304"/>
    </row>
    <row r="10377" spans="1:3" x14ac:dyDescent="0.35">
      <c r="A10377" s="305"/>
      <c r="B10377" s="306"/>
      <c r="C10377" s="307"/>
    </row>
    <row r="10378" spans="1:3" x14ac:dyDescent="0.35">
      <c r="A10378" s="302"/>
      <c r="B10378" s="303"/>
      <c r="C10378" s="304"/>
    </row>
    <row r="10379" spans="1:3" x14ac:dyDescent="0.35">
      <c r="A10379" s="305"/>
      <c r="B10379" s="306"/>
      <c r="C10379" s="307"/>
    </row>
    <row r="10380" spans="1:3" x14ac:dyDescent="0.35">
      <c r="A10380" s="302"/>
      <c r="B10380" s="303"/>
      <c r="C10380" s="304"/>
    </row>
    <row r="10381" spans="1:3" x14ac:dyDescent="0.35">
      <c r="A10381" s="305"/>
      <c r="B10381" s="306"/>
      <c r="C10381" s="307"/>
    </row>
    <row r="10382" spans="1:3" x14ac:dyDescent="0.35">
      <c r="A10382" s="302"/>
      <c r="B10382" s="303"/>
      <c r="C10382" s="304"/>
    </row>
    <row r="10383" spans="1:3" x14ac:dyDescent="0.35">
      <c r="A10383" s="305"/>
      <c r="B10383" s="306"/>
      <c r="C10383" s="307"/>
    </row>
    <row r="10384" spans="1:3" x14ac:dyDescent="0.35">
      <c r="A10384" s="302"/>
      <c r="B10384" s="303"/>
      <c r="C10384" s="304"/>
    </row>
    <row r="10385" spans="1:3" x14ac:dyDescent="0.35">
      <c r="A10385" s="305"/>
      <c r="B10385" s="306"/>
      <c r="C10385" s="307"/>
    </row>
    <row r="10386" spans="1:3" x14ac:dyDescent="0.35">
      <c r="A10386" s="302"/>
      <c r="B10386" s="303"/>
      <c r="C10386" s="304"/>
    </row>
    <row r="10387" spans="1:3" x14ac:dyDescent="0.35">
      <c r="A10387" s="305"/>
      <c r="B10387" s="306"/>
      <c r="C10387" s="307"/>
    </row>
    <row r="10388" spans="1:3" x14ac:dyDescent="0.35">
      <c r="A10388" s="302"/>
      <c r="B10388" s="303"/>
      <c r="C10388" s="304"/>
    </row>
    <row r="10389" spans="1:3" x14ac:dyDescent="0.35">
      <c r="A10389" s="305"/>
      <c r="B10389" s="306"/>
      <c r="C10389" s="307"/>
    </row>
    <row r="10390" spans="1:3" x14ac:dyDescent="0.35">
      <c r="A10390" s="302"/>
      <c r="B10390" s="303"/>
      <c r="C10390" s="304"/>
    </row>
    <row r="10391" spans="1:3" x14ac:dyDescent="0.35">
      <c r="A10391" s="305"/>
      <c r="B10391" s="306"/>
      <c r="C10391" s="307"/>
    </row>
    <row r="10392" spans="1:3" x14ac:dyDescent="0.35">
      <c r="A10392" s="302"/>
      <c r="B10392" s="303"/>
      <c r="C10392" s="304"/>
    </row>
    <row r="10393" spans="1:3" x14ac:dyDescent="0.35">
      <c r="A10393" s="305"/>
      <c r="B10393" s="306"/>
      <c r="C10393" s="307"/>
    </row>
    <row r="10394" spans="1:3" x14ac:dyDescent="0.35">
      <c r="A10394" s="302"/>
      <c r="B10394" s="303"/>
      <c r="C10394" s="304"/>
    </row>
    <row r="10395" spans="1:3" x14ac:dyDescent="0.35">
      <c r="A10395" s="305"/>
      <c r="B10395" s="306"/>
      <c r="C10395" s="307"/>
    </row>
    <row r="10396" spans="1:3" x14ac:dyDescent="0.35">
      <c r="A10396" s="302"/>
      <c r="B10396" s="303"/>
      <c r="C10396" s="304"/>
    </row>
    <row r="10397" spans="1:3" x14ac:dyDescent="0.35">
      <c r="A10397" s="305"/>
      <c r="B10397" s="306"/>
      <c r="C10397" s="307"/>
    </row>
    <row r="10398" spans="1:3" x14ac:dyDescent="0.35">
      <c r="A10398" s="302"/>
      <c r="B10398" s="303"/>
      <c r="C10398" s="304"/>
    </row>
    <row r="10399" spans="1:3" x14ac:dyDescent="0.35">
      <c r="A10399" s="305"/>
      <c r="B10399" s="306"/>
      <c r="C10399" s="307"/>
    </row>
    <row r="10400" spans="1:3" x14ac:dyDescent="0.35">
      <c r="A10400" s="302"/>
      <c r="B10400" s="303"/>
      <c r="C10400" s="304"/>
    </row>
    <row r="10401" spans="1:3" x14ac:dyDescent="0.35">
      <c r="A10401" s="305"/>
      <c r="B10401" s="306"/>
      <c r="C10401" s="307"/>
    </row>
    <row r="10402" spans="1:3" x14ac:dyDescent="0.35">
      <c r="A10402" s="302"/>
      <c r="B10402" s="303"/>
      <c r="C10402" s="304"/>
    </row>
    <row r="10403" spans="1:3" x14ac:dyDescent="0.35">
      <c r="A10403" s="305"/>
      <c r="B10403" s="306"/>
      <c r="C10403" s="307"/>
    </row>
    <row r="10404" spans="1:3" x14ac:dyDescent="0.35">
      <c r="A10404" s="302"/>
      <c r="B10404" s="303"/>
      <c r="C10404" s="304"/>
    </row>
    <row r="10405" spans="1:3" x14ac:dyDescent="0.35">
      <c r="A10405" s="305"/>
      <c r="B10405" s="306"/>
      <c r="C10405" s="307"/>
    </row>
    <row r="10406" spans="1:3" x14ac:dyDescent="0.35">
      <c r="A10406" s="302"/>
      <c r="B10406" s="303"/>
      <c r="C10406" s="304"/>
    </row>
    <row r="10407" spans="1:3" x14ac:dyDescent="0.35">
      <c r="A10407" s="305"/>
      <c r="B10407" s="306"/>
      <c r="C10407" s="307"/>
    </row>
    <row r="10408" spans="1:3" x14ac:dyDescent="0.35">
      <c r="A10408" s="302"/>
      <c r="B10408" s="303"/>
      <c r="C10408" s="304"/>
    </row>
    <row r="10409" spans="1:3" x14ac:dyDescent="0.35">
      <c r="A10409" s="305"/>
      <c r="B10409" s="306"/>
      <c r="C10409" s="307"/>
    </row>
    <row r="10410" spans="1:3" x14ac:dyDescent="0.35">
      <c r="A10410" s="302"/>
      <c r="B10410" s="303"/>
      <c r="C10410" s="304"/>
    </row>
    <row r="10411" spans="1:3" x14ac:dyDescent="0.35">
      <c r="A10411" s="305"/>
      <c r="B10411" s="306"/>
      <c r="C10411" s="307"/>
    </row>
    <row r="10412" spans="1:3" x14ac:dyDescent="0.35">
      <c r="A10412" s="302"/>
      <c r="B10412" s="303"/>
      <c r="C10412" s="304"/>
    </row>
    <row r="10413" spans="1:3" x14ac:dyDescent="0.35">
      <c r="A10413" s="305"/>
      <c r="B10413" s="306"/>
      <c r="C10413" s="307"/>
    </row>
    <row r="10414" spans="1:3" x14ac:dyDescent="0.35">
      <c r="A10414" s="302"/>
      <c r="B10414" s="303"/>
      <c r="C10414" s="304"/>
    </row>
    <row r="10415" spans="1:3" x14ac:dyDescent="0.35">
      <c r="A10415" s="305"/>
      <c r="B10415" s="306"/>
      <c r="C10415" s="307"/>
    </row>
    <row r="10416" spans="1:3" x14ac:dyDescent="0.35">
      <c r="A10416" s="302"/>
      <c r="B10416" s="303"/>
      <c r="C10416" s="304"/>
    </row>
    <row r="10417" spans="1:3" x14ac:dyDescent="0.35">
      <c r="A10417" s="305"/>
      <c r="B10417" s="306"/>
      <c r="C10417" s="307"/>
    </row>
    <row r="10418" spans="1:3" x14ac:dyDescent="0.35">
      <c r="A10418" s="302"/>
      <c r="B10418" s="303"/>
      <c r="C10418" s="304"/>
    </row>
    <row r="10419" spans="1:3" x14ac:dyDescent="0.35">
      <c r="A10419" s="305"/>
      <c r="B10419" s="306"/>
      <c r="C10419" s="307"/>
    </row>
    <row r="10420" spans="1:3" x14ac:dyDescent="0.35">
      <c r="A10420" s="302"/>
      <c r="B10420" s="303"/>
      <c r="C10420" s="304"/>
    </row>
    <row r="10421" spans="1:3" x14ac:dyDescent="0.35">
      <c r="A10421" s="305"/>
      <c r="B10421" s="306"/>
      <c r="C10421" s="307"/>
    </row>
    <row r="10422" spans="1:3" x14ac:dyDescent="0.35">
      <c r="A10422" s="302"/>
      <c r="B10422" s="303"/>
      <c r="C10422" s="304"/>
    </row>
    <row r="10423" spans="1:3" x14ac:dyDescent="0.35">
      <c r="A10423" s="305"/>
      <c r="B10423" s="306"/>
      <c r="C10423" s="307"/>
    </row>
    <row r="10424" spans="1:3" x14ac:dyDescent="0.35">
      <c r="A10424" s="302"/>
      <c r="B10424" s="303"/>
      <c r="C10424" s="304"/>
    </row>
    <row r="10425" spans="1:3" x14ac:dyDescent="0.35">
      <c r="A10425" s="305"/>
      <c r="B10425" s="306"/>
      <c r="C10425" s="307"/>
    </row>
    <row r="10426" spans="1:3" x14ac:dyDescent="0.35">
      <c r="A10426" s="302"/>
      <c r="B10426" s="303"/>
      <c r="C10426" s="304"/>
    </row>
    <row r="10427" spans="1:3" x14ac:dyDescent="0.35">
      <c r="A10427" s="305"/>
      <c r="B10427" s="306"/>
      <c r="C10427" s="307"/>
    </row>
    <row r="10428" spans="1:3" x14ac:dyDescent="0.35">
      <c r="A10428" s="302"/>
      <c r="B10428" s="303"/>
      <c r="C10428" s="304"/>
    </row>
    <row r="10429" spans="1:3" x14ac:dyDescent="0.35">
      <c r="A10429" s="305"/>
      <c r="B10429" s="306"/>
      <c r="C10429" s="307"/>
    </row>
    <row r="10430" spans="1:3" x14ac:dyDescent="0.35">
      <c r="A10430" s="302"/>
      <c r="B10430" s="303"/>
      <c r="C10430" s="304"/>
    </row>
    <row r="10431" spans="1:3" x14ac:dyDescent="0.35">
      <c r="A10431" s="305"/>
      <c r="B10431" s="306"/>
      <c r="C10431" s="307"/>
    </row>
    <row r="10432" spans="1:3" x14ac:dyDescent="0.35">
      <c r="A10432" s="302"/>
      <c r="B10432" s="303"/>
      <c r="C10432" s="304"/>
    </row>
    <row r="10433" spans="1:3" x14ac:dyDescent="0.35">
      <c r="A10433" s="305"/>
      <c r="B10433" s="306"/>
      <c r="C10433" s="307"/>
    </row>
    <row r="10434" spans="1:3" x14ac:dyDescent="0.35">
      <c r="A10434" s="302"/>
      <c r="B10434" s="303"/>
      <c r="C10434" s="304"/>
    </row>
    <row r="10435" spans="1:3" x14ac:dyDescent="0.35">
      <c r="A10435" s="305"/>
      <c r="B10435" s="306"/>
      <c r="C10435" s="307"/>
    </row>
    <row r="10436" spans="1:3" x14ac:dyDescent="0.35">
      <c r="A10436" s="302"/>
      <c r="B10436" s="303"/>
      <c r="C10436" s="304"/>
    </row>
    <row r="10437" spans="1:3" x14ac:dyDescent="0.35">
      <c r="A10437" s="305"/>
      <c r="B10437" s="306"/>
      <c r="C10437" s="307"/>
    </row>
    <row r="10438" spans="1:3" x14ac:dyDescent="0.35">
      <c r="A10438" s="302"/>
      <c r="B10438" s="303"/>
      <c r="C10438" s="304"/>
    </row>
    <row r="10439" spans="1:3" x14ac:dyDescent="0.35">
      <c r="A10439" s="305"/>
      <c r="B10439" s="306"/>
      <c r="C10439" s="307"/>
    </row>
    <row r="10440" spans="1:3" x14ac:dyDescent="0.35">
      <c r="A10440" s="302"/>
      <c r="B10440" s="303"/>
      <c r="C10440" s="304"/>
    </row>
    <row r="10441" spans="1:3" x14ac:dyDescent="0.35">
      <c r="A10441" s="305"/>
      <c r="B10441" s="306"/>
      <c r="C10441" s="307"/>
    </row>
    <row r="10442" spans="1:3" x14ac:dyDescent="0.35">
      <c r="A10442" s="302"/>
      <c r="B10442" s="303"/>
      <c r="C10442" s="304"/>
    </row>
    <row r="10443" spans="1:3" x14ac:dyDescent="0.35">
      <c r="A10443" s="305"/>
      <c r="B10443" s="306"/>
      <c r="C10443" s="307"/>
    </row>
    <row r="10444" spans="1:3" x14ac:dyDescent="0.35">
      <c r="A10444" s="302"/>
      <c r="B10444" s="303"/>
      <c r="C10444" s="304"/>
    </row>
    <row r="10445" spans="1:3" x14ac:dyDescent="0.35">
      <c r="A10445" s="305"/>
      <c r="B10445" s="306"/>
      <c r="C10445" s="307"/>
    </row>
    <row r="10446" spans="1:3" x14ac:dyDescent="0.35">
      <c r="A10446" s="302"/>
      <c r="B10446" s="303"/>
      <c r="C10446" s="304"/>
    </row>
    <row r="10447" spans="1:3" x14ac:dyDescent="0.35">
      <c r="A10447" s="305"/>
      <c r="B10447" s="306"/>
      <c r="C10447" s="307"/>
    </row>
    <row r="10448" spans="1:3" x14ac:dyDescent="0.35">
      <c r="A10448" s="302"/>
      <c r="B10448" s="303"/>
      <c r="C10448" s="304"/>
    </row>
    <row r="10449" spans="1:3" x14ac:dyDescent="0.35">
      <c r="A10449" s="305"/>
      <c r="B10449" s="306"/>
      <c r="C10449" s="307"/>
    </row>
    <row r="10450" spans="1:3" x14ac:dyDescent="0.35">
      <c r="A10450" s="302"/>
      <c r="B10450" s="303"/>
      <c r="C10450" s="304"/>
    </row>
    <row r="10451" spans="1:3" x14ac:dyDescent="0.35">
      <c r="A10451" s="305"/>
      <c r="B10451" s="306"/>
      <c r="C10451" s="307"/>
    </row>
    <row r="10452" spans="1:3" x14ac:dyDescent="0.35">
      <c r="A10452" s="302"/>
      <c r="B10452" s="303"/>
      <c r="C10452" s="304"/>
    </row>
    <row r="10453" spans="1:3" x14ac:dyDescent="0.35">
      <c r="A10453" s="305"/>
      <c r="B10453" s="306"/>
      <c r="C10453" s="307"/>
    </row>
    <row r="10454" spans="1:3" x14ac:dyDescent="0.35">
      <c r="A10454" s="302"/>
      <c r="B10454" s="303"/>
      <c r="C10454" s="304"/>
    </row>
    <row r="10455" spans="1:3" x14ac:dyDescent="0.35">
      <c r="A10455" s="305"/>
      <c r="B10455" s="306"/>
      <c r="C10455" s="307"/>
    </row>
    <row r="10456" spans="1:3" x14ac:dyDescent="0.35">
      <c r="A10456" s="302"/>
      <c r="B10456" s="303"/>
      <c r="C10456" s="304"/>
    </row>
    <row r="10457" spans="1:3" x14ac:dyDescent="0.35">
      <c r="A10457" s="305"/>
      <c r="B10457" s="306"/>
      <c r="C10457" s="307"/>
    </row>
    <row r="10458" spans="1:3" x14ac:dyDescent="0.35">
      <c r="A10458" s="302"/>
      <c r="B10458" s="303"/>
      <c r="C10458" s="304"/>
    </row>
    <row r="10459" spans="1:3" x14ac:dyDescent="0.35">
      <c r="A10459" s="305"/>
      <c r="B10459" s="306"/>
      <c r="C10459" s="307"/>
    </row>
    <row r="10460" spans="1:3" x14ac:dyDescent="0.35">
      <c r="A10460" s="302"/>
      <c r="B10460" s="303"/>
      <c r="C10460" s="304"/>
    </row>
    <row r="10461" spans="1:3" x14ac:dyDescent="0.35">
      <c r="A10461" s="305"/>
      <c r="B10461" s="306"/>
      <c r="C10461" s="307"/>
    </row>
    <row r="10462" spans="1:3" x14ac:dyDescent="0.35">
      <c r="A10462" s="302"/>
      <c r="B10462" s="303"/>
      <c r="C10462" s="304"/>
    </row>
    <row r="10463" spans="1:3" x14ac:dyDescent="0.35">
      <c r="A10463" s="305"/>
      <c r="B10463" s="306"/>
      <c r="C10463" s="307"/>
    </row>
    <row r="10464" spans="1:3" x14ac:dyDescent="0.35">
      <c r="A10464" s="302"/>
      <c r="B10464" s="303"/>
      <c r="C10464" s="304"/>
    </row>
    <row r="10465" spans="1:3" x14ac:dyDescent="0.35">
      <c r="A10465" s="305"/>
      <c r="B10465" s="306"/>
      <c r="C10465" s="307"/>
    </row>
    <row r="10466" spans="1:3" x14ac:dyDescent="0.35">
      <c r="A10466" s="302"/>
      <c r="B10466" s="303"/>
      <c r="C10466" s="304"/>
    </row>
    <row r="10467" spans="1:3" x14ac:dyDescent="0.35">
      <c r="A10467" s="305"/>
      <c r="B10467" s="306"/>
      <c r="C10467" s="307"/>
    </row>
    <row r="10468" spans="1:3" x14ac:dyDescent="0.35">
      <c r="A10468" s="302"/>
      <c r="B10468" s="303"/>
      <c r="C10468" s="304"/>
    </row>
    <row r="10469" spans="1:3" x14ac:dyDescent="0.35">
      <c r="A10469" s="305"/>
      <c r="B10469" s="306"/>
      <c r="C10469" s="307"/>
    </row>
    <row r="10470" spans="1:3" x14ac:dyDescent="0.35">
      <c r="A10470" s="302"/>
      <c r="B10470" s="303"/>
      <c r="C10470" s="304"/>
    </row>
    <row r="10471" spans="1:3" x14ac:dyDescent="0.35">
      <c r="A10471" s="305"/>
      <c r="B10471" s="306"/>
      <c r="C10471" s="307"/>
    </row>
    <row r="10472" spans="1:3" x14ac:dyDescent="0.35">
      <c r="A10472" s="302"/>
      <c r="B10472" s="303"/>
      <c r="C10472" s="304"/>
    </row>
    <row r="10473" spans="1:3" x14ac:dyDescent="0.35">
      <c r="A10473" s="305"/>
      <c r="B10473" s="306"/>
      <c r="C10473" s="307"/>
    </row>
    <row r="10474" spans="1:3" x14ac:dyDescent="0.35">
      <c r="A10474" s="302"/>
      <c r="B10474" s="303"/>
      <c r="C10474" s="304"/>
    </row>
    <row r="10475" spans="1:3" x14ac:dyDescent="0.35">
      <c r="A10475" s="305"/>
      <c r="B10475" s="306"/>
      <c r="C10475" s="307"/>
    </row>
    <row r="10476" spans="1:3" x14ac:dyDescent="0.35">
      <c r="A10476" s="302"/>
      <c r="B10476" s="303"/>
      <c r="C10476" s="304"/>
    </row>
    <row r="10477" spans="1:3" x14ac:dyDescent="0.35">
      <c r="A10477" s="305"/>
      <c r="B10477" s="306"/>
      <c r="C10477" s="307"/>
    </row>
    <row r="10478" spans="1:3" x14ac:dyDescent="0.35">
      <c r="A10478" s="302"/>
      <c r="B10478" s="303"/>
      <c r="C10478" s="304"/>
    </row>
    <row r="10479" spans="1:3" x14ac:dyDescent="0.35">
      <c r="A10479" s="305"/>
      <c r="B10479" s="306"/>
      <c r="C10479" s="307"/>
    </row>
    <row r="10480" spans="1:3" x14ac:dyDescent="0.35">
      <c r="A10480" s="302"/>
      <c r="B10480" s="303"/>
      <c r="C10480" s="304"/>
    </row>
    <row r="10481" spans="1:3" x14ac:dyDescent="0.35">
      <c r="A10481" s="305"/>
      <c r="B10481" s="306"/>
      <c r="C10481" s="307"/>
    </row>
    <row r="10482" spans="1:3" x14ac:dyDescent="0.35">
      <c r="A10482" s="302"/>
      <c r="B10482" s="303"/>
      <c r="C10482" s="304"/>
    </row>
    <row r="10483" spans="1:3" x14ac:dyDescent="0.35">
      <c r="A10483" s="305"/>
      <c r="B10483" s="306"/>
      <c r="C10483" s="307"/>
    </row>
    <row r="10484" spans="1:3" x14ac:dyDescent="0.35">
      <c r="A10484" s="302"/>
      <c r="B10484" s="303"/>
      <c r="C10484" s="304"/>
    </row>
    <row r="10485" spans="1:3" x14ac:dyDescent="0.35">
      <c r="A10485" s="305"/>
      <c r="B10485" s="306"/>
      <c r="C10485" s="307"/>
    </row>
    <row r="10486" spans="1:3" x14ac:dyDescent="0.35">
      <c r="A10486" s="302"/>
      <c r="B10486" s="303"/>
      <c r="C10486" s="304"/>
    </row>
    <row r="10487" spans="1:3" x14ac:dyDescent="0.35">
      <c r="A10487" s="305"/>
      <c r="B10487" s="306"/>
      <c r="C10487" s="307"/>
    </row>
    <row r="10488" spans="1:3" x14ac:dyDescent="0.35">
      <c r="A10488" s="302"/>
      <c r="B10488" s="303"/>
      <c r="C10488" s="304"/>
    </row>
    <row r="10489" spans="1:3" x14ac:dyDescent="0.35">
      <c r="A10489" s="305"/>
      <c r="B10489" s="306"/>
      <c r="C10489" s="307"/>
    </row>
    <row r="10490" spans="1:3" x14ac:dyDescent="0.35">
      <c r="A10490" s="302"/>
      <c r="B10490" s="303"/>
      <c r="C10490" s="304"/>
    </row>
    <row r="10491" spans="1:3" x14ac:dyDescent="0.35">
      <c r="A10491" s="305"/>
      <c r="B10491" s="306"/>
      <c r="C10491" s="307"/>
    </row>
    <row r="10492" spans="1:3" x14ac:dyDescent="0.35">
      <c r="A10492" s="302"/>
      <c r="B10492" s="303"/>
      <c r="C10492" s="304"/>
    </row>
    <row r="10493" spans="1:3" x14ac:dyDescent="0.35">
      <c r="A10493" s="305"/>
      <c r="B10493" s="306"/>
      <c r="C10493" s="307"/>
    </row>
    <row r="10494" spans="1:3" x14ac:dyDescent="0.35">
      <c r="A10494" s="302"/>
      <c r="B10494" s="303"/>
      <c r="C10494" s="304"/>
    </row>
    <row r="10495" spans="1:3" x14ac:dyDescent="0.35">
      <c r="A10495" s="305"/>
      <c r="B10495" s="306"/>
      <c r="C10495" s="307"/>
    </row>
    <row r="10496" spans="1:3" x14ac:dyDescent="0.35">
      <c r="A10496" s="302"/>
      <c r="B10496" s="303"/>
      <c r="C10496" s="304"/>
    </row>
    <row r="10497" spans="1:3" x14ac:dyDescent="0.35">
      <c r="A10497" s="305"/>
      <c r="B10497" s="306"/>
      <c r="C10497" s="307"/>
    </row>
    <row r="10498" spans="1:3" x14ac:dyDescent="0.35">
      <c r="A10498" s="302"/>
      <c r="B10498" s="303"/>
      <c r="C10498" s="304"/>
    </row>
    <row r="10499" spans="1:3" x14ac:dyDescent="0.35">
      <c r="A10499" s="305"/>
      <c r="B10499" s="306"/>
      <c r="C10499" s="307"/>
    </row>
    <row r="10500" spans="1:3" x14ac:dyDescent="0.35">
      <c r="A10500" s="302"/>
      <c r="B10500" s="303"/>
      <c r="C10500" s="304"/>
    </row>
    <row r="10501" spans="1:3" x14ac:dyDescent="0.35">
      <c r="A10501" s="305"/>
      <c r="B10501" s="306"/>
      <c r="C10501" s="307"/>
    </row>
    <row r="10502" spans="1:3" x14ac:dyDescent="0.35">
      <c r="A10502" s="302"/>
      <c r="B10502" s="303"/>
      <c r="C10502" s="304"/>
    </row>
    <row r="10503" spans="1:3" x14ac:dyDescent="0.35">
      <c r="A10503" s="305"/>
      <c r="B10503" s="306"/>
      <c r="C10503" s="307"/>
    </row>
    <row r="10504" spans="1:3" x14ac:dyDescent="0.35">
      <c r="A10504" s="302"/>
      <c r="B10504" s="303"/>
      <c r="C10504" s="304"/>
    </row>
    <row r="10505" spans="1:3" x14ac:dyDescent="0.35">
      <c r="A10505" s="305"/>
      <c r="B10505" s="306"/>
      <c r="C10505" s="307"/>
    </row>
    <row r="10506" spans="1:3" x14ac:dyDescent="0.35">
      <c r="A10506" s="302"/>
      <c r="B10506" s="303"/>
      <c r="C10506" s="304"/>
    </row>
    <row r="10507" spans="1:3" x14ac:dyDescent="0.35">
      <c r="A10507" s="305"/>
      <c r="B10507" s="306"/>
      <c r="C10507" s="307"/>
    </row>
    <row r="10508" spans="1:3" x14ac:dyDescent="0.35">
      <c r="A10508" s="302"/>
      <c r="B10508" s="303"/>
      <c r="C10508" s="304"/>
    </row>
    <row r="10509" spans="1:3" x14ac:dyDescent="0.35">
      <c r="A10509" s="305"/>
      <c r="B10509" s="306"/>
      <c r="C10509" s="307"/>
    </row>
    <row r="10510" spans="1:3" x14ac:dyDescent="0.35">
      <c r="A10510" s="302"/>
      <c r="B10510" s="303"/>
      <c r="C10510" s="304"/>
    </row>
    <row r="10511" spans="1:3" x14ac:dyDescent="0.35">
      <c r="A10511" s="305"/>
      <c r="B10511" s="306"/>
      <c r="C10511" s="307"/>
    </row>
    <row r="10512" spans="1:3" x14ac:dyDescent="0.35">
      <c r="A10512" s="302"/>
      <c r="B10512" s="303"/>
      <c r="C10512" s="304"/>
    </row>
    <row r="10513" spans="1:3" x14ac:dyDescent="0.35">
      <c r="A10513" s="305"/>
      <c r="B10513" s="306"/>
      <c r="C10513" s="307"/>
    </row>
    <row r="10514" spans="1:3" x14ac:dyDescent="0.35">
      <c r="A10514" s="302"/>
      <c r="B10514" s="303"/>
      <c r="C10514" s="304"/>
    </row>
    <row r="10515" spans="1:3" x14ac:dyDescent="0.35">
      <c r="A10515" s="305"/>
      <c r="B10515" s="306"/>
      <c r="C10515" s="307"/>
    </row>
    <row r="10516" spans="1:3" x14ac:dyDescent="0.35">
      <c r="A10516" s="302"/>
      <c r="B10516" s="303"/>
      <c r="C10516" s="304"/>
    </row>
    <row r="10517" spans="1:3" x14ac:dyDescent="0.35">
      <c r="A10517" s="305"/>
      <c r="B10517" s="306"/>
      <c r="C10517" s="307"/>
    </row>
    <row r="10518" spans="1:3" x14ac:dyDescent="0.35">
      <c r="A10518" s="302"/>
      <c r="B10518" s="303"/>
      <c r="C10518" s="304"/>
    </row>
    <row r="10519" spans="1:3" x14ac:dyDescent="0.35">
      <c r="A10519" s="305"/>
      <c r="B10519" s="306"/>
      <c r="C10519" s="307"/>
    </row>
    <row r="10520" spans="1:3" x14ac:dyDescent="0.35">
      <c r="A10520" s="302"/>
      <c r="B10520" s="303"/>
      <c r="C10520" s="304"/>
    </row>
    <row r="10521" spans="1:3" x14ac:dyDescent="0.35">
      <c r="A10521" s="305"/>
      <c r="B10521" s="306"/>
      <c r="C10521" s="307"/>
    </row>
    <row r="10522" spans="1:3" x14ac:dyDescent="0.35">
      <c r="A10522" s="302"/>
      <c r="B10522" s="303"/>
      <c r="C10522" s="304"/>
    </row>
    <row r="10523" spans="1:3" x14ac:dyDescent="0.35">
      <c r="A10523" s="305"/>
      <c r="B10523" s="306"/>
      <c r="C10523" s="307"/>
    </row>
    <row r="10524" spans="1:3" x14ac:dyDescent="0.35">
      <c r="A10524" s="302"/>
      <c r="B10524" s="303"/>
      <c r="C10524" s="304"/>
    </row>
    <row r="10525" spans="1:3" x14ac:dyDescent="0.35">
      <c r="A10525" s="305"/>
      <c r="B10525" s="306"/>
      <c r="C10525" s="307"/>
    </row>
    <row r="10526" spans="1:3" x14ac:dyDescent="0.35">
      <c r="A10526" s="302"/>
      <c r="B10526" s="303"/>
      <c r="C10526" s="304"/>
    </row>
    <row r="10527" spans="1:3" x14ac:dyDescent="0.35">
      <c r="A10527" s="305"/>
      <c r="B10527" s="306"/>
      <c r="C10527" s="307"/>
    </row>
    <row r="10528" spans="1:3" x14ac:dyDescent="0.35">
      <c r="A10528" s="302"/>
      <c r="B10528" s="303"/>
      <c r="C10528" s="304"/>
    </row>
    <row r="10529" spans="1:3" x14ac:dyDescent="0.35">
      <c r="A10529" s="305"/>
      <c r="B10529" s="306"/>
      <c r="C10529" s="307"/>
    </row>
    <row r="10530" spans="1:3" x14ac:dyDescent="0.35">
      <c r="A10530" s="302"/>
      <c r="B10530" s="303"/>
      <c r="C10530" s="304"/>
    </row>
    <row r="10531" spans="1:3" x14ac:dyDescent="0.35">
      <c r="A10531" s="305"/>
      <c r="B10531" s="306"/>
      <c r="C10531" s="307"/>
    </row>
    <row r="10532" spans="1:3" x14ac:dyDescent="0.35">
      <c r="A10532" s="302"/>
      <c r="B10532" s="303"/>
      <c r="C10532" s="304"/>
    </row>
    <row r="10533" spans="1:3" x14ac:dyDescent="0.35">
      <c r="A10533" s="305"/>
      <c r="B10533" s="306"/>
      <c r="C10533" s="307"/>
    </row>
    <row r="10534" spans="1:3" x14ac:dyDescent="0.35">
      <c r="A10534" s="302"/>
      <c r="B10534" s="303"/>
      <c r="C10534" s="304"/>
    </row>
    <row r="10535" spans="1:3" x14ac:dyDescent="0.35">
      <c r="A10535" s="305"/>
      <c r="B10535" s="306"/>
      <c r="C10535" s="307"/>
    </row>
    <row r="10536" spans="1:3" x14ac:dyDescent="0.35">
      <c r="A10536" s="302"/>
      <c r="B10536" s="303"/>
      <c r="C10536" s="304"/>
    </row>
    <row r="10537" spans="1:3" x14ac:dyDescent="0.35">
      <c r="A10537" s="305"/>
      <c r="B10537" s="306"/>
      <c r="C10537" s="307"/>
    </row>
    <row r="10538" spans="1:3" x14ac:dyDescent="0.35">
      <c r="A10538" s="302"/>
      <c r="B10538" s="303"/>
      <c r="C10538" s="304"/>
    </row>
    <row r="10539" spans="1:3" x14ac:dyDescent="0.35">
      <c r="A10539" s="305"/>
      <c r="B10539" s="306"/>
      <c r="C10539" s="307"/>
    </row>
    <row r="10540" spans="1:3" x14ac:dyDescent="0.35">
      <c r="A10540" s="302"/>
      <c r="B10540" s="303"/>
      <c r="C10540" s="304"/>
    </row>
    <row r="10541" spans="1:3" x14ac:dyDescent="0.35">
      <c r="A10541" s="305"/>
      <c r="B10541" s="306"/>
      <c r="C10541" s="307"/>
    </row>
    <row r="10542" spans="1:3" x14ac:dyDescent="0.35">
      <c r="A10542" s="302"/>
      <c r="B10542" s="303"/>
      <c r="C10542" s="304"/>
    </row>
    <row r="10543" spans="1:3" x14ac:dyDescent="0.35">
      <c r="A10543" s="305"/>
      <c r="B10543" s="306"/>
      <c r="C10543" s="307"/>
    </row>
    <row r="10544" spans="1:3" x14ac:dyDescent="0.35">
      <c r="A10544" s="302"/>
      <c r="B10544" s="303"/>
      <c r="C10544" s="304"/>
    </row>
    <row r="10545" spans="1:3" x14ac:dyDescent="0.35">
      <c r="A10545" s="305"/>
      <c r="B10545" s="306"/>
      <c r="C10545" s="307"/>
    </row>
    <row r="10546" spans="1:3" x14ac:dyDescent="0.35">
      <c r="A10546" s="302"/>
      <c r="B10546" s="303"/>
      <c r="C10546" s="304"/>
    </row>
    <row r="10547" spans="1:3" x14ac:dyDescent="0.35">
      <c r="A10547" s="305"/>
      <c r="B10547" s="306"/>
      <c r="C10547" s="307"/>
    </row>
    <row r="10548" spans="1:3" x14ac:dyDescent="0.35">
      <c r="A10548" s="302"/>
      <c r="B10548" s="303"/>
      <c r="C10548" s="304"/>
    </row>
    <row r="10549" spans="1:3" x14ac:dyDescent="0.35">
      <c r="A10549" s="305"/>
      <c r="B10549" s="306"/>
      <c r="C10549" s="307"/>
    </row>
    <row r="10550" spans="1:3" x14ac:dyDescent="0.35">
      <c r="A10550" s="302"/>
      <c r="B10550" s="303"/>
      <c r="C10550" s="304"/>
    </row>
    <row r="10551" spans="1:3" x14ac:dyDescent="0.35">
      <c r="A10551" s="305"/>
      <c r="B10551" s="306"/>
      <c r="C10551" s="307"/>
    </row>
    <row r="10552" spans="1:3" x14ac:dyDescent="0.35">
      <c r="A10552" s="302"/>
      <c r="B10552" s="303"/>
      <c r="C10552" s="304"/>
    </row>
    <row r="10553" spans="1:3" x14ac:dyDescent="0.35">
      <c r="A10553" s="305"/>
      <c r="B10553" s="306"/>
      <c r="C10553" s="307"/>
    </row>
    <row r="10554" spans="1:3" x14ac:dyDescent="0.35">
      <c r="A10554" s="302"/>
      <c r="B10554" s="303"/>
      <c r="C10554" s="304"/>
    </row>
    <row r="10555" spans="1:3" x14ac:dyDescent="0.35">
      <c r="A10555" s="305"/>
      <c r="B10555" s="306"/>
      <c r="C10555" s="307"/>
    </row>
    <row r="10556" spans="1:3" x14ac:dyDescent="0.35">
      <c r="A10556" s="302"/>
      <c r="B10556" s="303"/>
      <c r="C10556" s="304"/>
    </row>
    <row r="10557" spans="1:3" x14ac:dyDescent="0.35">
      <c r="A10557" s="305"/>
      <c r="B10557" s="306"/>
      <c r="C10557" s="307"/>
    </row>
    <row r="10558" spans="1:3" x14ac:dyDescent="0.35">
      <c r="A10558" s="302"/>
      <c r="B10558" s="303"/>
      <c r="C10558" s="304"/>
    </row>
    <row r="10559" spans="1:3" x14ac:dyDescent="0.35">
      <c r="A10559" s="305"/>
      <c r="B10559" s="306"/>
      <c r="C10559" s="307"/>
    </row>
    <row r="10560" spans="1:3" x14ac:dyDescent="0.35">
      <c r="A10560" s="302"/>
      <c r="B10560" s="303"/>
      <c r="C10560" s="304"/>
    </row>
    <row r="10561" spans="1:3" x14ac:dyDescent="0.35">
      <c r="A10561" s="305"/>
      <c r="B10561" s="306"/>
      <c r="C10561" s="307"/>
    </row>
    <row r="10562" spans="1:3" x14ac:dyDescent="0.35">
      <c r="A10562" s="302"/>
      <c r="B10562" s="303"/>
      <c r="C10562" s="304"/>
    </row>
    <row r="10563" spans="1:3" x14ac:dyDescent="0.35">
      <c r="A10563" s="305"/>
      <c r="B10563" s="306"/>
      <c r="C10563" s="307"/>
    </row>
    <row r="10564" spans="1:3" x14ac:dyDescent="0.35">
      <c r="A10564" s="302"/>
      <c r="B10564" s="303"/>
      <c r="C10564" s="304"/>
    </row>
    <row r="10565" spans="1:3" x14ac:dyDescent="0.35">
      <c r="A10565" s="305"/>
      <c r="B10565" s="306"/>
      <c r="C10565" s="307"/>
    </row>
    <row r="10566" spans="1:3" x14ac:dyDescent="0.35">
      <c r="A10566" s="302"/>
      <c r="B10566" s="303"/>
      <c r="C10566" s="304"/>
    </row>
    <row r="10567" spans="1:3" x14ac:dyDescent="0.35">
      <c r="A10567" s="305"/>
      <c r="B10567" s="306"/>
      <c r="C10567" s="307"/>
    </row>
    <row r="10568" spans="1:3" x14ac:dyDescent="0.35">
      <c r="A10568" s="302"/>
      <c r="B10568" s="303"/>
      <c r="C10568" s="304"/>
    </row>
    <row r="10569" spans="1:3" x14ac:dyDescent="0.35">
      <c r="A10569" s="305"/>
      <c r="B10569" s="306"/>
      <c r="C10569" s="307"/>
    </row>
    <row r="10570" spans="1:3" x14ac:dyDescent="0.35">
      <c r="A10570" s="302"/>
      <c r="B10570" s="303"/>
      <c r="C10570" s="304"/>
    </row>
    <row r="10571" spans="1:3" x14ac:dyDescent="0.35">
      <c r="A10571" s="305"/>
      <c r="B10571" s="306"/>
      <c r="C10571" s="307"/>
    </row>
    <row r="10572" spans="1:3" x14ac:dyDescent="0.35">
      <c r="A10572" s="302"/>
      <c r="B10572" s="303"/>
      <c r="C10572" s="304"/>
    </row>
    <row r="10573" spans="1:3" x14ac:dyDescent="0.35">
      <c r="A10573" s="305"/>
      <c r="B10573" s="306"/>
      <c r="C10573" s="307"/>
    </row>
    <row r="10574" spans="1:3" x14ac:dyDescent="0.35">
      <c r="A10574" s="302"/>
      <c r="B10574" s="303"/>
      <c r="C10574" s="304"/>
    </row>
    <row r="10575" spans="1:3" x14ac:dyDescent="0.35">
      <c r="A10575" s="305"/>
      <c r="B10575" s="306"/>
      <c r="C10575" s="307"/>
    </row>
    <row r="10576" spans="1:3" x14ac:dyDescent="0.35">
      <c r="A10576" s="302"/>
      <c r="B10576" s="303"/>
      <c r="C10576" s="304"/>
    </row>
    <row r="10577" spans="1:3" x14ac:dyDescent="0.35">
      <c r="A10577" s="305"/>
      <c r="B10577" s="306"/>
      <c r="C10577" s="307"/>
    </row>
    <row r="10578" spans="1:3" x14ac:dyDescent="0.35">
      <c r="A10578" s="302"/>
      <c r="B10578" s="303"/>
      <c r="C10578" s="304"/>
    </row>
    <row r="10579" spans="1:3" x14ac:dyDescent="0.35">
      <c r="A10579" s="305"/>
      <c r="B10579" s="306"/>
      <c r="C10579" s="307"/>
    </row>
    <row r="10580" spans="1:3" x14ac:dyDescent="0.35">
      <c r="A10580" s="302"/>
      <c r="B10580" s="303"/>
      <c r="C10580" s="304"/>
    </row>
    <row r="10581" spans="1:3" x14ac:dyDescent="0.35">
      <c r="A10581" s="305"/>
      <c r="B10581" s="306"/>
      <c r="C10581" s="307"/>
    </row>
    <row r="10582" spans="1:3" x14ac:dyDescent="0.35">
      <c r="A10582" s="302"/>
      <c r="B10582" s="303"/>
      <c r="C10582" s="304"/>
    </row>
    <row r="10583" spans="1:3" x14ac:dyDescent="0.35">
      <c r="A10583" s="305"/>
      <c r="B10583" s="306"/>
      <c r="C10583" s="307"/>
    </row>
    <row r="10584" spans="1:3" x14ac:dyDescent="0.35">
      <c r="A10584" s="302"/>
      <c r="B10584" s="303"/>
      <c r="C10584" s="304"/>
    </row>
    <row r="10585" spans="1:3" x14ac:dyDescent="0.35">
      <c r="A10585" s="305"/>
      <c r="B10585" s="306"/>
      <c r="C10585" s="307"/>
    </row>
    <row r="10586" spans="1:3" x14ac:dyDescent="0.35">
      <c r="A10586" s="302"/>
      <c r="B10586" s="303"/>
      <c r="C10586" s="304"/>
    </row>
    <row r="10587" spans="1:3" x14ac:dyDescent="0.35">
      <c r="A10587" s="305"/>
      <c r="B10587" s="306"/>
      <c r="C10587" s="307"/>
    </row>
    <row r="10588" spans="1:3" x14ac:dyDescent="0.35">
      <c r="A10588" s="302"/>
      <c r="B10588" s="303"/>
      <c r="C10588" s="304"/>
    </row>
    <row r="10589" spans="1:3" x14ac:dyDescent="0.35">
      <c r="A10589" s="305"/>
      <c r="B10589" s="306"/>
      <c r="C10589" s="307"/>
    </row>
    <row r="10590" spans="1:3" x14ac:dyDescent="0.35">
      <c r="A10590" s="302"/>
      <c r="B10590" s="303"/>
      <c r="C10590" s="304"/>
    </row>
    <row r="10591" spans="1:3" x14ac:dyDescent="0.35">
      <c r="A10591" s="305"/>
      <c r="B10591" s="306"/>
      <c r="C10591" s="307"/>
    </row>
    <row r="10592" spans="1:3" x14ac:dyDescent="0.35">
      <c r="A10592" s="302"/>
      <c r="B10592" s="303"/>
      <c r="C10592" s="304"/>
    </row>
    <row r="10593" spans="1:3" x14ac:dyDescent="0.35">
      <c r="A10593" s="305"/>
      <c r="B10593" s="306"/>
      <c r="C10593" s="307"/>
    </row>
    <row r="10594" spans="1:3" x14ac:dyDescent="0.35">
      <c r="A10594" s="302"/>
      <c r="B10594" s="303"/>
      <c r="C10594" s="304"/>
    </row>
    <row r="10595" spans="1:3" x14ac:dyDescent="0.35">
      <c r="A10595" s="305"/>
      <c r="B10595" s="306"/>
      <c r="C10595" s="307"/>
    </row>
    <row r="10596" spans="1:3" x14ac:dyDescent="0.35">
      <c r="A10596" s="302"/>
      <c r="B10596" s="303"/>
      <c r="C10596" s="304"/>
    </row>
    <row r="10597" spans="1:3" x14ac:dyDescent="0.35">
      <c r="A10597" s="305"/>
      <c r="B10597" s="306"/>
      <c r="C10597" s="307"/>
    </row>
    <row r="10598" spans="1:3" x14ac:dyDescent="0.35">
      <c r="A10598" s="302"/>
      <c r="B10598" s="303"/>
      <c r="C10598" s="304"/>
    </row>
    <row r="10599" spans="1:3" x14ac:dyDescent="0.35">
      <c r="A10599" s="305"/>
      <c r="B10599" s="306"/>
      <c r="C10599" s="307"/>
    </row>
    <row r="10600" spans="1:3" x14ac:dyDescent="0.35">
      <c r="A10600" s="302"/>
      <c r="B10600" s="303"/>
      <c r="C10600" s="304"/>
    </row>
    <row r="10601" spans="1:3" x14ac:dyDescent="0.35">
      <c r="A10601" s="305"/>
      <c r="B10601" s="306"/>
      <c r="C10601" s="307"/>
    </row>
    <row r="10602" spans="1:3" x14ac:dyDescent="0.35">
      <c r="A10602" s="302"/>
      <c r="B10602" s="303"/>
      <c r="C10602" s="304"/>
    </row>
    <row r="10603" spans="1:3" x14ac:dyDescent="0.35">
      <c r="A10603" s="305"/>
      <c r="B10603" s="306"/>
      <c r="C10603" s="307"/>
    </row>
    <row r="10604" spans="1:3" x14ac:dyDescent="0.35">
      <c r="A10604" s="302"/>
      <c r="B10604" s="303"/>
      <c r="C10604" s="304"/>
    </row>
    <row r="10605" spans="1:3" x14ac:dyDescent="0.35">
      <c r="A10605" s="305"/>
      <c r="B10605" s="306"/>
      <c r="C10605" s="307"/>
    </row>
    <row r="10606" spans="1:3" x14ac:dyDescent="0.35">
      <c r="A10606" s="302"/>
      <c r="B10606" s="303"/>
      <c r="C10606" s="304"/>
    </row>
    <row r="10607" spans="1:3" x14ac:dyDescent="0.35">
      <c r="A10607" s="305"/>
      <c r="B10607" s="306"/>
      <c r="C10607" s="307"/>
    </row>
    <row r="10608" spans="1:3" x14ac:dyDescent="0.35">
      <c r="A10608" s="302"/>
      <c r="B10608" s="303"/>
      <c r="C10608" s="304"/>
    </row>
    <row r="10609" spans="1:3" x14ac:dyDescent="0.35">
      <c r="A10609" s="305"/>
      <c r="B10609" s="306"/>
      <c r="C10609" s="307"/>
    </row>
    <row r="10610" spans="1:3" x14ac:dyDescent="0.35">
      <c r="A10610" s="302"/>
      <c r="B10610" s="303"/>
      <c r="C10610" s="304"/>
    </row>
    <row r="10611" spans="1:3" x14ac:dyDescent="0.35">
      <c r="A10611" s="305"/>
      <c r="B10611" s="306"/>
      <c r="C10611" s="307"/>
    </row>
    <row r="10612" spans="1:3" x14ac:dyDescent="0.35">
      <c r="A10612" s="302"/>
      <c r="B10612" s="303"/>
      <c r="C10612" s="304"/>
    </row>
    <row r="10613" spans="1:3" x14ac:dyDescent="0.35">
      <c r="A10613" s="305"/>
      <c r="B10613" s="306"/>
      <c r="C10613" s="307"/>
    </row>
    <row r="10614" spans="1:3" x14ac:dyDescent="0.35">
      <c r="A10614" s="302"/>
      <c r="B10614" s="303"/>
      <c r="C10614" s="304"/>
    </row>
    <row r="10615" spans="1:3" x14ac:dyDescent="0.35">
      <c r="A10615" s="305"/>
      <c r="B10615" s="306"/>
      <c r="C10615" s="307"/>
    </row>
    <row r="10616" spans="1:3" x14ac:dyDescent="0.35">
      <c r="A10616" s="302"/>
      <c r="B10616" s="303"/>
      <c r="C10616" s="304"/>
    </row>
    <row r="10617" spans="1:3" x14ac:dyDescent="0.35">
      <c r="A10617" s="305"/>
      <c r="B10617" s="306"/>
      <c r="C10617" s="307"/>
    </row>
    <row r="10618" spans="1:3" x14ac:dyDescent="0.35">
      <c r="A10618" s="302"/>
      <c r="B10618" s="303"/>
      <c r="C10618" s="304"/>
    </row>
    <row r="10619" spans="1:3" x14ac:dyDescent="0.35">
      <c r="A10619" s="305"/>
      <c r="B10619" s="306"/>
      <c r="C10619" s="307"/>
    </row>
    <row r="10620" spans="1:3" x14ac:dyDescent="0.35">
      <c r="A10620" s="302"/>
      <c r="B10620" s="303"/>
      <c r="C10620" s="304"/>
    </row>
    <row r="10621" spans="1:3" x14ac:dyDescent="0.35">
      <c r="A10621" s="305"/>
      <c r="B10621" s="306"/>
      <c r="C10621" s="307"/>
    </row>
    <row r="10622" spans="1:3" x14ac:dyDescent="0.35">
      <c r="A10622" s="302"/>
      <c r="B10622" s="303"/>
      <c r="C10622" s="304"/>
    </row>
    <row r="10623" spans="1:3" x14ac:dyDescent="0.35">
      <c r="A10623" s="305"/>
      <c r="B10623" s="306"/>
      <c r="C10623" s="307"/>
    </row>
    <row r="10624" spans="1:3" x14ac:dyDescent="0.35">
      <c r="A10624" s="302"/>
      <c r="B10624" s="303"/>
      <c r="C10624" s="304"/>
    </row>
    <row r="10625" spans="1:3" x14ac:dyDescent="0.35">
      <c r="A10625" s="305"/>
      <c r="B10625" s="306"/>
      <c r="C10625" s="307"/>
    </row>
    <row r="10626" spans="1:3" x14ac:dyDescent="0.35">
      <c r="A10626" s="302"/>
      <c r="B10626" s="303"/>
      <c r="C10626" s="304"/>
    </row>
    <row r="10627" spans="1:3" x14ac:dyDescent="0.35">
      <c r="A10627" s="305"/>
      <c r="B10627" s="306"/>
      <c r="C10627" s="307"/>
    </row>
    <row r="10628" spans="1:3" x14ac:dyDescent="0.35">
      <c r="A10628" s="302"/>
      <c r="B10628" s="303"/>
      <c r="C10628" s="304"/>
    </row>
    <row r="10629" spans="1:3" x14ac:dyDescent="0.35">
      <c r="A10629" s="305"/>
      <c r="B10629" s="306"/>
      <c r="C10629" s="307"/>
    </row>
    <row r="10630" spans="1:3" x14ac:dyDescent="0.35">
      <c r="A10630" s="302"/>
      <c r="B10630" s="303"/>
      <c r="C10630" s="304"/>
    </row>
  </sheetData>
  <sheetProtection algorithmName="SHA-512" hashValue="cSxXCawb7G4ao1T2T36xPyH0/57O4UlXSHddEn/ps8Gax59n+JoD4SakdNi7LDidVN6sXV61ljbgSuq5ErSZ5g==" saltValue="GpW5/sRjr2OuKSmxjdBcvw==" spinCount="100000" sheet="1" objects="1" scenarios="1"/>
  <mergeCells count="3">
    <mergeCell ref="A1:C1"/>
    <mergeCell ref="A2:C2"/>
    <mergeCell ref="G2:H2"/>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638C8-6617-42BD-A547-4A2E517BE08D}">
  <sheetPr codeName="Hoja30"/>
  <dimension ref="A1:AB32"/>
  <sheetViews>
    <sheetView showGridLines="0" zoomScale="80" zoomScaleNormal="80" workbookViewId="0">
      <selection activeCell="B24" sqref="B24"/>
    </sheetView>
  </sheetViews>
  <sheetFormatPr baseColWidth="10" defaultColWidth="11.453125" defaultRowHeight="14.5" x14ac:dyDescent="0.35"/>
  <cols>
    <col min="1" max="1" width="4.453125" style="2" customWidth="1"/>
    <col min="2" max="2" width="43.26953125" style="2" customWidth="1"/>
    <col min="3" max="3" width="11.54296875" style="2" customWidth="1"/>
    <col min="4" max="4" width="20.26953125" style="2" customWidth="1"/>
    <col min="5" max="5" width="5.81640625" style="2" customWidth="1"/>
    <col min="6" max="6" width="17.26953125" style="2" customWidth="1"/>
    <col min="7" max="7" width="17.54296875" style="2" customWidth="1"/>
    <col min="8" max="8" width="13.81640625" style="2" customWidth="1"/>
    <col min="9" max="9" width="16" style="2" customWidth="1"/>
    <col min="10" max="10" width="11.26953125" style="2" customWidth="1"/>
    <col min="11" max="11" width="16.453125" style="2" customWidth="1"/>
    <col min="12" max="12" width="11.7265625" style="2" hidden="1" customWidth="1"/>
    <col min="13" max="19" width="15.1796875" style="2" hidden="1" customWidth="1"/>
    <col min="20" max="28" width="11.453125" style="2" hidden="1" customWidth="1"/>
    <col min="29" max="16384" width="11.453125" style="2"/>
  </cols>
  <sheetData>
    <row r="1" spans="1:27" ht="15" customHeight="1" x14ac:dyDescent="0.35">
      <c r="C1" s="61"/>
      <c r="D1" s="61"/>
      <c r="E1" s="61"/>
      <c r="F1" s="61"/>
      <c r="G1" s="61"/>
      <c r="H1" s="430" t="str">
        <f>Pantalla_Inicio!J1</f>
        <v>Código: PCV_FOR_006
Versión: V02
Fecha de actualización: 04/05/2026</v>
      </c>
      <c r="I1" s="431"/>
      <c r="J1" s="112"/>
      <c r="K1" s="112"/>
      <c r="L1" s="112"/>
    </row>
    <row r="2" spans="1:27" ht="30.75" customHeight="1" x14ac:dyDescent="0.55000000000000004">
      <c r="C2" s="143"/>
      <c r="D2" s="143"/>
      <c r="E2" s="143"/>
      <c r="F2" s="143"/>
      <c r="G2" s="143"/>
      <c r="H2" s="432"/>
      <c r="I2" s="433"/>
      <c r="J2" s="112"/>
      <c r="K2" s="112"/>
      <c r="L2" s="112"/>
      <c r="N2" s="111" t="s">
        <v>37</v>
      </c>
      <c r="O2" s="111" t="s">
        <v>137</v>
      </c>
      <c r="P2" s="111"/>
      <c r="Q2" s="111" t="s">
        <v>38</v>
      </c>
      <c r="R2" s="111"/>
      <c r="S2" s="111"/>
      <c r="T2" s="111" t="s">
        <v>39</v>
      </c>
      <c r="U2" s="111"/>
      <c r="V2" s="111"/>
      <c r="W2" s="111" t="s">
        <v>41</v>
      </c>
      <c r="X2" s="111"/>
      <c r="Y2" s="111"/>
      <c r="Z2" s="111"/>
      <c r="AA2" s="111" t="s">
        <v>2528</v>
      </c>
    </row>
    <row r="3" spans="1:27" ht="24.75" customHeight="1" x14ac:dyDescent="0.35">
      <c r="A3" s="69"/>
      <c r="B3" s="69"/>
      <c r="C3" s="69"/>
      <c r="D3" s="69"/>
      <c r="E3" s="69"/>
      <c r="F3" s="69"/>
      <c r="G3" s="69"/>
      <c r="H3" s="434"/>
      <c r="I3" s="435"/>
      <c r="J3" s="96" t="s">
        <v>2346</v>
      </c>
      <c r="K3" s="112"/>
      <c r="L3" s="112"/>
      <c r="M3" s="11"/>
      <c r="N3" s="2" t="s">
        <v>50</v>
      </c>
      <c r="O3" s="2">
        <v>1423500</v>
      </c>
      <c r="Q3" s="2" t="s">
        <v>51</v>
      </c>
      <c r="T3" s="2" t="s">
        <v>52</v>
      </c>
      <c r="W3" s="2" t="s">
        <v>2529</v>
      </c>
      <c r="AA3" s="2" t="s">
        <v>31</v>
      </c>
    </row>
    <row r="4" spans="1:27" ht="10.5" customHeight="1" x14ac:dyDescent="0.35">
      <c r="A4" s="11"/>
      <c r="B4" s="11"/>
      <c r="C4" s="11"/>
      <c r="D4" s="11"/>
      <c r="E4" s="11"/>
      <c r="F4" s="11"/>
      <c r="G4" s="11"/>
      <c r="H4" s="144"/>
      <c r="I4" s="144"/>
      <c r="J4" s="112"/>
      <c r="K4" s="112"/>
      <c r="L4" s="144"/>
      <c r="M4" s="11"/>
      <c r="N4" s="2" t="s">
        <v>75</v>
      </c>
      <c r="Q4" s="2" t="s">
        <v>66</v>
      </c>
      <c r="T4" s="2" t="s">
        <v>61</v>
      </c>
      <c r="W4" s="2" t="s">
        <v>2530</v>
      </c>
      <c r="AA4" s="2" t="str">
        <f>IF(D14="NO VIS","Leasing Habitacional Familiar","")</f>
        <v/>
      </c>
    </row>
    <row r="5" spans="1:27" ht="17.5" customHeight="1" x14ac:dyDescent="0.55000000000000004">
      <c r="A5" s="11"/>
      <c r="B5" s="515" t="s">
        <v>2627</v>
      </c>
      <c r="C5" s="515"/>
      <c r="D5" s="515"/>
      <c r="E5" s="16"/>
      <c r="F5" s="11"/>
      <c r="G5" s="11"/>
      <c r="H5" s="11"/>
      <c r="I5" s="11"/>
      <c r="J5" s="11"/>
      <c r="K5" s="144"/>
      <c r="L5" s="112"/>
      <c r="M5" s="11"/>
      <c r="N5" s="2" t="s">
        <v>92</v>
      </c>
      <c r="W5" s="2" t="s">
        <v>56</v>
      </c>
      <c r="AA5" s="2" t="s">
        <v>34</v>
      </c>
    </row>
    <row r="6" spans="1:27" ht="23.25" customHeight="1" x14ac:dyDescent="0.35">
      <c r="A6" s="145"/>
      <c r="B6" s="516" t="s">
        <v>2348</v>
      </c>
      <c r="C6" s="516"/>
      <c r="D6" s="516"/>
      <c r="E6" s="79"/>
      <c r="F6" s="59"/>
      <c r="G6" s="59"/>
      <c r="H6" s="59"/>
      <c r="I6" s="59"/>
      <c r="J6" s="59"/>
      <c r="K6" s="112"/>
      <c r="L6" s="112"/>
      <c r="M6" s="11"/>
      <c r="AA6" s="2" t="s">
        <v>2441</v>
      </c>
    </row>
    <row r="7" spans="1:27" ht="19.5" customHeight="1" x14ac:dyDescent="0.35">
      <c r="A7" s="145"/>
      <c r="B7" s="517" t="s">
        <v>2349</v>
      </c>
      <c r="C7" s="518"/>
      <c r="D7" s="519"/>
      <c r="E7" s="79"/>
      <c r="F7" s="59"/>
      <c r="G7" s="59"/>
      <c r="H7" s="59"/>
      <c r="I7" s="59"/>
      <c r="J7" s="59"/>
      <c r="K7" s="112"/>
      <c r="L7" s="112"/>
      <c r="M7" s="11"/>
    </row>
    <row r="8" spans="1:27" ht="14.25" customHeight="1" x14ac:dyDescent="0.35">
      <c r="A8" s="145"/>
      <c r="E8" s="79"/>
      <c r="F8" s="59"/>
      <c r="G8" s="59"/>
      <c r="H8" s="59"/>
      <c r="I8" s="59"/>
      <c r="J8" s="59"/>
      <c r="K8" s="112"/>
      <c r="L8" s="14"/>
      <c r="M8" s="14"/>
    </row>
    <row r="9" spans="1:27" ht="19.5" customHeight="1" x14ac:dyDescent="0.35">
      <c r="A9" s="145"/>
      <c r="B9" s="520" t="s">
        <v>2531</v>
      </c>
      <c r="C9" s="521"/>
      <c r="D9" s="522"/>
      <c r="E9" s="79"/>
      <c r="F9" s="516" t="s">
        <v>2532</v>
      </c>
      <c r="G9" s="516"/>
      <c r="H9" s="516"/>
      <c r="I9" s="59"/>
      <c r="J9" s="59"/>
      <c r="K9" s="14"/>
      <c r="L9" s="14"/>
      <c r="M9" s="14"/>
    </row>
    <row r="10" spans="1:27" ht="6" customHeight="1" thickBot="1" x14ac:dyDescent="0.4">
      <c r="A10" s="145"/>
      <c r="B10" s="54"/>
      <c r="C10" s="54"/>
      <c r="D10" s="54"/>
      <c r="E10" s="79"/>
      <c r="F10" s="59"/>
      <c r="G10" s="59"/>
      <c r="H10" s="59"/>
      <c r="I10" s="59"/>
      <c r="J10" s="59"/>
      <c r="K10" s="14"/>
      <c r="L10" s="120">
        <f>D11</f>
        <v>0</v>
      </c>
      <c r="M10" s="59"/>
      <c r="N10" s="111" t="s">
        <v>40</v>
      </c>
      <c r="P10" s="111"/>
    </row>
    <row r="11" spans="1:27" ht="16.5" customHeight="1" thickBot="1" x14ac:dyDescent="0.4">
      <c r="A11" s="145"/>
      <c r="B11" s="524" t="s">
        <v>2533</v>
      </c>
      <c r="C11" s="525"/>
      <c r="D11" s="98"/>
      <c r="E11" s="79"/>
      <c r="F11" s="223" t="s">
        <v>2534</v>
      </c>
      <c r="G11" s="224"/>
      <c r="H11" s="101" t="s">
        <v>61</v>
      </c>
      <c r="I11" s="106"/>
      <c r="K11" s="59"/>
      <c r="L11" s="79">
        <f>C12</f>
        <v>0</v>
      </c>
      <c r="M11" s="59"/>
      <c r="N11" s="2">
        <v>0</v>
      </c>
      <c r="O11" s="2">
        <f>N12-1</f>
        <v>788</v>
      </c>
      <c r="P11" s="2" t="s">
        <v>58</v>
      </c>
    </row>
    <row r="12" spans="1:27" ht="16.5" customHeight="1" thickBot="1" x14ac:dyDescent="0.4">
      <c r="A12" s="145"/>
      <c r="B12" s="71" t="s">
        <v>2363</v>
      </c>
      <c r="C12" s="526"/>
      <c r="D12" s="527"/>
      <c r="E12" s="79"/>
      <c r="F12" s="536" t="str">
        <f>IF(H11="Si","Indica tasa especial en terminos E.A.","")</f>
        <v/>
      </c>
      <c r="G12" s="537"/>
      <c r="H12" s="175"/>
      <c r="I12" s="106"/>
      <c r="K12" s="59"/>
      <c r="L12" s="120">
        <f>D13</f>
        <v>0</v>
      </c>
      <c r="M12" s="59"/>
      <c r="N12" s="2">
        <v>789</v>
      </c>
      <c r="P12" s="2" t="s">
        <v>53</v>
      </c>
    </row>
    <row r="13" spans="1:27" ht="15.75" customHeight="1" x14ac:dyDescent="0.35">
      <c r="A13" s="145"/>
      <c r="B13" s="529" t="s">
        <v>2365</v>
      </c>
      <c r="C13" s="530"/>
      <c r="D13" s="99"/>
      <c r="E13" s="155">
        <f>135*$O$3</f>
        <v>192172500</v>
      </c>
      <c r="F13" s="107"/>
      <c r="G13" s="107"/>
      <c r="H13" s="106"/>
      <c r="I13" s="106"/>
      <c r="K13" s="59"/>
      <c r="L13" s="120" t="str">
        <f>D14</f>
        <v/>
      </c>
      <c r="M13" s="59"/>
    </row>
    <row r="14" spans="1:27" ht="15.65" customHeight="1" x14ac:dyDescent="0.35">
      <c r="A14" s="145"/>
      <c r="B14" s="531" t="s">
        <v>2535</v>
      </c>
      <c r="C14" s="531"/>
      <c r="D14" s="113" t="str">
        <f>_xlfn.IFNA(IF(D13&gt;(VLOOKUP(C12,'Ciudades y SMMLV'!A1:E1119,5,0)),"NO VIS","VIS"),"")</f>
        <v/>
      </c>
      <c r="E14" s="79"/>
      <c r="F14" s="79" t="e" cm="1">
        <f t="array" ref="F14">_xlfn.IFS(D19=O16,P16,((D19&gt;=N17)*AND(D19&lt;=O17)),P17,((D19&gt;=N18)*AND(D19&lt;=O18)),P18,((D19&gt;=N19)*AND(D19&lt;=O19)),P19,((D19&gt;=N20)*AND(D19&lt;=O20)),P20,((D19&gt;=N21)*AND(D19&lt;=O21)),P21)</f>
        <v>#N/A</v>
      </c>
      <c r="G14" s="59"/>
      <c r="H14" s="59"/>
      <c r="I14" s="59"/>
      <c r="J14" s="59"/>
      <c r="K14" s="59"/>
      <c r="L14" s="120"/>
      <c r="M14" s="59"/>
    </row>
    <row r="15" spans="1:27" ht="15" customHeight="1" thickBot="1" x14ac:dyDescent="0.4">
      <c r="A15" s="145"/>
      <c r="B15" s="15"/>
      <c r="C15" s="15"/>
      <c r="D15" s="15"/>
      <c r="E15" s="109"/>
      <c r="F15" s="59"/>
      <c r="G15" s="59"/>
      <c r="H15" s="59"/>
      <c r="I15" s="59"/>
      <c r="J15" s="59"/>
      <c r="K15" s="59"/>
      <c r="L15" s="79"/>
      <c r="M15" s="59"/>
      <c r="N15" s="111" t="s">
        <v>2536</v>
      </c>
    </row>
    <row r="16" spans="1:27" ht="21" x14ac:dyDescent="0.5">
      <c r="A16" s="145"/>
      <c r="B16" s="512" t="s">
        <v>2537</v>
      </c>
      <c r="C16" s="513"/>
      <c r="D16" s="514"/>
      <c r="E16" s="79"/>
      <c r="F16" s="153"/>
      <c r="G16" s="153"/>
      <c r="H16" s="153"/>
      <c r="I16" s="153"/>
      <c r="J16" s="153"/>
      <c r="K16" s="59"/>
      <c r="L16" s="120">
        <f t="shared" ref="L16" si="0">D17</f>
        <v>0</v>
      </c>
      <c r="M16" s="59"/>
      <c r="N16" s="111">
        <v>0</v>
      </c>
      <c r="O16" s="2">
        <v>60</v>
      </c>
      <c r="P16" s="2" t="s">
        <v>42</v>
      </c>
    </row>
    <row r="17" spans="1:22" ht="6" customHeight="1" thickBot="1" x14ac:dyDescent="0.4">
      <c r="A17" s="145"/>
      <c r="B17" s="13"/>
      <c r="C17" s="13"/>
      <c r="D17" s="242">
        <f>D13*90%</f>
        <v>0</v>
      </c>
      <c r="E17" s="79"/>
      <c r="K17" s="59"/>
      <c r="L17" s="121">
        <f>D18</f>
        <v>0</v>
      </c>
      <c r="M17" s="59"/>
      <c r="N17" s="111">
        <v>61</v>
      </c>
      <c r="O17" s="2">
        <v>84</v>
      </c>
      <c r="P17" s="2" t="s">
        <v>43</v>
      </c>
    </row>
    <row r="18" spans="1:22" ht="17.5" customHeight="1" thickBot="1" x14ac:dyDescent="0.45">
      <c r="A18" s="145"/>
      <c r="B18" s="534" t="s">
        <v>2538</v>
      </c>
      <c r="C18" s="535"/>
      <c r="D18" s="99"/>
      <c r="E18" s="104">
        <f>IF(D26=1,D13*90%,D13*80%)</f>
        <v>0</v>
      </c>
      <c r="F18" s="536" t="s">
        <v>2539</v>
      </c>
      <c r="G18" s="537"/>
      <c r="H18" s="114" t="str">
        <f>IF(H11="No",IFERROR(INDEX('TI LHNF'!A5:O55,MATCH('TI LHNF'!A3,'TI LHNF'!A5:A55,0),MATCH('TI LHNF'!A2,'TI LHNF'!A5:O5,0)),""),"")</f>
        <v/>
      </c>
      <c r="I18" s="134" t="str">
        <f>IFERROR(INDEX('Tasas inteligentes'!A5:AA55,MATCH('Tasas inteligentes'!AA3,'Tasas inteligentes'!A5:A55,0),MATCH('Tasas inteligentes'!AA2,'Tasas inteligentes'!A5:AA5,0)),"")</f>
        <v/>
      </c>
      <c r="J18" s="119"/>
      <c r="K18" s="59"/>
      <c r="L18" s="122">
        <f t="shared" ref="L18" si="1">D19</f>
        <v>0</v>
      </c>
      <c r="M18" s="59"/>
      <c r="N18" s="2">
        <v>85</v>
      </c>
      <c r="O18" s="2">
        <v>120</v>
      </c>
      <c r="P18" s="2" t="s">
        <v>44</v>
      </c>
    </row>
    <row r="19" spans="1:22" ht="15.65" customHeight="1" thickBot="1" x14ac:dyDescent="0.45">
      <c r="A19" s="145"/>
      <c r="B19" s="534" t="s">
        <v>2540</v>
      </c>
      <c r="C19" s="535"/>
      <c r="D19" s="103"/>
      <c r="E19" s="79">
        <v>240</v>
      </c>
      <c r="G19" s="87" t="s">
        <v>2541</v>
      </c>
      <c r="H19" s="115" t="str">
        <f>IFERROR(NOMINAL(H18,12)/12,"")</f>
        <v/>
      </c>
      <c r="I19" s="135" t="str">
        <f>IFERROR(NOMINAL(I18,12)/12,"")</f>
        <v/>
      </c>
      <c r="J19" s="119"/>
      <c r="K19" s="59"/>
      <c r="L19" s="79" t="str">
        <f>IF(B5="Crédito de Vivienda","Leasing Habitacional Familiar","Crédito de Vivienda")</f>
        <v>Crédito de Vivienda</v>
      </c>
      <c r="M19" s="11"/>
      <c r="N19" s="2">
        <f>O18+1</f>
        <v>121</v>
      </c>
      <c r="O19" s="2">
        <v>180</v>
      </c>
      <c r="P19" s="2" t="s">
        <v>45</v>
      </c>
    </row>
    <row r="20" spans="1:22" ht="17.25" customHeight="1" thickBot="1" x14ac:dyDescent="0.4">
      <c r="A20" s="145"/>
      <c r="B20" s="13"/>
      <c r="C20" s="13"/>
      <c r="D20" s="13"/>
      <c r="E20" s="79"/>
      <c r="F20" s="79" t="str" cm="1">
        <f t="array" ref="F20">_xlfn.IFS(D25&lt;=O11,P11,D25&gt;=N12,P12)</f>
        <v>&lt;789</v>
      </c>
      <c r="G20" s="59"/>
      <c r="H20" s="59"/>
      <c r="I20" s="59"/>
      <c r="J20" s="59"/>
      <c r="K20" s="59"/>
      <c r="L20" s="120"/>
      <c r="N20" s="2">
        <f>O19+1</f>
        <v>181</v>
      </c>
      <c r="O20" s="2">
        <v>240</v>
      </c>
      <c r="P20" s="2" t="s">
        <v>46</v>
      </c>
    </row>
    <row r="21" spans="1:22" ht="18.75" customHeight="1" x14ac:dyDescent="0.35">
      <c r="A21" s="145"/>
      <c r="B21" s="512" t="s">
        <v>2542</v>
      </c>
      <c r="C21" s="513"/>
      <c r="D21" s="514"/>
      <c r="E21" s="79"/>
      <c r="F21" s="538" t="str">
        <f>IF(H18="","","La tasa aquí informada corresponde a las condiciones actuales de aprobación, la tasa que le aplicará al cliente será la que este vigente al momento del desembolso.")</f>
        <v/>
      </c>
      <c r="G21" s="538"/>
      <c r="H21" s="538"/>
      <c r="I21" s="538"/>
      <c r="J21" s="538"/>
      <c r="K21" s="11"/>
      <c r="L21" s="79"/>
      <c r="M21" s="59"/>
      <c r="N21" s="2">
        <f>O20+1</f>
        <v>241</v>
      </c>
      <c r="O21" s="2">
        <v>360</v>
      </c>
      <c r="P21" s="2" t="s">
        <v>47</v>
      </c>
    </row>
    <row r="22" spans="1:22" ht="6" customHeight="1" x14ac:dyDescent="0.35">
      <c r="A22" s="145"/>
      <c r="B22" s="72"/>
      <c r="C22" s="72"/>
      <c r="D22" s="156" t="str">
        <f>IF(D23="Otros","Otros","Asalariado y Pensionado")</f>
        <v>Asalariado y Pensionado</v>
      </c>
      <c r="E22" s="79"/>
      <c r="F22" s="538"/>
      <c r="G22" s="538"/>
      <c r="H22" s="538"/>
      <c r="I22" s="538"/>
      <c r="J22" s="538"/>
      <c r="L22" s="120"/>
      <c r="M22" s="59"/>
    </row>
    <row r="23" spans="1:22" ht="15.5" x14ac:dyDescent="0.35">
      <c r="A23" s="145"/>
      <c r="B23" s="532" t="s">
        <v>41</v>
      </c>
      <c r="C23" s="533" t="str" cm="1">
        <f t="array" ref="C23">IFERROR(_xlfn.IFS(AND(C13="NO VIS",D23="MI CASA YA"),"ERROR",AND(C13="VIS",D23="FRECH NO VIS"),"ERROR",AND(C13="VIS",D23="ECOBERTURA"),"ERROR"),"")</f>
        <v/>
      </c>
      <c r="D23" s="100"/>
      <c r="E23" s="79"/>
      <c r="F23" s="538"/>
      <c r="G23" s="538"/>
      <c r="H23" s="538"/>
      <c r="I23" s="538"/>
      <c r="J23" s="538"/>
      <c r="K23" s="59"/>
      <c r="L23" s="123">
        <f>D23</f>
        <v>0</v>
      </c>
      <c r="M23" s="59"/>
    </row>
    <row r="24" spans="1:22" ht="16.5" x14ac:dyDescent="0.35">
      <c r="A24" s="145"/>
      <c r="B24" s="532" t="s">
        <v>2543</v>
      </c>
      <c r="C24" s="533"/>
      <c r="D24" s="101"/>
      <c r="E24" s="79"/>
      <c r="F24" s="538"/>
      <c r="G24" s="538"/>
      <c r="H24" s="538"/>
      <c r="I24" s="538"/>
      <c r="J24" s="538"/>
      <c r="K24" s="59"/>
      <c r="L24" s="120">
        <f t="shared" ref="L24" si="2">D24</f>
        <v>0</v>
      </c>
      <c r="M24" s="59"/>
    </row>
    <row r="25" spans="1:22" ht="16.5" x14ac:dyDescent="0.35">
      <c r="A25" s="145"/>
      <c r="B25" s="532" t="s">
        <v>2544</v>
      </c>
      <c r="C25" s="533"/>
      <c r="D25" s="102"/>
      <c r="E25" s="170"/>
      <c r="K25" s="59"/>
      <c r="L25" s="124">
        <f>D25</f>
        <v>0</v>
      </c>
      <c r="M25" s="59"/>
      <c r="N25" s="33"/>
      <c r="O25" s="33"/>
      <c r="P25" s="33"/>
      <c r="Q25" s="33"/>
      <c r="R25" s="33"/>
      <c r="V25" s="52">
        <v>0.3</v>
      </c>
    </row>
    <row r="26" spans="1:22" ht="15.75" customHeight="1" x14ac:dyDescent="0.35">
      <c r="A26" s="145"/>
      <c r="C26" s="145"/>
      <c r="D26" s="109">
        <f>SUM(D27:D30)</f>
        <v>0</v>
      </c>
      <c r="E26" s="171"/>
      <c r="K26" s="59"/>
      <c r="L26" s="59"/>
      <c r="M26" s="33"/>
    </row>
    <row r="27" spans="1:22" ht="15.75" customHeight="1" x14ac:dyDescent="0.35">
      <c r="A27" s="145"/>
      <c r="C27" s="145"/>
      <c r="D27" s="109">
        <f>IF(AND(D23="Asalariado",D24="Preferente",D25&gt;=770),1,0)</f>
        <v>0</v>
      </c>
      <c r="E27" s="171"/>
      <c r="K27" s="58"/>
    </row>
    <row r="28" spans="1:22" ht="18" customHeight="1" x14ac:dyDescent="0.35">
      <c r="A28" s="145"/>
      <c r="C28" s="145"/>
      <c r="D28" s="109">
        <f>IF(AND(D23="Asalariado",D24="Premium",D25&gt;=770),1,0)</f>
        <v>0</v>
      </c>
      <c r="E28" s="145"/>
      <c r="K28" s="58"/>
    </row>
    <row r="29" spans="1:22" x14ac:dyDescent="0.35">
      <c r="C29" s="145"/>
      <c r="D29" s="109">
        <f>IF(AND(D23="Pensionado",D24="Preferente",D25&gt;=770),1,0)</f>
        <v>0</v>
      </c>
      <c r="E29" s="154"/>
    </row>
    <row r="30" spans="1:22" x14ac:dyDescent="0.35">
      <c r="C30" s="145"/>
      <c r="D30" s="109">
        <f>IF(AND(D23="Pensionado",D24="Premium",D25&gt;=770),1,0)</f>
        <v>0</v>
      </c>
      <c r="E30" s="109"/>
    </row>
    <row r="31" spans="1:22" x14ac:dyDescent="0.35">
      <c r="C31" s="145"/>
      <c r="D31" s="145"/>
      <c r="E31" s="145"/>
    </row>
    <row r="32" spans="1:22" x14ac:dyDescent="0.35">
      <c r="C32" s="145"/>
      <c r="D32" s="145"/>
      <c r="E32" s="145"/>
    </row>
  </sheetData>
  <sheetProtection algorithmName="SHA-512" hashValue="2/AX37EmarIMIJHvCJhbNbJ/Y2IMumuNchAexIME4yc79+vO832ljq/Um5uFA+rHmvvmacxsDqUE2ppaV6zgzg==" saltValue="SHKe5kAhDZfe4RhbzgL64A==" spinCount="100000" sheet="1" objects="1" scenarios="1"/>
  <mergeCells count="20">
    <mergeCell ref="B25:C25"/>
    <mergeCell ref="B18:C18"/>
    <mergeCell ref="F18:G18"/>
    <mergeCell ref="B19:C19"/>
    <mergeCell ref="B21:D21"/>
    <mergeCell ref="F21:J24"/>
    <mergeCell ref="B23:C23"/>
    <mergeCell ref="B24:C24"/>
    <mergeCell ref="B16:D16"/>
    <mergeCell ref="H1:I3"/>
    <mergeCell ref="B5:D5"/>
    <mergeCell ref="B6:D6"/>
    <mergeCell ref="B7:D7"/>
    <mergeCell ref="B9:D9"/>
    <mergeCell ref="F9:H9"/>
    <mergeCell ref="B11:C11"/>
    <mergeCell ref="C12:D12"/>
    <mergeCell ref="F12:G12"/>
    <mergeCell ref="B13:C13"/>
    <mergeCell ref="B14:C14"/>
  </mergeCells>
  <conditionalFormatting sqref="D18">
    <cfRule type="cellIs" dxfId="91" priority="8" operator="greaterThan">
      <formula>$D$17</formula>
    </cfRule>
  </conditionalFormatting>
  <conditionalFormatting sqref="D19">
    <cfRule type="cellIs" dxfId="90" priority="7" operator="greaterThan">
      <formula>$E$19</formula>
    </cfRule>
  </conditionalFormatting>
  <conditionalFormatting sqref="F21 K27:K28">
    <cfRule type="containsText" dxfId="88" priority="3" operator="containsText" text="&quot;La tasa aquí informada corresponde a las condiciones actuales de aprobación, la tasa que le aplicará al cliente será la que este vigente al momento del desembolso&quot;">
      <formula>NOT(ISERROR(SEARCH("""La tasa aquí informada corresponde a las condiciones actuales de aprobación, la tasa que le aplicará al cliente será la que este vigente al momento del desembolso""",F21)))</formula>
    </cfRule>
    <cfRule type="containsText" dxfId="87" priority="4" operator="containsText" text="&quot;La tasa aquí informada corresponde a las condiciones actuales de aprobación, la tasa que le aplicará al cliente sera la que este vigente al momento del desembolso&quot;">
      <formula>NOT(ISERROR(SEARCH("""La tasa aquí informada corresponde a las condiciones actuales de aprobación, la tasa que le aplicará al cliente sera la que este vigente al momento del desembolso""",F21)))</formula>
    </cfRule>
  </conditionalFormatting>
  <conditionalFormatting sqref="F16:J16">
    <cfRule type="containsText" dxfId="86" priority="5" operator="containsText" text="Escoje la opción que aplique">
      <formula>NOT(ISERROR(SEARCH("Escoje la opción que aplique",F16)))</formula>
    </cfRule>
  </conditionalFormatting>
  <conditionalFormatting sqref="H12">
    <cfRule type="expression" dxfId="85" priority="1">
      <formula>$H$11="No"</formula>
    </cfRule>
  </conditionalFormatting>
  <conditionalFormatting sqref="H18:H19">
    <cfRule type="containsBlanks" dxfId="84" priority="6">
      <formula>LEN(TRIM(H18))=0</formula>
    </cfRule>
  </conditionalFormatting>
  <dataValidations count="8">
    <dataValidation type="decimal" allowBlank="1" showInputMessage="1" showErrorMessage="1" sqref="H12" xr:uid="{0B01486A-441C-4065-806B-A4663803C94A}">
      <formula1>0.04</formula1>
      <formula2>0.2</formula2>
    </dataValidation>
    <dataValidation type="whole" operator="greaterThan" allowBlank="1" showInputMessage="1" showErrorMessage="1" errorTitle="Valor debe ser superior a VIS" error="El valor ingresado debe ser superior al tope de vivienda VIS" sqref="D13" xr:uid="{C7687D1E-A72C-4706-9923-9878060F77BE}">
      <formula1>E13</formula1>
    </dataValidation>
    <dataValidation type="whole" allowBlank="1" showInputMessage="1" showErrorMessage="1" errorTitle="Plazo NO corresponde" error="El plazo ingresado no aplica para el tipo de vivienda" sqref="D19" xr:uid="{D3E04D97-FB2B-4B85-B206-32587128FD24}">
      <formula1>60</formula1>
      <formula2>E19</formula2>
    </dataValidation>
    <dataValidation type="whole" allowBlank="1" showInputMessage="1" showErrorMessage="1" errorTitle="Valor NO corresponde" error="El valor ingresado supera el porcentaje máximo de financiación" sqref="D18" xr:uid="{478CDAD8-9E8A-4026-AF18-D54AF2C54EBE}">
      <formula1>0</formula1>
      <formula2>D17</formula2>
    </dataValidation>
    <dataValidation type="list" allowBlank="1" showInputMessage="1" showErrorMessage="1" errorTitle="Programa no aplica" error="El programa de Gobierno NO aplica según el tipo de vivienda. Por favor corregir" sqref="D24" xr:uid="{054247A7-E5DB-40F7-82B9-1F1415E77237}">
      <formula1>$N$3:$N$5</formula1>
    </dataValidation>
    <dataValidation type="list" allowBlank="1" showInputMessage="1" showErrorMessage="1" errorTitle="Programa no aplica" error="El programa de Gobierno NO aplica según el tipo de vivienda. Por favor corregir" sqref="D23" xr:uid="{FEBFA549-9B15-4DA8-BABE-ED795ACCE16C}">
      <formula1>$W$3:$W$5</formula1>
    </dataValidation>
    <dataValidation type="list" allowBlank="1" showInputMessage="1" showErrorMessage="1" sqref="D24" xr:uid="{4105645F-93EA-4D01-B465-944B06E1C8B6}">
      <formula1>$N$3:$N$5</formula1>
    </dataValidation>
    <dataValidation type="list" allowBlank="1" showInputMessage="1" showErrorMessage="1" sqref="D11 H11" xr:uid="{8C69A752-1B99-462E-8587-C6B4DD8B8E92}">
      <formula1>$T$3:$T$4</formula1>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2" operator="containsText" id="{374ABAE1-7EF1-4CD3-9F9B-0133410681D6}">
            <xm:f>NOT(ISERROR(SEARCH($F$21,F21)))</xm:f>
            <xm:f>$F$21</xm:f>
            <x14:dxf>
              <font>
                <color rgb="FF006100"/>
              </font>
              <fill>
                <patternFill>
                  <bgColor rgb="FFC6EFCE"/>
                </patternFill>
              </fill>
            </x14:dxf>
          </x14:cfRule>
          <xm:sqref>F21 K27:K28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203A3FA-115A-4146-AFCE-72A4BCA6A3E3}">
          <x14:formula1>
            <xm:f>'Ciudades y SMMLV'!$A$2:$A$1119</xm:f>
          </x14:formula1>
          <xm:sqref>C12:D12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4CCA8-492D-4015-B46B-E39C79838DCF}">
  <sheetPr codeName="Hoja31"/>
  <dimension ref="A1:N45"/>
  <sheetViews>
    <sheetView showGridLines="0" zoomScale="85" zoomScaleNormal="85" workbookViewId="0">
      <pane ySplit="6" topLeftCell="A7" activePane="bottomLeft" state="frozen"/>
      <selection activeCell="B24" sqref="B24"/>
      <selection pane="bottomLeft" activeCell="B24" sqref="B24"/>
    </sheetView>
  </sheetViews>
  <sheetFormatPr baseColWidth="10" defaultColWidth="11.453125" defaultRowHeight="15" customHeight="1" x14ac:dyDescent="0.35"/>
  <cols>
    <col min="1" max="1" width="43.26953125" style="2" customWidth="1"/>
    <col min="2" max="2" width="7.54296875" style="2" customWidth="1"/>
    <col min="3" max="3" width="20.26953125" style="2" customWidth="1"/>
    <col min="4" max="4" width="13.1796875" style="2" customWidth="1"/>
    <col min="5" max="5" width="17.26953125" style="2" customWidth="1"/>
    <col min="6" max="9" width="15.1796875" style="2" customWidth="1"/>
    <col min="10" max="12" width="11.453125" style="2" hidden="1" customWidth="1"/>
    <col min="13" max="13" width="0" style="2" hidden="1" customWidth="1"/>
    <col min="14" max="14" width="11.453125" style="2" hidden="1" customWidth="1"/>
    <col min="15" max="16384" width="11.453125" style="2"/>
  </cols>
  <sheetData>
    <row r="1" spans="1:14" ht="26.25" customHeight="1" x14ac:dyDescent="0.35">
      <c r="A1" s="60"/>
      <c r="B1" s="61"/>
      <c r="C1" s="61"/>
      <c r="G1" s="430" t="str">
        <f>CV!H1</f>
        <v>Código: PCV_FOR_006
Versión: V02
Fecha de actualización: 04/05/2026</v>
      </c>
      <c r="H1" s="431"/>
    </row>
    <row r="2" spans="1:14" ht="23.25" customHeight="1" x14ac:dyDescent="0.55000000000000004">
      <c r="A2" s="63"/>
      <c r="D2" s="545" t="s">
        <v>2545</v>
      </c>
      <c r="E2" s="545"/>
      <c r="F2" s="545"/>
      <c r="G2" s="432"/>
      <c r="H2" s="433"/>
    </row>
    <row r="3" spans="1:14" ht="24" customHeight="1" x14ac:dyDescent="0.35">
      <c r="A3" s="68"/>
      <c r="B3" s="69"/>
      <c r="C3" s="69"/>
      <c r="D3" s="69"/>
      <c r="E3" s="69"/>
      <c r="F3" s="69"/>
      <c r="G3" s="434"/>
      <c r="H3" s="435"/>
      <c r="I3" s="96" t="s">
        <v>2546</v>
      </c>
      <c r="J3" s="11"/>
    </row>
    <row r="4" spans="1:14" ht="23.25" customHeight="1" thickBot="1" x14ac:dyDescent="0.4">
      <c r="A4" s="516" t="s">
        <v>2627</v>
      </c>
      <c r="B4" s="516"/>
      <c r="C4" s="516"/>
      <c r="D4" s="59"/>
      <c r="E4" s="59"/>
      <c r="F4" s="57"/>
      <c r="G4" s="11"/>
      <c r="H4" s="11"/>
      <c r="I4" s="11"/>
      <c r="J4" s="11"/>
    </row>
    <row r="5" spans="1:14" ht="6" customHeight="1" x14ac:dyDescent="0.35">
      <c r="A5" s="539" t="s">
        <v>2548</v>
      </c>
      <c r="B5" s="540"/>
      <c r="C5" s="541"/>
      <c r="D5" s="59"/>
      <c r="E5" s="59"/>
      <c r="F5" s="57"/>
      <c r="G5" s="11"/>
      <c r="H5" s="11"/>
      <c r="I5" s="11"/>
      <c r="J5" s="12"/>
    </row>
    <row r="6" spans="1:14" ht="10.5" customHeight="1" x14ac:dyDescent="0.35">
      <c r="A6" s="546"/>
      <c r="B6" s="547"/>
      <c r="C6" s="548"/>
      <c r="D6" s="13">
        <v>24556798.854714327</v>
      </c>
      <c r="E6" s="57"/>
      <c r="F6" s="57"/>
      <c r="G6" s="14"/>
      <c r="H6" s="14"/>
      <c r="I6" s="14"/>
      <c r="J6" s="14"/>
    </row>
    <row r="7" spans="1:14" ht="10.5" customHeight="1" thickBot="1" x14ac:dyDescent="0.4">
      <c r="A7" s="54"/>
      <c r="B7" s="54"/>
      <c r="C7" s="54"/>
      <c r="D7" s="13"/>
      <c r="E7" s="57"/>
      <c r="F7" s="57"/>
      <c r="G7" s="14"/>
      <c r="H7" s="14"/>
      <c r="I7" s="14"/>
      <c r="J7" s="14"/>
    </row>
    <row r="8" spans="1:14" ht="15" customHeight="1" thickBot="1" x14ac:dyDescent="0.4">
      <c r="A8" s="74" t="s">
        <v>2533</v>
      </c>
      <c r="B8" s="75"/>
      <c r="C8" s="81">
        <f>_xlfn.IFNA(LHNF!D11,0)</f>
        <v>0</v>
      </c>
      <c r="D8" s="158"/>
      <c r="E8" s="57"/>
      <c r="F8" s="57"/>
      <c r="G8" s="14"/>
      <c r="H8" s="14"/>
      <c r="I8" s="14"/>
      <c r="J8" s="14"/>
    </row>
    <row r="9" spans="1:14" ht="18" customHeight="1" thickBot="1" x14ac:dyDescent="0.4">
      <c r="A9" s="532" t="s">
        <v>2363</v>
      </c>
      <c r="B9" s="542"/>
      <c r="C9" s="146">
        <f>_xlfn.IFNA(LHNF!C12,0)</f>
        <v>0</v>
      </c>
      <c r="D9" s="158"/>
      <c r="E9" s="57"/>
      <c r="F9" s="57"/>
      <c r="G9" s="14"/>
      <c r="H9" s="14"/>
      <c r="I9" s="14"/>
      <c r="J9" s="14"/>
    </row>
    <row r="10" spans="1:14" ht="8.25" hidden="1" customHeight="1" thickBot="1" x14ac:dyDescent="0.4">
      <c r="A10" s="54"/>
      <c r="B10" s="76"/>
      <c r="C10" s="76" t="s">
        <v>2628</v>
      </c>
      <c r="D10" s="50"/>
      <c r="E10" s="12"/>
      <c r="F10" s="14"/>
      <c r="G10" s="14"/>
      <c r="H10" s="14"/>
      <c r="I10" s="14"/>
      <c r="J10" s="14"/>
    </row>
    <row r="11" spans="1:14" ht="17.5" customHeight="1" thickBot="1" x14ac:dyDescent="0.4">
      <c r="A11" s="532" t="s">
        <v>2543</v>
      </c>
      <c r="B11" s="542"/>
      <c r="C11" s="82">
        <f>_xlfn.IFNA(LHNF!D24,0)</f>
        <v>0</v>
      </c>
      <c r="D11" s="50"/>
      <c r="G11" s="14"/>
      <c r="H11" s="14"/>
      <c r="I11" s="14"/>
      <c r="J11" s="14"/>
    </row>
    <row r="12" spans="1:14" ht="16" thickBot="1" x14ac:dyDescent="0.4">
      <c r="A12" s="74" t="s">
        <v>2365</v>
      </c>
      <c r="B12" s="78" t="str">
        <f>LHNF!D14</f>
        <v/>
      </c>
      <c r="C12" s="81">
        <f>_xlfn.IFNA(LHNF!D13,0)</f>
        <v>0</v>
      </c>
      <c r="D12" s="160"/>
      <c r="G12" s="27"/>
      <c r="H12" s="27"/>
      <c r="J12" s="14"/>
    </row>
    <row r="13" spans="1:14" ht="17.25" customHeight="1" thickBot="1" x14ac:dyDescent="0.4">
      <c r="A13" s="532" t="s">
        <v>2535</v>
      </c>
      <c r="B13" s="542"/>
      <c r="C13" s="81" t="str">
        <f>_xlfn.IFNA(LHNF!D14,0)</f>
        <v/>
      </c>
      <c r="D13" s="158"/>
      <c r="G13" s="27"/>
      <c r="H13" s="27"/>
      <c r="I13" s="27"/>
      <c r="J13" s="14"/>
    </row>
    <row r="14" spans="1:14" ht="16" thickBot="1" x14ac:dyDescent="0.4">
      <c r="A14" s="534" t="s">
        <v>2549</v>
      </c>
      <c r="B14" s="543"/>
      <c r="C14" s="86">
        <f>_xlfn.IFNA(LHNF!D23,0)</f>
        <v>0</v>
      </c>
      <c r="D14" s="183" t="str">
        <f>IF(C14="Asalariado","Asalariados","Independiente-Pensionado")</f>
        <v>Independiente-Pensionado</v>
      </c>
      <c r="E14" s="90" t="s">
        <v>2550</v>
      </c>
      <c r="F14" s="91"/>
      <c r="G14" s="27"/>
      <c r="H14" s="27"/>
      <c r="I14" s="27"/>
      <c r="J14" s="14" t="str">
        <f>IF(C13="NO VIS"," ","Mi Casa Ya")</f>
        <v>Mi Casa Ya</v>
      </c>
    </row>
    <row r="15" spans="1:14" ht="16.5" customHeight="1" thickBot="1" x14ac:dyDescent="0.4">
      <c r="A15" s="529" t="s">
        <v>2551</v>
      </c>
      <c r="B15" s="544"/>
      <c r="C15" s="76">
        <f>IF(D15&gt;=LHNF!D18,LHNF!D18,LeasingNOFam!D15)</f>
        <v>0</v>
      </c>
      <c r="D15" s="183">
        <f>LHNF!E18</f>
        <v>0</v>
      </c>
      <c r="E15" s="92" t="s">
        <v>2552</v>
      </c>
      <c r="F15" s="93" t="e" cm="1">
        <f t="array" ref="F15">_xlfn.IFS(AND($B$12="NO VIS",$C$8="NO",$C$12&gt;700000000),1112597,AND($B$12="NO VIS",$C$8="NO",$C$12&lt;700000000),((($C$12*0.75)/1000)+(($C$12*0.75)/1000)*0.19),AND($B$12="NO VIS",$C$8="SI",$C$12&gt;700000000),838994,AND($B$12="NO VIS",$C$8="SI",$C$12&lt;700000000),((($C$12*0.75)/1000)+(($C$12*0.75)/1000)*0.19),AND($B$12="VIS",$C$8="SI"),127882,AND($B$12="VIS",$C$8="NO"),143624)</f>
        <v>#N/A</v>
      </c>
      <c r="G15" s="27"/>
      <c r="H15" s="27"/>
      <c r="I15" s="27"/>
      <c r="J15" s="14" t="str">
        <f>IF(C13="VIS"," "," ")</f>
        <v xml:space="preserve"> </v>
      </c>
      <c r="N15" s="227">
        <v>0.01</v>
      </c>
    </row>
    <row r="16" spans="1:14" ht="16.5" customHeight="1" thickBot="1" x14ac:dyDescent="0.4">
      <c r="A16" s="105" t="s">
        <v>2553</v>
      </c>
      <c r="B16" s="80" t="str">
        <f>IFERROR(C16/C12,"")</f>
        <v/>
      </c>
      <c r="C16" s="76">
        <f>C12-C15</f>
        <v>0</v>
      </c>
      <c r="D16" s="84"/>
      <c r="E16" s="94" t="s">
        <v>2554</v>
      </c>
      <c r="F16" s="95" t="e" cm="1">
        <f t="array" ref="F16">_xlfn.IFS(AND($B$12="NO VIS",$C$8="NO"),330000,AND($B$12="VIS",$C$8="NO"),170000,AND($B$12="NO VIS",$C$8="SI"),127000,AND($B$12="VIS",$C$8="SI"),127000)</f>
        <v>#N/A</v>
      </c>
      <c r="G16" s="28"/>
      <c r="H16" s="28"/>
      <c r="I16" s="28"/>
      <c r="J16" s="2" t="str">
        <f>IF(C13="VIS"," "," ")</f>
        <v xml:space="preserve"> </v>
      </c>
      <c r="N16" s="227">
        <v>0.02</v>
      </c>
    </row>
    <row r="17" spans="1:14" ht="16.5" customHeight="1" thickBot="1" x14ac:dyDescent="0.4">
      <c r="A17" s="534" t="str">
        <f>IF(LHF!H11="No","Tasa Inteligente","Tasa Especial")</f>
        <v>Tasa Inteligente</v>
      </c>
      <c r="B17" s="576"/>
      <c r="C17" s="85" t="str">
        <f>IF(LHNF!H11="No",_xlfn.IFNA(LHNF!H18,0),LHNF!$H$12)</f>
        <v/>
      </c>
      <c r="D17" s="84"/>
      <c r="E17" s="184" t="e">
        <f>NOMINAL((C17+1.5%),12)/12</f>
        <v>#VALUE!</v>
      </c>
      <c r="F17" s="84"/>
      <c r="G17" s="28"/>
      <c r="H17" s="28"/>
      <c r="I17" s="28"/>
      <c r="N17" s="227">
        <v>0.03</v>
      </c>
    </row>
    <row r="18" spans="1:14" ht="16" thickBot="1" x14ac:dyDescent="0.4">
      <c r="A18" s="534" t="s">
        <v>2536</v>
      </c>
      <c r="B18" s="535"/>
      <c r="C18" s="89">
        <f>_xlfn.IFNA(LHNF!D19,0)</f>
        <v>0</v>
      </c>
      <c r="D18" s="161"/>
      <c r="E18" s="84"/>
      <c r="F18" s="84"/>
      <c r="G18" s="11"/>
      <c r="H18" s="11"/>
      <c r="I18" s="11"/>
      <c r="N18" s="227">
        <v>0.04</v>
      </c>
    </row>
    <row r="19" spans="1:14" ht="16.5" customHeight="1" thickBot="1" x14ac:dyDescent="0.4">
      <c r="A19" s="83"/>
      <c r="B19" s="83"/>
      <c r="C19" s="83"/>
      <c r="D19" s="77"/>
      <c r="E19" s="77"/>
      <c r="F19" s="77"/>
      <c r="H19" s="11"/>
      <c r="I19" s="11"/>
      <c r="N19" s="227">
        <v>0.05</v>
      </c>
    </row>
    <row r="20" spans="1:14" ht="16.5" customHeight="1" x14ac:dyDescent="0.35">
      <c r="A20" s="539" t="s">
        <v>2558</v>
      </c>
      <c r="B20" s="540"/>
      <c r="C20" s="541"/>
      <c r="D20" s="162"/>
      <c r="E20" s="77"/>
      <c r="F20" s="77"/>
      <c r="G20" s="172"/>
      <c r="H20" s="172"/>
      <c r="I20" s="172"/>
      <c r="N20" s="227">
        <v>0.06</v>
      </c>
    </row>
    <row r="21" spans="1:14" s="83" customFormat="1" ht="6.75" customHeight="1" x14ac:dyDescent="0.35">
      <c r="C21" s="88"/>
      <c r="D21" s="162"/>
      <c r="G21" s="172"/>
      <c r="H21" s="172"/>
      <c r="I21" s="172"/>
      <c r="N21" s="227">
        <v>7.0000000000000007E-2</v>
      </c>
    </row>
    <row r="22" spans="1:14" s="83" customFormat="1" ht="16" customHeight="1" x14ac:dyDescent="0.35">
      <c r="A22" s="222" t="s">
        <v>2629</v>
      </c>
      <c r="B22" s="225">
        <v>0.01</v>
      </c>
      <c r="C22" s="226">
        <f>C15*B22</f>
        <v>0</v>
      </c>
      <c r="D22" s="162"/>
      <c r="G22" s="172"/>
      <c r="H22" s="172"/>
      <c r="I22" s="172"/>
      <c r="N22" s="227">
        <v>0.08</v>
      </c>
    </row>
    <row r="23" spans="1:14" s="83" customFormat="1" ht="15.5" x14ac:dyDescent="0.35">
      <c r="A23" s="552" t="s">
        <v>2560</v>
      </c>
      <c r="B23" s="553"/>
      <c r="C23" s="44"/>
      <c r="D23" s="163"/>
      <c r="F23" s="118"/>
      <c r="G23" s="172"/>
      <c r="H23" s="172"/>
      <c r="I23" s="172"/>
      <c r="N23" s="227">
        <v>0.09</v>
      </c>
    </row>
    <row r="24" spans="1:14" ht="15.5" x14ac:dyDescent="0.35">
      <c r="A24" s="556" t="s">
        <v>2562</v>
      </c>
      <c r="B24" s="557"/>
      <c r="C24" s="44"/>
      <c r="D24" s="164"/>
      <c r="F24" s="73"/>
      <c r="G24" s="172"/>
      <c r="H24" s="172"/>
      <c r="I24" s="172"/>
      <c r="J24" s="12"/>
      <c r="K24" s="2" t="s">
        <v>2563</v>
      </c>
      <c r="L24" s="2" t="s">
        <v>2563</v>
      </c>
      <c r="N24" s="227">
        <v>0.1</v>
      </c>
    </row>
    <row r="25" spans="1:14" ht="15.5" x14ac:dyDescent="0.35">
      <c r="A25" s="556" t="s">
        <v>2564</v>
      </c>
      <c r="B25" s="557"/>
      <c r="C25" s="44"/>
      <c r="D25" s="49"/>
      <c r="E25" s="554" t="s">
        <v>2561</v>
      </c>
      <c r="G25" s="172"/>
      <c r="H25" s="172"/>
      <c r="I25" s="172"/>
      <c r="J25" s="11"/>
      <c r="K25" s="2" t="s">
        <v>2565</v>
      </c>
      <c r="L25" s="2" t="s">
        <v>2566</v>
      </c>
      <c r="N25" s="227">
        <v>0.11</v>
      </c>
    </row>
    <row r="26" spans="1:14" ht="16" thickBot="1" x14ac:dyDescent="0.4">
      <c r="A26" s="556" t="s">
        <v>2567</v>
      </c>
      <c r="B26" s="557"/>
      <c r="C26" s="44"/>
      <c r="D26" s="165"/>
      <c r="E26" s="555"/>
      <c r="G26" s="172"/>
      <c r="H26" s="172"/>
      <c r="I26" s="172"/>
      <c r="J26" s="11"/>
      <c r="K26" s="2" t="s">
        <v>2568</v>
      </c>
      <c r="L26" s="2" t="s">
        <v>2569</v>
      </c>
      <c r="N26" s="227">
        <v>0.12</v>
      </c>
    </row>
    <row r="27" spans="1:14" ht="15" customHeight="1" thickBot="1" x14ac:dyDescent="0.4">
      <c r="A27" s="23"/>
      <c r="B27" s="23"/>
      <c r="C27" s="23"/>
      <c r="D27" s="16"/>
      <c r="E27" s="558">
        <f>COUNT(C23,C24,C25,C26)</f>
        <v>0</v>
      </c>
      <c r="G27" s="172"/>
      <c r="H27" s="172"/>
      <c r="I27" s="172"/>
      <c r="J27" s="11"/>
      <c r="K27" s="2" t="s">
        <v>2570</v>
      </c>
      <c r="L27" s="2" t="s">
        <v>2571</v>
      </c>
      <c r="N27" s="227">
        <v>0.13</v>
      </c>
    </row>
    <row r="28" spans="1:14" ht="16" thickBot="1" x14ac:dyDescent="0.4">
      <c r="A28" s="539" t="s">
        <v>2572</v>
      </c>
      <c r="B28" s="540"/>
      <c r="C28" s="541"/>
      <c r="D28" s="159"/>
      <c r="E28" s="559"/>
      <c r="G28" s="172"/>
      <c r="H28" s="172"/>
      <c r="I28" s="172"/>
      <c r="J28" s="11"/>
      <c r="K28" s="2" t="s">
        <v>2573</v>
      </c>
      <c r="L28" s="2" t="s">
        <v>2574</v>
      </c>
      <c r="N28" s="227">
        <v>0.14000000000000001</v>
      </c>
    </row>
    <row r="29" spans="1:14" ht="17.25" customHeight="1" x14ac:dyDescent="0.35">
      <c r="A29" s="560" t="s">
        <v>2579</v>
      </c>
      <c r="B29" s="560"/>
      <c r="C29" s="24">
        <f>'Plan de pagos LHNF'!J22</f>
        <v>0</v>
      </c>
      <c r="D29" s="50"/>
      <c r="G29" s="172"/>
      <c r="H29" s="172"/>
      <c r="I29" s="172"/>
      <c r="J29" s="11" t="e">
        <f>IF(#REF!="","","Si")</f>
        <v>#REF!</v>
      </c>
      <c r="K29" s="2" t="s">
        <v>2577</v>
      </c>
      <c r="L29" s="2" t="s">
        <v>2578</v>
      </c>
      <c r="N29" s="227">
        <v>0.15</v>
      </c>
    </row>
    <row r="30" spans="1:14" ht="16.5" customHeight="1" thickBot="1" x14ac:dyDescent="0.4">
      <c r="A30" s="560" t="s">
        <v>2583</v>
      </c>
      <c r="B30" s="560"/>
      <c r="C30" s="24">
        <f>'Plan de pagos LHNF'!$K$22</f>
        <v>0</v>
      </c>
      <c r="D30" s="51"/>
      <c r="G30" s="172"/>
      <c r="H30" s="172"/>
      <c r="I30" s="172"/>
      <c r="J30" s="11" t="e">
        <f>IF(#REF!="","","No")</f>
        <v>#REF!</v>
      </c>
      <c r="K30" s="2" t="s">
        <v>2581</v>
      </c>
      <c r="L30" s="2" t="s">
        <v>2582</v>
      </c>
      <c r="N30" s="227">
        <v>0.16</v>
      </c>
    </row>
    <row r="31" spans="1:14" ht="16" customHeight="1" thickBot="1" x14ac:dyDescent="0.4">
      <c r="A31" s="560" t="s">
        <v>2630</v>
      </c>
      <c r="B31" s="560"/>
      <c r="C31" s="25">
        <f>IFERROR('Plan de pagos LHNF'!$L$22,0)</f>
        <v>0</v>
      </c>
      <c r="D31" s="51"/>
      <c r="E31" s="561" t="s">
        <v>2580</v>
      </c>
      <c r="F31" s="563">
        <f>(C32-C29-C30)/40%</f>
        <v>0</v>
      </c>
      <c r="G31" s="23"/>
      <c r="H31" s="23"/>
      <c r="I31" s="23"/>
      <c r="J31" s="11"/>
      <c r="K31" s="2" t="s">
        <v>2584</v>
      </c>
      <c r="L31" s="2" t="s">
        <v>2584</v>
      </c>
      <c r="N31" s="227">
        <v>0.17</v>
      </c>
    </row>
    <row r="32" spans="1:14" ht="18" customHeight="1" thickBot="1" x14ac:dyDescent="0.4">
      <c r="A32" s="549" t="str">
        <f>IF(C21="si","Vr. Cuota + Seguros Obligatorios - Beneficio Gobierno","Vr. Cuota + Seguros Obligatorios")</f>
        <v>Vr. Cuota + Seguros Obligatorios</v>
      </c>
      <c r="B32" s="550"/>
      <c r="C32" s="53">
        <f>IFERROR(SUM(C29:C31),0)</f>
        <v>0</v>
      </c>
      <c r="D32" s="159"/>
      <c r="E32" s="562"/>
      <c r="F32" s="564"/>
      <c r="G32" s="11"/>
      <c r="H32" s="11"/>
      <c r="I32" s="11"/>
      <c r="J32" s="11"/>
      <c r="K32" s="2" t="s">
        <v>2586</v>
      </c>
      <c r="L32" s="2" t="s">
        <v>2586</v>
      </c>
      <c r="N32" s="227">
        <v>0.18</v>
      </c>
    </row>
    <row r="33" spans="1:14" ht="17.25" customHeight="1" x14ac:dyDescent="0.35">
      <c r="D33" s="17"/>
      <c r="E33" s="1"/>
      <c r="F33" s="1"/>
      <c r="G33" s="1"/>
      <c r="H33" s="1"/>
      <c r="I33" s="1"/>
      <c r="J33" s="11" t="s">
        <v>52</v>
      </c>
      <c r="K33" s="2" t="s">
        <v>2587</v>
      </c>
      <c r="L33" s="2" t="s">
        <v>2587</v>
      </c>
      <c r="N33" s="227">
        <v>0.19</v>
      </c>
    </row>
    <row r="34" spans="1:14" ht="15.75" hidden="1" customHeight="1" x14ac:dyDescent="0.35">
      <c r="A34" s="539" t="s">
        <v>2631</v>
      </c>
      <c r="B34" s="540"/>
      <c r="C34" s="541"/>
      <c r="D34" s="17"/>
      <c r="E34" s="116"/>
      <c r="F34" s="43"/>
      <c r="H34" s="29"/>
      <c r="I34" s="29"/>
      <c r="J34" s="11" t="s">
        <v>61</v>
      </c>
      <c r="K34" s="2" t="s">
        <v>2632</v>
      </c>
      <c r="L34" s="2" t="s">
        <v>2632</v>
      </c>
      <c r="N34" s="227">
        <v>0.2</v>
      </c>
    </row>
    <row r="35" spans="1:14" ht="15.75" hidden="1" customHeight="1" x14ac:dyDescent="0.35">
      <c r="A35" s="560" t="s">
        <v>2633</v>
      </c>
      <c r="B35" s="560"/>
      <c r="C35" s="44"/>
      <c r="D35" s="18"/>
      <c r="E35" s="19"/>
      <c r="F35" s="1"/>
      <c r="G35" s="30"/>
      <c r="H35" s="30"/>
      <c r="I35" s="30"/>
      <c r="J35" s="11"/>
      <c r="K35" s="2" t="s">
        <v>2634</v>
      </c>
      <c r="L35" s="2" t="s">
        <v>2634</v>
      </c>
      <c r="N35" s="227">
        <v>0.21</v>
      </c>
    </row>
    <row r="36" spans="1:14" ht="24.65" hidden="1" customHeight="1" x14ac:dyDescent="0.35">
      <c r="A36" s="560" t="s">
        <v>2635</v>
      </c>
      <c r="B36" s="560"/>
      <c r="C36" s="157"/>
      <c r="D36" s="166"/>
      <c r="E36" s="166"/>
      <c r="F36" s="20"/>
      <c r="G36" s="31"/>
      <c r="H36" s="31"/>
      <c r="I36" s="31"/>
      <c r="J36" s="11"/>
      <c r="N36" s="227">
        <v>0.22</v>
      </c>
    </row>
    <row r="37" spans="1:14" ht="16.5" hidden="1" x14ac:dyDescent="0.35">
      <c r="A37" s="560" t="s">
        <v>2636</v>
      </c>
      <c r="B37" s="560"/>
      <c r="C37" s="44"/>
      <c r="D37" s="186" t="str">
        <f>C36&amp;C37&amp;D14</f>
        <v>Independiente-Pensionado</v>
      </c>
      <c r="E37" s="142"/>
      <c r="F37" s="20"/>
      <c r="G37" s="31"/>
      <c r="H37" s="31"/>
      <c r="I37" s="31"/>
      <c r="J37" s="11">
        <v>1</v>
      </c>
      <c r="N37" s="227">
        <v>0.23</v>
      </c>
    </row>
    <row r="38" spans="1:14" ht="16.5" hidden="1" customHeight="1" thickBot="1" x14ac:dyDescent="0.4">
      <c r="A38" s="560" t="s">
        <v>2637</v>
      </c>
      <c r="B38" s="560"/>
      <c r="C38" s="24">
        <f>_xlfn.IFNA(VLOOKUP(D37,Oferta_Seguros!F:G,2,FALSE),0)</f>
        <v>0</v>
      </c>
      <c r="D38" s="21"/>
      <c r="E38" s="167"/>
      <c r="F38" s="22"/>
      <c r="G38" s="32"/>
      <c r="H38" s="32"/>
      <c r="I38" s="32"/>
      <c r="J38" s="11">
        <v>2</v>
      </c>
      <c r="N38" s="227">
        <v>0.24</v>
      </c>
    </row>
    <row r="39" spans="1:14" ht="15" hidden="1" customHeight="1" thickBot="1" x14ac:dyDescent="0.4">
      <c r="A39" s="560" t="s">
        <v>2638</v>
      </c>
      <c r="B39" s="560"/>
      <c r="C39" s="168">
        <f>$C$32+$C$38</f>
        <v>0</v>
      </c>
      <c r="G39" s="31"/>
      <c r="H39" s="31"/>
      <c r="I39" s="31"/>
      <c r="J39" s="11">
        <v>3</v>
      </c>
      <c r="N39" s="227">
        <v>0.25</v>
      </c>
    </row>
    <row r="40" spans="1:14" ht="15" customHeight="1" x14ac:dyDescent="0.35">
      <c r="G40" s="33"/>
      <c r="H40" s="33"/>
      <c r="I40" s="33"/>
      <c r="J40" s="2">
        <v>4</v>
      </c>
      <c r="N40" s="227">
        <v>0.26</v>
      </c>
    </row>
    <row r="41" spans="1:14" ht="15" customHeight="1" x14ac:dyDescent="0.35">
      <c r="G41" s="33"/>
      <c r="H41" s="33"/>
      <c r="I41" s="33"/>
      <c r="N41" s="227">
        <v>0.27</v>
      </c>
    </row>
    <row r="42" spans="1:14" ht="15" customHeight="1" x14ac:dyDescent="0.35">
      <c r="G42" s="33"/>
      <c r="H42" s="33"/>
      <c r="I42" s="33"/>
      <c r="N42" s="227">
        <v>0.28000000000000003</v>
      </c>
    </row>
    <row r="43" spans="1:14" ht="15" customHeight="1" x14ac:dyDescent="0.35">
      <c r="G43" s="33"/>
      <c r="H43" s="33"/>
      <c r="I43" s="33"/>
      <c r="N43" s="227">
        <v>0.28999999999999998</v>
      </c>
    </row>
    <row r="44" spans="1:14" ht="15" customHeight="1" x14ac:dyDescent="0.35">
      <c r="D44" s="58"/>
      <c r="E44" s="58"/>
      <c r="F44" s="57"/>
      <c r="G44" s="33"/>
      <c r="H44" s="33"/>
      <c r="I44" s="33"/>
      <c r="N44" s="227">
        <v>0.3</v>
      </c>
    </row>
    <row r="45" spans="1:14" ht="15" customHeight="1" x14ac:dyDescent="0.35">
      <c r="G45" s="33"/>
      <c r="H45" s="33"/>
      <c r="I45" s="33"/>
    </row>
  </sheetData>
  <sheetProtection algorithmName="SHA-512" hashValue="GNe7cWHyTVsogT3oyzngIhAtBpoMi8LnFHKOEDjQ4+mzJDaPsKs8dh6mUUIpwqN8a6sWABLTCBCjnOtyH53O2g==" saltValue="jtUWUBVxVvh4iEODR7YPXg==" spinCount="100000" sheet="1" objects="1" scenarios="1"/>
  <mergeCells count="31">
    <mergeCell ref="A39:B39"/>
    <mergeCell ref="A32:B32"/>
    <mergeCell ref="A34:C34"/>
    <mergeCell ref="A35:B35"/>
    <mergeCell ref="A36:B36"/>
    <mergeCell ref="A37:B37"/>
    <mergeCell ref="A38:B38"/>
    <mergeCell ref="A28:C28"/>
    <mergeCell ref="A29:B29"/>
    <mergeCell ref="A30:B30"/>
    <mergeCell ref="E31:E32"/>
    <mergeCell ref="F31:F32"/>
    <mergeCell ref="A31:B31"/>
    <mergeCell ref="E27:E28"/>
    <mergeCell ref="A23:B23"/>
    <mergeCell ref="A24:B24"/>
    <mergeCell ref="A25:B25"/>
    <mergeCell ref="E25:E26"/>
    <mergeCell ref="A26:B26"/>
    <mergeCell ref="A20:C20"/>
    <mergeCell ref="G1:H3"/>
    <mergeCell ref="D2:F2"/>
    <mergeCell ref="A4:C4"/>
    <mergeCell ref="A5:C6"/>
    <mergeCell ref="A9:B9"/>
    <mergeCell ref="A11:B11"/>
    <mergeCell ref="A13:B13"/>
    <mergeCell ref="A14:B14"/>
    <mergeCell ref="A15:B15"/>
    <mergeCell ref="A17:B17"/>
    <mergeCell ref="A18:B18"/>
  </mergeCells>
  <conditionalFormatting sqref="G20:I30">
    <cfRule type="containsText" dxfId="83" priority="1" operator="containsText" text="Los subsidios otorgados por el Gobierno Nacional aplican unicamente al momento del desembolso, conforme el cliente cumpla con los requisitos para acceder al programa seleccionado y haya existencia de cupos. El valor descontado por este beneficio en este s">
      <formula>NOT(ISERROR(SEARCH("Los subsidios otorgados por el Gobierno Nacional aplican unicamente al momento del desembolso, conforme el cliente cumpla con los requisitos para acceder al programa seleccionado y haya existencia de cupos. El valor descontado por este beneficio en este s",G20)))</formula>
    </cfRule>
  </conditionalFormatting>
  <dataValidations count="6">
    <dataValidation type="list" allowBlank="1" showInputMessage="1" showErrorMessage="1" errorTitle="Error" error="La opcion de compra debe ser entre 1% al 30%." sqref="B22" xr:uid="{7E329C12-1D19-4678-8663-20FDBDA0E195}">
      <formula1>$N$15:$N$44</formula1>
    </dataValidation>
    <dataValidation type="whole" allowBlank="1" showInputMessage="1" showErrorMessage="1" errorTitle="Edad NO corresponde" error="La edad ingresada no aplica por política de crédito" sqref="C23 C25:C26" xr:uid="{3FD87955-375C-4DD7-9AA1-6A2AEFAE1ECB}">
      <formula1>18</formula1>
      <formula2>70</formula2>
    </dataValidation>
    <dataValidation type="whole" allowBlank="1" showInputMessage="1" showErrorMessage="1" errorTitle="Edad NO correponde" error="La edad ingresada no aplica por política de crédito" sqref="C24" xr:uid="{F8E4382C-0FA9-4259-8C7D-FA752DABD7FA}">
      <formula1>18</formula1>
      <formula2>70</formula2>
    </dataValidation>
    <dataValidation type="list" allowBlank="1" showInputMessage="1" showErrorMessage="1" sqref="C35" xr:uid="{2BE701A7-632A-452A-8E9F-2BD93F7B206E}">
      <formula1>$J$33:$J$34</formula1>
    </dataValidation>
    <dataValidation type="list" allowBlank="1" showInputMessage="1" showErrorMessage="1" sqref="C37" xr:uid="{050B69E5-9388-4866-833D-94C5481B0B2F}">
      <formula1>IF($C$35="Si",$J$37:$J$40,$J$36)</formula1>
    </dataValidation>
    <dataValidation type="list" allowBlank="1" showInputMessage="1" showErrorMessage="1" sqref="C36" xr:uid="{EAE25F71-EC46-4F64-BA01-E92A6EAF4EFC}">
      <formula1>IF($C$35="No",$K$24,IF(AND($C$35="Si",$D$14="Asalariados"),$K$25:$K$35,$L$25:$L$35))</formula1>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F67D9-88AC-4BA5-B596-1D4EF6DCC0B7}">
  <sheetPr codeName="Hoja32"/>
  <dimension ref="A2:O57"/>
  <sheetViews>
    <sheetView showGridLines="0" zoomScale="55" zoomScaleNormal="55" workbookViewId="0">
      <selection activeCell="E55" sqref="E8:E55"/>
    </sheetView>
  </sheetViews>
  <sheetFormatPr baseColWidth="10" defaultColWidth="11.453125" defaultRowHeight="14.5" x14ac:dyDescent="0.35"/>
  <cols>
    <col min="1" max="1" width="10.26953125" style="125" customWidth="1"/>
    <col min="2" max="5" width="11.453125" style="2"/>
    <col min="6" max="6" width="21.453125" style="2" bestFit="1" customWidth="1"/>
    <col min="7" max="8" width="2.453125" style="2" customWidth="1"/>
    <col min="9" max="14" width="11.453125" style="2"/>
    <col min="15" max="15" width="2.453125" style="2" customWidth="1"/>
    <col min="16" max="16384" width="11.453125" style="2"/>
  </cols>
  <sheetData>
    <row r="2" spans="1:15" x14ac:dyDescent="0.35">
      <c r="A2" s="125" t="e">
        <f>LHNF!B5&amp;LHNF!F14</f>
        <v>#N/A</v>
      </c>
    </row>
    <row r="3" spans="1:15" x14ac:dyDescent="0.35">
      <c r="A3" s="125" t="str">
        <f>LHNF!D24&amp;LHNF!D14&amp;LHNF!D11&amp;LHNF!F20&amp;LHNF!D22</f>
        <v>&lt;789Asalariado y Pensionado</v>
      </c>
    </row>
    <row r="5" spans="1:15" x14ac:dyDescent="0.35">
      <c r="I5" s="2" t="s">
        <v>2639</v>
      </c>
      <c r="J5" s="2" t="s">
        <v>2640</v>
      </c>
      <c r="K5" s="2" t="s">
        <v>2641</v>
      </c>
      <c r="L5" s="2" t="s">
        <v>2642</v>
      </c>
      <c r="M5" s="2" t="s">
        <v>2643</v>
      </c>
      <c r="N5" s="2" t="s">
        <v>2644</v>
      </c>
    </row>
    <row r="6" spans="1:15" ht="18.5" x14ac:dyDescent="0.45">
      <c r="B6" s="126" t="s">
        <v>30</v>
      </c>
      <c r="I6" s="463" t="s">
        <v>35</v>
      </c>
      <c r="J6" s="463"/>
      <c r="K6" s="463"/>
      <c r="L6" s="463"/>
      <c r="M6" s="463"/>
      <c r="N6" s="463"/>
    </row>
    <row r="7" spans="1:15" ht="29" x14ac:dyDescent="0.35">
      <c r="B7" s="127" t="s">
        <v>37</v>
      </c>
      <c r="C7" s="127" t="s">
        <v>38</v>
      </c>
      <c r="D7" s="127" t="s">
        <v>39</v>
      </c>
      <c r="E7" s="127" t="s">
        <v>40</v>
      </c>
      <c r="F7" s="127" t="s">
        <v>41</v>
      </c>
      <c r="G7" s="128"/>
      <c r="H7" s="129"/>
      <c r="I7" s="127" t="s">
        <v>42</v>
      </c>
      <c r="J7" s="127" t="s">
        <v>43</v>
      </c>
      <c r="K7" s="127" t="s">
        <v>44</v>
      </c>
      <c r="L7" s="127" t="s">
        <v>45</v>
      </c>
      <c r="M7" s="127" t="s">
        <v>46</v>
      </c>
      <c r="N7" s="127" t="s">
        <v>47</v>
      </c>
      <c r="O7" s="129"/>
    </row>
    <row r="8" spans="1:15" x14ac:dyDescent="0.35">
      <c r="A8" s="125" t="s">
        <v>49</v>
      </c>
      <c r="B8" s="130" t="s">
        <v>50</v>
      </c>
      <c r="C8" s="130" t="s">
        <v>51</v>
      </c>
      <c r="D8" s="130" t="s">
        <v>52</v>
      </c>
      <c r="E8" s="130" t="s">
        <v>53</v>
      </c>
      <c r="F8" s="130" t="s">
        <v>54</v>
      </c>
      <c r="H8" s="221"/>
      <c r="I8" s="220">
        <f>+'Tasas inteligentes'!AJ8</f>
        <v>0.14707191153891563</v>
      </c>
      <c r="J8" s="220">
        <f>+'Tasas inteligentes'!AK8</f>
        <v>0.14843348840566883</v>
      </c>
      <c r="K8" s="220">
        <f>+'Tasas inteligentes'!AL8</f>
        <v>0.1497965466377309</v>
      </c>
      <c r="L8" s="220">
        <f>+'Tasas inteligentes'!AM8</f>
        <v>0.15116108770013081</v>
      </c>
      <c r="M8" s="220">
        <f>+'Tasas inteligentes'!AN8</f>
        <v>0.15526362253922477</v>
      </c>
      <c r="N8" s="220">
        <f>+'Tasas inteligentes'!AO8</f>
        <v>0.15937955571773355</v>
      </c>
      <c r="O8" s="221"/>
    </row>
    <row r="9" spans="1:15" x14ac:dyDescent="0.35">
      <c r="A9" s="125" t="s">
        <v>55</v>
      </c>
      <c r="B9" s="130" t="s">
        <v>50</v>
      </c>
      <c r="C9" s="130" t="s">
        <v>51</v>
      </c>
      <c r="D9" s="130" t="s">
        <v>52</v>
      </c>
      <c r="E9" s="130" t="s">
        <v>53</v>
      </c>
      <c r="F9" s="130" t="s">
        <v>56</v>
      </c>
      <c r="H9" s="221"/>
      <c r="I9" s="220">
        <f>+'Tasas inteligentes'!AJ9</f>
        <v>0.14707191153891563</v>
      </c>
      <c r="J9" s="220">
        <f>+'Tasas inteligentes'!AK9</f>
        <v>0.14843348840566883</v>
      </c>
      <c r="K9" s="220">
        <f>+'Tasas inteligentes'!AL9</f>
        <v>0.1497965466377309</v>
      </c>
      <c r="L9" s="220">
        <f>+'Tasas inteligentes'!AM9</f>
        <v>0.15116108770013081</v>
      </c>
      <c r="M9" s="220">
        <f>+'Tasas inteligentes'!AN9</f>
        <v>0.15526362253922477</v>
      </c>
      <c r="N9" s="220">
        <f>+'Tasas inteligentes'!AO9</f>
        <v>0.15937955571773355</v>
      </c>
      <c r="O9" s="221"/>
    </row>
    <row r="10" spans="1:15" x14ac:dyDescent="0.35">
      <c r="A10" s="125" t="s">
        <v>57</v>
      </c>
      <c r="B10" s="130" t="s">
        <v>50</v>
      </c>
      <c r="C10" s="130" t="s">
        <v>51</v>
      </c>
      <c r="D10" s="130" t="s">
        <v>52</v>
      </c>
      <c r="E10" s="130" t="s">
        <v>58</v>
      </c>
      <c r="F10" s="130" t="s">
        <v>54</v>
      </c>
      <c r="H10" s="221"/>
      <c r="I10" s="220">
        <f>+'Tasas inteligentes'!AJ10</f>
        <v>0.14707191153891563</v>
      </c>
      <c r="J10" s="220">
        <f>+'Tasas inteligentes'!AK10</f>
        <v>0.14843348840566883</v>
      </c>
      <c r="K10" s="220">
        <f>+'Tasas inteligentes'!AL10</f>
        <v>0.1497965466377309</v>
      </c>
      <c r="L10" s="220">
        <f>+'Tasas inteligentes'!AM10</f>
        <v>0.15116108770013081</v>
      </c>
      <c r="M10" s="220">
        <f>+'Tasas inteligentes'!AN10</f>
        <v>0.15526362253922477</v>
      </c>
      <c r="N10" s="220">
        <f>+'Tasas inteligentes'!AO10</f>
        <v>0.15937955571773355</v>
      </c>
      <c r="O10" s="221"/>
    </row>
    <row r="11" spans="1:15" x14ac:dyDescent="0.35">
      <c r="A11" s="125" t="s">
        <v>59</v>
      </c>
      <c r="B11" s="130" t="s">
        <v>50</v>
      </c>
      <c r="C11" s="130" t="s">
        <v>51</v>
      </c>
      <c r="D11" s="130" t="s">
        <v>52</v>
      </c>
      <c r="E11" s="130" t="s">
        <v>58</v>
      </c>
      <c r="F11" s="130" t="s">
        <v>56</v>
      </c>
      <c r="H11" s="221"/>
      <c r="I11" s="220">
        <f>+'Tasas inteligentes'!AJ11</f>
        <v>0.14707191153891563</v>
      </c>
      <c r="J11" s="220">
        <f>+'Tasas inteligentes'!AK11</f>
        <v>0.14843348840566883</v>
      </c>
      <c r="K11" s="220">
        <f>+'Tasas inteligentes'!AL11</f>
        <v>0.1497965466377309</v>
      </c>
      <c r="L11" s="220">
        <f>+'Tasas inteligentes'!AM11</f>
        <v>0.15116108770013081</v>
      </c>
      <c r="M11" s="220">
        <f>+'Tasas inteligentes'!AN11</f>
        <v>0.15526362253922477</v>
      </c>
      <c r="N11" s="220">
        <f>+'Tasas inteligentes'!AO11</f>
        <v>0.15937955571773355</v>
      </c>
      <c r="O11" s="221"/>
    </row>
    <row r="12" spans="1:15" x14ac:dyDescent="0.35">
      <c r="A12" s="125" t="s">
        <v>60</v>
      </c>
      <c r="B12" s="130" t="s">
        <v>50</v>
      </c>
      <c r="C12" s="130" t="s">
        <v>51</v>
      </c>
      <c r="D12" s="130" t="s">
        <v>61</v>
      </c>
      <c r="E12" s="130" t="s">
        <v>53</v>
      </c>
      <c r="F12" s="130" t="s">
        <v>54</v>
      </c>
      <c r="H12" s="221"/>
      <c r="I12" s="220">
        <f>+'Tasas inteligentes'!AJ12</f>
        <v>0.15389462418258582</v>
      </c>
      <c r="J12" s="220">
        <f>+'Tasas inteligentes'!AK12</f>
        <v>0.15526362253922477</v>
      </c>
      <c r="K12" s="220">
        <f>+'Tasas inteligentes'!AL12</f>
        <v>0.15663410959937174</v>
      </c>
      <c r="L12" s="220">
        <f>+'Tasas inteligentes'!AM12</f>
        <v>0.15800608683458517</v>
      </c>
      <c r="M12" s="220">
        <f>+'Tasas inteligentes'!AN12</f>
        <v>0.16350892700314201</v>
      </c>
      <c r="N12" s="220">
        <f>+'Tasas inteligentes'!AO12</f>
        <v>0.16765177626913008</v>
      </c>
      <c r="O12" s="221"/>
    </row>
    <row r="13" spans="1:15" x14ac:dyDescent="0.35">
      <c r="A13" s="125" t="s">
        <v>62</v>
      </c>
      <c r="B13" s="130" t="s">
        <v>50</v>
      </c>
      <c r="C13" s="130" t="s">
        <v>51</v>
      </c>
      <c r="D13" s="130" t="s">
        <v>61</v>
      </c>
      <c r="E13" s="130" t="s">
        <v>53</v>
      </c>
      <c r="F13" s="130" t="s">
        <v>56</v>
      </c>
      <c r="H13" s="221"/>
      <c r="I13" s="220">
        <f>+'Tasas inteligentes'!AJ13</f>
        <v>0.15389462418258582</v>
      </c>
      <c r="J13" s="220">
        <f>+'Tasas inteligentes'!AK13</f>
        <v>0.15526362253922477</v>
      </c>
      <c r="K13" s="220">
        <f>+'Tasas inteligentes'!AL13</f>
        <v>0.15663410959937174</v>
      </c>
      <c r="L13" s="220">
        <f>+'Tasas inteligentes'!AM13</f>
        <v>0.15800608683458517</v>
      </c>
      <c r="M13" s="220">
        <f>+'Tasas inteligentes'!AN13</f>
        <v>0.16350892700314201</v>
      </c>
      <c r="N13" s="220">
        <f>+'Tasas inteligentes'!AO13</f>
        <v>0.16765177626913008</v>
      </c>
      <c r="O13" s="221"/>
    </row>
    <row r="14" spans="1:15" x14ac:dyDescent="0.35">
      <c r="A14" s="125" t="s">
        <v>63</v>
      </c>
      <c r="B14" s="130" t="s">
        <v>50</v>
      </c>
      <c r="C14" s="130" t="s">
        <v>51</v>
      </c>
      <c r="D14" s="130" t="s">
        <v>61</v>
      </c>
      <c r="E14" s="130" t="s">
        <v>58</v>
      </c>
      <c r="F14" s="130" t="s">
        <v>54</v>
      </c>
      <c r="H14" s="221"/>
      <c r="I14" s="220">
        <f>+'Tasas inteligentes'!AJ14</f>
        <v>0.15526362253922477</v>
      </c>
      <c r="J14" s="220">
        <f>+'Tasas inteligentes'!AK14</f>
        <v>0.15663410959937174</v>
      </c>
      <c r="K14" s="220">
        <f>+'Tasas inteligentes'!AL14</f>
        <v>0.15800608683458517</v>
      </c>
      <c r="L14" s="220">
        <f>+'Tasas inteligentes'!AM14</f>
        <v>0.15937955571773355</v>
      </c>
      <c r="M14" s="220">
        <f>+'Tasas inteligentes'!AN14</f>
        <v>0.16488837723293726</v>
      </c>
      <c r="N14" s="220">
        <f>+'Tasas inteligentes'!AO14</f>
        <v>0.16903572803833167</v>
      </c>
      <c r="O14" s="221"/>
    </row>
    <row r="15" spans="1:15" x14ac:dyDescent="0.35">
      <c r="A15" s="125" t="s">
        <v>64</v>
      </c>
      <c r="B15" s="130" t="s">
        <v>50</v>
      </c>
      <c r="C15" s="130" t="s">
        <v>51</v>
      </c>
      <c r="D15" s="130" t="s">
        <v>61</v>
      </c>
      <c r="E15" s="130" t="s">
        <v>58</v>
      </c>
      <c r="F15" s="130" t="s">
        <v>56</v>
      </c>
      <c r="H15" s="221"/>
      <c r="I15" s="220">
        <f>+'Tasas inteligentes'!AJ15</f>
        <v>0.15526362253922477</v>
      </c>
      <c r="J15" s="220">
        <f>+'Tasas inteligentes'!AK15</f>
        <v>0.15663410959937174</v>
      </c>
      <c r="K15" s="220">
        <f>+'Tasas inteligentes'!AL15</f>
        <v>0.15800608683458517</v>
      </c>
      <c r="L15" s="220">
        <f>+'Tasas inteligentes'!AM15</f>
        <v>0.15937955571773355</v>
      </c>
      <c r="M15" s="220">
        <f>+'Tasas inteligentes'!AN15</f>
        <v>0.16488837723293726</v>
      </c>
      <c r="N15" s="220">
        <f>+'Tasas inteligentes'!AO15</f>
        <v>0.16903572803833167</v>
      </c>
      <c r="O15" s="221"/>
    </row>
    <row r="16" spans="1:15" x14ac:dyDescent="0.35">
      <c r="A16" s="125" t="s">
        <v>65</v>
      </c>
      <c r="B16" s="130" t="s">
        <v>50</v>
      </c>
      <c r="C16" s="130" t="s">
        <v>66</v>
      </c>
      <c r="D16" s="130" t="s">
        <v>52</v>
      </c>
      <c r="E16" s="130" t="s">
        <v>53</v>
      </c>
      <c r="F16" s="130" t="s">
        <v>54</v>
      </c>
      <c r="H16" s="221"/>
      <c r="I16" s="220">
        <f>+'Tasas inteligentes'!AJ16</f>
        <v>0.1375822289110713</v>
      </c>
      <c r="J16" s="220">
        <f>+'Tasas inteligentes'!AK16</f>
        <v>0.13893347713220328</v>
      </c>
      <c r="K16" s="220">
        <f>+'Tasas inteligentes'!AL16</f>
        <v>0.14028619649985408</v>
      </c>
      <c r="L16" s="220">
        <f>+'Tasas inteligentes'!AM16</f>
        <v>0.14164038846995752</v>
      </c>
      <c r="M16" s="220">
        <f>+'Tasas inteligentes'!AN16</f>
        <v>0.14571181457374238</v>
      </c>
      <c r="N16" s="220">
        <f>+'Tasas inteligentes'!AO16</f>
        <v>0.15526362253922477</v>
      </c>
      <c r="O16" s="221"/>
    </row>
    <row r="17" spans="1:15" x14ac:dyDescent="0.35">
      <c r="A17" s="125" t="s">
        <v>67</v>
      </c>
      <c r="B17" s="130" t="s">
        <v>50</v>
      </c>
      <c r="C17" s="130" t="s">
        <v>66</v>
      </c>
      <c r="D17" s="130" t="s">
        <v>52</v>
      </c>
      <c r="E17" s="130" t="s">
        <v>53</v>
      </c>
      <c r="F17" s="130" t="s">
        <v>56</v>
      </c>
      <c r="H17" s="221"/>
      <c r="I17" s="220">
        <f>+'Tasas inteligentes'!AJ17</f>
        <v>0.13623245038182419</v>
      </c>
      <c r="J17" s="220">
        <f>+'Tasas inteligentes'!AK17</f>
        <v>0.1375822289110713</v>
      </c>
      <c r="K17" s="220">
        <f>+'Tasas inteligentes'!AL17</f>
        <v>0.13893347713220328</v>
      </c>
      <c r="L17" s="220">
        <f>+'Tasas inteligentes'!AM17</f>
        <v>0.14028619649985408</v>
      </c>
      <c r="M17" s="220">
        <f>+'Tasas inteligentes'!AN17</f>
        <v>0.1443531960477249</v>
      </c>
      <c r="N17" s="220">
        <f>+'Tasas inteligentes'!AO17</f>
        <v>0.15526362253922477</v>
      </c>
      <c r="O17" s="221"/>
    </row>
    <row r="18" spans="1:15" x14ac:dyDescent="0.35">
      <c r="A18" s="125" t="s">
        <v>68</v>
      </c>
      <c r="B18" s="130" t="s">
        <v>50</v>
      </c>
      <c r="C18" s="130" t="s">
        <v>66</v>
      </c>
      <c r="D18" s="130" t="s">
        <v>52</v>
      </c>
      <c r="E18" s="130" t="s">
        <v>58</v>
      </c>
      <c r="F18" s="130" t="s">
        <v>54</v>
      </c>
      <c r="H18" s="221"/>
      <c r="I18" s="220">
        <f>+'Tasas inteligentes'!AJ18</f>
        <v>0.14028619649985408</v>
      </c>
      <c r="J18" s="220">
        <f>+'Tasas inteligentes'!AK18</f>
        <v>0.14164038846995752</v>
      </c>
      <c r="K18" s="220">
        <f>+'Tasas inteligentes'!AL18</f>
        <v>0.14299605449973818</v>
      </c>
      <c r="L18" s="220">
        <f>+'Tasas inteligentes'!AM18</f>
        <v>0.1443531960477249</v>
      </c>
      <c r="M18" s="220">
        <f>+'Tasas inteligentes'!AN18</f>
        <v>0.14843348840566883</v>
      </c>
      <c r="N18" s="220">
        <f>+'Tasas inteligentes'!AO18</f>
        <v>0.15526362253922477</v>
      </c>
      <c r="O18" s="221"/>
    </row>
    <row r="19" spans="1:15" x14ac:dyDescent="0.35">
      <c r="A19" s="125" t="s">
        <v>69</v>
      </c>
      <c r="B19" s="130" t="s">
        <v>50</v>
      </c>
      <c r="C19" s="130" t="s">
        <v>66</v>
      </c>
      <c r="D19" s="130" t="s">
        <v>52</v>
      </c>
      <c r="E19" s="130" t="s">
        <v>58</v>
      </c>
      <c r="F19" s="130" t="s">
        <v>56</v>
      </c>
      <c r="H19" s="221"/>
      <c r="I19" s="220">
        <f>+'Tasas inteligentes'!AJ19</f>
        <v>0.14028619649985408</v>
      </c>
      <c r="J19" s="220">
        <f>+'Tasas inteligentes'!AK19</f>
        <v>0.14164038846995752</v>
      </c>
      <c r="K19" s="220">
        <f>+'Tasas inteligentes'!AL19</f>
        <v>0.14299605449973818</v>
      </c>
      <c r="L19" s="220">
        <f>+'Tasas inteligentes'!AM19</f>
        <v>0.1443531960477249</v>
      </c>
      <c r="M19" s="220">
        <f>+'Tasas inteligentes'!AN19</f>
        <v>0.14843348840566883</v>
      </c>
      <c r="N19" s="220">
        <f>+'Tasas inteligentes'!AO19</f>
        <v>0.15526362253922477</v>
      </c>
      <c r="O19" s="221"/>
    </row>
    <row r="20" spans="1:15" x14ac:dyDescent="0.35">
      <c r="A20" s="125" t="s">
        <v>70</v>
      </c>
      <c r="B20" s="130" t="s">
        <v>50</v>
      </c>
      <c r="C20" s="130" t="s">
        <v>66</v>
      </c>
      <c r="D20" s="130" t="s">
        <v>61</v>
      </c>
      <c r="E20" s="130" t="s">
        <v>53</v>
      </c>
      <c r="F20" s="130" t="s">
        <v>54</v>
      </c>
      <c r="H20" s="221"/>
      <c r="I20" s="220">
        <f>+'Tasas inteligentes'!AJ20</f>
        <v>0.14299605449973818</v>
      </c>
      <c r="J20" s="220">
        <f>+'Tasas inteligentes'!AK20</f>
        <v>0.1443531960477249</v>
      </c>
      <c r="K20" s="220">
        <f>+'Tasas inteligentes'!AL20</f>
        <v>0.14571181457374238</v>
      </c>
      <c r="L20" s="220">
        <f>+'Tasas inteligentes'!AM20</f>
        <v>0.14707191153891563</v>
      </c>
      <c r="M20" s="220">
        <f>+'Tasas inteligentes'!AN20</f>
        <v>0.14843348840566883</v>
      </c>
      <c r="N20" s="220">
        <f>+'Tasas inteligentes'!AO20</f>
        <v>0.15526362253922477</v>
      </c>
      <c r="O20" s="221"/>
    </row>
    <row r="21" spans="1:15" x14ac:dyDescent="0.35">
      <c r="A21" s="125" t="s">
        <v>71</v>
      </c>
      <c r="B21" s="130" t="s">
        <v>50</v>
      </c>
      <c r="C21" s="130" t="s">
        <v>66</v>
      </c>
      <c r="D21" s="130" t="s">
        <v>61</v>
      </c>
      <c r="E21" s="130" t="s">
        <v>53</v>
      </c>
      <c r="F21" s="130" t="s">
        <v>56</v>
      </c>
      <c r="H21" s="221"/>
      <c r="I21" s="220">
        <f>+'Tasas inteligentes'!AJ21</f>
        <v>0.14299605449973818</v>
      </c>
      <c r="J21" s="220">
        <f>+'Tasas inteligentes'!AK21</f>
        <v>0.1443531960477249</v>
      </c>
      <c r="K21" s="220">
        <f>+'Tasas inteligentes'!AL21</f>
        <v>0.14571181457374238</v>
      </c>
      <c r="L21" s="220">
        <f>+'Tasas inteligentes'!AM21</f>
        <v>0.14707191153891563</v>
      </c>
      <c r="M21" s="220">
        <f>+'Tasas inteligentes'!AN21</f>
        <v>0.14843348840566883</v>
      </c>
      <c r="N21" s="220">
        <f>+'Tasas inteligentes'!AO21</f>
        <v>0.15526362253922477</v>
      </c>
      <c r="O21" s="221"/>
    </row>
    <row r="22" spans="1:15" x14ac:dyDescent="0.35">
      <c r="A22" s="125" t="s">
        <v>72</v>
      </c>
      <c r="B22" s="130" t="s">
        <v>50</v>
      </c>
      <c r="C22" s="130" t="s">
        <v>66</v>
      </c>
      <c r="D22" s="130" t="s">
        <v>61</v>
      </c>
      <c r="E22" s="130" t="s">
        <v>58</v>
      </c>
      <c r="F22" s="130" t="s">
        <v>54</v>
      </c>
      <c r="H22" s="221"/>
      <c r="I22" s="220">
        <f>+'Tasas inteligentes'!AJ22</f>
        <v>0.14571181457374238</v>
      </c>
      <c r="J22" s="220">
        <f>+'Tasas inteligentes'!AK22</f>
        <v>0.14707191153891563</v>
      </c>
      <c r="K22" s="220">
        <f>+'Tasas inteligentes'!AL22</f>
        <v>0.14843348840566883</v>
      </c>
      <c r="L22" s="220">
        <f>+'Tasas inteligentes'!AM22</f>
        <v>0.1497965466377309</v>
      </c>
      <c r="M22" s="220">
        <f>+'Tasas inteligentes'!AN22</f>
        <v>0.15116108770013081</v>
      </c>
      <c r="N22" s="220">
        <f>+'Tasas inteligentes'!AO22</f>
        <v>0.15526362253922477</v>
      </c>
      <c r="O22" s="221"/>
    </row>
    <row r="23" spans="1:15" x14ac:dyDescent="0.35">
      <c r="A23" s="125" t="s">
        <v>73</v>
      </c>
      <c r="B23" s="130" t="s">
        <v>50</v>
      </c>
      <c r="C23" s="130" t="s">
        <v>66</v>
      </c>
      <c r="D23" s="130" t="s">
        <v>61</v>
      </c>
      <c r="E23" s="130" t="s">
        <v>58</v>
      </c>
      <c r="F23" s="130" t="s">
        <v>56</v>
      </c>
      <c r="H23" s="221"/>
      <c r="I23" s="220">
        <f>+'Tasas inteligentes'!AJ23</f>
        <v>0.14843348840566883</v>
      </c>
      <c r="J23" s="220">
        <f>+'Tasas inteligentes'!AK23</f>
        <v>0.1497965466377309</v>
      </c>
      <c r="K23" s="220">
        <f>+'Tasas inteligentes'!AL23</f>
        <v>0.15116108770013081</v>
      </c>
      <c r="L23" s="220">
        <f>+'Tasas inteligentes'!AM23</f>
        <v>0.15252711305920341</v>
      </c>
      <c r="M23" s="220">
        <f>+'Tasas inteligentes'!AN23</f>
        <v>0.15389462418258582</v>
      </c>
      <c r="N23" s="220">
        <f>+'Tasas inteligentes'!AO23</f>
        <v>0.15526362253922477</v>
      </c>
      <c r="O23" s="221"/>
    </row>
    <row r="24" spans="1:15" x14ac:dyDescent="0.35">
      <c r="A24" s="125" t="s">
        <v>74</v>
      </c>
      <c r="B24" s="130" t="s">
        <v>75</v>
      </c>
      <c r="C24" s="130" t="s">
        <v>51</v>
      </c>
      <c r="D24" s="130" t="s">
        <v>52</v>
      </c>
      <c r="E24" s="130" t="s">
        <v>53</v>
      </c>
      <c r="F24" s="130" t="s">
        <v>54</v>
      </c>
      <c r="H24" s="221"/>
      <c r="I24" s="220">
        <f>+'Tasas inteligentes'!AJ24</f>
        <v>0.14164038846995752</v>
      </c>
      <c r="J24" s="220">
        <f>+'Tasas inteligentes'!AK24</f>
        <v>0.14299605449973818</v>
      </c>
      <c r="K24" s="220">
        <f>+'Tasas inteligentes'!AL24</f>
        <v>0.14571181457374238</v>
      </c>
      <c r="L24" s="220">
        <f>+'Tasas inteligentes'!AM24</f>
        <v>0.14571181457374238</v>
      </c>
      <c r="M24" s="220">
        <f>+'Tasas inteligentes'!AN24</f>
        <v>0.15116108770013081</v>
      </c>
      <c r="N24" s="220">
        <f>+'Tasas inteligentes'!AO24</f>
        <v>0.15526362253922477</v>
      </c>
      <c r="O24" s="221"/>
    </row>
    <row r="25" spans="1:15" x14ac:dyDescent="0.35">
      <c r="A25" s="125" t="s">
        <v>76</v>
      </c>
      <c r="B25" s="130" t="s">
        <v>75</v>
      </c>
      <c r="C25" s="130" t="s">
        <v>51</v>
      </c>
      <c r="D25" s="130" t="s">
        <v>52</v>
      </c>
      <c r="E25" s="130" t="s">
        <v>53</v>
      </c>
      <c r="F25" s="130" t="s">
        <v>56</v>
      </c>
      <c r="H25" s="221"/>
      <c r="I25" s="220">
        <f>+'Tasas inteligentes'!AJ25</f>
        <v>0.14164038846995752</v>
      </c>
      <c r="J25" s="220">
        <f>+'Tasas inteligentes'!AK25</f>
        <v>0.14299605449973818</v>
      </c>
      <c r="K25" s="220">
        <f>+'Tasas inteligentes'!AL25</f>
        <v>0.14571181457374238</v>
      </c>
      <c r="L25" s="220">
        <f>+'Tasas inteligentes'!AM25</f>
        <v>0.14571181457374238</v>
      </c>
      <c r="M25" s="220">
        <f>+'Tasas inteligentes'!AN25</f>
        <v>0.15116108770013081</v>
      </c>
      <c r="N25" s="220">
        <f>+'Tasas inteligentes'!AO25</f>
        <v>0.15526362253922477</v>
      </c>
      <c r="O25" s="221"/>
    </row>
    <row r="26" spans="1:15" x14ac:dyDescent="0.35">
      <c r="A26" s="125" t="s">
        <v>77</v>
      </c>
      <c r="B26" s="130" t="s">
        <v>75</v>
      </c>
      <c r="C26" s="130" t="s">
        <v>51</v>
      </c>
      <c r="D26" s="130" t="s">
        <v>52</v>
      </c>
      <c r="E26" s="130" t="s">
        <v>58</v>
      </c>
      <c r="F26" s="130" t="s">
        <v>54</v>
      </c>
      <c r="H26" s="221"/>
      <c r="I26" s="220">
        <f>+'Tasas inteligentes'!AJ26</f>
        <v>0.14299605449973818</v>
      </c>
      <c r="J26" s="220">
        <f>+'Tasas inteligentes'!AK26</f>
        <v>0.1443531960477249</v>
      </c>
      <c r="K26" s="220">
        <f>+'Tasas inteligentes'!AL26</f>
        <v>0.14707191153891563</v>
      </c>
      <c r="L26" s="220">
        <f>+'Tasas inteligentes'!AM26</f>
        <v>0.14707191153891563</v>
      </c>
      <c r="M26" s="220">
        <f>+'Tasas inteligentes'!AN26</f>
        <v>0.15252711305920341</v>
      </c>
      <c r="N26" s="220">
        <f>+'Tasas inteligentes'!AO26</f>
        <v>0.15663410959937174</v>
      </c>
      <c r="O26" s="221"/>
    </row>
    <row r="27" spans="1:15" x14ac:dyDescent="0.35">
      <c r="A27" s="125" t="s">
        <v>78</v>
      </c>
      <c r="B27" s="130" t="s">
        <v>75</v>
      </c>
      <c r="C27" s="130" t="s">
        <v>51</v>
      </c>
      <c r="D27" s="130" t="s">
        <v>52</v>
      </c>
      <c r="E27" s="130" t="s">
        <v>58</v>
      </c>
      <c r="F27" s="130" t="s">
        <v>56</v>
      </c>
      <c r="H27" s="221"/>
      <c r="I27" s="220">
        <f>+'Tasas inteligentes'!AJ27</f>
        <v>0.14299605449973818</v>
      </c>
      <c r="J27" s="220">
        <f>+'Tasas inteligentes'!AK27</f>
        <v>0.1443531960477249</v>
      </c>
      <c r="K27" s="220">
        <f>+'Tasas inteligentes'!AL27</f>
        <v>0.14707191153891563</v>
      </c>
      <c r="L27" s="220">
        <f>+'Tasas inteligentes'!AM27</f>
        <v>0.14707191153891563</v>
      </c>
      <c r="M27" s="220">
        <f>+'Tasas inteligentes'!AN27</f>
        <v>0.15252711305920341</v>
      </c>
      <c r="N27" s="220">
        <f>+'Tasas inteligentes'!AO27</f>
        <v>0.15663410959937174</v>
      </c>
      <c r="O27" s="221"/>
    </row>
    <row r="28" spans="1:15" x14ac:dyDescent="0.35">
      <c r="A28" s="125" t="s">
        <v>79</v>
      </c>
      <c r="B28" s="130" t="s">
        <v>75</v>
      </c>
      <c r="C28" s="130" t="s">
        <v>51</v>
      </c>
      <c r="D28" s="130" t="s">
        <v>61</v>
      </c>
      <c r="E28" s="130" t="s">
        <v>53</v>
      </c>
      <c r="F28" s="130" t="s">
        <v>54</v>
      </c>
      <c r="H28" s="221"/>
      <c r="I28" s="220">
        <f>+'Tasas inteligentes'!AJ28</f>
        <v>0.15252711305920341</v>
      </c>
      <c r="J28" s="220">
        <f>+'Tasas inteligentes'!AK28</f>
        <v>0.15389462418258582</v>
      </c>
      <c r="K28" s="220">
        <f>+'Tasas inteligentes'!AL28</f>
        <v>0.15663410959937174</v>
      </c>
      <c r="L28" s="220">
        <f>+'Tasas inteligentes'!AM28</f>
        <v>0.15663410959937174</v>
      </c>
      <c r="M28" s="220">
        <f>+'Tasas inteligentes'!AN28</f>
        <v>0.16350892700314201</v>
      </c>
      <c r="N28" s="220">
        <f>+'Tasas inteligentes'!AO28</f>
        <v>0.16765177626913008</v>
      </c>
      <c r="O28" s="221"/>
    </row>
    <row r="29" spans="1:15" x14ac:dyDescent="0.35">
      <c r="A29" s="125" t="s">
        <v>80</v>
      </c>
      <c r="B29" s="130" t="s">
        <v>75</v>
      </c>
      <c r="C29" s="130" t="s">
        <v>51</v>
      </c>
      <c r="D29" s="130" t="s">
        <v>61</v>
      </c>
      <c r="E29" s="130" t="s">
        <v>53</v>
      </c>
      <c r="F29" s="130" t="s">
        <v>56</v>
      </c>
      <c r="H29" s="221"/>
      <c r="I29" s="220">
        <f>+'Tasas inteligentes'!AJ29</f>
        <v>0.15252711305920341</v>
      </c>
      <c r="J29" s="220">
        <f>+'Tasas inteligentes'!AK29</f>
        <v>0.15389462418258582</v>
      </c>
      <c r="K29" s="220">
        <f>+'Tasas inteligentes'!AL29</f>
        <v>0.15663410959937174</v>
      </c>
      <c r="L29" s="220">
        <f>+'Tasas inteligentes'!AM29</f>
        <v>0.15663410959937174</v>
      </c>
      <c r="M29" s="220">
        <f>+'Tasas inteligentes'!AN29</f>
        <v>0.15937955571773355</v>
      </c>
      <c r="N29" s="220">
        <f>+'Tasas inteligentes'!AO29</f>
        <v>0.16765177626913008</v>
      </c>
      <c r="O29" s="221"/>
    </row>
    <row r="30" spans="1:15" x14ac:dyDescent="0.35">
      <c r="A30" s="125" t="s">
        <v>81</v>
      </c>
      <c r="B30" s="130" t="s">
        <v>75</v>
      </c>
      <c r="C30" s="130" t="s">
        <v>51</v>
      </c>
      <c r="D30" s="130" t="s">
        <v>61</v>
      </c>
      <c r="E30" s="130" t="s">
        <v>58</v>
      </c>
      <c r="F30" s="130" t="s">
        <v>54</v>
      </c>
      <c r="H30" s="221"/>
      <c r="I30" s="220">
        <f>+'Tasas inteligentes'!AJ30</f>
        <v>0.15389462418258582</v>
      </c>
      <c r="J30" s="220">
        <f>+'Tasas inteligentes'!AK30</f>
        <v>0.15526362253922477</v>
      </c>
      <c r="K30" s="220">
        <f>+'Tasas inteligentes'!AL30</f>
        <v>0.15800608683458517</v>
      </c>
      <c r="L30" s="220">
        <f>+'Tasas inteligentes'!AM30</f>
        <v>0.15800608683458517</v>
      </c>
      <c r="M30" s="220">
        <f>+'Tasas inteligentes'!AN30</f>
        <v>0.16075451772299854</v>
      </c>
      <c r="N30" s="220">
        <f>+'Tasas inteligentes'!AO30</f>
        <v>0.16903572803833167</v>
      </c>
      <c r="O30" s="221"/>
    </row>
    <row r="31" spans="1:15" x14ac:dyDescent="0.35">
      <c r="A31" s="125" t="s">
        <v>82</v>
      </c>
      <c r="B31" s="130" t="s">
        <v>75</v>
      </c>
      <c r="C31" s="130" t="s">
        <v>51</v>
      </c>
      <c r="D31" s="130" t="s">
        <v>61</v>
      </c>
      <c r="E31" s="130" t="s">
        <v>58</v>
      </c>
      <c r="F31" s="130" t="s">
        <v>56</v>
      </c>
      <c r="H31" s="221"/>
      <c r="I31" s="220">
        <f>+'Tasas inteligentes'!AJ31</f>
        <v>0.15389462418258582</v>
      </c>
      <c r="J31" s="220">
        <f>+'Tasas inteligentes'!AK31</f>
        <v>0.15526362253922477</v>
      </c>
      <c r="K31" s="220">
        <f>+'Tasas inteligentes'!AL31</f>
        <v>0.15800608683458517</v>
      </c>
      <c r="L31" s="220">
        <f>+'Tasas inteligentes'!AM31</f>
        <v>0.15800608683458517</v>
      </c>
      <c r="M31" s="220">
        <f>+'Tasas inteligentes'!AN31</f>
        <v>0.16075451772299854</v>
      </c>
      <c r="N31" s="220">
        <f>+'Tasas inteligentes'!AO31</f>
        <v>0.16903572803833167</v>
      </c>
      <c r="O31" s="221"/>
    </row>
    <row r="32" spans="1:15" x14ac:dyDescent="0.35">
      <c r="A32" s="125" t="s">
        <v>83</v>
      </c>
      <c r="B32" s="130" t="s">
        <v>75</v>
      </c>
      <c r="C32" s="130" t="s">
        <v>66</v>
      </c>
      <c r="D32" s="130" t="s">
        <v>52</v>
      </c>
      <c r="E32" s="130" t="s">
        <v>53</v>
      </c>
      <c r="F32" s="130" t="s">
        <v>54</v>
      </c>
      <c r="H32" s="221"/>
      <c r="I32" s="220">
        <f>+'Tasas inteligentes'!AJ32</f>
        <v>0.13219191841842548</v>
      </c>
      <c r="J32" s="220">
        <f>+'Tasas inteligentes'!AK32</f>
        <v>0.1335372965869035</v>
      </c>
      <c r="K32" s="220">
        <f>+'Tasas inteligentes'!AL32</f>
        <v>0.13623245038182419</v>
      </c>
      <c r="L32" s="220">
        <f>+'Tasas inteligentes'!AM32</f>
        <v>0.13623245038182419</v>
      </c>
      <c r="M32" s="220">
        <f>+'Tasas inteligentes'!AN32</f>
        <v>0.13893347713220328</v>
      </c>
      <c r="N32" s="220">
        <f>+'Tasas inteligentes'!AO32</f>
        <v>0.15526362253922477</v>
      </c>
      <c r="O32" s="221"/>
    </row>
    <row r="33" spans="1:15" x14ac:dyDescent="0.35">
      <c r="A33" s="125" t="s">
        <v>84</v>
      </c>
      <c r="B33" s="130" t="s">
        <v>75</v>
      </c>
      <c r="C33" s="130" t="s">
        <v>66</v>
      </c>
      <c r="D33" s="130" t="s">
        <v>52</v>
      </c>
      <c r="E33" s="130" t="s">
        <v>53</v>
      </c>
      <c r="F33" s="130" t="s">
        <v>56</v>
      </c>
      <c r="H33" s="221"/>
      <c r="I33" s="220">
        <f>+'Tasas inteligentes'!AJ33</f>
        <v>0.13219191841842548</v>
      </c>
      <c r="J33" s="220">
        <f>+'Tasas inteligentes'!AK33</f>
        <v>0.1335372965869035</v>
      </c>
      <c r="K33" s="220">
        <f>+'Tasas inteligentes'!AL33</f>
        <v>0.13623245038182419</v>
      </c>
      <c r="L33" s="220">
        <f>+'Tasas inteligentes'!AM33</f>
        <v>0.13623245038182419</v>
      </c>
      <c r="M33" s="220">
        <f>+'Tasas inteligentes'!AN33</f>
        <v>0.13893347713220328</v>
      </c>
      <c r="N33" s="220">
        <f>+'Tasas inteligentes'!AO33</f>
        <v>0.15526362253922477</v>
      </c>
      <c r="O33" s="221"/>
    </row>
    <row r="34" spans="1:15" x14ac:dyDescent="0.35">
      <c r="A34" s="125" t="s">
        <v>85</v>
      </c>
      <c r="B34" s="130" t="s">
        <v>75</v>
      </c>
      <c r="C34" s="130" t="s">
        <v>66</v>
      </c>
      <c r="D34" s="130" t="s">
        <v>52</v>
      </c>
      <c r="E34" s="130" t="s">
        <v>58</v>
      </c>
      <c r="F34" s="130" t="s">
        <v>54</v>
      </c>
      <c r="H34" s="221"/>
      <c r="I34" s="220">
        <f>+'Tasas inteligentes'!AJ34</f>
        <v>0.13488414009111604</v>
      </c>
      <c r="J34" s="220">
        <f>+'Tasas inteligentes'!AK34</f>
        <v>0.13623245038182419</v>
      </c>
      <c r="K34" s="220">
        <f>+'Tasas inteligentes'!AL34</f>
        <v>0.13893347713220328</v>
      </c>
      <c r="L34" s="220">
        <f>+'Tasas inteligentes'!AM34</f>
        <v>0.13893347713220328</v>
      </c>
      <c r="M34" s="220">
        <f>+'Tasas inteligentes'!AN34</f>
        <v>0.14164038846995752</v>
      </c>
      <c r="N34" s="220">
        <f>+'Tasas inteligentes'!AO34</f>
        <v>0.15526362253922477</v>
      </c>
      <c r="O34" s="221"/>
    </row>
    <row r="35" spans="1:15" x14ac:dyDescent="0.35">
      <c r="A35" s="125" t="s">
        <v>86</v>
      </c>
      <c r="B35" s="130" t="s">
        <v>75</v>
      </c>
      <c r="C35" s="130" t="s">
        <v>66</v>
      </c>
      <c r="D35" s="130" t="s">
        <v>52</v>
      </c>
      <c r="E35" s="130" t="s">
        <v>58</v>
      </c>
      <c r="F35" s="130" t="s">
        <v>56</v>
      </c>
      <c r="H35" s="221"/>
      <c r="I35" s="220">
        <f>+'Tasas inteligentes'!AJ35</f>
        <v>0.13488414009111604</v>
      </c>
      <c r="J35" s="220">
        <f>+'Tasas inteligentes'!AK35</f>
        <v>0.13623245038182419</v>
      </c>
      <c r="K35" s="220">
        <f>+'Tasas inteligentes'!AL35</f>
        <v>0.13893347713220328</v>
      </c>
      <c r="L35" s="220">
        <f>+'Tasas inteligentes'!AM35</f>
        <v>0.13893347713220328</v>
      </c>
      <c r="M35" s="220">
        <f>+'Tasas inteligentes'!AN35</f>
        <v>0.14164038846995752</v>
      </c>
      <c r="N35" s="220">
        <f>+'Tasas inteligentes'!AO35</f>
        <v>0.15526362253922477</v>
      </c>
      <c r="O35" s="221"/>
    </row>
    <row r="36" spans="1:15" x14ac:dyDescent="0.35">
      <c r="A36" s="125" t="s">
        <v>87</v>
      </c>
      <c r="B36" s="130" t="s">
        <v>75</v>
      </c>
      <c r="C36" s="130" t="s">
        <v>66</v>
      </c>
      <c r="D36" s="130" t="s">
        <v>61</v>
      </c>
      <c r="E36" s="130" t="s">
        <v>53</v>
      </c>
      <c r="F36" s="130" t="s">
        <v>54</v>
      </c>
      <c r="H36" s="221"/>
      <c r="I36" s="220">
        <f>+'Tasas inteligentes'!AJ36</f>
        <v>0.13893347713220328</v>
      </c>
      <c r="J36" s="220">
        <f>+'Tasas inteligentes'!AK36</f>
        <v>0.14028619649985408</v>
      </c>
      <c r="K36" s="220">
        <f>+'Tasas inteligentes'!AL36</f>
        <v>0.14299605449973818</v>
      </c>
      <c r="L36" s="220">
        <f>+'Tasas inteligentes'!AM36</f>
        <v>0.14299605449973818</v>
      </c>
      <c r="M36" s="220">
        <f>+'Tasas inteligentes'!AN36</f>
        <v>0.14571181457374238</v>
      </c>
      <c r="N36" s="220">
        <f>+'Tasas inteligentes'!AO36</f>
        <v>0.15526362253922477</v>
      </c>
      <c r="O36" s="221"/>
    </row>
    <row r="37" spans="1:15" x14ac:dyDescent="0.35">
      <c r="A37" s="125" t="s">
        <v>88</v>
      </c>
      <c r="B37" s="130" t="s">
        <v>75</v>
      </c>
      <c r="C37" s="130" t="s">
        <v>66</v>
      </c>
      <c r="D37" s="130" t="s">
        <v>61</v>
      </c>
      <c r="E37" s="130" t="s">
        <v>53</v>
      </c>
      <c r="F37" s="130" t="s">
        <v>56</v>
      </c>
      <c r="H37" s="221"/>
      <c r="I37" s="220">
        <f>+'Tasas inteligentes'!AJ37</f>
        <v>0.13893347713220328</v>
      </c>
      <c r="J37" s="220">
        <f>+'Tasas inteligentes'!AK37</f>
        <v>0.14028619649985408</v>
      </c>
      <c r="K37" s="220">
        <f>+'Tasas inteligentes'!AL37</f>
        <v>0.14299605449973818</v>
      </c>
      <c r="L37" s="220">
        <f>+'Tasas inteligentes'!AM37</f>
        <v>0.14299605449973818</v>
      </c>
      <c r="M37" s="220">
        <f>+'Tasas inteligentes'!AN37</f>
        <v>0.14571181457374238</v>
      </c>
      <c r="N37" s="220">
        <f>+'Tasas inteligentes'!AO37</f>
        <v>0.15526362253922477</v>
      </c>
      <c r="O37" s="221"/>
    </row>
    <row r="38" spans="1:15" x14ac:dyDescent="0.35">
      <c r="A38" s="125" t="s">
        <v>89</v>
      </c>
      <c r="B38" s="130" t="s">
        <v>75</v>
      </c>
      <c r="C38" s="130" t="s">
        <v>66</v>
      </c>
      <c r="D38" s="130" t="s">
        <v>61</v>
      </c>
      <c r="E38" s="130" t="s">
        <v>58</v>
      </c>
      <c r="F38" s="130" t="s">
        <v>54</v>
      </c>
      <c r="H38" s="221"/>
      <c r="I38" s="220">
        <f>+'Tasas inteligentes'!AJ38</f>
        <v>0.14164038846995752</v>
      </c>
      <c r="J38" s="220">
        <f>+'Tasas inteligentes'!AK38</f>
        <v>0.14299605449973818</v>
      </c>
      <c r="K38" s="220">
        <f>+'Tasas inteligentes'!AL38</f>
        <v>0.14571181457374238</v>
      </c>
      <c r="L38" s="220">
        <f>+'Tasas inteligentes'!AM38</f>
        <v>0.14571181457374238</v>
      </c>
      <c r="M38" s="220">
        <f>+'Tasas inteligentes'!AN38</f>
        <v>0.14843348840566883</v>
      </c>
      <c r="N38" s="220">
        <f>+'Tasas inteligentes'!AO38</f>
        <v>0.15526362253922477</v>
      </c>
      <c r="O38" s="221"/>
    </row>
    <row r="39" spans="1:15" x14ac:dyDescent="0.35">
      <c r="A39" s="125" t="s">
        <v>90</v>
      </c>
      <c r="B39" s="130" t="s">
        <v>75</v>
      </c>
      <c r="C39" s="130" t="s">
        <v>66</v>
      </c>
      <c r="D39" s="130" t="s">
        <v>61</v>
      </c>
      <c r="E39" s="130" t="s">
        <v>58</v>
      </c>
      <c r="F39" s="130" t="s">
        <v>56</v>
      </c>
      <c r="H39" s="221"/>
      <c r="I39" s="220">
        <f>+'Tasas inteligentes'!AJ39</f>
        <v>0.14164038846995752</v>
      </c>
      <c r="J39" s="220">
        <f>+'Tasas inteligentes'!AK39</f>
        <v>0.14299605449973818</v>
      </c>
      <c r="K39" s="220">
        <f>+'Tasas inteligentes'!AL39</f>
        <v>0.14571181457374238</v>
      </c>
      <c r="L39" s="220">
        <f>+'Tasas inteligentes'!AM39</f>
        <v>0.14571181457374238</v>
      </c>
      <c r="M39" s="220">
        <f>+'Tasas inteligentes'!AN39</f>
        <v>0.14843348840566883</v>
      </c>
      <c r="N39" s="220">
        <f>+'Tasas inteligentes'!AO39</f>
        <v>0.15526362253922477</v>
      </c>
      <c r="O39" s="221"/>
    </row>
    <row r="40" spans="1:15" x14ac:dyDescent="0.35">
      <c r="A40" s="125" t="s">
        <v>91</v>
      </c>
      <c r="B40" s="130" t="s">
        <v>92</v>
      </c>
      <c r="C40" s="130" t="s">
        <v>51</v>
      </c>
      <c r="D40" s="130" t="s">
        <v>52</v>
      </c>
      <c r="E40" s="130" t="s">
        <v>53</v>
      </c>
      <c r="F40" s="130" t="s">
        <v>54</v>
      </c>
      <c r="H40" s="221"/>
      <c r="I40" s="220">
        <f>+'Tasas inteligentes'!AJ40</f>
        <v>0.13893347713220328</v>
      </c>
      <c r="J40" s="220">
        <f>+'Tasas inteligentes'!AK40</f>
        <v>0.14028619649985408</v>
      </c>
      <c r="K40" s="220">
        <f>+'Tasas inteligentes'!AL40</f>
        <v>0.14299605449973818</v>
      </c>
      <c r="L40" s="220">
        <f>+'Tasas inteligentes'!AM40</f>
        <v>0.14299605449973818</v>
      </c>
      <c r="M40" s="220">
        <f>+'Tasas inteligentes'!AN40</f>
        <v>0.14571181457374238</v>
      </c>
      <c r="N40" s="220">
        <f>+'Tasas inteligentes'!AO40</f>
        <v>0.15252711305920341</v>
      </c>
      <c r="O40" s="221"/>
    </row>
    <row r="41" spans="1:15" x14ac:dyDescent="0.35">
      <c r="A41" s="125" t="s">
        <v>93</v>
      </c>
      <c r="B41" s="130" t="s">
        <v>92</v>
      </c>
      <c r="C41" s="130" t="s">
        <v>51</v>
      </c>
      <c r="D41" s="130" t="s">
        <v>52</v>
      </c>
      <c r="E41" s="130" t="s">
        <v>53</v>
      </c>
      <c r="F41" s="130" t="s">
        <v>56</v>
      </c>
      <c r="H41" s="221"/>
      <c r="I41" s="220">
        <f>+'Tasas inteligentes'!AJ41</f>
        <v>0.13893347713220328</v>
      </c>
      <c r="J41" s="220">
        <f>+'Tasas inteligentes'!AK41</f>
        <v>0.14028619649985408</v>
      </c>
      <c r="K41" s="220">
        <f>+'Tasas inteligentes'!AL41</f>
        <v>0.14299605449973818</v>
      </c>
      <c r="L41" s="220">
        <f>+'Tasas inteligentes'!AM41</f>
        <v>0.14299605449973818</v>
      </c>
      <c r="M41" s="220">
        <f>+'Tasas inteligentes'!AN41</f>
        <v>0.14571181457374238</v>
      </c>
      <c r="N41" s="220">
        <f>+'Tasas inteligentes'!AO41</f>
        <v>0.15252711305920341</v>
      </c>
      <c r="O41" s="221"/>
    </row>
    <row r="42" spans="1:15" x14ac:dyDescent="0.35">
      <c r="A42" s="125" t="s">
        <v>94</v>
      </c>
      <c r="B42" s="130" t="s">
        <v>92</v>
      </c>
      <c r="C42" s="130" t="s">
        <v>51</v>
      </c>
      <c r="D42" s="130" t="s">
        <v>52</v>
      </c>
      <c r="E42" s="130" t="s">
        <v>58</v>
      </c>
      <c r="F42" s="130" t="s">
        <v>54</v>
      </c>
      <c r="H42" s="221"/>
      <c r="I42" s="220">
        <f>+'Tasas inteligentes'!AJ42</f>
        <v>0.13893347713220328</v>
      </c>
      <c r="J42" s="220">
        <f>+'Tasas inteligentes'!AK42</f>
        <v>0.14028619649985408</v>
      </c>
      <c r="K42" s="220">
        <f>+'Tasas inteligentes'!AL42</f>
        <v>0.14299605449973818</v>
      </c>
      <c r="L42" s="220">
        <f>+'Tasas inteligentes'!AM42</f>
        <v>0.14299605449973818</v>
      </c>
      <c r="M42" s="220">
        <f>+'Tasas inteligentes'!AN42</f>
        <v>0.14571181457374238</v>
      </c>
      <c r="N42" s="220">
        <f>+'Tasas inteligentes'!AO42</f>
        <v>0.15252711305920341</v>
      </c>
      <c r="O42" s="221"/>
    </row>
    <row r="43" spans="1:15" x14ac:dyDescent="0.35">
      <c r="A43" s="125" t="s">
        <v>95</v>
      </c>
      <c r="B43" s="130" t="s">
        <v>92</v>
      </c>
      <c r="C43" s="130" t="s">
        <v>51</v>
      </c>
      <c r="D43" s="130" t="s">
        <v>52</v>
      </c>
      <c r="E43" s="130" t="s">
        <v>58</v>
      </c>
      <c r="F43" s="130" t="s">
        <v>56</v>
      </c>
      <c r="H43" s="221"/>
      <c r="I43" s="220">
        <f>+'Tasas inteligentes'!AJ43</f>
        <v>0.13893347713220328</v>
      </c>
      <c r="J43" s="220">
        <f>+'Tasas inteligentes'!AK43</f>
        <v>0.14028619649985408</v>
      </c>
      <c r="K43" s="220">
        <f>+'Tasas inteligentes'!AL43</f>
        <v>0.14299605449973818</v>
      </c>
      <c r="L43" s="220">
        <f>+'Tasas inteligentes'!AM43</f>
        <v>0.14299605449973818</v>
      </c>
      <c r="M43" s="220">
        <f>+'Tasas inteligentes'!AN43</f>
        <v>0.14571181457374238</v>
      </c>
      <c r="N43" s="220">
        <f>+'Tasas inteligentes'!AO43</f>
        <v>0.15252711305920341</v>
      </c>
      <c r="O43" s="221"/>
    </row>
    <row r="44" spans="1:15" x14ac:dyDescent="0.35">
      <c r="A44" s="125" t="s">
        <v>96</v>
      </c>
      <c r="B44" s="130" t="s">
        <v>92</v>
      </c>
      <c r="C44" s="130" t="s">
        <v>51</v>
      </c>
      <c r="D44" s="130" t="s">
        <v>61</v>
      </c>
      <c r="E44" s="130" t="s">
        <v>53</v>
      </c>
      <c r="F44" s="130" t="s">
        <v>54</v>
      </c>
      <c r="H44" s="221"/>
      <c r="I44" s="220">
        <f>+'Tasas inteligentes'!AJ44</f>
        <v>0.14707191153891563</v>
      </c>
      <c r="J44" s="220">
        <f>+'Tasas inteligentes'!AK44</f>
        <v>0.14843348840566883</v>
      </c>
      <c r="K44" s="220">
        <f>+'Tasas inteligentes'!AL44</f>
        <v>0.15116108770013081</v>
      </c>
      <c r="L44" s="220">
        <f>+'Tasas inteligentes'!AM44</f>
        <v>0.15116108770013081</v>
      </c>
      <c r="M44" s="220">
        <f>+'Tasas inteligentes'!AN44</f>
        <v>0.15389462418258582</v>
      </c>
      <c r="N44" s="220">
        <f>+'Tasas inteligentes'!AO44</f>
        <v>0.1621309743258661</v>
      </c>
      <c r="O44" s="221"/>
    </row>
    <row r="45" spans="1:15" x14ac:dyDescent="0.35">
      <c r="A45" s="125" t="s">
        <v>97</v>
      </c>
      <c r="B45" s="130" t="s">
        <v>92</v>
      </c>
      <c r="C45" s="130" t="s">
        <v>51</v>
      </c>
      <c r="D45" s="130" t="s">
        <v>61</v>
      </c>
      <c r="E45" s="130" t="s">
        <v>53</v>
      </c>
      <c r="F45" s="130" t="s">
        <v>56</v>
      </c>
      <c r="H45" s="221"/>
      <c r="I45" s="220">
        <f>+'Tasas inteligentes'!AJ45</f>
        <v>0.14707191153891563</v>
      </c>
      <c r="J45" s="220">
        <f>+'Tasas inteligentes'!AK45</f>
        <v>0.14843348840566883</v>
      </c>
      <c r="K45" s="220">
        <f>+'Tasas inteligentes'!AL45</f>
        <v>0.15116108770013081</v>
      </c>
      <c r="L45" s="220">
        <f>+'Tasas inteligentes'!AM45</f>
        <v>0.15116108770013081</v>
      </c>
      <c r="M45" s="220">
        <f>+'Tasas inteligentes'!AN45</f>
        <v>0.15389462418258582</v>
      </c>
      <c r="N45" s="220">
        <f>+'Tasas inteligentes'!AO45</f>
        <v>0.1621309743258661</v>
      </c>
      <c r="O45" s="221"/>
    </row>
    <row r="46" spans="1:15" x14ac:dyDescent="0.35">
      <c r="A46" s="125" t="s">
        <v>98</v>
      </c>
      <c r="B46" s="130" t="s">
        <v>92</v>
      </c>
      <c r="C46" s="130" t="s">
        <v>51</v>
      </c>
      <c r="D46" s="130" t="s">
        <v>61</v>
      </c>
      <c r="E46" s="130" t="s">
        <v>58</v>
      </c>
      <c r="F46" s="130" t="s">
        <v>54</v>
      </c>
      <c r="H46" s="221"/>
      <c r="I46" s="220">
        <f>+'Tasas inteligentes'!AJ46</f>
        <v>0.14843348840566883</v>
      </c>
      <c r="J46" s="220">
        <f>+'Tasas inteligentes'!AK46</f>
        <v>0.1497965466377309</v>
      </c>
      <c r="K46" s="220">
        <f>+'Tasas inteligentes'!AL46</f>
        <v>0.15252711305920341</v>
      </c>
      <c r="L46" s="220">
        <f>+'Tasas inteligentes'!AM46</f>
        <v>0.15252711305920341</v>
      </c>
      <c r="M46" s="220">
        <f>+'Tasas inteligentes'!AN46</f>
        <v>0.15526362253922477</v>
      </c>
      <c r="N46" s="220">
        <f>+'Tasas inteligentes'!AO46</f>
        <v>0.16350892700314201</v>
      </c>
      <c r="O46" s="221"/>
    </row>
    <row r="47" spans="1:15" x14ac:dyDescent="0.35">
      <c r="A47" s="125" t="s">
        <v>99</v>
      </c>
      <c r="B47" s="130" t="s">
        <v>92</v>
      </c>
      <c r="C47" s="130" t="s">
        <v>51</v>
      </c>
      <c r="D47" s="130" t="s">
        <v>61</v>
      </c>
      <c r="E47" s="130" t="s">
        <v>58</v>
      </c>
      <c r="F47" s="130" t="s">
        <v>56</v>
      </c>
      <c r="H47" s="221"/>
      <c r="I47" s="220">
        <f>+'Tasas inteligentes'!AJ47</f>
        <v>0.14843348840566883</v>
      </c>
      <c r="J47" s="220">
        <f>+'Tasas inteligentes'!AK47</f>
        <v>0.1497965466377309</v>
      </c>
      <c r="K47" s="220">
        <f>+'Tasas inteligentes'!AL47</f>
        <v>0.15252711305920341</v>
      </c>
      <c r="L47" s="220">
        <f>+'Tasas inteligentes'!AM47</f>
        <v>0.15252711305920341</v>
      </c>
      <c r="M47" s="220">
        <f>+'Tasas inteligentes'!AN47</f>
        <v>0.15526362253922477</v>
      </c>
      <c r="N47" s="220">
        <f>+'Tasas inteligentes'!AO47</f>
        <v>0.16350892700314201</v>
      </c>
      <c r="O47" s="221"/>
    </row>
    <row r="48" spans="1:15" x14ac:dyDescent="0.35">
      <c r="A48" s="125" t="s">
        <v>100</v>
      </c>
      <c r="B48" s="130" t="s">
        <v>92</v>
      </c>
      <c r="C48" s="130" t="s">
        <v>66</v>
      </c>
      <c r="D48" s="130" t="s">
        <v>52</v>
      </c>
      <c r="E48" s="130" t="s">
        <v>53</v>
      </c>
      <c r="F48" s="130" t="s">
        <v>54</v>
      </c>
      <c r="H48" s="221"/>
      <c r="I48" s="220">
        <f>+'Tasas inteligentes'!AJ48</f>
        <v>0.12816456143923505</v>
      </c>
      <c r="J48" s="220">
        <f>+'Tasas inteligentes'!AK48</f>
        <v>0.12950555229212202</v>
      </c>
      <c r="K48" s="220">
        <f>+'Tasas inteligentes'!AL48</f>
        <v>0.13219191841842548</v>
      </c>
      <c r="L48" s="220">
        <f>+'Tasas inteligentes'!AM48</f>
        <v>0.1335372965869035</v>
      </c>
      <c r="M48" s="220">
        <f>+'Tasas inteligentes'!AN48</f>
        <v>0.13488414009111604</v>
      </c>
      <c r="N48" s="220">
        <f>+'Tasas inteligentes'!AO48</f>
        <v>0.15526362253922477</v>
      </c>
      <c r="O48" s="221"/>
    </row>
    <row r="49" spans="1:15" x14ac:dyDescent="0.35">
      <c r="A49" s="125" t="s">
        <v>101</v>
      </c>
      <c r="B49" s="130" t="s">
        <v>92</v>
      </c>
      <c r="C49" s="130" t="s">
        <v>66</v>
      </c>
      <c r="D49" s="130" t="s">
        <v>52</v>
      </c>
      <c r="E49" s="130" t="s">
        <v>53</v>
      </c>
      <c r="F49" s="130" t="s">
        <v>56</v>
      </c>
      <c r="H49" s="221"/>
      <c r="I49" s="220">
        <f>+'Tasas inteligentes'!AJ49</f>
        <v>0.12816456143923505</v>
      </c>
      <c r="J49" s="220">
        <f>+'Tasas inteligentes'!AK49</f>
        <v>0.12950555229212202</v>
      </c>
      <c r="K49" s="220">
        <f>+'Tasas inteligentes'!AL49</f>
        <v>0.13219191841842548</v>
      </c>
      <c r="L49" s="220">
        <f>+'Tasas inteligentes'!AM49</f>
        <v>0.1335372965869035</v>
      </c>
      <c r="M49" s="220">
        <f>+'Tasas inteligentes'!AN49</f>
        <v>0.13488414009111604</v>
      </c>
      <c r="N49" s="220">
        <f>+'Tasas inteligentes'!AO49</f>
        <v>0.15526362253922477</v>
      </c>
      <c r="O49" s="221"/>
    </row>
    <row r="50" spans="1:15" x14ac:dyDescent="0.35">
      <c r="A50" s="125" t="s">
        <v>102</v>
      </c>
      <c r="B50" s="130" t="s">
        <v>92</v>
      </c>
      <c r="C50" s="130" t="s">
        <v>66</v>
      </c>
      <c r="D50" s="130" t="s">
        <v>52</v>
      </c>
      <c r="E50" s="130" t="s">
        <v>58</v>
      </c>
      <c r="F50" s="130" t="s">
        <v>54</v>
      </c>
      <c r="H50" s="221"/>
      <c r="I50" s="220">
        <f>+'Tasas inteligentes'!AJ50</f>
        <v>0.13084800413622433</v>
      </c>
      <c r="J50" s="220">
        <f>+'Tasas inteligentes'!AK50</f>
        <v>0.13219191841842548</v>
      </c>
      <c r="K50" s="220">
        <f>+'Tasas inteligentes'!AL50</f>
        <v>0.13488414009111604</v>
      </c>
      <c r="L50" s="220">
        <f>+'Tasas inteligentes'!AM50</f>
        <v>0.13488414009111604</v>
      </c>
      <c r="M50" s="220">
        <f>+'Tasas inteligentes'!AN50</f>
        <v>0.1375822289110713</v>
      </c>
      <c r="N50" s="220">
        <f>+'Tasas inteligentes'!AO50</f>
        <v>0.15526362253922477</v>
      </c>
      <c r="O50" s="221"/>
    </row>
    <row r="51" spans="1:15" x14ac:dyDescent="0.35">
      <c r="A51" s="125" t="s">
        <v>103</v>
      </c>
      <c r="B51" s="130" t="s">
        <v>92</v>
      </c>
      <c r="C51" s="130" t="s">
        <v>66</v>
      </c>
      <c r="D51" s="130" t="s">
        <v>52</v>
      </c>
      <c r="E51" s="130" t="s">
        <v>58</v>
      </c>
      <c r="F51" s="130" t="s">
        <v>56</v>
      </c>
      <c r="H51" s="221"/>
      <c r="I51" s="220">
        <f>+'Tasas inteligentes'!AJ51</f>
        <v>0.13084800413622433</v>
      </c>
      <c r="J51" s="220">
        <f>+'Tasas inteligentes'!AK51</f>
        <v>0.13219191841842548</v>
      </c>
      <c r="K51" s="220">
        <f>+'Tasas inteligentes'!AL51</f>
        <v>0.13488414009111604</v>
      </c>
      <c r="L51" s="220">
        <f>+'Tasas inteligentes'!AM51</f>
        <v>0.13488414009111604</v>
      </c>
      <c r="M51" s="220">
        <f>+'Tasas inteligentes'!AN51</f>
        <v>0.1375822289110713</v>
      </c>
      <c r="N51" s="220">
        <f>+'Tasas inteligentes'!AO51</f>
        <v>0.15526362253922477</v>
      </c>
      <c r="O51" s="221"/>
    </row>
    <row r="52" spans="1:15" x14ac:dyDescent="0.35">
      <c r="A52" s="125" t="s">
        <v>104</v>
      </c>
      <c r="B52" s="130" t="s">
        <v>92</v>
      </c>
      <c r="C52" s="130" t="s">
        <v>66</v>
      </c>
      <c r="D52" s="130" t="s">
        <v>61</v>
      </c>
      <c r="E52" s="130" t="s">
        <v>53</v>
      </c>
      <c r="F52" s="130" t="s">
        <v>54</v>
      </c>
      <c r="H52" s="221"/>
      <c r="I52" s="220">
        <f>+'Tasas inteligentes'!AJ52</f>
        <v>0.1335372965869035</v>
      </c>
      <c r="J52" s="220">
        <f>+'Tasas inteligentes'!AK52</f>
        <v>0.13488414009111604</v>
      </c>
      <c r="K52" s="220">
        <f>+'Tasas inteligentes'!AL52</f>
        <v>0.1375822289110713</v>
      </c>
      <c r="L52" s="220">
        <f>+'Tasas inteligentes'!AM52</f>
        <v>0.1375822289110713</v>
      </c>
      <c r="M52" s="220">
        <f>+'Tasas inteligentes'!AN52</f>
        <v>0.14028619649985408</v>
      </c>
      <c r="N52" s="220">
        <f>+'Tasas inteligentes'!AO52</f>
        <v>0.15526362253922477</v>
      </c>
      <c r="O52" s="221"/>
    </row>
    <row r="53" spans="1:15" x14ac:dyDescent="0.35">
      <c r="A53" s="125" t="s">
        <v>105</v>
      </c>
      <c r="B53" s="130" t="s">
        <v>92</v>
      </c>
      <c r="C53" s="130" t="s">
        <v>66</v>
      </c>
      <c r="D53" s="130" t="s">
        <v>61</v>
      </c>
      <c r="E53" s="130" t="s">
        <v>53</v>
      </c>
      <c r="F53" s="130" t="s">
        <v>56</v>
      </c>
      <c r="H53" s="221"/>
      <c r="I53" s="220">
        <f>+'Tasas inteligentes'!AJ53</f>
        <v>0.1335372965869035</v>
      </c>
      <c r="J53" s="220">
        <f>+'Tasas inteligentes'!AK53</f>
        <v>0.13488414009111604</v>
      </c>
      <c r="K53" s="220">
        <f>+'Tasas inteligentes'!AL53</f>
        <v>0.1375822289110713</v>
      </c>
      <c r="L53" s="220">
        <f>+'Tasas inteligentes'!AM53</f>
        <v>0.1375822289110713</v>
      </c>
      <c r="M53" s="220">
        <f>+'Tasas inteligentes'!AN53</f>
        <v>0.14028619649985408</v>
      </c>
      <c r="N53" s="220">
        <f>+'Tasas inteligentes'!AO53</f>
        <v>0.15526362253922477</v>
      </c>
      <c r="O53" s="221"/>
    </row>
    <row r="54" spans="1:15" x14ac:dyDescent="0.35">
      <c r="A54" s="125" t="s">
        <v>106</v>
      </c>
      <c r="B54" s="130" t="s">
        <v>92</v>
      </c>
      <c r="C54" s="130" t="s">
        <v>66</v>
      </c>
      <c r="D54" s="130" t="s">
        <v>61</v>
      </c>
      <c r="E54" s="130" t="s">
        <v>58</v>
      </c>
      <c r="F54" s="130" t="s">
        <v>54</v>
      </c>
      <c r="H54" s="221"/>
      <c r="I54" s="220">
        <f>+'Tasas inteligentes'!AJ54</f>
        <v>0.13623245038182419</v>
      </c>
      <c r="J54" s="220">
        <f>+'Tasas inteligentes'!AK54</f>
        <v>0.1375822289110713</v>
      </c>
      <c r="K54" s="220">
        <f>+'Tasas inteligentes'!AL54</f>
        <v>0.14028619649985408</v>
      </c>
      <c r="L54" s="220">
        <f>+'Tasas inteligentes'!AM54</f>
        <v>0.14028619649985408</v>
      </c>
      <c r="M54" s="220">
        <f>+'Tasas inteligentes'!AN54</f>
        <v>0.14299605449973818</v>
      </c>
      <c r="N54" s="220">
        <f>+'Tasas inteligentes'!AO54</f>
        <v>0.15526362253922477</v>
      </c>
      <c r="O54" s="221"/>
    </row>
    <row r="55" spans="1:15" x14ac:dyDescent="0.35">
      <c r="A55" s="125" t="s">
        <v>107</v>
      </c>
      <c r="B55" s="130" t="s">
        <v>92</v>
      </c>
      <c r="C55" s="130" t="s">
        <v>66</v>
      </c>
      <c r="D55" s="130" t="s">
        <v>61</v>
      </c>
      <c r="E55" s="130" t="s">
        <v>58</v>
      </c>
      <c r="F55" s="130" t="s">
        <v>56</v>
      </c>
      <c r="H55" s="221"/>
      <c r="I55" s="220">
        <f>+'Tasas inteligentes'!AJ55</f>
        <v>0.13623245038182419</v>
      </c>
      <c r="J55" s="220">
        <f>+'Tasas inteligentes'!AK55</f>
        <v>0.1375822289110713</v>
      </c>
      <c r="K55" s="220">
        <f>+'Tasas inteligentes'!AL55</f>
        <v>0.14028619649985408</v>
      </c>
      <c r="L55" s="220">
        <f>+'Tasas inteligentes'!AM55</f>
        <v>0.14028619649985408</v>
      </c>
      <c r="M55" s="220">
        <f>+'Tasas inteligentes'!AN55</f>
        <v>0.14299605449973818</v>
      </c>
      <c r="N55" s="220">
        <f>+'Tasas inteligentes'!AO55</f>
        <v>0.15526362253922477</v>
      </c>
      <c r="O55" s="221"/>
    </row>
    <row r="56" spans="1:15" x14ac:dyDescent="0.35">
      <c r="H56" s="131"/>
      <c r="I56" s="131"/>
      <c r="J56" s="131"/>
      <c r="K56" s="131"/>
      <c r="L56" s="131"/>
      <c r="M56" s="131"/>
      <c r="N56" s="131"/>
      <c r="O56" s="131"/>
    </row>
    <row r="57" spans="1:15" x14ac:dyDescent="0.35">
      <c r="H57" s="131"/>
      <c r="I57" s="131"/>
      <c r="J57" s="131"/>
      <c r="K57" s="131"/>
      <c r="L57" s="131"/>
      <c r="M57" s="131"/>
      <c r="N57" s="131"/>
      <c r="O57" s="131"/>
    </row>
  </sheetData>
  <sheetProtection algorithmName="SHA-512" hashValue="FCwu/Ac9mF6lnbH4imSnSF13faM2G63eLl7n8FwWLMIkVM9etTTnJln8DUzraxp+UCcdrkboPAQJVY27NOGSBQ==" saltValue="eyOKBTtfTVqwHvLTD3xXPw==" spinCount="100000" sheet="1" objects="1" scenarios="1"/>
  <mergeCells count="1">
    <mergeCell ref="I6:N6"/>
  </mergeCells>
  <conditionalFormatting sqref="I8:N55">
    <cfRule type="containsText" dxfId="82" priority="1" operator="containsText" text="N">
      <formula>NOT(ISERROR(SEARCH("N",I8)))</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82937-DA66-4D37-BAB3-37D57A6FC78B}">
  <sheetPr codeName="Hoja33">
    <pageSetUpPr fitToPage="1"/>
  </sheetPr>
  <dimension ref="A1:XFA381"/>
  <sheetViews>
    <sheetView showGridLines="0" view="pageBreakPreview" zoomScale="70" zoomScaleNormal="70" zoomScaleSheetLayoutView="70" workbookViewId="0">
      <pane ySplit="20" topLeftCell="A21" activePane="bottomLeft" state="frozen"/>
      <selection activeCell="B24" sqref="B24"/>
      <selection pane="bottomLeft" activeCell="B24" sqref="B24"/>
    </sheetView>
  </sheetViews>
  <sheetFormatPr baseColWidth="10" defaultColWidth="0" defaultRowHeight="15" customHeight="1" x14ac:dyDescent="0.35"/>
  <cols>
    <col min="1" max="1" width="3" style="2" customWidth="1"/>
    <col min="2" max="2" width="11.453125" style="2" customWidth="1"/>
    <col min="3" max="3" width="16.7265625" style="2" bestFit="1" customWidth="1"/>
    <col min="4" max="4" width="13.81640625" style="2" bestFit="1" customWidth="1"/>
    <col min="5" max="5" width="16.26953125" style="2" customWidth="1"/>
    <col min="6" max="6" width="15.7265625" style="2" hidden="1" customWidth="1"/>
    <col min="7" max="9" width="12.54296875" style="2" hidden="1" customWidth="1"/>
    <col min="10" max="10" width="14.7265625" style="2" bestFit="1" customWidth="1"/>
    <col min="11" max="11" width="12.81640625" style="2" bestFit="1" customWidth="1"/>
    <col min="12" max="12" width="13.81640625" style="2" bestFit="1" customWidth="1"/>
    <col min="13" max="13" width="15" style="2" bestFit="1" customWidth="1"/>
    <col min="14" max="14" width="15.81640625" style="2" hidden="1" customWidth="1"/>
    <col min="15" max="15" width="13.81640625" style="2" hidden="1" customWidth="1"/>
    <col min="16" max="16" width="5.1796875" style="2" customWidth="1"/>
    <col min="17" max="17" width="11.453125" style="2" hidden="1"/>
    <col min="18" max="23" width="3.7265625" style="2" hidden="1"/>
    <col min="24" max="24" width="11.453125" style="2" hidden="1"/>
    <col min="25" max="16381" width="3.7265625" style="2" hidden="1"/>
    <col min="16382" max="16384" width="2.81640625" style="2" hidden="1"/>
  </cols>
  <sheetData>
    <row r="1" spans="1:16" ht="15" customHeight="1" x14ac:dyDescent="0.35">
      <c r="A1" s="60"/>
      <c r="B1" s="61"/>
      <c r="C1" s="61"/>
      <c r="D1" s="61"/>
      <c r="E1" s="61"/>
      <c r="F1" s="61"/>
      <c r="G1" s="61"/>
      <c r="H1" s="61"/>
      <c r="I1" s="61"/>
      <c r="J1" s="61"/>
      <c r="K1" s="61"/>
      <c r="L1" s="430" t="str">
        <f>Pantalla_Inicio!J1</f>
        <v>Código: PCV_FOR_006
Versión: V02
Fecha de actualización: 04/05/2026</v>
      </c>
      <c r="M1" s="431"/>
    </row>
    <row r="2" spans="1:16" ht="21.75" customHeight="1" x14ac:dyDescent="0.35">
      <c r="A2" s="63"/>
      <c r="E2" s="579" t="s">
        <v>2645</v>
      </c>
      <c r="F2" s="579"/>
      <c r="G2" s="579"/>
      <c r="H2" s="579"/>
      <c r="I2" s="579"/>
      <c r="J2" s="579"/>
      <c r="K2" s="580"/>
      <c r="L2" s="432"/>
      <c r="M2" s="433"/>
    </row>
    <row r="3" spans="1:16" ht="19.5" customHeight="1" x14ac:dyDescent="0.35">
      <c r="A3" s="63"/>
      <c r="E3" s="579"/>
      <c r="F3" s="579"/>
      <c r="G3" s="579"/>
      <c r="H3" s="579"/>
      <c r="I3" s="579"/>
      <c r="J3" s="579"/>
      <c r="K3" s="580"/>
      <c r="L3" s="432"/>
      <c r="M3" s="433"/>
    </row>
    <row r="4" spans="1:16" ht="15.75" customHeight="1" x14ac:dyDescent="0.45">
      <c r="A4" s="64"/>
      <c r="B4" s="97" t="s">
        <v>2589</v>
      </c>
      <c r="C4" s="65"/>
      <c r="D4" s="65"/>
      <c r="E4" s="66"/>
      <c r="F4" s="66"/>
      <c r="G4" s="66"/>
      <c r="H4" s="66"/>
      <c r="I4" s="66"/>
      <c r="J4" s="66"/>
      <c r="K4" s="66"/>
      <c r="L4" s="434"/>
      <c r="M4" s="435"/>
    </row>
    <row r="5" spans="1:16" ht="18" customHeight="1" x14ac:dyDescent="0.35">
      <c r="B5" s="570" t="s">
        <v>2646</v>
      </c>
      <c r="C5" s="570"/>
      <c r="D5" s="570"/>
      <c r="E5" s="570"/>
      <c r="F5" s="570"/>
      <c r="G5" s="570"/>
      <c r="H5" s="570"/>
      <c r="I5" s="570"/>
      <c r="J5" s="570"/>
      <c r="K5" s="570"/>
      <c r="L5" s="570"/>
      <c r="M5" s="570"/>
      <c r="N5" s="335"/>
      <c r="O5" s="335"/>
      <c r="P5" s="139"/>
    </row>
    <row r="6" spans="1:16" ht="18" customHeight="1" x14ac:dyDescent="0.35">
      <c r="B6" s="571"/>
      <c r="C6" s="571"/>
      <c r="D6" s="571"/>
      <c r="E6" s="571"/>
      <c r="F6" s="571"/>
      <c r="G6" s="571"/>
      <c r="H6" s="571"/>
      <c r="I6" s="571"/>
      <c r="J6" s="571"/>
      <c r="K6" s="571"/>
      <c r="L6" s="571"/>
      <c r="M6" s="571"/>
      <c r="N6" s="139"/>
      <c r="O6" s="139"/>
      <c r="P6" s="139"/>
    </row>
    <row r="7" spans="1:16" ht="19.5" customHeight="1" x14ac:dyDescent="0.35">
      <c r="B7" s="571"/>
      <c r="C7" s="571"/>
      <c r="D7" s="571"/>
      <c r="E7" s="571"/>
      <c r="F7" s="571"/>
      <c r="G7" s="571"/>
      <c r="H7" s="571"/>
      <c r="I7" s="571"/>
      <c r="J7" s="571"/>
      <c r="K7" s="571"/>
      <c r="L7" s="571"/>
      <c r="M7" s="571"/>
      <c r="N7" s="139"/>
      <c r="O7" s="139"/>
      <c r="P7" s="139"/>
    </row>
    <row r="8" spans="1:16" ht="15.75" customHeight="1" x14ac:dyDescent="0.35">
      <c r="B8" s="571"/>
      <c r="C8" s="571"/>
      <c r="D8" s="571"/>
      <c r="E8" s="571"/>
      <c r="F8" s="571"/>
      <c r="G8" s="571"/>
      <c r="H8" s="571"/>
      <c r="I8" s="571"/>
      <c r="J8" s="571"/>
      <c r="K8" s="571"/>
      <c r="L8" s="571"/>
      <c r="M8" s="571"/>
      <c r="N8" s="139"/>
      <c r="O8" s="139"/>
      <c r="P8" s="139"/>
    </row>
    <row r="9" spans="1:16" ht="17.25" customHeight="1" x14ac:dyDescent="0.35">
      <c r="B9" s="571"/>
      <c r="C9" s="571"/>
      <c r="D9" s="571"/>
      <c r="E9" s="571"/>
      <c r="F9" s="571"/>
      <c r="G9" s="571"/>
      <c r="H9" s="571"/>
      <c r="I9" s="571"/>
      <c r="J9" s="571"/>
      <c r="K9" s="571"/>
      <c r="L9" s="571"/>
      <c r="M9" s="571"/>
      <c r="N9" s="139"/>
      <c r="O9" s="139"/>
      <c r="P9" s="139"/>
    </row>
    <row r="10" spans="1:16" ht="21.75" customHeight="1" x14ac:dyDescent="0.35">
      <c r="B10" s="571"/>
      <c r="C10" s="571"/>
      <c r="D10" s="571"/>
      <c r="E10" s="571"/>
      <c r="F10" s="571"/>
      <c r="G10" s="571"/>
      <c r="H10" s="571"/>
      <c r="I10" s="571"/>
      <c r="J10" s="571"/>
      <c r="K10" s="571"/>
      <c r="L10" s="571"/>
      <c r="M10" s="571"/>
      <c r="N10" s="139"/>
      <c r="O10" s="139"/>
      <c r="P10" s="139"/>
    </row>
    <row r="11" spans="1:16" ht="21.65" customHeight="1" x14ac:dyDescent="0.35">
      <c r="B11" s="571"/>
      <c r="C11" s="571"/>
      <c r="D11" s="571"/>
      <c r="E11" s="571"/>
      <c r="F11" s="571"/>
      <c r="G11" s="571"/>
      <c r="H11" s="571"/>
      <c r="I11" s="571"/>
      <c r="J11" s="571"/>
      <c r="K11" s="571"/>
      <c r="L11" s="571"/>
      <c r="M11" s="571"/>
      <c r="N11" s="139"/>
      <c r="O11" s="139"/>
      <c r="P11" s="139"/>
    </row>
    <row r="12" spans="1:16" ht="21.65" customHeight="1" x14ac:dyDescent="0.35">
      <c r="B12" s="571"/>
      <c r="C12" s="571"/>
      <c r="D12" s="571"/>
      <c r="E12" s="571"/>
      <c r="F12" s="571"/>
      <c r="G12" s="571"/>
      <c r="H12" s="571"/>
      <c r="I12" s="571"/>
      <c r="J12" s="571"/>
      <c r="K12" s="571"/>
      <c r="L12" s="571"/>
      <c r="M12" s="571"/>
      <c r="N12" s="139"/>
      <c r="O12" s="139"/>
      <c r="P12" s="139"/>
    </row>
    <row r="13" spans="1:16" ht="19.5" customHeight="1" x14ac:dyDescent="0.35">
      <c r="B13" s="571"/>
      <c r="C13" s="571"/>
      <c r="D13" s="571"/>
      <c r="E13" s="571"/>
      <c r="F13" s="571"/>
      <c r="G13" s="571"/>
      <c r="H13" s="571"/>
      <c r="I13" s="571"/>
      <c r="J13" s="571"/>
      <c r="K13" s="571"/>
      <c r="L13" s="571"/>
      <c r="M13" s="571"/>
      <c r="N13" s="139"/>
      <c r="O13" s="139"/>
      <c r="P13" s="139"/>
    </row>
    <row r="14" spans="1:16" ht="19.5" customHeight="1" x14ac:dyDescent="0.35">
      <c r="B14" s="571" t="s">
        <v>2647</v>
      </c>
      <c r="C14" s="571"/>
      <c r="D14" s="571"/>
      <c r="E14" s="571"/>
      <c r="F14" s="571"/>
      <c r="G14" s="571"/>
      <c r="H14" s="571"/>
      <c r="I14" s="571"/>
      <c r="J14" s="571"/>
      <c r="K14" s="571"/>
      <c r="L14" s="571"/>
      <c r="M14" s="571"/>
      <c r="N14" s="139"/>
      <c r="O14" s="139"/>
      <c r="P14" s="139"/>
    </row>
    <row r="15" spans="1:16" ht="19.5" customHeight="1" x14ac:dyDescent="0.35">
      <c r="B15" s="571"/>
      <c r="C15" s="571"/>
      <c r="D15" s="571"/>
      <c r="E15" s="571"/>
      <c r="F15" s="571"/>
      <c r="G15" s="571"/>
      <c r="H15" s="571"/>
      <c r="I15" s="571"/>
      <c r="J15" s="571"/>
      <c r="K15" s="571"/>
      <c r="L15" s="571"/>
      <c r="M15" s="571"/>
      <c r="N15" s="139"/>
      <c r="O15" s="139"/>
      <c r="P15" s="139"/>
    </row>
    <row r="16" spans="1:16" ht="19.5" customHeight="1" x14ac:dyDescent="0.35">
      <c r="B16" s="571"/>
      <c r="C16" s="571"/>
      <c r="D16" s="571"/>
      <c r="E16" s="571"/>
      <c r="F16" s="571"/>
      <c r="G16" s="571"/>
      <c r="H16" s="571"/>
      <c r="I16" s="571"/>
      <c r="J16" s="571"/>
      <c r="K16" s="571"/>
      <c r="L16" s="571"/>
      <c r="M16" s="571"/>
      <c r="N16" s="139"/>
      <c r="O16" s="139"/>
      <c r="P16" s="139"/>
    </row>
    <row r="17" spans="2:16" ht="14.5" customHeight="1" x14ac:dyDescent="0.35">
      <c r="B17" s="571" t="s">
        <v>2648</v>
      </c>
      <c r="C17" s="571"/>
      <c r="D17" s="345" t="s">
        <v>2592</v>
      </c>
      <c r="E17" s="346" t="e">
        <f>SUM(M22:M262)+$E$19</f>
        <v>#VALUE!</v>
      </c>
      <c r="F17" s="347"/>
      <c r="G17" s="347"/>
      <c r="H17" s="347"/>
      <c r="I17" s="348" t="e">
        <f>SUM(N22:N262)+$E$17</f>
        <v>#VALUE!</v>
      </c>
      <c r="J17" s="345" t="s">
        <v>2593</v>
      </c>
      <c r="K17" s="349" t="e">
        <f>EFFECT((IRR(M21:M262,0))*12,12)</f>
        <v>#VALUE!</v>
      </c>
      <c r="L17" s="350"/>
      <c r="M17" s="139"/>
      <c r="N17" s="139"/>
      <c r="O17" s="139"/>
      <c r="P17" s="139"/>
    </row>
    <row r="18" spans="2:16" ht="8.25" customHeight="1" x14ac:dyDescent="0.35">
      <c r="B18" s="5"/>
    </row>
    <row r="19" spans="2:16" ht="21" customHeight="1" x14ac:dyDescent="0.35">
      <c r="B19" s="577" t="s">
        <v>2649</v>
      </c>
      <c r="C19" s="578"/>
      <c r="D19" s="578"/>
      <c r="E19" s="285">
        <f>LeasingNOFam!$C$22</f>
        <v>0</v>
      </c>
    </row>
    <row r="20" spans="2:16" ht="46.5" x14ac:dyDescent="0.35">
      <c r="B20" s="41" t="s">
        <v>2596</v>
      </c>
      <c r="C20" s="42" t="s">
        <v>2650</v>
      </c>
      <c r="D20" s="42" t="s">
        <v>2651</v>
      </c>
      <c r="E20" s="42" t="str">
        <f>IF('Crédito de Vivienda'!C22="Mi Casa Ya","Interés con Beneficio MCY", "Interés")</f>
        <v>Interés</v>
      </c>
      <c r="F20" s="42" t="s">
        <v>2600</v>
      </c>
      <c r="G20" s="42" t="s">
        <v>2601</v>
      </c>
      <c r="H20" s="42" t="s">
        <v>2602</v>
      </c>
      <c r="I20" s="42" t="s">
        <v>2603</v>
      </c>
      <c r="J20" s="42" t="s">
        <v>2604</v>
      </c>
      <c r="K20" s="42" t="s">
        <v>2605</v>
      </c>
      <c r="L20" s="42" t="s">
        <v>2652</v>
      </c>
      <c r="M20" s="42" t="s">
        <v>2653</v>
      </c>
      <c r="N20" s="42" t="s">
        <v>2631</v>
      </c>
      <c r="O20" s="42" t="s">
        <v>2654</v>
      </c>
    </row>
    <row r="21" spans="2:16" ht="15.5" x14ac:dyDescent="0.35">
      <c r="B21" s="34">
        <v>0</v>
      </c>
      <c r="C21" s="35">
        <f>LeasingNOFam!C15</f>
        <v>0</v>
      </c>
      <c r="D21" s="35"/>
      <c r="E21" s="7"/>
      <c r="F21" s="36"/>
      <c r="G21" s="36"/>
      <c r="H21" s="36"/>
      <c r="I21" s="36"/>
      <c r="J21" s="37"/>
      <c r="K21" s="37"/>
      <c r="L21" s="7"/>
      <c r="M21" s="344">
        <f>-C21</f>
        <v>0</v>
      </c>
      <c r="N21" s="39"/>
      <c r="O21" s="40"/>
    </row>
    <row r="22" spans="2:16" ht="15.5" x14ac:dyDescent="0.35">
      <c r="B22" s="6">
        <v>1</v>
      </c>
      <c r="C22" s="7" t="e">
        <f>C21-D22</f>
        <v>#VALUE!</v>
      </c>
      <c r="D22" s="7" t="e">
        <f>L22-E22</f>
        <v>#VALUE!</v>
      </c>
      <c r="E22" s="7" t="e">
        <f>C21*LeasingNOFam!$E$17</f>
        <v>#VALUE!</v>
      </c>
      <c r="F22" s="8" t="e">
        <f>IF(LeasingNOFam!$C$23&lt;70,IF(C22&gt;1,C21*Seguros_Oblig!$N$3,0))</f>
        <v>#VALUE!</v>
      </c>
      <c r="G22" s="8" t="e">
        <f>IF(LeasingHab!$C$10="TARIFA 1",(C21*(VLOOKUP(LeasingHab!$C$24,Seguros_Oblig!$A$3:$B$55,2,FALSE))),(C21*(VLOOKUP(LeasingHab!$C$24,Seguros_Oblig!$A$3:$D$55,4,FALSE))))</f>
        <v>#N/A</v>
      </c>
      <c r="H22" s="8" t="e">
        <f>IF(LeasingHab!$C$10="TARIFA 1",(C21*(VLOOKUP(LeasingHab!$C$25,Seguros_Oblig!$A$3:$B$55,2,FALSE))),(C21*(VLOOKUP(LeasingHab!$C$25,Seguros_Oblig!$A$3:$D$55,4,FALSE))))</f>
        <v>#N/A</v>
      </c>
      <c r="I22" s="8" t="e">
        <f>IF(LeasingHab!$C$10="TARIFA 1",(C21*(VLOOKUP(LeasingHab!$C$26,Seguros_Oblig!$A$3:$B$55,2,FALSE))),(C21*(VLOOKUP(LeasingHab!$C$26,Seguros_Oblig!$A$3:$D$55,4,FALSE))))</f>
        <v>#N/A</v>
      </c>
      <c r="J22" s="10">
        <f>_xlfn.AGGREGATE(9,6,F22:I22)</f>
        <v>0</v>
      </c>
      <c r="K22" s="7">
        <f>Seguros_Oblig!$N$4*(LeasingNOFam!$C$12*90%)</f>
        <v>0</v>
      </c>
      <c r="L22" s="7" t="e">
        <f>PMT(LeasingNOFam!$E$17,LeasingNOFam!$C$18,-LeasingNOFam!$C$15,,)-PMT(LeasingNOFam!$E$17,LeasingNOFam!$C$18,-LeasingNOFam!$C$22)+LeasingNOFam!$C$22*LeasingNOFam!$E$17</f>
        <v>#VALUE!</v>
      </c>
      <c r="M22" s="9" t="e">
        <f>K22+L22+J22</f>
        <v>#VALUE!</v>
      </c>
      <c r="N22" s="7">
        <f>LeasingHab!$C$39</f>
        <v>0</v>
      </c>
      <c r="O22" s="9" t="e">
        <f>M22+N22</f>
        <v>#VALUE!</v>
      </c>
    </row>
    <row r="23" spans="2:16" ht="15.5" x14ac:dyDescent="0.35">
      <c r="B23" s="6" t="e">
        <f>IF(C22&gt;1,B22+1," ")</f>
        <v>#VALUE!</v>
      </c>
      <c r="C23" s="7" t="e">
        <f t="shared" ref="C23:C33" si="0">C22-D23</f>
        <v>#VALUE!</v>
      </c>
      <c r="D23" s="7" t="e">
        <f t="shared" ref="D23:D33" si="1">L23-E23</f>
        <v>#VALUE!</v>
      </c>
      <c r="E23" s="7" t="e">
        <f>C22*LeasingNOFam!$E$17</f>
        <v>#VALUE!</v>
      </c>
      <c r="F23" s="8" t="e">
        <f>IF(C23&gt;1,C22*Seguros_Oblig!$N$3,0)</f>
        <v>#VALUE!</v>
      </c>
      <c r="G23" s="8" t="e">
        <f>IF(LeasingHab!$C$10="TARIFA 1",(C22*(VLOOKUP(LeasingHab!$C$24,Seguros_Oblig!$A$3:$B$55,2,FALSE))),(C22*(VLOOKUP(LeasingHab!$C$24,Seguros_Oblig!$A$3:$D$55,4,FALSE))))</f>
        <v>#VALUE!</v>
      </c>
      <c r="H23" s="8" t="e">
        <f>IF(LeasingHab!$C$10="TARIFA 1",(C22*(VLOOKUP(LeasingHab!$C$25,Seguros_Oblig!$A$3:$B$55,2,FALSE))),(C22*(VLOOKUP(LeasingHab!$C$25,Seguros_Oblig!$A$3:$D$55,4,FALSE))))</f>
        <v>#VALUE!</v>
      </c>
      <c r="I23" s="8" t="e">
        <f>IF(LeasingHab!$C$10="TARIFA 1",(C22*(VLOOKUP(LeasingHab!$C$26,Seguros_Oblig!$A$3:$B$55,2,FALSE))),(C22*(VLOOKUP(LeasingHab!$C$26,Seguros_Oblig!$A$3:$D$55,4,FALSE))))</f>
        <v>#VALUE!</v>
      </c>
      <c r="J23" s="10">
        <f t="shared" ref="J23:J86" si="2">_xlfn.AGGREGATE(9,6,F23:I23)</f>
        <v>0</v>
      </c>
      <c r="K23" s="7">
        <f>Seguros_Oblig!$N$4*(LeasingNOFam!$C$12*90%)</f>
        <v>0</v>
      </c>
      <c r="L23" s="7" t="e">
        <f>PMT(LeasingNOFam!$E$17,LeasingNOFam!$C$18,-LeasingNOFam!$C$15,,)-PMT(LeasingNOFam!$E$17,LeasingNOFam!$C$18,-LeasingNOFam!$C$22)+LeasingNOFam!$C$22*LeasingNOFam!$E$17</f>
        <v>#VALUE!</v>
      </c>
      <c r="M23" s="9" t="e">
        <f t="shared" ref="M23:M86" si="3">K23+L23+J23</f>
        <v>#VALUE!</v>
      </c>
      <c r="N23" s="7">
        <f>LeasingHab!$C$39</f>
        <v>0</v>
      </c>
      <c r="O23" s="9" t="e">
        <f t="shared" ref="O23:O86" si="4">M23+N23</f>
        <v>#VALUE!</v>
      </c>
    </row>
    <row r="24" spans="2:16" ht="15.5" x14ac:dyDescent="0.35">
      <c r="B24" s="6" t="e">
        <f>IF(C23&gt;1,B23+1,"")</f>
        <v>#VALUE!</v>
      </c>
      <c r="C24" s="7" t="e">
        <f t="shared" si="0"/>
        <v>#VALUE!</v>
      </c>
      <c r="D24" s="7" t="e">
        <f t="shared" si="1"/>
        <v>#VALUE!</v>
      </c>
      <c r="E24" s="7" t="e">
        <f>C23*LeasingNOFam!$E$17</f>
        <v>#VALUE!</v>
      </c>
      <c r="F24" s="8" t="e">
        <f>IF(C24&gt;1,C23*Seguros_Oblig!$N$3,0)</f>
        <v>#VALUE!</v>
      </c>
      <c r="G24" s="8" t="e">
        <f>IF(LeasingHab!$C$10="TARIFA 1",(C23*(VLOOKUP(LeasingHab!$C$24,Seguros_Oblig!$A$3:$B$55,2,FALSE))),(C23*(VLOOKUP(LeasingHab!$C$24,Seguros_Oblig!$A$3:$D$55,4,FALSE))))</f>
        <v>#VALUE!</v>
      </c>
      <c r="H24" s="8" t="e">
        <f>IF(LeasingHab!$C$10="TARIFA 1",(C23*(VLOOKUP(LeasingHab!$C$25,Seguros_Oblig!$A$3:$B$55,2,FALSE))),(C23*(VLOOKUP(LeasingHab!$C$25,Seguros_Oblig!$A$3:$D$55,4,FALSE))))</f>
        <v>#VALUE!</v>
      </c>
      <c r="I24" s="8" t="e">
        <f>IF(LeasingHab!$C$10="TARIFA 1",(C23*(VLOOKUP(LeasingHab!$C$26,Seguros_Oblig!$A$3:$B$55,2,FALSE))),(C23*(VLOOKUP(LeasingHab!$C$26,Seguros_Oblig!$A$3:$D$55,4,FALSE))))</f>
        <v>#VALUE!</v>
      </c>
      <c r="J24" s="10">
        <f t="shared" si="2"/>
        <v>0</v>
      </c>
      <c r="K24" s="7">
        <f>Seguros_Oblig!$N$4*(LeasingNOFam!$C$12*90%)</f>
        <v>0</v>
      </c>
      <c r="L24" s="7" t="e">
        <f>PMT(LeasingNOFam!$E$17,LeasingNOFam!$C$18,-LeasingNOFam!$C$15,,)-PMT(LeasingNOFam!$E$17,LeasingNOFam!$C$18,-LeasingNOFam!$C$22)+LeasingNOFam!$C$22*LeasingNOFam!$E$17</f>
        <v>#VALUE!</v>
      </c>
      <c r="M24" s="9" t="e">
        <f t="shared" si="3"/>
        <v>#VALUE!</v>
      </c>
      <c r="N24" s="7">
        <f>LeasingHab!$C$39</f>
        <v>0</v>
      </c>
      <c r="O24" s="9" t="e">
        <f t="shared" si="4"/>
        <v>#VALUE!</v>
      </c>
    </row>
    <row r="25" spans="2:16" ht="15.5" x14ac:dyDescent="0.35">
      <c r="B25" s="6" t="e">
        <f>IF(C24&gt;1,B24+1," ")</f>
        <v>#VALUE!</v>
      </c>
      <c r="C25" s="7" t="e">
        <f t="shared" si="0"/>
        <v>#VALUE!</v>
      </c>
      <c r="D25" s="7" t="e">
        <f t="shared" si="1"/>
        <v>#VALUE!</v>
      </c>
      <c r="E25" s="7" t="e">
        <f>C24*LeasingNOFam!$E$17</f>
        <v>#VALUE!</v>
      </c>
      <c r="F25" s="8" t="e">
        <f>IF(C25&gt;1,C24*Seguros_Oblig!$N$3,0)</f>
        <v>#VALUE!</v>
      </c>
      <c r="G25" s="8" t="e">
        <f>IF(LeasingHab!$C$10="TARIFA 1",(C24*(VLOOKUP(LeasingHab!$C$24,Seguros_Oblig!$A$3:$B$55,2,FALSE))),(C24*(VLOOKUP(LeasingHab!$C$24,Seguros_Oblig!$A$3:$D$55,4,FALSE))))</f>
        <v>#VALUE!</v>
      </c>
      <c r="H25" s="8" t="e">
        <f>IF(LeasingHab!$C$10="TARIFA 1",(C24*(VLOOKUP(LeasingHab!$C$25,Seguros_Oblig!$A$3:$B$55,2,FALSE))),(C24*(VLOOKUP(LeasingHab!$C$25,Seguros_Oblig!$A$3:$D$55,4,FALSE))))</f>
        <v>#VALUE!</v>
      </c>
      <c r="I25" s="8" t="e">
        <f>IF(LeasingHab!$C$10="TARIFA 1",(C24*(VLOOKUP(LeasingHab!$C$26,Seguros_Oblig!$A$3:$B$55,2,FALSE))),(C24*(VLOOKUP(LeasingHab!$C$26,Seguros_Oblig!$A$3:$D$55,4,FALSE))))</f>
        <v>#VALUE!</v>
      </c>
      <c r="J25" s="10">
        <f t="shared" si="2"/>
        <v>0</v>
      </c>
      <c r="K25" s="7">
        <f>Seguros_Oblig!$N$4*(LeasingNOFam!$C$12*90%)</f>
        <v>0</v>
      </c>
      <c r="L25" s="7" t="e">
        <f>PMT(LeasingNOFam!$E$17,LeasingNOFam!$C$18,-LeasingNOFam!$C$15,,)-PMT(LeasingNOFam!$E$17,LeasingNOFam!$C$18,-LeasingNOFam!$C$22)+LeasingNOFam!$C$22*LeasingNOFam!$E$17</f>
        <v>#VALUE!</v>
      </c>
      <c r="M25" s="9" t="e">
        <f t="shared" si="3"/>
        <v>#VALUE!</v>
      </c>
      <c r="N25" s="7">
        <f>LeasingHab!$C$39</f>
        <v>0</v>
      </c>
      <c r="O25" s="9" t="e">
        <f t="shared" si="4"/>
        <v>#VALUE!</v>
      </c>
    </row>
    <row r="26" spans="2:16" ht="15.5" x14ac:dyDescent="0.35">
      <c r="B26" s="6" t="e">
        <f>IF(C25&gt;1,B25+1," ")</f>
        <v>#VALUE!</v>
      </c>
      <c r="C26" s="7" t="e">
        <f t="shared" si="0"/>
        <v>#VALUE!</v>
      </c>
      <c r="D26" s="7" t="e">
        <f t="shared" si="1"/>
        <v>#VALUE!</v>
      </c>
      <c r="E26" s="7" t="e">
        <f>C25*LeasingNOFam!$E$17</f>
        <v>#VALUE!</v>
      </c>
      <c r="F26" s="8" t="e">
        <f>IF(C26&gt;1,C25*Seguros_Oblig!$N$3,0)</f>
        <v>#VALUE!</v>
      </c>
      <c r="G26" s="8" t="e">
        <f>IF(LeasingHab!$C$10="TARIFA 1",(C25*(VLOOKUP(LeasingHab!$C$24,Seguros_Oblig!$A$3:$B$55,2,FALSE))),(C25*(VLOOKUP(LeasingHab!$C$24,Seguros_Oblig!$A$3:$D$55,4,FALSE))))</f>
        <v>#VALUE!</v>
      </c>
      <c r="H26" s="8" t="e">
        <f>IF(LeasingHab!$C$10="TARIFA 1",(C25*(VLOOKUP(LeasingHab!$C$25,Seguros_Oblig!$A$3:$B$55,2,FALSE))),(C25*(VLOOKUP(LeasingHab!$C$25,Seguros_Oblig!$A$3:$D$55,4,FALSE))))</f>
        <v>#VALUE!</v>
      </c>
      <c r="I26" s="8" t="e">
        <f>IF(LeasingHab!$C$10="TARIFA 1",(C25*(VLOOKUP(LeasingHab!$C$26,Seguros_Oblig!$A$3:$B$55,2,FALSE))),(C25*(VLOOKUP(LeasingHab!$C$26,Seguros_Oblig!$A$3:$D$55,4,FALSE))))</f>
        <v>#VALUE!</v>
      </c>
      <c r="J26" s="10">
        <f t="shared" si="2"/>
        <v>0</v>
      </c>
      <c r="K26" s="7">
        <f>Seguros_Oblig!$N$4*(LeasingNOFam!$C$12*90%)</f>
        <v>0</v>
      </c>
      <c r="L26" s="7" t="e">
        <f>PMT(LeasingNOFam!$E$17,LeasingNOFam!$C$18,-LeasingNOFam!$C$15,,)-PMT(LeasingNOFam!$E$17,LeasingNOFam!$C$18,-LeasingNOFam!$C$22)+LeasingNOFam!$C$22*LeasingNOFam!$E$17</f>
        <v>#VALUE!</v>
      </c>
      <c r="M26" s="9" t="e">
        <f t="shared" si="3"/>
        <v>#VALUE!</v>
      </c>
      <c r="N26" s="7">
        <f>LeasingHab!$C$39</f>
        <v>0</v>
      </c>
      <c r="O26" s="9" t="e">
        <f t="shared" si="4"/>
        <v>#VALUE!</v>
      </c>
    </row>
    <row r="27" spans="2:16" ht="15.5" x14ac:dyDescent="0.35">
      <c r="B27" s="6" t="e">
        <f>IF(C26&gt;1,B26+1," ")</f>
        <v>#VALUE!</v>
      </c>
      <c r="C27" s="7" t="e">
        <f t="shared" si="0"/>
        <v>#VALUE!</v>
      </c>
      <c r="D27" s="7" t="e">
        <f t="shared" si="1"/>
        <v>#VALUE!</v>
      </c>
      <c r="E27" s="7" t="e">
        <f>C26*LeasingNOFam!$E$17</f>
        <v>#VALUE!</v>
      </c>
      <c r="F27" s="8" t="e">
        <f>IF(C27&gt;1,C26*Seguros_Oblig!$N$3,0)</f>
        <v>#VALUE!</v>
      </c>
      <c r="G27" s="8" t="e">
        <f>IF(LeasingHab!$C$10="TARIFA 1",(C26*(VLOOKUP(LeasingHab!$C$24,Seguros_Oblig!$A$3:$B$55,2,FALSE))),(C26*(VLOOKUP(LeasingHab!$C$24,Seguros_Oblig!$A$3:$D$55,4,FALSE))))</f>
        <v>#VALUE!</v>
      </c>
      <c r="H27" s="8" t="e">
        <f>IF(LeasingHab!$C$10="TARIFA 1",(C26*(VLOOKUP(LeasingHab!$C$25,Seguros_Oblig!$A$3:$B$55,2,FALSE))),(C26*(VLOOKUP(LeasingHab!$C$25,Seguros_Oblig!$A$3:$D$55,4,FALSE))))</f>
        <v>#VALUE!</v>
      </c>
      <c r="I27" s="8" t="e">
        <f>IF(LeasingHab!$C$10="TARIFA 1",(C26*(VLOOKUP(LeasingHab!$C$26,Seguros_Oblig!$A$3:$B$55,2,FALSE))),(C26*(VLOOKUP(LeasingHab!$C$26,Seguros_Oblig!$A$3:$D$55,4,FALSE))))</f>
        <v>#VALUE!</v>
      </c>
      <c r="J27" s="10">
        <f t="shared" si="2"/>
        <v>0</v>
      </c>
      <c r="K27" s="7">
        <f>Seguros_Oblig!$N$4*(LeasingNOFam!$C$12*90%)</f>
        <v>0</v>
      </c>
      <c r="L27" s="7" t="e">
        <f>PMT(LeasingNOFam!$E$17,LeasingNOFam!$C$18,-LeasingNOFam!$C$15,,)-PMT(LeasingNOFam!$E$17,LeasingNOFam!$C$18,-LeasingNOFam!$C$22)+LeasingNOFam!$C$22*LeasingNOFam!$E$17</f>
        <v>#VALUE!</v>
      </c>
      <c r="M27" s="9" t="e">
        <f t="shared" si="3"/>
        <v>#VALUE!</v>
      </c>
      <c r="N27" s="7">
        <f>LeasingHab!$C$39</f>
        <v>0</v>
      </c>
      <c r="O27" s="9" t="e">
        <f t="shared" si="4"/>
        <v>#VALUE!</v>
      </c>
    </row>
    <row r="28" spans="2:16" ht="15.5" x14ac:dyDescent="0.35">
      <c r="B28" s="6" t="e">
        <f t="shared" ref="B28:B91" si="5">IF(C27&gt;1,B27+1," ")</f>
        <v>#VALUE!</v>
      </c>
      <c r="C28" s="7" t="e">
        <f t="shared" si="0"/>
        <v>#VALUE!</v>
      </c>
      <c r="D28" s="7" t="e">
        <f t="shared" si="1"/>
        <v>#VALUE!</v>
      </c>
      <c r="E28" s="7" t="e">
        <f>C27*LeasingNOFam!$E$17</f>
        <v>#VALUE!</v>
      </c>
      <c r="F28" s="8" t="e">
        <f>IF(C28&gt;1,C27*Seguros_Oblig!$N$3,0)</f>
        <v>#VALUE!</v>
      </c>
      <c r="G28" s="8" t="e">
        <f>IF(LeasingHab!$C$10="TARIFA 1",(C27*(VLOOKUP(LeasingHab!$C$24,Seguros_Oblig!$A$3:$B$55,2,FALSE))),(C27*(VLOOKUP(LeasingHab!$C$24,Seguros_Oblig!$A$3:$D$55,4,FALSE))))</f>
        <v>#VALUE!</v>
      </c>
      <c r="H28" s="8" t="e">
        <f>IF(LeasingHab!$C$10="TARIFA 1",(C27*(VLOOKUP(LeasingHab!$C$25,Seguros_Oblig!$A$3:$B$55,2,FALSE))),(C27*(VLOOKUP(LeasingHab!$C$25,Seguros_Oblig!$A$3:$D$55,4,FALSE))))</f>
        <v>#VALUE!</v>
      </c>
      <c r="I28" s="8" t="e">
        <f>IF(LeasingHab!$C$10="TARIFA 1",(C27*(VLOOKUP(LeasingHab!$C$26,Seguros_Oblig!$A$3:$B$55,2,FALSE))),(C27*(VLOOKUP(LeasingHab!$C$26,Seguros_Oblig!$A$3:$D$55,4,FALSE))))</f>
        <v>#VALUE!</v>
      </c>
      <c r="J28" s="10">
        <f t="shared" si="2"/>
        <v>0</v>
      </c>
      <c r="K28" s="7">
        <f>Seguros_Oblig!$N$4*(LeasingNOFam!$C$12*90%)</f>
        <v>0</v>
      </c>
      <c r="L28" s="7" t="e">
        <f>PMT(LeasingNOFam!$E$17,LeasingNOFam!$C$18,-LeasingNOFam!$C$15,,)-PMT(LeasingNOFam!$E$17,LeasingNOFam!$C$18,-LeasingNOFam!$C$22)+LeasingNOFam!$C$22*LeasingNOFam!$E$17</f>
        <v>#VALUE!</v>
      </c>
      <c r="M28" s="9" t="e">
        <f t="shared" si="3"/>
        <v>#VALUE!</v>
      </c>
      <c r="N28" s="7">
        <f>LeasingHab!$C$39</f>
        <v>0</v>
      </c>
      <c r="O28" s="9" t="e">
        <f t="shared" si="4"/>
        <v>#VALUE!</v>
      </c>
    </row>
    <row r="29" spans="2:16" ht="15.5" x14ac:dyDescent="0.35">
      <c r="B29" s="6" t="e">
        <f t="shared" si="5"/>
        <v>#VALUE!</v>
      </c>
      <c r="C29" s="7" t="e">
        <f t="shared" si="0"/>
        <v>#VALUE!</v>
      </c>
      <c r="D29" s="7" t="e">
        <f t="shared" si="1"/>
        <v>#VALUE!</v>
      </c>
      <c r="E29" s="7" t="e">
        <f>C28*LeasingNOFam!$E$17</f>
        <v>#VALUE!</v>
      </c>
      <c r="F29" s="8" t="e">
        <f>IF(C29&gt;1,C28*Seguros_Oblig!$N$3,0)</f>
        <v>#VALUE!</v>
      </c>
      <c r="G29" s="8" t="e">
        <f>IF(LeasingHab!$C$10="TARIFA 1",(C28*(VLOOKUP(LeasingHab!$C$24,Seguros_Oblig!$A$3:$B$55,2,FALSE))),(C28*(VLOOKUP(LeasingHab!$C$24,Seguros_Oblig!$A$3:$D$55,4,FALSE))))</f>
        <v>#VALUE!</v>
      </c>
      <c r="H29" s="8" t="e">
        <f>IF(LeasingHab!$C$10="TARIFA 1",(C28*(VLOOKUP(LeasingHab!$C$25,Seguros_Oblig!$A$3:$B$55,2,FALSE))),(C28*(VLOOKUP(LeasingHab!$C$25,Seguros_Oblig!$A$3:$D$55,4,FALSE))))</f>
        <v>#VALUE!</v>
      </c>
      <c r="I29" s="8" t="e">
        <f>IF(LeasingHab!$C$10="TARIFA 1",(C28*(VLOOKUP(LeasingHab!$C$26,Seguros_Oblig!$A$3:$B$55,2,FALSE))),(C28*(VLOOKUP(LeasingHab!$C$26,Seguros_Oblig!$A$3:$D$55,4,FALSE))))</f>
        <v>#VALUE!</v>
      </c>
      <c r="J29" s="10">
        <f t="shared" si="2"/>
        <v>0</v>
      </c>
      <c r="K29" s="7">
        <f>Seguros_Oblig!$N$4*(LeasingNOFam!$C$12*90%)</f>
        <v>0</v>
      </c>
      <c r="L29" s="7" t="e">
        <f>PMT(LeasingNOFam!$E$17,LeasingNOFam!$C$18,-LeasingNOFam!$C$15,,)-PMT(LeasingNOFam!$E$17,LeasingNOFam!$C$18,-LeasingNOFam!$C$22)+LeasingNOFam!$C$22*LeasingNOFam!$E$17</f>
        <v>#VALUE!</v>
      </c>
      <c r="M29" s="9" t="e">
        <f t="shared" si="3"/>
        <v>#VALUE!</v>
      </c>
      <c r="N29" s="7">
        <f>LeasingHab!$C$39</f>
        <v>0</v>
      </c>
      <c r="O29" s="9" t="e">
        <f t="shared" si="4"/>
        <v>#VALUE!</v>
      </c>
    </row>
    <row r="30" spans="2:16" ht="15.5" x14ac:dyDescent="0.35">
      <c r="B30" s="6" t="e">
        <f t="shared" si="5"/>
        <v>#VALUE!</v>
      </c>
      <c r="C30" s="7" t="e">
        <f t="shared" si="0"/>
        <v>#VALUE!</v>
      </c>
      <c r="D30" s="7" t="e">
        <f t="shared" si="1"/>
        <v>#VALUE!</v>
      </c>
      <c r="E30" s="7" t="e">
        <f>C29*LeasingNOFam!$E$17</f>
        <v>#VALUE!</v>
      </c>
      <c r="F30" s="8" t="e">
        <f>IF(C30&gt;1,C29*Seguros_Oblig!$N$3,0)</f>
        <v>#VALUE!</v>
      </c>
      <c r="G30" s="8" t="e">
        <f>IF(LeasingHab!$C$10="TARIFA 1",(C29*(VLOOKUP(LeasingHab!$C$24,Seguros_Oblig!$A$3:$B$55,2,FALSE))),(C29*(VLOOKUP(LeasingHab!$C$24,Seguros_Oblig!$A$3:$D$55,4,FALSE))))</f>
        <v>#VALUE!</v>
      </c>
      <c r="H30" s="8" t="e">
        <f>IF(LeasingHab!$C$10="TARIFA 1",(C29*(VLOOKUP(LeasingHab!$C$25,Seguros_Oblig!$A$3:$B$55,2,FALSE))),(C29*(VLOOKUP(LeasingHab!$C$25,Seguros_Oblig!$A$3:$D$55,4,FALSE))))</f>
        <v>#VALUE!</v>
      </c>
      <c r="I30" s="8" t="e">
        <f>IF(LeasingHab!$C$10="TARIFA 1",(C29*(VLOOKUP(LeasingHab!$C$26,Seguros_Oblig!$A$3:$B$55,2,FALSE))),(C29*(VLOOKUP(LeasingHab!$C$26,Seguros_Oblig!$A$3:$D$55,4,FALSE))))</f>
        <v>#VALUE!</v>
      </c>
      <c r="J30" s="10">
        <f t="shared" si="2"/>
        <v>0</v>
      </c>
      <c r="K30" s="7">
        <f>Seguros_Oblig!$N$4*(LeasingNOFam!$C$12*90%)</f>
        <v>0</v>
      </c>
      <c r="L30" s="7" t="e">
        <f>PMT(LeasingNOFam!$E$17,LeasingNOFam!$C$18,-LeasingNOFam!$C$15,,)-PMT(LeasingNOFam!$E$17,LeasingNOFam!$C$18,-LeasingNOFam!$C$22)+LeasingNOFam!$C$22*LeasingNOFam!$E$17</f>
        <v>#VALUE!</v>
      </c>
      <c r="M30" s="9" t="e">
        <f t="shared" si="3"/>
        <v>#VALUE!</v>
      </c>
      <c r="N30" s="7">
        <f>LeasingHab!$C$39</f>
        <v>0</v>
      </c>
      <c r="O30" s="9" t="e">
        <f t="shared" si="4"/>
        <v>#VALUE!</v>
      </c>
    </row>
    <row r="31" spans="2:16" ht="15.5" x14ac:dyDescent="0.35">
      <c r="B31" s="6" t="e">
        <f t="shared" si="5"/>
        <v>#VALUE!</v>
      </c>
      <c r="C31" s="7" t="e">
        <f t="shared" si="0"/>
        <v>#VALUE!</v>
      </c>
      <c r="D31" s="7" t="e">
        <f t="shared" si="1"/>
        <v>#VALUE!</v>
      </c>
      <c r="E31" s="7" t="e">
        <f>C30*LeasingNOFam!$E$17</f>
        <v>#VALUE!</v>
      </c>
      <c r="F31" s="8" t="e">
        <f>IF(C31&gt;1,C30*Seguros_Oblig!$N$3,0)</f>
        <v>#VALUE!</v>
      </c>
      <c r="G31" s="8" t="e">
        <f>IF(LeasingHab!$C$10="TARIFA 1",(C30*(VLOOKUP(LeasingHab!$C$24,Seguros_Oblig!$A$3:$B$55,2,FALSE))),(C30*(VLOOKUP(LeasingHab!$C$24,Seguros_Oblig!$A$3:$D$55,4,FALSE))))</f>
        <v>#VALUE!</v>
      </c>
      <c r="H31" s="8" t="e">
        <f>IF(LeasingHab!$C$10="TARIFA 1",(C30*(VLOOKUP(LeasingHab!$C$25,Seguros_Oblig!$A$3:$B$55,2,FALSE))),(C30*(VLOOKUP(LeasingHab!$C$25,Seguros_Oblig!$A$3:$D$55,4,FALSE))))</f>
        <v>#VALUE!</v>
      </c>
      <c r="I31" s="8" t="e">
        <f>IF(LeasingHab!$C$10="TARIFA 1",(C30*(VLOOKUP(LeasingHab!$C$26,Seguros_Oblig!$A$3:$B$55,2,FALSE))),(C30*(VLOOKUP(LeasingHab!$C$26,Seguros_Oblig!$A$3:$D$55,4,FALSE))))</f>
        <v>#VALUE!</v>
      </c>
      <c r="J31" s="10">
        <f t="shared" si="2"/>
        <v>0</v>
      </c>
      <c r="K31" s="7">
        <f>Seguros_Oblig!$N$4*(LeasingNOFam!$C$12*90%)</f>
        <v>0</v>
      </c>
      <c r="L31" s="7" t="e">
        <f>PMT(LeasingNOFam!$E$17,LeasingNOFam!$C$18,-LeasingNOFam!$C$15,,)-PMT(LeasingNOFam!$E$17,LeasingNOFam!$C$18,-LeasingNOFam!$C$22)+LeasingNOFam!$C$22*LeasingNOFam!$E$17</f>
        <v>#VALUE!</v>
      </c>
      <c r="M31" s="9" t="e">
        <f t="shared" si="3"/>
        <v>#VALUE!</v>
      </c>
      <c r="N31" s="7">
        <f>LeasingHab!$C$39</f>
        <v>0</v>
      </c>
      <c r="O31" s="9" t="e">
        <f t="shared" si="4"/>
        <v>#VALUE!</v>
      </c>
    </row>
    <row r="32" spans="2:16" ht="15.5" x14ac:dyDescent="0.35">
      <c r="B32" s="6" t="e">
        <f t="shared" si="5"/>
        <v>#VALUE!</v>
      </c>
      <c r="C32" s="7" t="e">
        <f t="shared" si="0"/>
        <v>#VALUE!</v>
      </c>
      <c r="D32" s="7" t="e">
        <f t="shared" si="1"/>
        <v>#VALUE!</v>
      </c>
      <c r="E32" s="7" t="e">
        <f>C31*LeasingNOFam!$E$17</f>
        <v>#VALUE!</v>
      </c>
      <c r="F32" s="8" t="e">
        <f>IF(C32&gt;1,C31*Seguros_Oblig!$N$3,0)</f>
        <v>#VALUE!</v>
      </c>
      <c r="G32" s="8" t="e">
        <f>IF(LeasingHab!$C$10="TARIFA 1",(C31*(VLOOKUP(LeasingHab!$C$24,Seguros_Oblig!$A$3:$B$55,2,FALSE))),(C31*(VLOOKUP(LeasingHab!$C$24,Seguros_Oblig!$A$3:$D$55,4,FALSE))))</f>
        <v>#VALUE!</v>
      </c>
      <c r="H32" s="8" t="e">
        <f>IF(LeasingHab!$C$10="TARIFA 1",(C31*(VLOOKUP(LeasingHab!$C$25,Seguros_Oblig!$A$3:$B$55,2,FALSE))),(C31*(VLOOKUP(LeasingHab!$C$25,Seguros_Oblig!$A$3:$D$55,4,FALSE))))</f>
        <v>#VALUE!</v>
      </c>
      <c r="I32" s="8" t="e">
        <f>IF(LeasingHab!$C$10="TARIFA 1",(C31*(VLOOKUP(LeasingHab!$C$26,Seguros_Oblig!$A$3:$B$55,2,FALSE))),(C31*(VLOOKUP(LeasingHab!$C$26,Seguros_Oblig!$A$3:$D$55,4,FALSE))))</f>
        <v>#VALUE!</v>
      </c>
      <c r="J32" s="10">
        <f t="shared" si="2"/>
        <v>0</v>
      </c>
      <c r="K32" s="7">
        <f>Seguros_Oblig!$N$4*(LeasingNOFam!$C$12*90%)</f>
        <v>0</v>
      </c>
      <c r="L32" s="7" t="e">
        <f>PMT(LeasingNOFam!$E$17,LeasingNOFam!$C$18,-LeasingNOFam!$C$15,,)-PMT(LeasingNOFam!$E$17,LeasingNOFam!$C$18,-LeasingNOFam!$C$22)+LeasingNOFam!$C$22*LeasingNOFam!$E$17</f>
        <v>#VALUE!</v>
      </c>
      <c r="M32" s="9" t="e">
        <f t="shared" si="3"/>
        <v>#VALUE!</v>
      </c>
      <c r="N32" s="7">
        <f>LeasingHab!$C$39</f>
        <v>0</v>
      </c>
      <c r="O32" s="9" t="e">
        <f t="shared" si="4"/>
        <v>#VALUE!</v>
      </c>
    </row>
    <row r="33" spans="2:15" ht="15.5" x14ac:dyDescent="0.35">
      <c r="B33" s="6" t="e">
        <f t="shared" si="5"/>
        <v>#VALUE!</v>
      </c>
      <c r="C33" s="7" t="e">
        <f t="shared" si="0"/>
        <v>#VALUE!</v>
      </c>
      <c r="D33" s="7" t="e">
        <f t="shared" si="1"/>
        <v>#VALUE!</v>
      </c>
      <c r="E33" s="7" t="e">
        <f>C32*LeasingNOFam!$E$17</f>
        <v>#VALUE!</v>
      </c>
      <c r="F33" s="8" t="e">
        <f>IF(C33&gt;1,C32*Seguros_Oblig!$N$3,0)</f>
        <v>#VALUE!</v>
      </c>
      <c r="G33" s="8" t="e">
        <f>IF(LeasingHab!$C$10="TARIFA 1",(C32*(VLOOKUP(LeasingHab!$C$24,Seguros_Oblig!$A$3:$B$55,2,FALSE))),(C32*(VLOOKUP(LeasingHab!$C$24,Seguros_Oblig!$A$3:$D$55,4,FALSE))))</f>
        <v>#VALUE!</v>
      </c>
      <c r="H33" s="8" t="e">
        <f>IF(LeasingHab!$C$10="TARIFA 1",(C32*(VLOOKUP(LeasingHab!$C$25,Seguros_Oblig!$A$3:$B$55,2,FALSE))),(C32*(VLOOKUP(LeasingHab!$C$25,Seguros_Oblig!$A$3:$D$55,4,FALSE))))</f>
        <v>#VALUE!</v>
      </c>
      <c r="I33" s="8" t="e">
        <f>IF(LeasingHab!$C$10="TARIFA 1",(C32*(VLOOKUP(LeasingHab!$C$26,Seguros_Oblig!$A$3:$B$55,2,FALSE))),(C32*(VLOOKUP(LeasingHab!$C$26,Seguros_Oblig!$A$3:$D$55,4,FALSE))))</f>
        <v>#VALUE!</v>
      </c>
      <c r="J33" s="10">
        <f t="shared" si="2"/>
        <v>0</v>
      </c>
      <c r="K33" s="7">
        <f>Seguros_Oblig!$N$4*(LeasingNOFam!$C$12*90%)</f>
        <v>0</v>
      </c>
      <c r="L33" s="7" t="e">
        <f>PMT(LeasingNOFam!$E$17,LeasingNOFam!$C$18,-LeasingNOFam!$C$15,,)-PMT(LeasingNOFam!$E$17,LeasingNOFam!$C$18,-LeasingNOFam!$C$22)+LeasingNOFam!$C$22*LeasingNOFam!$E$17</f>
        <v>#VALUE!</v>
      </c>
      <c r="M33" s="9" t="e">
        <f t="shared" si="3"/>
        <v>#VALUE!</v>
      </c>
      <c r="N33" s="7">
        <f>LeasingHab!$C$39</f>
        <v>0</v>
      </c>
      <c r="O33" s="9" t="e">
        <f t="shared" si="4"/>
        <v>#VALUE!</v>
      </c>
    </row>
    <row r="34" spans="2:15" ht="15.5" x14ac:dyDescent="0.35">
      <c r="B34" s="6" t="e">
        <f t="shared" si="5"/>
        <v>#VALUE!</v>
      </c>
      <c r="C34" s="7" t="e">
        <f t="shared" ref="C34:C81" si="6">C33-D34</f>
        <v>#VALUE!</v>
      </c>
      <c r="D34" s="7" t="e">
        <f t="shared" ref="D34:D81" si="7">L34-E34</f>
        <v>#VALUE!</v>
      </c>
      <c r="E34" s="7" t="e">
        <f>C33*LeasingNOFam!$E$17</f>
        <v>#VALUE!</v>
      </c>
      <c r="F34" s="8" t="e">
        <f>IF(C34&gt;1,C33*Seguros_Oblig!$N$3,0)</f>
        <v>#VALUE!</v>
      </c>
      <c r="G34" s="8" t="e">
        <f>IF(LeasingHab!$C$10="TARIFA 1",(C33*(VLOOKUP(LeasingHab!$C$24,Seguros_Oblig!$A$3:$B$55,2,FALSE))),(C33*(VLOOKUP(LeasingHab!$C$24,Seguros_Oblig!$A$3:$D$55,4,FALSE))))</f>
        <v>#VALUE!</v>
      </c>
      <c r="H34" s="8" t="e">
        <f>IF(LeasingHab!$C$10="TARIFA 1",(C33*(VLOOKUP(LeasingHab!$C$25,Seguros_Oblig!$A$3:$B$55,2,FALSE))),(C33*(VLOOKUP(LeasingHab!$C$25,Seguros_Oblig!$A$3:$D$55,4,FALSE))))</f>
        <v>#VALUE!</v>
      </c>
      <c r="I34" s="8" t="e">
        <f>IF(LeasingHab!$C$10="TARIFA 1",(C33*(VLOOKUP(LeasingHab!$C$26,Seguros_Oblig!$A$3:$B$55,2,FALSE))),(C33*(VLOOKUP(LeasingHab!$C$26,Seguros_Oblig!$A$3:$D$55,4,FALSE))))</f>
        <v>#VALUE!</v>
      </c>
      <c r="J34" s="10">
        <f t="shared" si="2"/>
        <v>0</v>
      </c>
      <c r="K34" s="7" t="e">
        <f>IF(C33&lt;1,"0",Seguros_Oblig!$N$4*(LeasingNOFam!$C$12*90%))</f>
        <v>#VALUE!</v>
      </c>
      <c r="L34" s="7" t="e">
        <f>IF(B34=" ","0",PMT(LeasingNOFam!$E$17,LeasingNOFam!$C$18,-LeasingNOFam!$C$15,,)-PMT(LeasingNOFam!$E$17,LeasingNOFam!$C$18,-LeasingNOFam!$C$22)+LeasingNOFam!$C$22*LeasingNOFam!$E$17)</f>
        <v>#VALUE!</v>
      </c>
      <c r="M34" s="9" t="e">
        <f t="shared" si="3"/>
        <v>#VALUE!</v>
      </c>
      <c r="N34" s="7" t="e">
        <f>IF(C33&lt;1,"0",LeasingHab!$C$39)</f>
        <v>#VALUE!</v>
      </c>
      <c r="O34" s="9" t="e">
        <f t="shared" si="4"/>
        <v>#VALUE!</v>
      </c>
    </row>
    <row r="35" spans="2:15" ht="15.5" x14ac:dyDescent="0.35">
      <c r="B35" s="6" t="e">
        <f t="shared" si="5"/>
        <v>#VALUE!</v>
      </c>
      <c r="C35" s="7" t="e">
        <f t="shared" si="6"/>
        <v>#VALUE!</v>
      </c>
      <c r="D35" s="7" t="e">
        <f t="shared" si="7"/>
        <v>#VALUE!</v>
      </c>
      <c r="E35" s="7" t="e">
        <f>C34*LeasingNOFam!$E$17</f>
        <v>#VALUE!</v>
      </c>
      <c r="F35" s="8" t="e">
        <f>IF(C35&gt;1,C34*Seguros_Oblig!$N$3,0)</f>
        <v>#VALUE!</v>
      </c>
      <c r="G35" s="8" t="e">
        <f>IF(LeasingHab!$C$10="TARIFA 1",(C34*(VLOOKUP(LeasingHab!$C$24,Seguros_Oblig!$A$3:$B$55,2,FALSE))),(C34*(VLOOKUP(LeasingHab!$C$24,Seguros_Oblig!$A$3:$D$55,4,FALSE))))</f>
        <v>#VALUE!</v>
      </c>
      <c r="H35" s="8" t="e">
        <f>IF(LeasingHab!$C$10="TARIFA 1",(C34*(VLOOKUP(LeasingHab!$C$25,Seguros_Oblig!$A$3:$B$55,2,FALSE))),(C34*(VLOOKUP(LeasingHab!$C$25,Seguros_Oblig!$A$3:$D$55,4,FALSE))))</f>
        <v>#VALUE!</v>
      </c>
      <c r="I35" s="8" t="e">
        <f>IF(LeasingHab!$C$10="TARIFA 1",(C34*(VLOOKUP(LeasingHab!$C$26,Seguros_Oblig!$A$3:$B$55,2,FALSE))),(C34*(VLOOKUP(LeasingHab!$C$26,Seguros_Oblig!$A$3:$D$55,4,FALSE))))</f>
        <v>#VALUE!</v>
      </c>
      <c r="J35" s="10">
        <f t="shared" si="2"/>
        <v>0</v>
      </c>
      <c r="K35" s="7" t="e">
        <f>IF(C34&lt;1,"0",Seguros_Oblig!$N$4*(LeasingNOFam!$C$12*90%))</f>
        <v>#VALUE!</v>
      </c>
      <c r="L35" s="7" t="e">
        <f>IF(B35=" ","0",PMT(LeasingNOFam!$E$17,LeasingNOFam!$C$18,-LeasingNOFam!$C$15,,)-PMT(LeasingNOFam!$E$17,LeasingNOFam!$C$18,-LeasingNOFam!$C$22)+LeasingNOFam!$C$22*LeasingNOFam!$E$17)</f>
        <v>#VALUE!</v>
      </c>
      <c r="M35" s="9" t="e">
        <f t="shared" si="3"/>
        <v>#VALUE!</v>
      </c>
      <c r="N35" s="7" t="e">
        <f>IF(C34&lt;1,"0",LeasingHab!$C$39)</f>
        <v>#VALUE!</v>
      </c>
      <c r="O35" s="9" t="e">
        <f t="shared" si="4"/>
        <v>#VALUE!</v>
      </c>
    </row>
    <row r="36" spans="2:15" ht="15.5" x14ac:dyDescent="0.35">
      <c r="B36" s="6" t="e">
        <f t="shared" si="5"/>
        <v>#VALUE!</v>
      </c>
      <c r="C36" s="7" t="e">
        <f t="shared" si="6"/>
        <v>#VALUE!</v>
      </c>
      <c r="D36" s="7" t="e">
        <f t="shared" si="7"/>
        <v>#VALUE!</v>
      </c>
      <c r="E36" s="7" t="e">
        <f>C35*LeasingNOFam!$E$17</f>
        <v>#VALUE!</v>
      </c>
      <c r="F36" s="8" t="e">
        <f>IF(C36&gt;1,C35*Seguros_Oblig!$N$3,0)</f>
        <v>#VALUE!</v>
      </c>
      <c r="G36" s="8" t="e">
        <f>IF(LeasingHab!$C$10="TARIFA 1",(C35*(VLOOKUP(LeasingHab!$C$24,Seguros_Oblig!$A$3:$B$55,2,FALSE))),(C35*(VLOOKUP(LeasingHab!$C$24,Seguros_Oblig!$A$3:$D$55,4,FALSE))))</f>
        <v>#VALUE!</v>
      </c>
      <c r="H36" s="8" t="e">
        <f>IF(LeasingHab!$C$10="TARIFA 1",(C35*(VLOOKUP(LeasingHab!$C$25,Seguros_Oblig!$A$3:$B$55,2,FALSE))),(C35*(VLOOKUP(LeasingHab!$C$25,Seguros_Oblig!$A$3:$D$55,4,FALSE))))</f>
        <v>#VALUE!</v>
      </c>
      <c r="I36" s="8" t="e">
        <f>IF(LeasingHab!$C$10="TARIFA 1",(C35*(VLOOKUP(LeasingHab!$C$26,Seguros_Oblig!$A$3:$B$55,2,FALSE))),(C35*(VLOOKUP(LeasingHab!$C$26,Seguros_Oblig!$A$3:$D$55,4,FALSE))))</f>
        <v>#VALUE!</v>
      </c>
      <c r="J36" s="10">
        <f t="shared" si="2"/>
        <v>0</v>
      </c>
      <c r="K36" s="7" t="e">
        <f>IF(C35&lt;1,"0",Seguros_Oblig!$N$4*(LeasingNOFam!$C$12*90%))</f>
        <v>#VALUE!</v>
      </c>
      <c r="L36" s="7" t="e">
        <f>IF(B36=" ","0",PMT(LeasingNOFam!$E$17,LeasingNOFam!$C$18,-LeasingNOFam!$C$15,,)-PMT(LeasingNOFam!$E$17,LeasingNOFam!$C$18,-LeasingNOFam!$C$22)+LeasingNOFam!$C$22*LeasingNOFam!$E$17)</f>
        <v>#VALUE!</v>
      </c>
      <c r="M36" s="9" t="e">
        <f t="shared" si="3"/>
        <v>#VALUE!</v>
      </c>
      <c r="N36" s="7" t="e">
        <f>IF(C35&lt;1,"0",LeasingHab!$C$39)</f>
        <v>#VALUE!</v>
      </c>
      <c r="O36" s="9" t="e">
        <f t="shared" si="4"/>
        <v>#VALUE!</v>
      </c>
    </row>
    <row r="37" spans="2:15" ht="15.5" x14ac:dyDescent="0.35">
      <c r="B37" s="6" t="e">
        <f t="shared" si="5"/>
        <v>#VALUE!</v>
      </c>
      <c r="C37" s="7" t="e">
        <f t="shared" si="6"/>
        <v>#VALUE!</v>
      </c>
      <c r="D37" s="7" t="e">
        <f t="shared" si="7"/>
        <v>#VALUE!</v>
      </c>
      <c r="E37" s="7" t="e">
        <f>C36*LeasingNOFam!$E$17</f>
        <v>#VALUE!</v>
      </c>
      <c r="F37" s="8" t="e">
        <f>IF(C37&gt;1,C36*Seguros_Oblig!$N$3,0)</f>
        <v>#VALUE!</v>
      </c>
      <c r="G37" s="8" t="e">
        <f>IF(LeasingHab!$C$10="TARIFA 1",(C36*(VLOOKUP(LeasingHab!$C$24,Seguros_Oblig!$A$3:$B$55,2,FALSE))),(C36*(VLOOKUP(LeasingHab!$C$24,Seguros_Oblig!$A$3:$D$55,4,FALSE))))</f>
        <v>#VALUE!</v>
      </c>
      <c r="H37" s="8" t="e">
        <f>IF(LeasingHab!$C$10="TARIFA 1",(C36*(VLOOKUP(LeasingHab!$C$25,Seguros_Oblig!$A$3:$B$55,2,FALSE))),(C36*(VLOOKUP(LeasingHab!$C$25,Seguros_Oblig!$A$3:$D$55,4,FALSE))))</f>
        <v>#VALUE!</v>
      </c>
      <c r="I37" s="8" t="e">
        <f>IF(LeasingHab!$C$10="TARIFA 1",(C36*(VLOOKUP(LeasingHab!$C$26,Seguros_Oblig!$A$3:$B$55,2,FALSE))),(C36*(VLOOKUP(LeasingHab!$C$26,Seguros_Oblig!$A$3:$D$55,4,FALSE))))</f>
        <v>#VALUE!</v>
      </c>
      <c r="J37" s="10">
        <f t="shared" si="2"/>
        <v>0</v>
      </c>
      <c r="K37" s="7" t="e">
        <f>IF(C36&lt;1,"0",Seguros_Oblig!$N$4*(LeasingNOFam!$C$12*90%))</f>
        <v>#VALUE!</v>
      </c>
      <c r="L37" s="7" t="e">
        <f>IF(B37=" ","0",PMT(LeasingNOFam!$E$17,LeasingNOFam!$C$18,-LeasingNOFam!$C$15,,)-PMT(LeasingNOFam!$E$17,LeasingNOFam!$C$18,-LeasingNOFam!$C$22)+LeasingNOFam!$C$22*LeasingNOFam!$E$17)</f>
        <v>#VALUE!</v>
      </c>
      <c r="M37" s="9" t="e">
        <f t="shared" si="3"/>
        <v>#VALUE!</v>
      </c>
      <c r="N37" s="7" t="e">
        <f>IF(C36&lt;1,"0",LeasingHab!$C$39)</f>
        <v>#VALUE!</v>
      </c>
      <c r="O37" s="9" t="e">
        <f t="shared" si="4"/>
        <v>#VALUE!</v>
      </c>
    </row>
    <row r="38" spans="2:15" ht="15.5" x14ac:dyDescent="0.35">
      <c r="B38" s="6" t="e">
        <f t="shared" si="5"/>
        <v>#VALUE!</v>
      </c>
      <c r="C38" s="7" t="e">
        <f t="shared" si="6"/>
        <v>#VALUE!</v>
      </c>
      <c r="D38" s="7" t="e">
        <f t="shared" si="7"/>
        <v>#VALUE!</v>
      </c>
      <c r="E38" s="7" t="e">
        <f>C37*LeasingNOFam!$E$17</f>
        <v>#VALUE!</v>
      </c>
      <c r="F38" s="8" t="e">
        <f>IF(C38&gt;1,C37*Seguros_Oblig!$N$3,0)</f>
        <v>#VALUE!</v>
      </c>
      <c r="G38" s="8" t="e">
        <f>IF(LeasingHab!$C$10="TARIFA 1",(C37*(VLOOKUP(LeasingHab!$C$24,Seguros_Oblig!$A$3:$B$55,2,FALSE))),(C37*(VLOOKUP(LeasingHab!$C$24,Seguros_Oblig!$A$3:$D$55,4,FALSE))))</f>
        <v>#VALUE!</v>
      </c>
      <c r="H38" s="8" t="e">
        <f>IF(LeasingHab!$C$10="TARIFA 1",(C37*(VLOOKUP(LeasingHab!$C$25,Seguros_Oblig!$A$3:$B$55,2,FALSE))),(C37*(VLOOKUP(LeasingHab!$C$25,Seguros_Oblig!$A$3:$D$55,4,FALSE))))</f>
        <v>#VALUE!</v>
      </c>
      <c r="I38" s="8" t="e">
        <f>IF(LeasingHab!$C$10="TARIFA 1",(C37*(VLOOKUP(LeasingHab!$C$26,Seguros_Oblig!$A$3:$B$55,2,FALSE))),(C37*(VLOOKUP(LeasingHab!$C$26,Seguros_Oblig!$A$3:$D$55,4,FALSE))))</f>
        <v>#VALUE!</v>
      </c>
      <c r="J38" s="10">
        <f t="shared" si="2"/>
        <v>0</v>
      </c>
      <c r="K38" s="7" t="e">
        <f>IF(C37&lt;1,"0",Seguros_Oblig!$N$4*(LeasingNOFam!$C$12*90%))</f>
        <v>#VALUE!</v>
      </c>
      <c r="L38" s="7" t="e">
        <f>IF(B38=" ","0",PMT(LeasingNOFam!$E$17,LeasingNOFam!$C$18,-LeasingNOFam!$C$15,,)-PMT(LeasingNOFam!$E$17,LeasingNOFam!$C$18,-LeasingNOFam!$C$22)+LeasingNOFam!$C$22*LeasingNOFam!$E$17)</f>
        <v>#VALUE!</v>
      </c>
      <c r="M38" s="9" t="e">
        <f t="shared" si="3"/>
        <v>#VALUE!</v>
      </c>
      <c r="N38" s="7" t="e">
        <f>IF(C37&lt;1,"0",LeasingHab!$C$39)</f>
        <v>#VALUE!</v>
      </c>
      <c r="O38" s="9" t="e">
        <f t="shared" si="4"/>
        <v>#VALUE!</v>
      </c>
    </row>
    <row r="39" spans="2:15" ht="15.5" x14ac:dyDescent="0.35">
      <c r="B39" s="6" t="e">
        <f t="shared" si="5"/>
        <v>#VALUE!</v>
      </c>
      <c r="C39" s="7" t="e">
        <f t="shared" si="6"/>
        <v>#VALUE!</v>
      </c>
      <c r="D39" s="7" t="e">
        <f t="shared" si="7"/>
        <v>#VALUE!</v>
      </c>
      <c r="E39" s="7" t="e">
        <f>C38*LeasingNOFam!$E$17</f>
        <v>#VALUE!</v>
      </c>
      <c r="F39" s="8" t="e">
        <f>IF(C39&gt;1,C38*Seguros_Oblig!$N$3,0)</f>
        <v>#VALUE!</v>
      </c>
      <c r="G39" s="8" t="e">
        <f>IF(LeasingHab!$C$10="TARIFA 1",(C38*(VLOOKUP(LeasingHab!$C$24,Seguros_Oblig!$A$3:$B$55,2,FALSE))),(C38*(VLOOKUP(LeasingHab!$C$24,Seguros_Oblig!$A$3:$D$55,4,FALSE))))</f>
        <v>#VALUE!</v>
      </c>
      <c r="H39" s="8" t="e">
        <f>IF(LeasingHab!$C$10="TARIFA 1",(C38*(VLOOKUP(LeasingHab!$C$25,Seguros_Oblig!$A$3:$B$55,2,FALSE))),(C38*(VLOOKUP(LeasingHab!$C$25,Seguros_Oblig!$A$3:$D$55,4,FALSE))))</f>
        <v>#VALUE!</v>
      </c>
      <c r="I39" s="8" t="e">
        <f>IF(LeasingHab!$C$10="TARIFA 1",(C38*(VLOOKUP(LeasingHab!$C$26,Seguros_Oblig!$A$3:$B$55,2,FALSE))),(C38*(VLOOKUP(LeasingHab!$C$26,Seguros_Oblig!$A$3:$D$55,4,FALSE))))</f>
        <v>#VALUE!</v>
      </c>
      <c r="J39" s="10">
        <f t="shared" si="2"/>
        <v>0</v>
      </c>
      <c r="K39" s="7" t="e">
        <f>IF(C38&lt;1,"0",Seguros_Oblig!$N$4*(LeasingNOFam!$C$12*90%))</f>
        <v>#VALUE!</v>
      </c>
      <c r="L39" s="7" t="e">
        <f>IF(B39=" ","0",PMT(LeasingNOFam!$E$17,LeasingNOFam!$C$18,-LeasingNOFam!$C$15,,)-PMT(LeasingNOFam!$E$17,LeasingNOFam!$C$18,-LeasingNOFam!$C$22)+LeasingNOFam!$C$22*LeasingNOFam!$E$17)</f>
        <v>#VALUE!</v>
      </c>
      <c r="M39" s="9" t="e">
        <f t="shared" si="3"/>
        <v>#VALUE!</v>
      </c>
      <c r="N39" s="7" t="e">
        <f>IF(C38&lt;1,"0",LeasingHab!$C$39)</f>
        <v>#VALUE!</v>
      </c>
      <c r="O39" s="9" t="e">
        <f t="shared" si="4"/>
        <v>#VALUE!</v>
      </c>
    </row>
    <row r="40" spans="2:15" ht="15.5" x14ac:dyDescent="0.35">
      <c r="B40" s="6" t="e">
        <f t="shared" si="5"/>
        <v>#VALUE!</v>
      </c>
      <c r="C40" s="7" t="e">
        <f t="shared" si="6"/>
        <v>#VALUE!</v>
      </c>
      <c r="D40" s="7" t="e">
        <f t="shared" si="7"/>
        <v>#VALUE!</v>
      </c>
      <c r="E40" s="7" t="e">
        <f>C39*LeasingNOFam!$E$17</f>
        <v>#VALUE!</v>
      </c>
      <c r="F40" s="8" t="e">
        <f>IF(C40&gt;1,C39*Seguros_Oblig!$N$3,0)</f>
        <v>#VALUE!</v>
      </c>
      <c r="G40" s="8" t="e">
        <f>IF(LeasingHab!$C$10="TARIFA 1",(C39*(VLOOKUP(LeasingHab!$C$24,Seguros_Oblig!$A$3:$B$55,2,FALSE))),(C39*(VLOOKUP(LeasingHab!$C$24,Seguros_Oblig!$A$3:$D$55,4,FALSE))))</f>
        <v>#VALUE!</v>
      </c>
      <c r="H40" s="8" t="e">
        <f>IF(LeasingHab!$C$10="TARIFA 1",(C39*(VLOOKUP(LeasingHab!$C$25,Seguros_Oblig!$A$3:$B$55,2,FALSE))),(C39*(VLOOKUP(LeasingHab!$C$25,Seguros_Oblig!$A$3:$D$55,4,FALSE))))</f>
        <v>#VALUE!</v>
      </c>
      <c r="I40" s="8" t="e">
        <f>IF(LeasingHab!$C$10="TARIFA 1",(C39*(VLOOKUP(LeasingHab!$C$26,Seguros_Oblig!$A$3:$B$55,2,FALSE))),(C39*(VLOOKUP(LeasingHab!$C$26,Seguros_Oblig!$A$3:$D$55,4,FALSE))))</f>
        <v>#VALUE!</v>
      </c>
      <c r="J40" s="10">
        <f t="shared" si="2"/>
        <v>0</v>
      </c>
      <c r="K40" s="7" t="e">
        <f>IF(C39&lt;1,"0",Seguros_Oblig!$N$4*(LeasingNOFam!$C$12*90%))</f>
        <v>#VALUE!</v>
      </c>
      <c r="L40" s="7" t="e">
        <f>IF(B40=" ","0",PMT(LeasingNOFam!$E$17,LeasingNOFam!$C$18,-LeasingNOFam!$C$15,,)-PMT(LeasingNOFam!$E$17,LeasingNOFam!$C$18,-LeasingNOFam!$C$22)+LeasingNOFam!$C$22*LeasingNOFam!$E$17)</f>
        <v>#VALUE!</v>
      </c>
      <c r="M40" s="9" t="e">
        <f t="shared" si="3"/>
        <v>#VALUE!</v>
      </c>
      <c r="N40" s="7" t="e">
        <f>IF(C39&lt;1,"0",LeasingHab!$C$39)</f>
        <v>#VALUE!</v>
      </c>
      <c r="O40" s="9" t="e">
        <f t="shared" si="4"/>
        <v>#VALUE!</v>
      </c>
    </row>
    <row r="41" spans="2:15" ht="15.5" x14ac:dyDescent="0.35">
      <c r="B41" s="6" t="e">
        <f t="shared" si="5"/>
        <v>#VALUE!</v>
      </c>
      <c r="C41" s="7" t="e">
        <f t="shared" si="6"/>
        <v>#VALUE!</v>
      </c>
      <c r="D41" s="7" t="e">
        <f t="shared" si="7"/>
        <v>#VALUE!</v>
      </c>
      <c r="E41" s="7" t="e">
        <f>C40*LeasingNOFam!$E$17</f>
        <v>#VALUE!</v>
      </c>
      <c r="F41" s="8" t="e">
        <f>IF(C41&gt;1,C40*Seguros_Oblig!$N$3,0)</f>
        <v>#VALUE!</v>
      </c>
      <c r="G41" s="8" t="e">
        <f>IF(LeasingHab!$C$10="TARIFA 1",(C40*(VLOOKUP(LeasingHab!$C$24,Seguros_Oblig!$A$3:$B$55,2,FALSE))),(C40*(VLOOKUP(LeasingHab!$C$24,Seguros_Oblig!$A$3:$D$55,4,FALSE))))</f>
        <v>#VALUE!</v>
      </c>
      <c r="H41" s="8" t="e">
        <f>IF(LeasingHab!$C$10="TARIFA 1",(C40*(VLOOKUP(LeasingHab!$C$25,Seguros_Oblig!$A$3:$B$55,2,FALSE))),(C40*(VLOOKUP(LeasingHab!$C$25,Seguros_Oblig!$A$3:$D$55,4,FALSE))))</f>
        <v>#VALUE!</v>
      </c>
      <c r="I41" s="8" t="e">
        <f>IF(LeasingHab!$C$10="TARIFA 1",(C40*(VLOOKUP(LeasingHab!$C$26,Seguros_Oblig!$A$3:$B$55,2,FALSE))),(C40*(VLOOKUP(LeasingHab!$C$26,Seguros_Oblig!$A$3:$D$55,4,FALSE))))</f>
        <v>#VALUE!</v>
      </c>
      <c r="J41" s="10">
        <f t="shared" si="2"/>
        <v>0</v>
      </c>
      <c r="K41" s="7" t="e">
        <f>IF(C40&lt;1,"0",Seguros_Oblig!$N$4*(LeasingNOFam!$C$12*90%))</f>
        <v>#VALUE!</v>
      </c>
      <c r="L41" s="7" t="e">
        <f>IF(B41=" ","0",PMT(LeasingNOFam!$E$17,LeasingNOFam!$C$18,-LeasingNOFam!$C$15,,)-PMT(LeasingNOFam!$E$17,LeasingNOFam!$C$18,-LeasingNOFam!$C$22)+LeasingNOFam!$C$22*LeasingNOFam!$E$17)</f>
        <v>#VALUE!</v>
      </c>
      <c r="M41" s="9" t="e">
        <f t="shared" si="3"/>
        <v>#VALUE!</v>
      </c>
      <c r="N41" s="7" t="e">
        <f>IF(C40&lt;1,"0",LeasingHab!$C$39)</f>
        <v>#VALUE!</v>
      </c>
      <c r="O41" s="9" t="e">
        <f t="shared" si="4"/>
        <v>#VALUE!</v>
      </c>
    </row>
    <row r="42" spans="2:15" ht="15.5" x14ac:dyDescent="0.35">
      <c r="B42" s="6" t="e">
        <f t="shared" si="5"/>
        <v>#VALUE!</v>
      </c>
      <c r="C42" s="7" t="e">
        <f t="shared" si="6"/>
        <v>#VALUE!</v>
      </c>
      <c r="D42" s="7" t="e">
        <f t="shared" si="7"/>
        <v>#VALUE!</v>
      </c>
      <c r="E42" s="7" t="e">
        <f>C41*LeasingNOFam!$E$17</f>
        <v>#VALUE!</v>
      </c>
      <c r="F42" s="8" t="e">
        <f>IF(C42&gt;1,C41*Seguros_Oblig!$N$3,0)</f>
        <v>#VALUE!</v>
      </c>
      <c r="G42" s="8" t="e">
        <f>IF(LeasingHab!$C$10="TARIFA 1",(C41*(VLOOKUP(LeasingHab!$C$24,Seguros_Oblig!$A$3:$B$55,2,FALSE))),(C41*(VLOOKUP(LeasingHab!$C$24,Seguros_Oblig!$A$3:$D$55,4,FALSE))))</f>
        <v>#VALUE!</v>
      </c>
      <c r="H42" s="8" t="e">
        <f>IF(LeasingHab!$C$10="TARIFA 1",(C41*(VLOOKUP(LeasingHab!$C$25,Seguros_Oblig!$A$3:$B$55,2,FALSE))),(C41*(VLOOKUP(LeasingHab!$C$25,Seguros_Oblig!$A$3:$D$55,4,FALSE))))</f>
        <v>#VALUE!</v>
      </c>
      <c r="I42" s="8" t="e">
        <f>IF(LeasingHab!$C$10="TARIFA 1",(C41*(VLOOKUP(LeasingHab!$C$26,Seguros_Oblig!$A$3:$B$55,2,FALSE))),(C41*(VLOOKUP(LeasingHab!$C$26,Seguros_Oblig!$A$3:$D$55,4,FALSE))))</f>
        <v>#VALUE!</v>
      </c>
      <c r="J42" s="10">
        <f t="shared" si="2"/>
        <v>0</v>
      </c>
      <c r="K42" s="7" t="e">
        <f>IF(C41&lt;1,"0",Seguros_Oblig!$N$4*(LeasingNOFam!$C$12*90%))</f>
        <v>#VALUE!</v>
      </c>
      <c r="L42" s="7" t="e">
        <f>IF(B42=" ","0",PMT(LeasingNOFam!$E$17,LeasingNOFam!$C$18,-LeasingNOFam!$C$15,,)-PMT(LeasingNOFam!$E$17,LeasingNOFam!$C$18,-LeasingNOFam!$C$22)+LeasingNOFam!$C$22*LeasingNOFam!$E$17)</f>
        <v>#VALUE!</v>
      </c>
      <c r="M42" s="9" t="e">
        <f t="shared" si="3"/>
        <v>#VALUE!</v>
      </c>
      <c r="N42" s="7" t="e">
        <f>IF(C41&lt;1,"0",LeasingHab!$C$39)</f>
        <v>#VALUE!</v>
      </c>
      <c r="O42" s="9" t="e">
        <f t="shared" si="4"/>
        <v>#VALUE!</v>
      </c>
    </row>
    <row r="43" spans="2:15" ht="15.5" x14ac:dyDescent="0.35">
      <c r="B43" s="6" t="e">
        <f t="shared" si="5"/>
        <v>#VALUE!</v>
      </c>
      <c r="C43" s="7" t="e">
        <f t="shared" si="6"/>
        <v>#VALUE!</v>
      </c>
      <c r="D43" s="7" t="e">
        <f t="shared" si="7"/>
        <v>#VALUE!</v>
      </c>
      <c r="E43" s="7" t="e">
        <f>C42*LeasingNOFam!$E$17</f>
        <v>#VALUE!</v>
      </c>
      <c r="F43" s="8" t="e">
        <f>IF(C43&gt;1,C42*Seguros_Oblig!$N$3,0)</f>
        <v>#VALUE!</v>
      </c>
      <c r="G43" s="8" t="e">
        <f>IF(LeasingHab!$C$10="TARIFA 1",(C42*(VLOOKUP(LeasingHab!$C$24,Seguros_Oblig!$A$3:$B$55,2,FALSE))),(C42*(VLOOKUP(LeasingHab!$C$24,Seguros_Oblig!$A$3:$D$55,4,FALSE))))</f>
        <v>#VALUE!</v>
      </c>
      <c r="H43" s="8" t="e">
        <f>IF(LeasingHab!$C$10="TARIFA 1",(C42*(VLOOKUP(LeasingHab!$C$25,Seguros_Oblig!$A$3:$B$55,2,FALSE))),(C42*(VLOOKUP(LeasingHab!$C$25,Seguros_Oblig!$A$3:$D$55,4,FALSE))))</f>
        <v>#VALUE!</v>
      </c>
      <c r="I43" s="8" t="e">
        <f>IF(LeasingHab!$C$10="TARIFA 1",(C42*(VLOOKUP(LeasingHab!$C$26,Seguros_Oblig!$A$3:$B$55,2,FALSE))),(C42*(VLOOKUP(LeasingHab!$C$26,Seguros_Oblig!$A$3:$D$55,4,FALSE))))</f>
        <v>#VALUE!</v>
      </c>
      <c r="J43" s="10">
        <f t="shared" si="2"/>
        <v>0</v>
      </c>
      <c r="K43" s="7" t="e">
        <f>IF(C42&lt;1,"0",Seguros_Oblig!$N$4*(LeasingNOFam!$C$12*90%))</f>
        <v>#VALUE!</v>
      </c>
      <c r="L43" s="7" t="e">
        <f>IF(B43=" ","0",PMT(LeasingNOFam!$E$17,LeasingNOFam!$C$18,-LeasingNOFam!$C$15,,)-PMT(LeasingNOFam!$E$17,LeasingNOFam!$C$18,-LeasingNOFam!$C$22)+LeasingNOFam!$C$22*LeasingNOFam!$E$17)</f>
        <v>#VALUE!</v>
      </c>
      <c r="M43" s="9" t="e">
        <f t="shared" si="3"/>
        <v>#VALUE!</v>
      </c>
      <c r="N43" s="7" t="e">
        <f>IF(C42&lt;1,"0",LeasingHab!$C$39)</f>
        <v>#VALUE!</v>
      </c>
      <c r="O43" s="9" t="e">
        <f t="shared" si="4"/>
        <v>#VALUE!</v>
      </c>
    </row>
    <row r="44" spans="2:15" ht="15.5" x14ac:dyDescent="0.35">
      <c r="B44" s="6" t="e">
        <f t="shared" si="5"/>
        <v>#VALUE!</v>
      </c>
      <c r="C44" s="7" t="e">
        <f t="shared" si="6"/>
        <v>#VALUE!</v>
      </c>
      <c r="D44" s="7" t="e">
        <f t="shared" si="7"/>
        <v>#VALUE!</v>
      </c>
      <c r="E44" s="7" t="e">
        <f>C43*LeasingNOFam!$E$17</f>
        <v>#VALUE!</v>
      </c>
      <c r="F44" s="8" t="e">
        <f>IF(C44&gt;1,C43*Seguros_Oblig!$N$3,0)</f>
        <v>#VALUE!</v>
      </c>
      <c r="G44" s="8" t="e">
        <f>IF(LeasingHab!$C$10="TARIFA 1",(C43*(VLOOKUP(LeasingHab!$C$24,Seguros_Oblig!$A$3:$B$55,2,FALSE))),(C43*(VLOOKUP(LeasingHab!$C$24,Seguros_Oblig!$A$3:$D$55,4,FALSE))))</f>
        <v>#VALUE!</v>
      </c>
      <c r="H44" s="8" t="e">
        <f>IF(LeasingHab!$C$10="TARIFA 1",(C43*(VLOOKUP(LeasingHab!$C$25,Seguros_Oblig!$A$3:$B$55,2,FALSE))),(C43*(VLOOKUP(LeasingHab!$C$25,Seguros_Oblig!$A$3:$D$55,4,FALSE))))</f>
        <v>#VALUE!</v>
      </c>
      <c r="I44" s="8" t="e">
        <f>IF(LeasingHab!$C$10="TARIFA 1",(C43*(VLOOKUP(LeasingHab!$C$26,Seguros_Oblig!$A$3:$B$55,2,FALSE))),(C43*(VLOOKUP(LeasingHab!$C$26,Seguros_Oblig!$A$3:$D$55,4,FALSE))))</f>
        <v>#VALUE!</v>
      </c>
      <c r="J44" s="10">
        <f t="shared" si="2"/>
        <v>0</v>
      </c>
      <c r="K44" s="7" t="e">
        <f>IF(C43&lt;1,"0",Seguros_Oblig!$N$4*(LeasingNOFam!$C$12*90%))</f>
        <v>#VALUE!</v>
      </c>
      <c r="L44" s="7" t="e">
        <f>IF(B44=" ","0",PMT(LeasingNOFam!$E$17,LeasingNOFam!$C$18,-LeasingNOFam!$C$15,,)-PMT(LeasingNOFam!$E$17,LeasingNOFam!$C$18,-LeasingNOFam!$C$22)+LeasingNOFam!$C$22*LeasingNOFam!$E$17)</f>
        <v>#VALUE!</v>
      </c>
      <c r="M44" s="9" t="e">
        <f t="shared" si="3"/>
        <v>#VALUE!</v>
      </c>
      <c r="N44" s="7" t="e">
        <f>IF(C43&lt;1,"0",LeasingHab!$C$39)</f>
        <v>#VALUE!</v>
      </c>
      <c r="O44" s="9" t="e">
        <f t="shared" si="4"/>
        <v>#VALUE!</v>
      </c>
    </row>
    <row r="45" spans="2:15" ht="15.5" x14ac:dyDescent="0.35">
      <c r="B45" s="6" t="e">
        <f t="shared" si="5"/>
        <v>#VALUE!</v>
      </c>
      <c r="C45" s="7" t="e">
        <f t="shared" si="6"/>
        <v>#VALUE!</v>
      </c>
      <c r="D45" s="7" t="e">
        <f t="shared" si="7"/>
        <v>#VALUE!</v>
      </c>
      <c r="E45" s="7" t="e">
        <f>C44*LeasingNOFam!$E$17</f>
        <v>#VALUE!</v>
      </c>
      <c r="F45" s="8" t="e">
        <f>IF(C45&gt;1,C44*Seguros_Oblig!$N$3,0)</f>
        <v>#VALUE!</v>
      </c>
      <c r="G45" s="8" t="e">
        <f>IF(LeasingHab!$C$10="TARIFA 1",(C44*(VLOOKUP(LeasingHab!$C$24,Seguros_Oblig!$A$3:$B$55,2,FALSE))),(C44*(VLOOKUP(LeasingHab!$C$24,Seguros_Oblig!$A$3:$D$55,4,FALSE))))</f>
        <v>#VALUE!</v>
      </c>
      <c r="H45" s="8" t="e">
        <f>IF(LeasingHab!$C$10="TARIFA 1",(C44*(VLOOKUP(LeasingHab!$C$25,Seguros_Oblig!$A$3:$B$55,2,FALSE))),(C44*(VLOOKUP(LeasingHab!$C$25,Seguros_Oblig!$A$3:$D$55,4,FALSE))))</f>
        <v>#VALUE!</v>
      </c>
      <c r="I45" s="8" t="e">
        <f>IF(LeasingHab!$C$10="TARIFA 1",(C44*(VLOOKUP(LeasingHab!$C$26,Seguros_Oblig!$A$3:$B$55,2,FALSE))),(C44*(VLOOKUP(LeasingHab!$C$26,Seguros_Oblig!$A$3:$D$55,4,FALSE))))</f>
        <v>#VALUE!</v>
      </c>
      <c r="J45" s="10">
        <f t="shared" si="2"/>
        <v>0</v>
      </c>
      <c r="K45" s="7" t="e">
        <f>IF(C44&lt;1,"0",Seguros_Oblig!$N$4*(LeasingNOFam!$C$12*90%))</f>
        <v>#VALUE!</v>
      </c>
      <c r="L45" s="7" t="e">
        <f>IF(B45=" ","0",PMT(LeasingNOFam!$E$17,LeasingNOFam!$C$18,-LeasingNOFam!$C$15,,)-PMT(LeasingNOFam!$E$17,LeasingNOFam!$C$18,-LeasingNOFam!$C$22)+LeasingNOFam!$C$22*LeasingNOFam!$E$17)</f>
        <v>#VALUE!</v>
      </c>
      <c r="M45" s="9" t="e">
        <f t="shared" si="3"/>
        <v>#VALUE!</v>
      </c>
      <c r="N45" s="7" t="e">
        <f>IF(C44&lt;1,"0",LeasingHab!$C$39)</f>
        <v>#VALUE!</v>
      </c>
      <c r="O45" s="9" t="e">
        <f t="shared" si="4"/>
        <v>#VALUE!</v>
      </c>
    </row>
    <row r="46" spans="2:15" ht="15.5" x14ac:dyDescent="0.35">
      <c r="B46" s="6" t="e">
        <f t="shared" si="5"/>
        <v>#VALUE!</v>
      </c>
      <c r="C46" s="7" t="e">
        <f t="shared" si="6"/>
        <v>#VALUE!</v>
      </c>
      <c r="D46" s="7" t="e">
        <f t="shared" si="7"/>
        <v>#VALUE!</v>
      </c>
      <c r="E46" s="7" t="e">
        <f>C45*LeasingNOFam!$E$17</f>
        <v>#VALUE!</v>
      </c>
      <c r="F46" s="8" t="e">
        <f>IF(C46&gt;1,C45*Seguros_Oblig!$N$3,0)</f>
        <v>#VALUE!</v>
      </c>
      <c r="G46" s="8" t="e">
        <f>IF(LeasingHab!$C$10="TARIFA 1",(C45*(VLOOKUP(LeasingHab!$C$24,Seguros_Oblig!$A$3:$B$55,2,FALSE))),(C45*(VLOOKUP(LeasingHab!$C$24,Seguros_Oblig!$A$3:$D$55,4,FALSE))))</f>
        <v>#VALUE!</v>
      </c>
      <c r="H46" s="8" t="e">
        <f>IF(LeasingHab!$C$10="TARIFA 1",(C45*(VLOOKUP(LeasingHab!$C$25,Seguros_Oblig!$A$3:$B$55,2,FALSE))),(C45*(VLOOKUP(LeasingHab!$C$25,Seguros_Oblig!$A$3:$D$55,4,FALSE))))</f>
        <v>#VALUE!</v>
      </c>
      <c r="I46" s="8" t="e">
        <f>IF(LeasingHab!$C$10="TARIFA 1",(C45*(VLOOKUP(LeasingHab!$C$26,Seguros_Oblig!$A$3:$B$55,2,FALSE))),(C45*(VLOOKUP(LeasingHab!$C$26,Seguros_Oblig!$A$3:$D$55,4,FALSE))))</f>
        <v>#VALUE!</v>
      </c>
      <c r="J46" s="10">
        <f t="shared" si="2"/>
        <v>0</v>
      </c>
      <c r="K46" s="7" t="e">
        <f>IF(C45&lt;1,"0",Seguros_Oblig!$N$4*(LeasingNOFam!$C$12*90%))</f>
        <v>#VALUE!</v>
      </c>
      <c r="L46" s="7" t="e">
        <f>IF(B46=" ","0",PMT(LeasingNOFam!$E$17,LeasingNOFam!$C$18,-LeasingNOFam!$C$15,,)-PMT(LeasingNOFam!$E$17,LeasingNOFam!$C$18,-LeasingNOFam!$C$22)+LeasingNOFam!$C$22*LeasingNOFam!$E$17)</f>
        <v>#VALUE!</v>
      </c>
      <c r="M46" s="9" t="e">
        <f t="shared" si="3"/>
        <v>#VALUE!</v>
      </c>
      <c r="N46" s="7" t="e">
        <f>IF(C45&lt;1,"0",LeasingHab!$C$39)</f>
        <v>#VALUE!</v>
      </c>
      <c r="O46" s="9" t="e">
        <f t="shared" si="4"/>
        <v>#VALUE!</v>
      </c>
    </row>
    <row r="47" spans="2:15" ht="15.5" x14ac:dyDescent="0.35">
      <c r="B47" s="6" t="e">
        <f t="shared" si="5"/>
        <v>#VALUE!</v>
      </c>
      <c r="C47" s="7" t="e">
        <f t="shared" si="6"/>
        <v>#VALUE!</v>
      </c>
      <c r="D47" s="7" t="e">
        <f t="shared" si="7"/>
        <v>#VALUE!</v>
      </c>
      <c r="E47" s="7" t="e">
        <f>C46*LeasingNOFam!$E$17</f>
        <v>#VALUE!</v>
      </c>
      <c r="F47" s="8" t="e">
        <f>IF(C47&gt;1,C46*Seguros_Oblig!$N$3,0)</f>
        <v>#VALUE!</v>
      </c>
      <c r="G47" s="8" t="e">
        <f>IF(LeasingHab!$C$10="TARIFA 1",(C46*(VLOOKUP(LeasingHab!$C$24,Seguros_Oblig!$A$3:$B$55,2,FALSE))),(C46*(VLOOKUP(LeasingHab!$C$24,Seguros_Oblig!$A$3:$D$55,4,FALSE))))</f>
        <v>#VALUE!</v>
      </c>
      <c r="H47" s="8" t="e">
        <f>IF(LeasingHab!$C$10="TARIFA 1",(C46*(VLOOKUP(LeasingHab!$C$25,Seguros_Oblig!$A$3:$B$55,2,FALSE))),(C46*(VLOOKUP(LeasingHab!$C$25,Seguros_Oblig!$A$3:$D$55,4,FALSE))))</f>
        <v>#VALUE!</v>
      </c>
      <c r="I47" s="8" t="e">
        <f>IF(LeasingHab!$C$10="TARIFA 1",(C46*(VLOOKUP(LeasingHab!$C$26,Seguros_Oblig!$A$3:$B$55,2,FALSE))),(C46*(VLOOKUP(LeasingHab!$C$26,Seguros_Oblig!$A$3:$D$55,4,FALSE))))</f>
        <v>#VALUE!</v>
      </c>
      <c r="J47" s="10">
        <f t="shared" si="2"/>
        <v>0</v>
      </c>
      <c r="K47" s="7" t="e">
        <f>IF(C46&lt;1,"0",Seguros_Oblig!$N$4*(LeasingNOFam!$C$12*90%))</f>
        <v>#VALUE!</v>
      </c>
      <c r="L47" s="7" t="e">
        <f>IF(B47=" ","0",PMT(LeasingNOFam!$E$17,LeasingNOFam!$C$18,-LeasingNOFam!$C$15,,)-PMT(LeasingNOFam!$E$17,LeasingNOFam!$C$18,-LeasingNOFam!$C$22)+LeasingNOFam!$C$22*LeasingNOFam!$E$17)</f>
        <v>#VALUE!</v>
      </c>
      <c r="M47" s="9" t="e">
        <f t="shared" si="3"/>
        <v>#VALUE!</v>
      </c>
      <c r="N47" s="7" t="e">
        <f>IF(C46&lt;1,"0",LeasingHab!$C$39)</f>
        <v>#VALUE!</v>
      </c>
      <c r="O47" s="9" t="e">
        <f t="shared" si="4"/>
        <v>#VALUE!</v>
      </c>
    </row>
    <row r="48" spans="2:15" ht="15.5" x14ac:dyDescent="0.35">
      <c r="B48" s="6" t="e">
        <f t="shared" si="5"/>
        <v>#VALUE!</v>
      </c>
      <c r="C48" s="7" t="e">
        <f t="shared" si="6"/>
        <v>#VALUE!</v>
      </c>
      <c r="D48" s="7" t="e">
        <f t="shared" si="7"/>
        <v>#VALUE!</v>
      </c>
      <c r="E48" s="7" t="e">
        <f>C47*LeasingNOFam!$E$17</f>
        <v>#VALUE!</v>
      </c>
      <c r="F48" s="8" t="e">
        <f>IF(C48&gt;1,C47*Seguros_Oblig!$N$3,0)</f>
        <v>#VALUE!</v>
      </c>
      <c r="G48" s="8" t="e">
        <f>IF(LeasingHab!$C$10="TARIFA 1",(C47*(VLOOKUP(LeasingHab!$C$24,Seguros_Oblig!$A$3:$B$55,2,FALSE))),(C47*(VLOOKUP(LeasingHab!$C$24,Seguros_Oblig!$A$3:$D$55,4,FALSE))))</f>
        <v>#VALUE!</v>
      </c>
      <c r="H48" s="8" t="e">
        <f>IF(LeasingHab!$C$10="TARIFA 1",(C47*(VLOOKUP(LeasingHab!$C$25,Seguros_Oblig!$A$3:$B$55,2,FALSE))),(C47*(VLOOKUP(LeasingHab!$C$25,Seguros_Oblig!$A$3:$D$55,4,FALSE))))</f>
        <v>#VALUE!</v>
      </c>
      <c r="I48" s="8" t="e">
        <f>IF(LeasingHab!$C$10="TARIFA 1",(C47*(VLOOKUP(LeasingHab!$C$26,Seguros_Oblig!$A$3:$B$55,2,FALSE))),(C47*(VLOOKUP(LeasingHab!$C$26,Seguros_Oblig!$A$3:$D$55,4,FALSE))))</f>
        <v>#VALUE!</v>
      </c>
      <c r="J48" s="10">
        <f t="shared" si="2"/>
        <v>0</v>
      </c>
      <c r="K48" s="7" t="e">
        <f>IF(C47&lt;1,"0",Seguros_Oblig!$N$4*(LeasingNOFam!$C$12*90%))</f>
        <v>#VALUE!</v>
      </c>
      <c r="L48" s="7" t="e">
        <f>IF(B48=" ","0",PMT(LeasingNOFam!$E$17,LeasingNOFam!$C$18,-LeasingNOFam!$C$15,,)-PMT(LeasingNOFam!$E$17,LeasingNOFam!$C$18,-LeasingNOFam!$C$22)+LeasingNOFam!$C$22*LeasingNOFam!$E$17)</f>
        <v>#VALUE!</v>
      </c>
      <c r="M48" s="9" t="e">
        <f t="shared" si="3"/>
        <v>#VALUE!</v>
      </c>
      <c r="N48" s="7" t="e">
        <f>IF(C47&lt;1,"0",LeasingHab!$C$39)</f>
        <v>#VALUE!</v>
      </c>
      <c r="O48" s="9" t="e">
        <f t="shared" si="4"/>
        <v>#VALUE!</v>
      </c>
    </row>
    <row r="49" spans="2:15" ht="15.5" x14ac:dyDescent="0.35">
      <c r="B49" s="6" t="e">
        <f t="shared" si="5"/>
        <v>#VALUE!</v>
      </c>
      <c r="C49" s="7" t="e">
        <f t="shared" si="6"/>
        <v>#VALUE!</v>
      </c>
      <c r="D49" s="7" t="e">
        <f t="shared" si="7"/>
        <v>#VALUE!</v>
      </c>
      <c r="E49" s="7" t="e">
        <f>C48*LeasingNOFam!$E$17</f>
        <v>#VALUE!</v>
      </c>
      <c r="F49" s="8" t="e">
        <f>IF(C49&gt;1,C48*Seguros_Oblig!$N$3,0)</f>
        <v>#VALUE!</v>
      </c>
      <c r="G49" s="8" t="e">
        <f>IF(LeasingHab!$C$10="TARIFA 1",(C48*(VLOOKUP(LeasingHab!$C$24,Seguros_Oblig!$A$3:$B$55,2,FALSE))),(C48*(VLOOKUP(LeasingHab!$C$24,Seguros_Oblig!$A$3:$D$55,4,FALSE))))</f>
        <v>#VALUE!</v>
      </c>
      <c r="H49" s="8" t="e">
        <f>IF(LeasingHab!$C$10="TARIFA 1",(C48*(VLOOKUP(LeasingHab!$C$25,Seguros_Oblig!$A$3:$B$55,2,FALSE))),(C48*(VLOOKUP(LeasingHab!$C$25,Seguros_Oblig!$A$3:$D$55,4,FALSE))))</f>
        <v>#VALUE!</v>
      </c>
      <c r="I49" s="8" t="e">
        <f>IF(LeasingHab!$C$10="TARIFA 1",(C48*(VLOOKUP(LeasingHab!$C$26,Seguros_Oblig!$A$3:$B$55,2,FALSE))),(C48*(VLOOKUP(LeasingHab!$C$26,Seguros_Oblig!$A$3:$D$55,4,FALSE))))</f>
        <v>#VALUE!</v>
      </c>
      <c r="J49" s="10">
        <f t="shared" si="2"/>
        <v>0</v>
      </c>
      <c r="K49" s="7" t="e">
        <f>IF(C48&lt;1,"0",Seguros_Oblig!$N$4*(LeasingNOFam!$C$12*90%))</f>
        <v>#VALUE!</v>
      </c>
      <c r="L49" s="7" t="e">
        <f>IF(B49=" ","0",PMT(LeasingNOFam!$E$17,LeasingNOFam!$C$18,-LeasingNOFam!$C$15,,)-PMT(LeasingNOFam!$E$17,LeasingNOFam!$C$18,-LeasingNOFam!$C$22)+LeasingNOFam!$C$22*LeasingNOFam!$E$17)</f>
        <v>#VALUE!</v>
      </c>
      <c r="M49" s="9" t="e">
        <f t="shared" si="3"/>
        <v>#VALUE!</v>
      </c>
      <c r="N49" s="7" t="e">
        <f>IF(C48&lt;1,"0",LeasingHab!$C$39)</f>
        <v>#VALUE!</v>
      </c>
      <c r="O49" s="9" t="e">
        <f t="shared" si="4"/>
        <v>#VALUE!</v>
      </c>
    </row>
    <row r="50" spans="2:15" ht="15.5" x14ac:dyDescent="0.35">
      <c r="B50" s="6" t="e">
        <f t="shared" si="5"/>
        <v>#VALUE!</v>
      </c>
      <c r="C50" s="7" t="e">
        <f t="shared" si="6"/>
        <v>#VALUE!</v>
      </c>
      <c r="D50" s="7" t="e">
        <f t="shared" si="7"/>
        <v>#VALUE!</v>
      </c>
      <c r="E50" s="7" t="e">
        <f>C49*LeasingNOFam!$E$17</f>
        <v>#VALUE!</v>
      </c>
      <c r="F50" s="8" t="e">
        <f>IF(C50&gt;1,C49*Seguros_Oblig!$N$3,0)</f>
        <v>#VALUE!</v>
      </c>
      <c r="G50" s="8" t="e">
        <f>IF(LeasingHab!$C$10="TARIFA 1",(C49*(VLOOKUP(LeasingHab!$C$24,Seguros_Oblig!$A$3:$B$55,2,FALSE))),(C49*(VLOOKUP(LeasingHab!$C$24,Seguros_Oblig!$A$3:$D$55,4,FALSE))))</f>
        <v>#VALUE!</v>
      </c>
      <c r="H50" s="8" t="e">
        <f>IF(LeasingHab!$C$10="TARIFA 1",(C49*(VLOOKUP(LeasingHab!$C$25,Seguros_Oblig!$A$3:$B$55,2,FALSE))),(C49*(VLOOKUP(LeasingHab!$C$25,Seguros_Oblig!$A$3:$D$55,4,FALSE))))</f>
        <v>#VALUE!</v>
      </c>
      <c r="I50" s="8" t="e">
        <f>IF(LeasingHab!$C$10="TARIFA 1",(C49*(VLOOKUP(LeasingHab!$C$26,Seguros_Oblig!$A$3:$B$55,2,FALSE))),(C49*(VLOOKUP(LeasingHab!$C$26,Seguros_Oblig!$A$3:$D$55,4,FALSE))))</f>
        <v>#VALUE!</v>
      </c>
      <c r="J50" s="10">
        <f t="shared" si="2"/>
        <v>0</v>
      </c>
      <c r="K50" s="7" t="e">
        <f>IF(C49&lt;1,"0",Seguros_Oblig!$N$4*(LeasingNOFam!$C$12*90%))</f>
        <v>#VALUE!</v>
      </c>
      <c r="L50" s="7" t="e">
        <f>IF(B50=" ","0",PMT(LeasingNOFam!$E$17,LeasingNOFam!$C$18,-LeasingNOFam!$C$15,,)-PMT(LeasingNOFam!$E$17,LeasingNOFam!$C$18,-LeasingNOFam!$C$22)+LeasingNOFam!$C$22*LeasingNOFam!$E$17)</f>
        <v>#VALUE!</v>
      </c>
      <c r="M50" s="9" t="e">
        <f t="shared" si="3"/>
        <v>#VALUE!</v>
      </c>
      <c r="N50" s="7" t="e">
        <f>IF(C49&lt;1,"0",LeasingHab!$C$39)</f>
        <v>#VALUE!</v>
      </c>
      <c r="O50" s="9" t="e">
        <f t="shared" si="4"/>
        <v>#VALUE!</v>
      </c>
    </row>
    <row r="51" spans="2:15" ht="15.5" x14ac:dyDescent="0.35">
      <c r="B51" s="6" t="e">
        <f t="shared" si="5"/>
        <v>#VALUE!</v>
      </c>
      <c r="C51" s="7" t="e">
        <f t="shared" si="6"/>
        <v>#VALUE!</v>
      </c>
      <c r="D51" s="7" t="e">
        <f t="shared" si="7"/>
        <v>#VALUE!</v>
      </c>
      <c r="E51" s="7" t="e">
        <f>C50*LeasingNOFam!$E$17</f>
        <v>#VALUE!</v>
      </c>
      <c r="F51" s="8" t="e">
        <f>IF(C51&gt;1,C50*Seguros_Oblig!$N$3,0)</f>
        <v>#VALUE!</v>
      </c>
      <c r="G51" s="8" t="e">
        <f>IF(LeasingHab!$C$10="TARIFA 1",(C50*(VLOOKUP(LeasingHab!$C$24,Seguros_Oblig!$A$3:$B$55,2,FALSE))),(C50*(VLOOKUP(LeasingHab!$C$24,Seguros_Oblig!$A$3:$D$55,4,FALSE))))</f>
        <v>#VALUE!</v>
      </c>
      <c r="H51" s="8" t="e">
        <f>IF(LeasingHab!$C$10="TARIFA 1",(C50*(VLOOKUP(LeasingHab!$C$25,Seguros_Oblig!$A$3:$B$55,2,FALSE))),(C50*(VLOOKUP(LeasingHab!$C$25,Seguros_Oblig!$A$3:$D$55,4,FALSE))))</f>
        <v>#VALUE!</v>
      </c>
      <c r="I51" s="8" t="e">
        <f>IF(LeasingHab!$C$10="TARIFA 1",(C50*(VLOOKUP(LeasingHab!$C$26,Seguros_Oblig!$A$3:$B$55,2,FALSE))),(C50*(VLOOKUP(LeasingHab!$C$26,Seguros_Oblig!$A$3:$D$55,4,FALSE))))</f>
        <v>#VALUE!</v>
      </c>
      <c r="J51" s="10">
        <f t="shared" si="2"/>
        <v>0</v>
      </c>
      <c r="K51" s="7" t="e">
        <f>IF(C50&lt;1,"0",Seguros_Oblig!$N$4*(LeasingNOFam!$C$12*90%))</f>
        <v>#VALUE!</v>
      </c>
      <c r="L51" s="7" t="e">
        <f>IF(B51=" ","0",PMT(LeasingNOFam!$E$17,LeasingNOFam!$C$18,-LeasingNOFam!$C$15,,)-PMT(LeasingNOFam!$E$17,LeasingNOFam!$C$18,-LeasingNOFam!$C$22)+LeasingNOFam!$C$22*LeasingNOFam!$E$17)</f>
        <v>#VALUE!</v>
      </c>
      <c r="M51" s="9" t="e">
        <f t="shared" si="3"/>
        <v>#VALUE!</v>
      </c>
      <c r="N51" s="7" t="e">
        <f>IF(C50&lt;1,"0",LeasingHab!$C$39)</f>
        <v>#VALUE!</v>
      </c>
      <c r="O51" s="9" t="e">
        <f t="shared" si="4"/>
        <v>#VALUE!</v>
      </c>
    </row>
    <row r="52" spans="2:15" ht="15.5" x14ac:dyDescent="0.35">
      <c r="B52" s="6" t="e">
        <f t="shared" si="5"/>
        <v>#VALUE!</v>
      </c>
      <c r="C52" s="7" t="e">
        <f t="shared" si="6"/>
        <v>#VALUE!</v>
      </c>
      <c r="D52" s="7" t="e">
        <f t="shared" si="7"/>
        <v>#VALUE!</v>
      </c>
      <c r="E52" s="7" t="e">
        <f>C51*LeasingNOFam!$E$17</f>
        <v>#VALUE!</v>
      </c>
      <c r="F52" s="8" t="e">
        <f>IF(C52&gt;1,C51*Seguros_Oblig!$N$3,0)</f>
        <v>#VALUE!</v>
      </c>
      <c r="G52" s="8" t="e">
        <f>IF(LeasingHab!$C$10="TARIFA 1",(C51*(VLOOKUP(LeasingHab!$C$24,Seguros_Oblig!$A$3:$B$55,2,FALSE))),(C51*(VLOOKUP(LeasingHab!$C$24,Seguros_Oblig!$A$3:$D$55,4,FALSE))))</f>
        <v>#VALUE!</v>
      </c>
      <c r="H52" s="8" t="e">
        <f>IF(LeasingHab!$C$10="TARIFA 1",(C51*(VLOOKUP(LeasingHab!$C$25,Seguros_Oblig!$A$3:$B$55,2,FALSE))),(C51*(VLOOKUP(LeasingHab!$C$25,Seguros_Oblig!$A$3:$D$55,4,FALSE))))</f>
        <v>#VALUE!</v>
      </c>
      <c r="I52" s="8" t="e">
        <f>IF(LeasingHab!$C$10="TARIFA 1",(C51*(VLOOKUP(LeasingHab!$C$26,Seguros_Oblig!$A$3:$B$55,2,FALSE))),(C51*(VLOOKUP(LeasingHab!$C$26,Seguros_Oblig!$A$3:$D$55,4,FALSE))))</f>
        <v>#VALUE!</v>
      </c>
      <c r="J52" s="10">
        <f t="shared" si="2"/>
        <v>0</v>
      </c>
      <c r="K52" s="7" t="e">
        <f>IF(C51&lt;1,"0",Seguros_Oblig!$N$4*(LeasingNOFam!$C$12*90%))</f>
        <v>#VALUE!</v>
      </c>
      <c r="L52" s="7" t="e">
        <f>IF(B52=" ","0",PMT(LeasingNOFam!$E$17,LeasingNOFam!$C$18,-LeasingNOFam!$C$15,,)-PMT(LeasingNOFam!$E$17,LeasingNOFam!$C$18,-LeasingNOFam!$C$22)+LeasingNOFam!$C$22*LeasingNOFam!$E$17)</f>
        <v>#VALUE!</v>
      </c>
      <c r="M52" s="9" t="e">
        <f t="shared" si="3"/>
        <v>#VALUE!</v>
      </c>
      <c r="N52" s="7" t="e">
        <f>IF(C51&lt;1,"0",LeasingHab!$C$39)</f>
        <v>#VALUE!</v>
      </c>
      <c r="O52" s="9" t="e">
        <f t="shared" si="4"/>
        <v>#VALUE!</v>
      </c>
    </row>
    <row r="53" spans="2:15" ht="15.5" x14ac:dyDescent="0.35">
      <c r="B53" s="6" t="e">
        <f t="shared" si="5"/>
        <v>#VALUE!</v>
      </c>
      <c r="C53" s="7" t="e">
        <f t="shared" si="6"/>
        <v>#VALUE!</v>
      </c>
      <c r="D53" s="7" t="e">
        <f t="shared" si="7"/>
        <v>#VALUE!</v>
      </c>
      <c r="E53" s="7" t="e">
        <f>C52*LeasingNOFam!$E$17</f>
        <v>#VALUE!</v>
      </c>
      <c r="F53" s="8" t="e">
        <f>IF(C53&gt;1,C52*Seguros_Oblig!$N$3,0)</f>
        <v>#VALUE!</v>
      </c>
      <c r="G53" s="8" t="e">
        <f>IF(LeasingHab!$C$10="TARIFA 1",(C52*(VLOOKUP(LeasingHab!$C$24,Seguros_Oblig!$A$3:$B$55,2,FALSE))),(C52*(VLOOKUP(LeasingHab!$C$24,Seguros_Oblig!$A$3:$D$55,4,FALSE))))</f>
        <v>#VALUE!</v>
      </c>
      <c r="H53" s="8" t="e">
        <f>IF(LeasingHab!$C$10="TARIFA 1",(C52*(VLOOKUP(LeasingHab!$C$25,Seguros_Oblig!$A$3:$B$55,2,FALSE))),(C52*(VLOOKUP(LeasingHab!$C$25,Seguros_Oblig!$A$3:$D$55,4,FALSE))))</f>
        <v>#VALUE!</v>
      </c>
      <c r="I53" s="8" t="e">
        <f>IF(LeasingHab!$C$10="TARIFA 1",(C52*(VLOOKUP(LeasingHab!$C$26,Seguros_Oblig!$A$3:$B$55,2,FALSE))),(C52*(VLOOKUP(LeasingHab!$C$26,Seguros_Oblig!$A$3:$D$55,4,FALSE))))</f>
        <v>#VALUE!</v>
      </c>
      <c r="J53" s="10">
        <f t="shared" si="2"/>
        <v>0</v>
      </c>
      <c r="K53" s="7" t="e">
        <f>IF(C52&lt;1,"0",Seguros_Oblig!$N$4*(LeasingNOFam!$C$12*90%))</f>
        <v>#VALUE!</v>
      </c>
      <c r="L53" s="7" t="e">
        <f>IF(B53=" ","0",PMT(LeasingNOFam!$E$17,LeasingNOFam!$C$18,-LeasingNOFam!$C$15,,)-PMT(LeasingNOFam!$E$17,LeasingNOFam!$C$18,-LeasingNOFam!$C$22)+LeasingNOFam!$C$22*LeasingNOFam!$E$17)</f>
        <v>#VALUE!</v>
      </c>
      <c r="M53" s="9" t="e">
        <f t="shared" si="3"/>
        <v>#VALUE!</v>
      </c>
      <c r="N53" s="7" t="e">
        <f>IF(C52&lt;1,"0",LeasingHab!$C$39)</f>
        <v>#VALUE!</v>
      </c>
      <c r="O53" s="9" t="e">
        <f t="shared" si="4"/>
        <v>#VALUE!</v>
      </c>
    </row>
    <row r="54" spans="2:15" ht="15.5" x14ac:dyDescent="0.35">
      <c r="B54" s="6" t="e">
        <f t="shared" si="5"/>
        <v>#VALUE!</v>
      </c>
      <c r="C54" s="7" t="e">
        <f t="shared" si="6"/>
        <v>#VALUE!</v>
      </c>
      <c r="D54" s="7" t="e">
        <f t="shared" si="7"/>
        <v>#VALUE!</v>
      </c>
      <c r="E54" s="7" t="e">
        <f>C53*LeasingNOFam!$E$17</f>
        <v>#VALUE!</v>
      </c>
      <c r="F54" s="8" t="e">
        <f>IF(C54&gt;1,C53*Seguros_Oblig!$N$3,0)</f>
        <v>#VALUE!</v>
      </c>
      <c r="G54" s="8" t="e">
        <f>IF(LeasingHab!$C$10="TARIFA 1",(C53*(VLOOKUP(LeasingHab!$C$24,Seguros_Oblig!$A$3:$B$55,2,FALSE))),(C53*(VLOOKUP(LeasingHab!$C$24,Seguros_Oblig!$A$3:$D$55,4,FALSE))))</f>
        <v>#VALUE!</v>
      </c>
      <c r="H54" s="8" t="e">
        <f>IF(LeasingHab!$C$10="TARIFA 1",(C53*(VLOOKUP(LeasingHab!$C$25,Seguros_Oblig!$A$3:$B$55,2,FALSE))),(C53*(VLOOKUP(LeasingHab!$C$25,Seguros_Oblig!$A$3:$D$55,4,FALSE))))</f>
        <v>#VALUE!</v>
      </c>
      <c r="I54" s="8" t="e">
        <f>IF(LeasingHab!$C$10="TARIFA 1",(C53*(VLOOKUP(LeasingHab!$C$26,Seguros_Oblig!$A$3:$B$55,2,FALSE))),(C53*(VLOOKUP(LeasingHab!$C$26,Seguros_Oblig!$A$3:$D$55,4,FALSE))))</f>
        <v>#VALUE!</v>
      </c>
      <c r="J54" s="10">
        <f t="shared" si="2"/>
        <v>0</v>
      </c>
      <c r="K54" s="7" t="e">
        <f>IF(C53&lt;1,"0",Seguros_Oblig!$N$4*(LeasingNOFam!$C$12*90%))</f>
        <v>#VALUE!</v>
      </c>
      <c r="L54" s="7" t="e">
        <f>IF(B54=" ","0",PMT(LeasingNOFam!$E$17,LeasingNOFam!$C$18,-LeasingNOFam!$C$15,,)-PMT(LeasingNOFam!$E$17,LeasingNOFam!$C$18,-LeasingNOFam!$C$22)+LeasingNOFam!$C$22*LeasingNOFam!$E$17)</f>
        <v>#VALUE!</v>
      </c>
      <c r="M54" s="9" t="e">
        <f t="shared" si="3"/>
        <v>#VALUE!</v>
      </c>
      <c r="N54" s="7" t="e">
        <f>IF(C53&lt;1,"0",LeasingHab!$C$39)</f>
        <v>#VALUE!</v>
      </c>
      <c r="O54" s="9" t="e">
        <f t="shared" si="4"/>
        <v>#VALUE!</v>
      </c>
    </row>
    <row r="55" spans="2:15" ht="15.5" x14ac:dyDescent="0.35">
      <c r="B55" s="6" t="e">
        <f t="shared" si="5"/>
        <v>#VALUE!</v>
      </c>
      <c r="C55" s="7" t="e">
        <f t="shared" si="6"/>
        <v>#VALUE!</v>
      </c>
      <c r="D55" s="7" t="e">
        <f t="shared" si="7"/>
        <v>#VALUE!</v>
      </c>
      <c r="E55" s="7" t="e">
        <f>C54*LeasingNOFam!$E$17</f>
        <v>#VALUE!</v>
      </c>
      <c r="F55" s="8" t="e">
        <f>IF(C55&gt;1,C54*Seguros_Oblig!$N$3,0)</f>
        <v>#VALUE!</v>
      </c>
      <c r="G55" s="8" t="e">
        <f>IF(LeasingHab!$C$10="TARIFA 1",(C54*(VLOOKUP(LeasingHab!$C$24,Seguros_Oblig!$A$3:$B$55,2,FALSE))),(C54*(VLOOKUP(LeasingHab!$C$24,Seguros_Oblig!$A$3:$D$55,4,FALSE))))</f>
        <v>#VALUE!</v>
      </c>
      <c r="H55" s="8" t="e">
        <f>IF(LeasingHab!$C$10="TARIFA 1",(C54*(VLOOKUP(LeasingHab!$C$25,Seguros_Oblig!$A$3:$B$55,2,FALSE))),(C54*(VLOOKUP(LeasingHab!$C$25,Seguros_Oblig!$A$3:$D$55,4,FALSE))))</f>
        <v>#VALUE!</v>
      </c>
      <c r="I55" s="8" t="e">
        <f>IF(LeasingHab!$C$10="TARIFA 1",(C54*(VLOOKUP(LeasingHab!$C$26,Seguros_Oblig!$A$3:$B$55,2,FALSE))),(C54*(VLOOKUP(LeasingHab!$C$26,Seguros_Oblig!$A$3:$D$55,4,FALSE))))</f>
        <v>#VALUE!</v>
      </c>
      <c r="J55" s="10">
        <f t="shared" si="2"/>
        <v>0</v>
      </c>
      <c r="K55" s="7" t="e">
        <f>IF(C54&lt;1,"0",Seguros_Oblig!$N$4*(LeasingNOFam!$C$12*90%))</f>
        <v>#VALUE!</v>
      </c>
      <c r="L55" s="7" t="e">
        <f>IF(B55=" ","0",PMT(LeasingNOFam!$E$17,LeasingNOFam!$C$18,-LeasingNOFam!$C$15,,)-PMT(LeasingNOFam!$E$17,LeasingNOFam!$C$18,-LeasingNOFam!$C$22)+LeasingNOFam!$C$22*LeasingNOFam!$E$17)</f>
        <v>#VALUE!</v>
      </c>
      <c r="M55" s="9" t="e">
        <f t="shared" si="3"/>
        <v>#VALUE!</v>
      </c>
      <c r="N55" s="7" t="e">
        <f>IF(C54&lt;1,"0",LeasingHab!$C$39)</f>
        <v>#VALUE!</v>
      </c>
      <c r="O55" s="9" t="e">
        <f t="shared" si="4"/>
        <v>#VALUE!</v>
      </c>
    </row>
    <row r="56" spans="2:15" ht="15.5" x14ac:dyDescent="0.35">
      <c r="B56" s="6" t="e">
        <f t="shared" si="5"/>
        <v>#VALUE!</v>
      </c>
      <c r="C56" s="7" t="e">
        <f t="shared" si="6"/>
        <v>#VALUE!</v>
      </c>
      <c r="D56" s="7" t="e">
        <f t="shared" si="7"/>
        <v>#VALUE!</v>
      </c>
      <c r="E56" s="7" t="e">
        <f>C55*LeasingNOFam!$E$17</f>
        <v>#VALUE!</v>
      </c>
      <c r="F56" s="8" t="e">
        <f>IF(C56&gt;1,C55*Seguros_Oblig!$N$3,0)</f>
        <v>#VALUE!</v>
      </c>
      <c r="G56" s="8" t="e">
        <f>IF(LeasingHab!$C$10="TARIFA 1",(C55*(VLOOKUP(LeasingHab!$C$24,Seguros_Oblig!$A$3:$B$55,2,FALSE))),(C55*(VLOOKUP(LeasingHab!$C$24,Seguros_Oblig!$A$3:$D$55,4,FALSE))))</f>
        <v>#VALUE!</v>
      </c>
      <c r="H56" s="8" t="e">
        <f>IF(LeasingHab!$C$10="TARIFA 1",(C55*(VLOOKUP(LeasingHab!$C$25,Seguros_Oblig!$A$3:$B$55,2,FALSE))),(C55*(VLOOKUP(LeasingHab!$C$25,Seguros_Oblig!$A$3:$D$55,4,FALSE))))</f>
        <v>#VALUE!</v>
      </c>
      <c r="I56" s="8" t="e">
        <f>IF(LeasingHab!$C$10="TARIFA 1",(C55*(VLOOKUP(LeasingHab!$C$26,Seguros_Oblig!$A$3:$B$55,2,FALSE))),(C55*(VLOOKUP(LeasingHab!$C$26,Seguros_Oblig!$A$3:$D$55,4,FALSE))))</f>
        <v>#VALUE!</v>
      </c>
      <c r="J56" s="10">
        <f t="shared" si="2"/>
        <v>0</v>
      </c>
      <c r="K56" s="7" t="e">
        <f>IF(C55&lt;1,"0",Seguros_Oblig!$N$4*(LeasingNOFam!$C$12*90%))</f>
        <v>#VALUE!</v>
      </c>
      <c r="L56" s="7" t="e">
        <f>IF(B56=" ","0",PMT(LeasingNOFam!$E$17,LeasingNOFam!$C$18,-LeasingNOFam!$C$15,,)-PMT(LeasingNOFam!$E$17,LeasingNOFam!$C$18,-LeasingNOFam!$C$22)+LeasingNOFam!$C$22*LeasingNOFam!$E$17)</f>
        <v>#VALUE!</v>
      </c>
      <c r="M56" s="9" t="e">
        <f t="shared" si="3"/>
        <v>#VALUE!</v>
      </c>
      <c r="N56" s="7" t="e">
        <f>IF(C55&lt;1,"0",LeasingHab!$C$39)</f>
        <v>#VALUE!</v>
      </c>
      <c r="O56" s="9" t="e">
        <f t="shared" si="4"/>
        <v>#VALUE!</v>
      </c>
    </row>
    <row r="57" spans="2:15" ht="15.5" x14ac:dyDescent="0.35">
      <c r="B57" s="6" t="e">
        <f t="shared" si="5"/>
        <v>#VALUE!</v>
      </c>
      <c r="C57" s="7" t="e">
        <f t="shared" si="6"/>
        <v>#VALUE!</v>
      </c>
      <c r="D57" s="7" t="e">
        <f t="shared" si="7"/>
        <v>#VALUE!</v>
      </c>
      <c r="E57" s="7" t="e">
        <f>C56*LeasingNOFam!$E$17</f>
        <v>#VALUE!</v>
      </c>
      <c r="F57" s="8" t="e">
        <f>IF(C57&gt;1,C56*Seguros_Oblig!$N$3,0)</f>
        <v>#VALUE!</v>
      </c>
      <c r="G57" s="8" t="e">
        <f>IF(LeasingHab!$C$10="TARIFA 1",(C56*(VLOOKUP(LeasingHab!$C$24,Seguros_Oblig!$A$3:$B$55,2,FALSE))),(C56*(VLOOKUP(LeasingHab!$C$24,Seguros_Oblig!$A$3:$D$55,4,FALSE))))</f>
        <v>#VALUE!</v>
      </c>
      <c r="H57" s="8" t="e">
        <f>IF(LeasingHab!$C$10="TARIFA 1",(C56*(VLOOKUP(LeasingHab!$C$25,Seguros_Oblig!$A$3:$B$55,2,FALSE))),(C56*(VLOOKUP(LeasingHab!$C$25,Seguros_Oblig!$A$3:$D$55,4,FALSE))))</f>
        <v>#VALUE!</v>
      </c>
      <c r="I57" s="8" t="e">
        <f>IF(LeasingHab!$C$10="TARIFA 1",(C56*(VLOOKUP(LeasingHab!$C$26,Seguros_Oblig!$A$3:$B$55,2,FALSE))),(C56*(VLOOKUP(LeasingHab!$C$26,Seguros_Oblig!$A$3:$D$55,4,FALSE))))</f>
        <v>#VALUE!</v>
      </c>
      <c r="J57" s="10">
        <f t="shared" si="2"/>
        <v>0</v>
      </c>
      <c r="K57" s="7" t="e">
        <f>IF(C56&lt;1,"0",Seguros_Oblig!$N$4*(LeasingNOFam!$C$12*90%))</f>
        <v>#VALUE!</v>
      </c>
      <c r="L57" s="7" t="e">
        <f>IF(B57=" ","0",PMT(LeasingNOFam!$E$17,LeasingNOFam!$C$18,-LeasingNOFam!$C$15,,)-PMT(LeasingNOFam!$E$17,LeasingNOFam!$C$18,-LeasingNOFam!$C$22)+LeasingNOFam!$C$22*LeasingNOFam!$E$17)</f>
        <v>#VALUE!</v>
      </c>
      <c r="M57" s="9" t="e">
        <f t="shared" si="3"/>
        <v>#VALUE!</v>
      </c>
      <c r="N57" s="7" t="e">
        <f>IF(C56&lt;1,"0",LeasingHab!$C$39)</f>
        <v>#VALUE!</v>
      </c>
      <c r="O57" s="9" t="e">
        <f t="shared" si="4"/>
        <v>#VALUE!</v>
      </c>
    </row>
    <row r="58" spans="2:15" ht="15.5" x14ac:dyDescent="0.35">
      <c r="B58" s="6" t="e">
        <f t="shared" si="5"/>
        <v>#VALUE!</v>
      </c>
      <c r="C58" s="7" t="e">
        <f t="shared" si="6"/>
        <v>#VALUE!</v>
      </c>
      <c r="D58" s="7" t="e">
        <f t="shared" si="7"/>
        <v>#VALUE!</v>
      </c>
      <c r="E58" s="7" t="e">
        <f>C57*LeasingNOFam!$E$17</f>
        <v>#VALUE!</v>
      </c>
      <c r="F58" s="8" t="e">
        <f>IF(C58&gt;1,C57*Seguros_Oblig!$N$3,0)</f>
        <v>#VALUE!</v>
      </c>
      <c r="G58" s="8" t="e">
        <f>IF(LeasingHab!$C$10="TARIFA 1",(C57*(VLOOKUP(LeasingHab!$C$24,Seguros_Oblig!$A$3:$B$55,2,FALSE))),(C57*(VLOOKUP(LeasingHab!$C$24,Seguros_Oblig!$A$3:$D$55,4,FALSE))))</f>
        <v>#VALUE!</v>
      </c>
      <c r="H58" s="8" t="e">
        <f>IF(LeasingHab!$C$10="TARIFA 1",(C57*(VLOOKUP(LeasingHab!$C$25,Seguros_Oblig!$A$3:$B$55,2,FALSE))),(C57*(VLOOKUP(LeasingHab!$C$25,Seguros_Oblig!$A$3:$D$55,4,FALSE))))</f>
        <v>#VALUE!</v>
      </c>
      <c r="I58" s="8" t="e">
        <f>IF(LeasingHab!$C$10="TARIFA 1",(C57*(VLOOKUP(LeasingHab!$C$26,Seguros_Oblig!$A$3:$B$55,2,FALSE))),(C57*(VLOOKUP(LeasingHab!$C$26,Seguros_Oblig!$A$3:$D$55,4,FALSE))))</f>
        <v>#VALUE!</v>
      </c>
      <c r="J58" s="10">
        <f t="shared" si="2"/>
        <v>0</v>
      </c>
      <c r="K58" s="7" t="e">
        <f>IF(C57&lt;1,"0",Seguros_Oblig!$N$4*(LeasingNOFam!$C$12*90%))</f>
        <v>#VALUE!</v>
      </c>
      <c r="L58" s="7" t="e">
        <f>IF(B58=" ","0",PMT(LeasingNOFam!$E$17,LeasingNOFam!$C$18,-LeasingNOFam!$C$15,,)-PMT(LeasingNOFam!$E$17,LeasingNOFam!$C$18,-LeasingNOFam!$C$22)+LeasingNOFam!$C$22*LeasingNOFam!$E$17)</f>
        <v>#VALUE!</v>
      </c>
      <c r="M58" s="9" t="e">
        <f t="shared" si="3"/>
        <v>#VALUE!</v>
      </c>
      <c r="N58" s="7" t="e">
        <f>IF(C57&lt;1,"0",LeasingHab!$C$39)</f>
        <v>#VALUE!</v>
      </c>
      <c r="O58" s="9" t="e">
        <f t="shared" si="4"/>
        <v>#VALUE!</v>
      </c>
    </row>
    <row r="59" spans="2:15" ht="15.5" x14ac:dyDescent="0.35">
      <c r="B59" s="6" t="e">
        <f t="shared" si="5"/>
        <v>#VALUE!</v>
      </c>
      <c r="C59" s="7" t="e">
        <f t="shared" si="6"/>
        <v>#VALUE!</v>
      </c>
      <c r="D59" s="7" t="e">
        <f t="shared" si="7"/>
        <v>#VALUE!</v>
      </c>
      <c r="E59" s="7" t="e">
        <f>C58*LeasingNOFam!$E$17</f>
        <v>#VALUE!</v>
      </c>
      <c r="F59" s="8" t="e">
        <f>IF(C59&gt;1,C58*Seguros_Oblig!$N$3,0)</f>
        <v>#VALUE!</v>
      </c>
      <c r="G59" s="8" t="e">
        <f>IF(LeasingHab!$C$10="TARIFA 1",(C58*(VLOOKUP(LeasingHab!$C$24,Seguros_Oblig!$A$3:$B$55,2,FALSE))),(C58*(VLOOKUP(LeasingHab!$C$24,Seguros_Oblig!$A$3:$D$55,4,FALSE))))</f>
        <v>#VALUE!</v>
      </c>
      <c r="H59" s="8" t="e">
        <f>IF(LeasingHab!$C$10="TARIFA 1",(C58*(VLOOKUP(LeasingHab!$C$25,Seguros_Oblig!$A$3:$B$55,2,FALSE))),(C58*(VLOOKUP(LeasingHab!$C$25,Seguros_Oblig!$A$3:$D$55,4,FALSE))))</f>
        <v>#VALUE!</v>
      </c>
      <c r="I59" s="8" t="e">
        <f>IF(LeasingHab!$C$10="TARIFA 1",(C58*(VLOOKUP(LeasingHab!$C$26,Seguros_Oblig!$A$3:$B$55,2,FALSE))),(C58*(VLOOKUP(LeasingHab!$C$26,Seguros_Oblig!$A$3:$D$55,4,FALSE))))</f>
        <v>#VALUE!</v>
      </c>
      <c r="J59" s="10">
        <f t="shared" si="2"/>
        <v>0</v>
      </c>
      <c r="K59" s="7" t="e">
        <f>IF(C58&lt;1,"0",Seguros_Oblig!$N$4*(LeasingNOFam!$C$12*90%))</f>
        <v>#VALUE!</v>
      </c>
      <c r="L59" s="7" t="e">
        <f>IF(B59=" ","0",PMT(LeasingNOFam!$E$17,LeasingNOFam!$C$18,-LeasingNOFam!$C$15,,)-PMT(LeasingNOFam!$E$17,LeasingNOFam!$C$18,-LeasingNOFam!$C$22)+LeasingNOFam!$C$22*LeasingNOFam!$E$17)</f>
        <v>#VALUE!</v>
      </c>
      <c r="M59" s="9" t="e">
        <f t="shared" si="3"/>
        <v>#VALUE!</v>
      </c>
      <c r="N59" s="7" t="e">
        <f>IF(C58&lt;1,"0",LeasingHab!$C$39)</f>
        <v>#VALUE!</v>
      </c>
      <c r="O59" s="9" t="e">
        <f t="shared" si="4"/>
        <v>#VALUE!</v>
      </c>
    </row>
    <row r="60" spans="2:15" ht="15.5" x14ac:dyDescent="0.35">
      <c r="B60" s="6" t="e">
        <f t="shared" si="5"/>
        <v>#VALUE!</v>
      </c>
      <c r="C60" s="7" t="e">
        <f t="shared" si="6"/>
        <v>#VALUE!</v>
      </c>
      <c r="D60" s="7" t="e">
        <f t="shared" si="7"/>
        <v>#VALUE!</v>
      </c>
      <c r="E60" s="7" t="e">
        <f>C59*LeasingNOFam!$E$17</f>
        <v>#VALUE!</v>
      </c>
      <c r="F60" s="8" t="e">
        <f>IF(C60&gt;1,C59*Seguros_Oblig!$N$3,0)</f>
        <v>#VALUE!</v>
      </c>
      <c r="G60" s="8" t="e">
        <f>IF(LeasingHab!$C$10="TARIFA 1",(C59*(VLOOKUP(LeasingHab!$C$24,Seguros_Oblig!$A$3:$B$55,2,FALSE))),(C59*(VLOOKUP(LeasingHab!$C$24,Seguros_Oblig!$A$3:$D$55,4,FALSE))))</f>
        <v>#VALUE!</v>
      </c>
      <c r="H60" s="8" t="e">
        <f>IF(LeasingHab!$C$10="TARIFA 1",(C59*(VLOOKUP(LeasingHab!$C$25,Seguros_Oblig!$A$3:$B$55,2,FALSE))),(C59*(VLOOKUP(LeasingHab!$C$25,Seguros_Oblig!$A$3:$D$55,4,FALSE))))</f>
        <v>#VALUE!</v>
      </c>
      <c r="I60" s="8" t="e">
        <f>IF(LeasingHab!$C$10="TARIFA 1",(C59*(VLOOKUP(LeasingHab!$C$26,Seguros_Oblig!$A$3:$B$55,2,FALSE))),(C59*(VLOOKUP(LeasingHab!$C$26,Seguros_Oblig!$A$3:$D$55,4,FALSE))))</f>
        <v>#VALUE!</v>
      </c>
      <c r="J60" s="10">
        <f t="shared" si="2"/>
        <v>0</v>
      </c>
      <c r="K60" s="7" t="e">
        <f>IF(C59&lt;1,"0",Seguros_Oblig!$N$4*(LeasingNOFam!$C$12*90%))</f>
        <v>#VALUE!</v>
      </c>
      <c r="L60" s="7" t="e">
        <f>IF(B60=" ","0",PMT(LeasingNOFam!$E$17,LeasingNOFam!$C$18,-LeasingNOFam!$C$15,,)-PMT(LeasingNOFam!$E$17,LeasingNOFam!$C$18,-LeasingNOFam!$C$22)+LeasingNOFam!$C$22*LeasingNOFam!$E$17)</f>
        <v>#VALUE!</v>
      </c>
      <c r="M60" s="9" t="e">
        <f t="shared" si="3"/>
        <v>#VALUE!</v>
      </c>
      <c r="N60" s="7" t="e">
        <f>IF(C59&lt;1,"0",LeasingHab!$C$39)</f>
        <v>#VALUE!</v>
      </c>
      <c r="O60" s="9" t="e">
        <f t="shared" si="4"/>
        <v>#VALUE!</v>
      </c>
    </row>
    <row r="61" spans="2:15" ht="15.5" x14ac:dyDescent="0.35">
      <c r="B61" s="6" t="e">
        <f t="shared" si="5"/>
        <v>#VALUE!</v>
      </c>
      <c r="C61" s="7" t="e">
        <f t="shared" si="6"/>
        <v>#VALUE!</v>
      </c>
      <c r="D61" s="7" t="e">
        <f t="shared" si="7"/>
        <v>#VALUE!</v>
      </c>
      <c r="E61" s="7" t="e">
        <f>C60*LeasingNOFam!$E$17</f>
        <v>#VALUE!</v>
      </c>
      <c r="F61" s="8" t="e">
        <f>IF(C61&gt;1,C60*Seguros_Oblig!$N$3,0)</f>
        <v>#VALUE!</v>
      </c>
      <c r="G61" s="8" t="e">
        <f>IF(LeasingHab!$C$10="TARIFA 1",(C60*(VLOOKUP(LeasingHab!$C$24,Seguros_Oblig!$A$3:$B$55,2,FALSE))),(C60*(VLOOKUP(LeasingHab!$C$24,Seguros_Oblig!$A$3:$D$55,4,FALSE))))</f>
        <v>#VALUE!</v>
      </c>
      <c r="H61" s="8" t="e">
        <f>IF(LeasingHab!$C$10="TARIFA 1",(C60*(VLOOKUP(LeasingHab!$C$25,Seguros_Oblig!$A$3:$B$55,2,FALSE))),(C60*(VLOOKUP(LeasingHab!$C$25,Seguros_Oblig!$A$3:$D$55,4,FALSE))))</f>
        <v>#VALUE!</v>
      </c>
      <c r="I61" s="8" t="e">
        <f>IF(LeasingHab!$C$10="TARIFA 1",(C60*(VLOOKUP(LeasingHab!$C$26,Seguros_Oblig!$A$3:$B$55,2,FALSE))),(C60*(VLOOKUP(LeasingHab!$C$26,Seguros_Oblig!$A$3:$D$55,4,FALSE))))</f>
        <v>#VALUE!</v>
      </c>
      <c r="J61" s="10">
        <f t="shared" si="2"/>
        <v>0</v>
      </c>
      <c r="K61" s="7" t="e">
        <f>IF(C60&lt;1,"0",Seguros_Oblig!$N$4*(LeasingNOFam!$C$12*90%))</f>
        <v>#VALUE!</v>
      </c>
      <c r="L61" s="7" t="e">
        <f>IF(B61=" ","0",PMT(LeasingNOFam!$E$17,LeasingNOFam!$C$18,-LeasingNOFam!$C$15,,)-PMT(LeasingNOFam!$E$17,LeasingNOFam!$C$18,-LeasingNOFam!$C$22)+LeasingNOFam!$C$22*LeasingNOFam!$E$17)</f>
        <v>#VALUE!</v>
      </c>
      <c r="M61" s="9" t="e">
        <f t="shared" si="3"/>
        <v>#VALUE!</v>
      </c>
      <c r="N61" s="7" t="e">
        <f>IF(C60&lt;1,"0",LeasingHab!$C$39)</f>
        <v>#VALUE!</v>
      </c>
      <c r="O61" s="9" t="e">
        <f t="shared" si="4"/>
        <v>#VALUE!</v>
      </c>
    </row>
    <row r="62" spans="2:15" ht="15.5" x14ac:dyDescent="0.35">
      <c r="B62" s="6" t="e">
        <f t="shared" si="5"/>
        <v>#VALUE!</v>
      </c>
      <c r="C62" s="7" t="e">
        <f t="shared" si="6"/>
        <v>#VALUE!</v>
      </c>
      <c r="D62" s="7" t="e">
        <f t="shared" si="7"/>
        <v>#VALUE!</v>
      </c>
      <c r="E62" s="7" t="e">
        <f>C61*LeasingNOFam!$E$17</f>
        <v>#VALUE!</v>
      </c>
      <c r="F62" s="8" t="e">
        <f>IF(C62&gt;1,C61*Seguros_Oblig!$N$3,0)</f>
        <v>#VALUE!</v>
      </c>
      <c r="G62" s="8" t="e">
        <f>IF(LeasingHab!$C$10="TARIFA 1",(C61*(VLOOKUP(LeasingHab!$C$24,Seguros_Oblig!$A$3:$B$55,2,FALSE))),(C61*(VLOOKUP(LeasingHab!$C$24,Seguros_Oblig!$A$3:$D$55,4,FALSE))))</f>
        <v>#VALUE!</v>
      </c>
      <c r="H62" s="8" t="e">
        <f>IF(LeasingHab!$C$10="TARIFA 1",(C61*(VLOOKUP(LeasingHab!$C$25,Seguros_Oblig!$A$3:$B$55,2,FALSE))),(C61*(VLOOKUP(LeasingHab!$C$25,Seguros_Oblig!$A$3:$D$55,4,FALSE))))</f>
        <v>#VALUE!</v>
      </c>
      <c r="I62" s="8" t="e">
        <f>IF(LeasingHab!$C$10="TARIFA 1",(C61*(VLOOKUP(LeasingHab!$C$26,Seguros_Oblig!$A$3:$B$55,2,FALSE))),(C61*(VLOOKUP(LeasingHab!$C$26,Seguros_Oblig!$A$3:$D$55,4,FALSE))))</f>
        <v>#VALUE!</v>
      </c>
      <c r="J62" s="10">
        <f t="shared" si="2"/>
        <v>0</v>
      </c>
      <c r="K62" s="7" t="e">
        <f>IF(C61&lt;1,"0",Seguros_Oblig!$N$4*(LeasingNOFam!$C$12*90%))</f>
        <v>#VALUE!</v>
      </c>
      <c r="L62" s="7" t="e">
        <f>IF(B62=" ","0",PMT(LeasingNOFam!$E$17,LeasingNOFam!$C$18,-LeasingNOFam!$C$15,,)-PMT(LeasingNOFam!$E$17,LeasingNOFam!$C$18,-LeasingNOFam!$C$22)+LeasingNOFam!$C$22*LeasingNOFam!$E$17)</f>
        <v>#VALUE!</v>
      </c>
      <c r="M62" s="9" t="e">
        <f t="shared" si="3"/>
        <v>#VALUE!</v>
      </c>
      <c r="N62" s="7" t="e">
        <f>IF(C61&lt;1,"0",LeasingHab!$C$39)</f>
        <v>#VALUE!</v>
      </c>
      <c r="O62" s="9" t="e">
        <f t="shared" si="4"/>
        <v>#VALUE!</v>
      </c>
    </row>
    <row r="63" spans="2:15" ht="15.5" x14ac:dyDescent="0.35">
      <c r="B63" s="6" t="e">
        <f t="shared" si="5"/>
        <v>#VALUE!</v>
      </c>
      <c r="C63" s="7" t="e">
        <f t="shared" si="6"/>
        <v>#VALUE!</v>
      </c>
      <c r="D63" s="7" t="e">
        <f t="shared" si="7"/>
        <v>#VALUE!</v>
      </c>
      <c r="E63" s="7" t="e">
        <f>C62*LeasingNOFam!$E$17</f>
        <v>#VALUE!</v>
      </c>
      <c r="F63" s="8" t="e">
        <f>IF(C63&gt;1,C62*Seguros_Oblig!$N$3,0)</f>
        <v>#VALUE!</v>
      </c>
      <c r="G63" s="8" t="e">
        <f>IF(LeasingHab!$C$10="TARIFA 1",(C62*(VLOOKUP(LeasingHab!$C$24,Seguros_Oblig!$A$3:$B$55,2,FALSE))),(C62*(VLOOKUP(LeasingHab!$C$24,Seguros_Oblig!$A$3:$D$55,4,FALSE))))</f>
        <v>#VALUE!</v>
      </c>
      <c r="H63" s="8" t="e">
        <f>IF(LeasingHab!$C$10="TARIFA 1",(C62*(VLOOKUP(LeasingHab!$C$25,Seguros_Oblig!$A$3:$B$55,2,FALSE))),(C62*(VLOOKUP(LeasingHab!$C$25,Seguros_Oblig!$A$3:$D$55,4,FALSE))))</f>
        <v>#VALUE!</v>
      </c>
      <c r="I63" s="8" t="e">
        <f>IF(LeasingHab!$C$10="TARIFA 1",(C62*(VLOOKUP(LeasingHab!$C$26,Seguros_Oblig!$A$3:$B$55,2,FALSE))),(C62*(VLOOKUP(LeasingHab!$C$26,Seguros_Oblig!$A$3:$D$55,4,FALSE))))</f>
        <v>#VALUE!</v>
      </c>
      <c r="J63" s="10">
        <f t="shared" si="2"/>
        <v>0</v>
      </c>
      <c r="K63" s="7" t="e">
        <f>IF(C62&lt;1,"0",Seguros_Oblig!$N$4*(LeasingNOFam!$C$12*90%))</f>
        <v>#VALUE!</v>
      </c>
      <c r="L63" s="7" t="e">
        <f>IF(B63=" ","0",PMT(LeasingNOFam!$E$17,LeasingNOFam!$C$18,-LeasingNOFam!$C$15,,)-PMT(LeasingNOFam!$E$17,LeasingNOFam!$C$18,-LeasingNOFam!$C$22)+LeasingNOFam!$C$22*LeasingNOFam!$E$17)</f>
        <v>#VALUE!</v>
      </c>
      <c r="M63" s="9" t="e">
        <f t="shared" si="3"/>
        <v>#VALUE!</v>
      </c>
      <c r="N63" s="7" t="e">
        <f>IF(C62&lt;1,"0",LeasingHab!$C$39)</f>
        <v>#VALUE!</v>
      </c>
      <c r="O63" s="9" t="e">
        <f t="shared" si="4"/>
        <v>#VALUE!</v>
      </c>
    </row>
    <row r="64" spans="2:15" ht="15.5" x14ac:dyDescent="0.35">
      <c r="B64" s="6" t="e">
        <f t="shared" si="5"/>
        <v>#VALUE!</v>
      </c>
      <c r="C64" s="7" t="e">
        <f t="shared" si="6"/>
        <v>#VALUE!</v>
      </c>
      <c r="D64" s="7" t="e">
        <f t="shared" si="7"/>
        <v>#VALUE!</v>
      </c>
      <c r="E64" s="7" t="e">
        <f>C63*LeasingNOFam!$E$17</f>
        <v>#VALUE!</v>
      </c>
      <c r="F64" s="8" t="e">
        <f>IF(C64&gt;1,C63*Seguros_Oblig!$N$3,0)</f>
        <v>#VALUE!</v>
      </c>
      <c r="G64" s="8" t="e">
        <f>IF(LeasingHab!$C$10="TARIFA 1",(C63*(VLOOKUP(LeasingHab!$C$24,Seguros_Oblig!$A$3:$B$55,2,FALSE))),(C63*(VLOOKUP(LeasingHab!$C$24,Seguros_Oblig!$A$3:$D$55,4,FALSE))))</f>
        <v>#VALUE!</v>
      </c>
      <c r="H64" s="8" t="e">
        <f>IF(LeasingHab!$C$10="TARIFA 1",(C63*(VLOOKUP(LeasingHab!$C$25,Seguros_Oblig!$A$3:$B$55,2,FALSE))),(C63*(VLOOKUP(LeasingHab!$C$25,Seguros_Oblig!$A$3:$D$55,4,FALSE))))</f>
        <v>#VALUE!</v>
      </c>
      <c r="I64" s="8" t="e">
        <f>IF(LeasingHab!$C$10="TARIFA 1",(C63*(VLOOKUP(LeasingHab!$C$26,Seguros_Oblig!$A$3:$B$55,2,FALSE))),(C63*(VLOOKUP(LeasingHab!$C$26,Seguros_Oblig!$A$3:$D$55,4,FALSE))))</f>
        <v>#VALUE!</v>
      </c>
      <c r="J64" s="10">
        <f t="shared" si="2"/>
        <v>0</v>
      </c>
      <c r="K64" s="7" t="e">
        <f>IF(C63&lt;1,"0",Seguros_Oblig!$N$4*(LeasingNOFam!$C$12*90%))</f>
        <v>#VALUE!</v>
      </c>
      <c r="L64" s="7" t="e">
        <f>IF(B64=" ","0",PMT(LeasingNOFam!$E$17,LeasingNOFam!$C$18,-LeasingNOFam!$C$15,,)-PMT(LeasingNOFam!$E$17,LeasingNOFam!$C$18,-LeasingNOFam!$C$22)+LeasingNOFam!$C$22*LeasingNOFam!$E$17)</f>
        <v>#VALUE!</v>
      </c>
      <c r="M64" s="9" t="e">
        <f t="shared" si="3"/>
        <v>#VALUE!</v>
      </c>
      <c r="N64" s="7" t="e">
        <f>IF(C63&lt;1,"0",LeasingHab!$C$39)</f>
        <v>#VALUE!</v>
      </c>
      <c r="O64" s="9" t="e">
        <f t="shared" si="4"/>
        <v>#VALUE!</v>
      </c>
    </row>
    <row r="65" spans="2:15" ht="15.5" x14ac:dyDescent="0.35">
      <c r="B65" s="6" t="e">
        <f t="shared" si="5"/>
        <v>#VALUE!</v>
      </c>
      <c r="C65" s="7" t="e">
        <f t="shared" si="6"/>
        <v>#VALUE!</v>
      </c>
      <c r="D65" s="7" t="e">
        <f t="shared" si="7"/>
        <v>#VALUE!</v>
      </c>
      <c r="E65" s="7" t="e">
        <f>C64*LeasingNOFam!$E$17</f>
        <v>#VALUE!</v>
      </c>
      <c r="F65" s="8" t="e">
        <f>IF(C65&gt;1,C64*Seguros_Oblig!$N$3,0)</f>
        <v>#VALUE!</v>
      </c>
      <c r="G65" s="8" t="e">
        <f>IF(LeasingHab!$C$10="TARIFA 1",(C64*(VLOOKUP(LeasingHab!$C$24,Seguros_Oblig!$A$3:$B$55,2,FALSE))),(C64*(VLOOKUP(LeasingHab!$C$24,Seguros_Oblig!$A$3:$D$55,4,FALSE))))</f>
        <v>#VALUE!</v>
      </c>
      <c r="H65" s="8" t="e">
        <f>IF(LeasingHab!$C$10="TARIFA 1",(C64*(VLOOKUP(LeasingHab!$C$25,Seguros_Oblig!$A$3:$B$55,2,FALSE))),(C64*(VLOOKUP(LeasingHab!$C$25,Seguros_Oblig!$A$3:$D$55,4,FALSE))))</f>
        <v>#VALUE!</v>
      </c>
      <c r="I65" s="8" t="e">
        <f>IF(LeasingHab!$C$10="TARIFA 1",(C64*(VLOOKUP(LeasingHab!$C$26,Seguros_Oblig!$A$3:$B$55,2,FALSE))),(C64*(VLOOKUP(LeasingHab!$C$26,Seguros_Oblig!$A$3:$D$55,4,FALSE))))</f>
        <v>#VALUE!</v>
      </c>
      <c r="J65" s="10">
        <f t="shared" si="2"/>
        <v>0</v>
      </c>
      <c r="K65" s="7" t="e">
        <f>IF(C64&lt;1,"0",Seguros_Oblig!$N$4*(LeasingNOFam!$C$12*90%))</f>
        <v>#VALUE!</v>
      </c>
      <c r="L65" s="7" t="e">
        <f>IF(B65=" ","0",PMT(LeasingNOFam!$E$17,LeasingNOFam!$C$18,-LeasingNOFam!$C$15,,)-PMT(LeasingNOFam!$E$17,LeasingNOFam!$C$18,-LeasingNOFam!$C$22)+LeasingNOFam!$C$22*LeasingNOFam!$E$17)</f>
        <v>#VALUE!</v>
      </c>
      <c r="M65" s="9" t="e">
        <f t="shared" si="3"/>
        <v>#VALUE!</v>
      </c>
      <c r="N65" s="7" t="e">
        <f>IF(C64&lt;1,"0",LeasingHab!$C$39)</f>
        <v>#VALUE!</v>
      </c>
      <c r="O65" s="9" t="e">
        <f t="shared" si="4"/>
        <v>#VALUE!</v>
      </c>
    </row>
    <row r="66" spans="2:15" ht="15.5" x14ac:dyDescent="0.35">
      <c r="B66" s="6" t="e">
        <f t="shared" si="5"/>
        <v>#VALUE!</v>
      </c>
      <c r="C66" s="7" t="e">
        <f t="shared" si="6"/>
        <v>#VALUE!</v>
      </c>
      <c r="D66" s="7" t="e">
        <f t="shared" si="7"/>
        <v>#VALUE!</v>
      </c>
      <c r="E66" s="7" t="e">
        <f>C65*LeasingNOFam!$E$17</f>
        <v>#VALUE!</v>
      </c>
      <c r="F66" s="8" t="e">
        <f>IF(C66&gt;1,C65*Seguros_Oblig!$N$3,0)</f>
        <v>#VALUE!</v>
      </c>
      <c r="G66" s="8" t="e">
        <f>IF(LeasingHab!$C$10="TARIFA 1",(C65*(VLOOKUP(LeasingHab!$C$24,Seguros_Oblig!$A$3:$B$55,2,FALSE))),(C65*(VLOOKUP(LeasingHab!$C$24,Seguros_Oblig!$A$3:$D$55,4,FALSE))))</f>
        <v>#VALUE!</v>
      </c>
      <c r="H66" s="8" t="e">
        <f>IF(LeasingHab!$C$10="TARIFA 1",(C65*(VLOOKUP(LeasingHab!$C$25,Seguros_Oblig!$A$3:$B$55,2,FALSE))),(C65*(VLOOKUP(LeasingHab!$C$25,Seguros_Oblig!$A$3:$D$55,4,FALSE))))</f>
        <v>#VALUE!</v>
      </c>
      <c r="I66" s="8" t="e">
        <f>IF(LeasingHab!$C$10="TARIFA 1",(C65*(VLOOKUP(LeasingHab!$C$26,Seguros_Oblig!$A$3:$B$55,2,FALSE))),(C65*(VLOOKUP(LeasingHab!$C$26,Seguros_Oblig!$A$3:$D$55,4,FALSE))))</f>
        <v>#VALUE!</v>
      </c>
      <c r="J66" s="10">
        <f t="shared" si="2"/>
        <v>0</v>
      </c>
      <c r="K66" s="7" t="e">
        <f>IF(C65&lt;1,"0",Seguros_Oblig!$N$4*(LeasingNOFam!$C$12*90%))</f>
        <v>#VALUE!</v>
      </c>
      <c r="L66" s="7" t="e">
        <f>IF(B66=" ","0",PMT(LeasingNOFam!$E$17,LeasingNOFam!$C$18,-LeasingNOFam!$C$15,,)-PMT(LeasingNOFam!$E$17,LeasingNOFam!$C$18,-LeasingNOFam!$C$22)+LeasingNOFam!$C$22*LeasingNOFam!$E$17)</f>
        <v>#VALUE!</v>
      </c>
      <c r="M66" s="9" t="e">
        <f t="shared" si="3"/>
        <v>#VALUE!</v>
      </c>
      <c r="N66" s="7" t="e">
        <f>IF(C65&lt;1,"0",LeasingHab!$C$39)</f>
        <v>#VALUE!</v>
      </c>
      <c r="O66" s="9" t="e">
        <f t="shared" si="4"/>
        <v>#VALUE!</v>
      </c>
    </row>
    <row r="67" spans="2:15" ht="15.5" x14ac:dyDescent="0.35">
      <c r="B67" s="6" t="e">
        <f t="shared" si="5"/>
        <v>#VALUE!</v>
      </c>
      <c r="C67" s="7" t="e">
        <f t="shared" si="6"/>
        <v>#VALUE!</v>
      </c>
      <c r="D67" s="7" t="e">
        <f t="shared" si="7"/>
        <v>#VALUE!</v>
      </c>
      <c r="E67" s="7" t="e">
        <f>C66*LeasingNOFam!$E$17</f>
        <v>#VALUE!</v>
      </c>
      <c r="F67" s="8" t="e">
        <f>IF(C67&gt;1,C66*Seguros_Oblig!$N$3,0)</f>
        <v>#VALUE!</v>
      </c>
      <c r="G67" s="8" t="e">
        <f>IF(LeasingHab!$C$10="TARIFA 1",(C66*(VLOOKUP(LeasingHab!$C$24,Seguros_Oblig!$A$3:$B$55,2,FALSE))),(C66*(VLOOKUP(LeasingHab!$C$24,Seguros_Oblig!$A$3:$D$55,4,FALSE))))</f>
        <v>#VALUE!</v>
      </c>
      <c r="H67" s="8" t="e">
        <f>IF(LeasingHab!$C$10="TARIFA 1",(C66*(VLOOKUP(LeasingHab!$C$25,Seguros_Oblig!$A$3:$B$55,2,FALSE))),(C66*(VLOOKUP(LeasingHab!$C$25,Seguros_Oblig!$A$3:$D$55,4,FALSE))))</f>
        <v>#VALUE!</v>
      </c>
      <c r="I67" s="8" t="e">
        <f>IF(LeasingHab!$C$10="TARIFA 1",(C66*(VLOOKUP(LeasingHab!$C$26,Seguros_Oblig!$A$3:$B$55,2,FALSE))),(C66*(VLOOKUP(LeasingHab!$C$26,Seguros_Oblig!$A$3:$D$55,4,FALSE))))</f>
        <v>#VALUE!</v>
      </c>
      <c r="J67" s="10">
        <f t="shared" si="2"/>
        <v>0</v>
      </c>
      <c r="K67" s="7" t="e">
        <f>IF(C66&lt;1,"0",Seguros_Oblig!$N$4*(LeasingNOFam!$C$12*90%))</f>
        <v>#VALUE!</v>
      </c>
      <c r="L67" s="7" t="e">
        <f>IF(B67=" ","0",PMT(LeasingNOFam!$E$17,LeasingNOFam!$C$18,-LeasingNOFam!$C$15,,)-PMT(LeasingNOFam!$E$17,LeasingNOFam!$C$18,-LeasingNOFam!$C$22)+LeasingNOFam!$C$22*LeasingNOFam!$E$17)</f>
        <v>#VALUE!</v>
      </c>
      <c r="M67" s="9" t="e">
        <f t="shared" si="3"/>
        <v>#VALUE!</v>
      </c>
      <c r="N67" s="7" t="e">
        <f>IF(C66&lt;1,"0",LeasingHab!$C$39)</f>
        <v>#VALUE!</v>
      </c>
      <c r="O67" s="9" t="e">
        <f t="shared" si="4"/>
        <v>#VALUE!</v>
      </c>
    </row>
    <row r="68" spans="2:15" ht="15.5" x14ac:dyDescent="0.35">
      <c r="B68" s="6" t="e">
        <f t="shared" si="5"/>
        <v>#VALUE!</v>
      </c>
      <c r="C68" s="7" t="e">
        <f t="shared" si="6"/>
        <v>#VALUE!</v>
      </c>
      <c r="D68" s="7" t="e">
        <f t="shared" si="7"/>
        <v>#VALUE!</v>
      </c>
      <c r="E68" s="7" t="e">
        <f>C67*LeasingNOFam!$E$17</f>
        <v>#VALUE!</v>
      </c>
      <c r="F68" s="8" t="e">
        <f>IF(C68&gt;1,C67*Seguros_Oblig!$N$3,0)</f>
        <v>#VALUE!</v>
      </c>
      <c r="G68" s="8" t="e">
        <f>IF(LeasingHab!$C$10="TARIFA 1",(C67*(VLOOKUP(LeasingHab!$C$24,Seguros_Oblig!$A$3:$B$55,2,FALSE))),(C67*(VLOOKUP(LeasingHab!$C$24,Seguros_Oblig!$A$3:$D$55,4,FALSE))))</f>
        <v>#VALUE!</v>
      </c>
      <c r="H68" s="8" t="e">
        <f>IF(LeasingHab!$C$10="TARIFA 1",(C67*(VLOOKUP(LeasingHab!$C$25,Seguros_Oblig!$A$3:$B$55,2,FALSE))),(C67*(VLOOKUP(LeasingHab!$C$25,Seguros_Oblig!$A$3:$D$55,4,FALSE))))</f>
        <v>#VALUE!</v>
      </c>
      <c r="I68" s="8" t="e">
        <f>IF(LeasingHab!$C$10="TARIFA 1",(C67*(VLOOKUP(LeasingHab!$C$26,Seguros_Oblig!$A$3:$B$55,2,FALSE))),(C67*(VLOOKUP(LeasingHab!$C$26,Seguros_Oblig!$A$3:$D$55,4,FALSE))))</f>
        <v>#VALUE!</v>
      </c>
      <c r="J68" s="10">
        <f t="shared" si="2"/>
        <v>0</v>
      </c>
      <c r="K68" s="7" t="e">
        <f>IF(C67&lt;1,"0",Seguros_Oblig!$N$4*(LeasingNOFam!$C$12*90%))</f>
        <v>#VALUE!</v>
      </c>
      <c r="L68" s="7" t="e">
        <f>IF(B68=" ","0",PMT(LeasingNOFam!$E$17,LeasingNOFam!$C$18,-LeasingNOFam!$C$15,,)-PMT(LeasingNOFam!$E$17,LeasingNOFam!$C$18,-LeasingNOFam!$C$22)+LeasingNOFam!$C$22*LeasingNOFam!$E$17)</f>
        <v>#VALUE!</v>
      </c>
      <c r="M68" s="9" t="e">
        <f t="shared" si="3"/>
        <v>#VALUE!</v>
      </c>
      <c r="N68" s="7" t="e">
        <f>IF(C67&lt;1,"0",LeasingHab!$C$39)</f>
        <v>#VALUE!</v>
      </c>
      <c r="O68" s="9" t="e">
        <f t="shared" si="4"/>
        <v>#VALUE!</v>
      </c>
    </row>
    <row r="69" spans="2:15" ht="15.5" x14ac:dyDescent="0.35">
      <c r="B69" s="6" t="e">
        <f t="shared" si="5"/>
        <v>#VALUE!</v>
      </c>
      <c r="C69" s="7" t="e">
        <f t="shared" si="6"/>
        <v>#VALUE!</v>
      </c>
      <c r="D69" s="7" t="e">
        <f t="shared" si="7"/>
        <v>#VALUE!</v>
      </c>
      <c r="E69" s="7" t="e">
        <f>C68*LeasingNOFam!$E$17</f>
        <v>#VALUE!</v>
      </c>
      <c r="F69" s="8" t="e">
        <f>IF(C69&gt;1,C68*Seguros_Oblig!$N$3,0)</f>
        <v>#VALUE!</v>
      </c>
      <c r="G69" s="8" t="e">
        <f>IF(LeasingHab!$C$10="TARIFA 1",(C68*(VLOOKUP(LeasingHab!$C$24,Seguros_Oblig!$A$3:$B$55,2,FALSE))),(C68*(VLOOKUP(LeasingHab!$C$24,Seguros_Oblig!$A$3:$D$55,4,FALSE))))</f>
        <v>#VALUE!</v>
      </c>
      <c r="H69" s="8" t="e">
        <f>IF(LeasingHab!$C$10="TARIFA 1",(C68*(VLOOKUP(LeasingHab!$C$25,Seguros_Oblig!$A$3:$B$55,2,FALSE))),(C68*(VLOOKUP(LeasingHab!$C$25,Seguros_Oblig!$A$3:$D$55,4,FALSE))))</f>
        <v>#VALUE!</v>
      </c>
      <c r="I69" s="8" t="e">
        <f>IF(LeasingHab!$C$10="TARIFA 1",(C68*(VLOOKUP(LeasingHab!$C$26,Seguros_Oblig!$A$3:$B$55,2,FALSE))),(C68*(VLOOKUP(LeasingHab!$C$26,Seguros_Oblig!$A$3:$D$55,4,FALSE))))</f>
        <v>#VALUE!</v>
      </c>
      <c r="J69" s="10">
        <f t="shared" si="2"/>
        <v>0</v>
      </c>
      <c r="K69" s="7" t="e">
        <f>IF(C68&lt;1,"0",Seguros_Oblig!$N$4*(LeasingNOFam!$C$12*90%))</f>
        <v>#VALUE!</v>
      </c>
      <c r="L69" s="7" t="e">
        <f>IF(B69=" ","0",PMT(LeasingNOFam!$E$17,LeasingNOFam!$C$18,-LeasingNOFam!$C$15,,)-PMT(LeasingNOFam!$E$17,LeasingNOFam!$C$18,-LeasingNOFam!$C$22)+LeasingNOFam!$C$22*LeasingNOFam!$E$17)</f>
        <v>#VALUE!</v>
      </c>
      <c r="M69" s="9" t="e">
        <f t="shared" si="3"/>
        <v>#VALUE!</v>
      </c>
      <c r="N69" s="7" t="e">
        <f>IF(C68&lt;1,"0",LeasingHab!$C$39)</f>
        <v>#VALUE!</v>
      </c>
      <c r="O69" s="9" t="e">
        <f t="shared" si="4"/>
        <v>#VALUE!</v>
      </c>
    </row>
    <row r="70" spans="2:15" ht="15.5" x14ac:dyDescent="0.35">
      <c r="B70" s="6" t="e">
        <f t="shared" si="5"/>
        <v>#VALUE!</v>
      </c>
      <c r="C70" s="7" t="e">
        <f t="shared" si="6"/>
        <v>#VALUE!</v>
      </c>
      <c r="D70" s="7" t="e">
        <f t="shared" si="7"/>
        <v>#VALUE!</v>
      </c>
      <c r="E70" s="7" t="e">
        <f>C69*LeasingNOFam!$E$17</f>
        <v>#VALUE!</v>
      </c>
      <c r="F70" s="8" t="e">
        <f>IF(C70&gt;1,C69*Seguros_Oblig!$N$3,0)</f>
        <v>#VALUE!</v>
      </c>
      <c r="G70" s="8" t="e">
        <f>IF(LeasingHab!$C$10="TARIFA 1",(C69*(VLOOKUP(LeasingHab!$C$24,Seguros_Oblig!$A$3:$B$55,2,FALSE))),(C69*(VLOOKUP(LeasingHab!$C$24,Seguros_Oblig!$A$3:$D$55,4,FALSE))))</f>
        <v>#VALUE!</v>
      </c>
      <c r="H70" s="8" t="e">
        <f>IF(LeasingHab!$C$10="TARIFA 1",(C69*(VLOOKUP(LeasingHab!$C$25,Seguros_Oblig!$A$3:$B$55,2,FALSE))),(C69*(VLOOKUP(LeasingHab!$C$25,Seguros_Oblig!$A$3:$D$55,4,FALSE))))</f>
        <v>#VALUE!</v>
      </c>
      <c r="I70" s="8" t="e">
        <f>IF(LeasingHab!$C$10="TARIFA 1",(C69*(VLOOKUP(LeasingHab!$C$26,Seguros_Oblig!$A$3:$B$55,2,FALSE))),(C69*(VLOOKUP(LeasingHab!$C$26,Seguros_Oblig!$A$3:$D$55,4,FALSE))))</f>
        <v>#VALUE!</v>
      </c>
      <c r="J70" s="10">
        <f t="shared" si="2"/>
        <v>0</v>
      </c>
      <c r="K70" s="7" t="e">
        <f>IF(C69&lt;1,"0",Seguros_Oblig!$N$4*(LeasingNOFam!$C$12*90%))</f>
        <v>#VALUE!</v>
      </c>
      <c r="L70" s="7" t="e">
        <f>IF(B70=" ","0",PMT(LeasingNOFam!$E$17,LeasingNOFam!$C$18,-LeasingNOFam!$C$15,,)-PMT(LeasingNOFam!$E$17,LeasingNOFam!$C$18,-LeasingNOFam!$C$22)+LeasingNOFam!$C$22*LeasingNOFam!$E$17)</f>
        <v>#VALUE!</v>
      </c>
      <c r="M70" s="9" t="e">
        <f t="shared" si="3"/>
        <v>#VALUE!</v>
      </c>
      <c r="N70" s="7" t="e">
        <f>IF(C69&lt;1,"0",LeasingHab!$C$39)</f>
        <v>#VALUE!</v>
      </c>
      <c r="O70" s="9" t="e">
        <f t="shared" si="4"/>
        <v>#VALUE!</v>
      </c>
    </row>
    <row r="71" spans="2:15" ht="15.5" x14ac:dyDescent="0.35">
      <c r="B71" s="6" t="e">
        <f t="shared" si="5"/>
        <v>#VALUE!</v>
      </c>
      <c r="C71" s="7" t="e">
        <f t="shared" si="6"/>
        <v>#VALUE!</v>
      </c>
      <c r="D71" s="7" t="e">
        <f t="shared" si="7"/>
        <v>#VALUE!</v>
      </c>
      <c r="E71" s="7" t="e">
        <f>C70*LeasingNOFam!$E$17</f>
        <v>#VALUE!</v>
      </c>
      <c r="F71" s="8" t="e">
        <f>IF(C71&gt;1,C70*Seguros_Oblig!$N$3,0)</f>
        <v>#VALUE!</v>
      </c>
      <c r="G71" s="8" t="e">
        <f>IF(LeasingHab!$C$10="TARIFA 1",(C70*(VLOOKUP(LeasingHab!$C$24,Seguros_Oblig!$A$3:$B$55,2,FALSE))),(C70*(VLOOKUP(LeasingHab!$C$24,Seguros_Oblig!$A$3:$D$55,4,FALSE))))</f>
        <v>#VALUE!</v>
      </c>
      <c r="H71" s="8" t="e">
        <f>IF(LeasingHab!$C$10="TARIFA 1",(C70*(VLOOKUP(LeasingHab!$C$25,Seguros_Oblig!$A$3:$B$55,2,FALSE))),(C70*(VLOOKUP(LeasingHab!$C$25,Seguros_Oblig!$A$3:$D$55,4,FALSE))))</f>
        <v>#VALUE!</v>
      </c>
      <c r="I71" s="8" t="e">
        <f>IF(LeasingHab!$C$10="TARIFA 1",(C70*(VLOOKUP(LeasingHab!$C$26,Seguros_Oblig!$A$3:$B$55,2,FALSE))),(C70*(VLOOKUP(LeasingHab!$C$26,Seguros_Oblig!$A$3:$D$55,4,FALSE))))</f>
        <v>#VALUE!</v>
      </c>
      <c r="J71" s="10">
        <f t="shared" si="2"/>
        <v>0</v>
      </c>
      <c r="K71" s="7" t="e">
        <f>IF(C70&lt;1,"0",Seguros_Oblig!$N$4*(LeasingNOFam!$C$12*90%))</f>
        <v>#VALUE!</v>
      </c>
      <c r="L71" s="7" t="e">
        <f>IF(B71=" ","0",PMT(LeasingNOFam!$E$17,LeasingNOFam!$C$18,-LeasingNOFam!$C$15,,)-PMT(LeasingNOFam!$E$17,LeasingNOFam!$C$18,-LeasingNOFam!$C$22)+LeasingNOFam!$C$22*LeasingNOFam!$E$17)</f>
        <v>#VALUE!</v>
      </c>
      <c r="M71" s="9" t="e">
        <f t="shared" si="3"/>
        <v>#VALUE!</v>
      </c>
      <c r="N71" s="7" t="e">
        <f>IF(C70&lt;1,"0",LeasingHab!$C$39)</f>
        <v>#VALUE!</v>
      </c>
      <c r="O71" s="9" t="e">
        <f t="shared" si="4"/>
        <v>#VALUE!</v>
      </c>
    </row>
    <row r="72" spans="2:15" ht="15.5" x14ac:dyDescent="0.35">
      <c r="B72" s="6" t="e">
        <f t="shared" si="5"/>
        <v>#VALUE!</v>
      </c>
      <c r="C72" s="7" t="e">
        <f t="shared" si="6"/>
        <v>#VALUE!</v>
      </c>
      <c r="D72" s="7" t="e">
        <f t="shared" si="7"/>
        <v>#VALUE!</v>
      </c>
      <c r="E72" s="7" t="e">
        <f>C71*LeasingNOFam!$E$17</f>
        <v>#VALUE!</v>
      </c>
      <c r="F72" s="8" t="e">
        <f>IF(C72&gt;1,C71*Seguros_Oblig!$N$3,0)</f>
        <v>#VALUE!</v>
      </c>
      <c r="G72" s="8" t="e">
        <f>IF(LeasingHab!$C$10="TARIFA 1",(C71*(VLOOKUP(LeasingHab!$C$24,Seguros_Oblig!$A$3:$B$55,2,FALSE))),(C71*(VLOOKUP(LeasingHab!$C$24,Seguros_Oblig!$A$3:$D$55,4,FALSE))))</f>
        <v>#VALUE!</v>
      </c>
      <c r="H72" s="8" t="e">
        <f>IF(LeasingHab!$C$10="TARIFA 1",(C71*(VLOOKUP(LeasingHab!$C$25,Seguros_Oblig!$A$3:$B$55,2,FALSE))),(C71*(VLOOKUP(LeasingHab!$C$25,Seguros_Oblig!$A$3:$D$55,4,FALSE))))</f>
        <v>#VALUE!</v>
      </c>
      <c r="I72" s="8" t="e">
        <f>IF(LeasingHab!$C$10="TARIFA 1",(C71*(VLOOKUP(LeasingHab!$C$26,Seguros_Oblig!$A$3:$B$55,2,FALSE))),(C71*(VLOOKUP(LeasingHab!$C$26,Seguros_Oblig!$A$3:$D$55,4,FALSE))))</f>
        <v>#VALUE!</v>
      </c>
      <c r="J72" s="10">
        <f t="shared" si="2"/>
        <v>0</v>
      </c>
      <c r="K72" s="7" t="e">
        <f>IF(C71&lt;1,"0",Seguros_Oblig!$N$4*(LeasingNOFam!$C$12*90%))</f>
        <v>#VALUE!</v>
      </c>
      <c r="L72" s="7" t="e">
        <f>IF(B72=" ","0",PMT(LeasingNOFam!$E$17,LeasingNOFam!$C$18,-LeasingNOFam!$C$15,,)-PMT(LeasingNOFam!$E$17,LeasingNOFam!$C$18,-LeasingNOFam!$C$22)+LeasingNOFam!$C$22*LeasingNOFam!$E$17)</f>
        <v>#VALUE!</v>
      </c>
      <c r="M72" s="9" t="e">
        <f t="shared" si="3"/>
        <v>#VALUE!</v>
      </c>
      <c r="N72" s="7" t="e">
        <f>IF(C71&lt;1,"0",LeasingHab!$C$39)</f>
        <v>#VALUE!</v>
      </c>
      <c r="O72" s="9" t="e">
        <f t="shared" si="4"/>
        <v>#VALUE!</v>
      </c>
    </row>
    <row r="73" spans="2:15" ht="15.5" x14ac:dyDescent="0.35">
      <c r="B73" s="6" t="e">
        <f t="shared" si="5"/>
        <v>#VALUE!</v>
      </c>
      <c r="C73" s="7" t="e">
        <f t="shared" si="6"/>
        <v>#VALUE!</v>
      </c>
      <c r="D73" s="7" t="e">
        <f t="shared" si="7"/>
        <v>#VALUE!</v>
      </c>
      <c r="E73" s="7" t="e">
        <f>C72*LeasingNOFam!$E$17</f>
        <v>#VALUE!</v>
      </c>
      <c r="F73" s="8" t="e">
        <f>IF(C73&gt;1,C72*Seguros_Oblig!$N$3,0)</f>
        <v>#VALUE!</v>
      </c>
      <c r="G73" s="8" t="e">
        <f>IF(LeasingHab!$C$10="TARIFA 1",(C72*(VLOOKUP(LeasingHab!$C$24,Seguros_Oblig!$A$3:$B$55,2,FALSE))),(C72*(VLOOKUP(LeasingHab!$C$24,Seguros_Oblig!$A$3:$D$55,4,FALSE))))</f>
        <v>#VALUE!</v>
      </c>
      <c r="H73" s="8" t="e">
        <f>IF(LeasingHab!$C$10="TARIFA 1",(C72*(VLOOKUP(LeasingHab!$C$25,Seguros_Oblig!$A$3:$B$55,2,FALSE))),(C72*(VLOOKUP(LeasingHab!$C$25,Seguros_Oblig!$A$3:$D$55,4,FALSE))))</f>
        <v>#VALUE!</v>
      </c>
      <c r="I73" s="8" t="e">
        <f>IF(LeasingHab!$C$10="TARIFA 1",(C72*(VLOOKUP(LeasingHab!$C$26,Seguros_Oblig!$A$3:$B$55,2,FALSE))),(C72*(VLOOKUP(LeasingHab!$C$26,Seguros_Oblig!$A$3:$D$55,4,FALSE))))</f>
        <v>#VALUE!</v>
      </c>
      <c r="J73" s="10">
        <f t="shared" si="2"/>
        <v>0</v>
      </c>
      <c r="K73" s="7" t="e">
        <f>IF(C72&lt;1,"0",Seguros_Oblig!$N$4*(LeasingNOFam!$C$12*90%))</f>
        <v>#VALUE!</v>
      </c>
      <c r="L73" s="7" t="e">
        <f>IF(B73=" ","0",PMT(LeasingNOFam!$E$17,LeasingNOFam!$C$18,-LeasingNOFam!$C$15,,)-PMT(LeasingNOFam!$E$17,LeasingNOFam!$C$18,-LeasingNOFam!$C$22)+LeasingNOFam!$C$22*LeasingNOFam!$E$17)</f>
        <v>#VALUE!</v>
      </c>
      <c r="M73" s="9" t="e">
        <f t="shared" si="3"/>
        <v>#VALUE!</v>
      </c>
      <c r="N73" s="7" t="e">
        <f>IF(C72&lt;1,"0",LeasingHab!$C$39)</f>
        <v>#VALUE!</v>
      </c>
      <c r="O73" s="9" t="e">
        <f t="shared" si="4"/>
        <v>#VALUE!</v>
      </c>
    </row>
    <row r="74" spans="2:15" ht="15.5" x14ac:dyDescent="0.35">
      <c r="B74" s="6" t="e">
        <f t="shared" si="5"/>
        <v>#VALUE!</v>
      </c>
      <c r="C74" s="7" t="e">
        <f t="shared" si="6"/>
        <v>#VALUE!</v>
      </c>
      <c r="D74" s="7" t="e">
        <f t="shared" si="7"/>
        <v>#VALUE!</v>
      </c>
      <c r="E74" s="7" t="e">
        <f>C73*LeasingNOFam!$E$17</f>
        <v>#VALUE!</v>
      </c>
      <c r="F74" s="8" t="e">
        <f>IF(C74&gt;1,C73*Seguros_Oblig!$N$3,0)</f>
        <v>#VALUE!</v>
      </c>
      <c r="G74" s="8" t="e">
        <f>IF(LeasingHab!$C$10="TARIFA 1",(C73*(VLOOKUP(LeasingHab!$C$24,Seguros_Oblig!$A$3:$B$55,2,FALSE))),(C73*(VLOOKUP(LeasingHab!$C$24,Seguros_Oblig!$A$3:$D$55,4,FALSE))))</f>
        <v>#VALUE!</v>
      </c>
      <c r="H74" s="8" t="e">
        <f>IF(LeasingHab!$C$10="TARIFA 1",(C73*(VLOOKUP(LeasingHab!$C$25,Seguros_Oblig!$A$3:$B$55,2,FALSE))),(C73*(VLOOKUP(LeasingHab!$C$25,Seguros_Oblig!$A$3:$D$55,4,FALSE))))</f>
        <v>#VALUE!</v>
      </c>
      <c r="I74" s="8" t="e">
        <f>IF(LeasingHab!$C$10="TARIFA 1",(C73*(VLOOKUP(LeasingHab!$C$26,Seguros_Oblig!$A$3:$B$55,2,FALSE))),(C73*(VLOOKUP(LeasingHab!$C$26,Seguros_Oblig!$A$3:$D$55,4,FALSE))))</f>
        <v>#VALUE!</v>
      </c>
      <c r="J74" s="10">
        <f t="shared" si="2"/>
        <v>0</v>
      </c>
      <c r="K74" s="7" t="e">
        <f>IF(C73&lt;1,"0",Seguros_Oblig!$N$4*(LeasingNOFam!$C$12*90%))</f>
        <v>#VALUE!</v>
      </c>
      <c r="L74" s="7" t="e">
        <f>IF(B74=" ","0",PMT(LeasingNOFam!$E$17,LeasingNOFam!$C$18,-LeasingNOFam!$C$15,,)-PMT(LeasingNOFam!$E$17,LeasingNOFam!$C$18,-LeasingNOFam!$C$22)+LeasingNOFam!$C$22*LeasingNOFam!$E$17)</f>
        <v>#VALUE!</v>
      </c>
      <c r="M74" s="9" t="e">
        <f t="shared" si="3"/>
        <v>#VALUE!</v>
      </c>
      <c r="N74" s="7" t="e">
        <f>IF(C73&lt;1,"0",LeasingHab!$C$39)</f>
        <v>#VALUE!</v>
      </c>
      <c r="O74" s="9" t="e">
        <f t="shared" si="4"/>
        <v>#VALUE!</v>
      </c>
    </row>
    <row r="75" spans="2:15" ht="15.5" x14ac:dyDescent="0.35">
      <c r="B75" s="6" t="e">
        <f t="shared" si="5"/>
        <v>#VALUE!</v>
      </c>
      <c r="C75" s="7" t="e">
        <f t="shared" si="6"/>
        <v>#VALUE!</v>
      </c>
      <c r="D75" s="7" t="e">
        <f t="shared" si="7"/>
        <v>#VALUE!</v>
      </c>
      <c r="E75" s="7" t="e">
        <f>C74*LeasingNOFam!$E$17</f>
        <v>#VALUE!</v>
      </c>
      <c r="F75" s="8" t="e">
        <f>IF(C75&gt;1,C74*Seguros_Oblig!$N$3,0)</f>
        <v>#VALUE!</v>
      </c>
      <c r="G75" s="8" t="e">
        <f>IF(LeasingHab!$C$10="TARIFA 1",(C74*(VLOOKUP(LeasingHab!$C$24,Seguros_Oblig!$A$3:$B$55,2,FALSE))),(C74*(VLOOKUP(LeasingHab!$C$24,Seguros_Oblig!$A$3:$D$55,4,FALSE))))</f>
        <v>#VALUE!</v>
      </c>
      <c r="H75" s="8" t="e">
        <f>IF(LeasingHab!$C$10="TARIFA 1",(C74*(VLOOKUP(LeasingHab!$C$25,Seguros_Oblig!$A$3:$B$55,2,FALSE))),(C74*(VLOOKUP(LeasingHab!$C$25,Seguros_Oblig!$A$3:$D$55,4,FALSE))))</f>
        <v>#VALUE!</v>
      </c>
      <c r="I75" s="8" t="e">
        <f>IF(LeasingHab!$C$10="TARIFA 1",(C74*(VLOOKUP(LeasingHab!$C$26,Seguros_Oblig!$A$3:$B$55,2,FALSE))),(C74*(VLOOKUP(LeasingHab!$C$26,Seguros_Oblig!$A$3:$D$55,4,FALSE))))</f>
        <v>#VALUE!</v>
      </c>
      <c r="J75" s="10">
        <f t="shared" si="2"/>
        <v>0</v>
      </c>
      <c r="K75" s="7" t="e">
        <f>IF(C74&lt;1,"0",Seguros_Oblig!$N$4*(LeasingNOFam!$C$12*90%))</f>
        <v>#VALUE!</v>
      </c>
      <c r="L75" s="7" t="e">
        <f>IF(B75=" ","0",PMT(LeasingNOFam!$E$17,LeasingNOFam!$C$18,-LeasingNOFam!$C$15,,)-PMT(LeasingNOFam!$E$17,LeasingNOFam!$C$18,-LeasingNOFam!$C$22)+LeasingNOFam!$C$22*LeasingNOFam!$E$17)</f>
        <v>#VALUE!</v>
      </c>
      <c r="M75" s="9" t="e">
        <f t="shared" si="3"/>
        <v>#VALUE!</v>
      </c>
      <c r="N75" s="7" t="e">
        <f>IF(C74&lt;1,"0",LeasingHab!$C$39)</f>
        <v>#VALUE!</v>
      </c>
      <c r="O75" s="9" t="e">
        <f t="shared" si="4"/>
        <v>#VALUE!</v>
      </c>
    </row>
    <row r="76" spans="2:15" ht="15.5" x14ac:dyDescent="0.35">
      <c r="B76" s="6" t="e">
        <f t="shared" si="5"/>
        <v>#VALUE!</v>
      </c>
      <c r="C76" s="7" t="e">
        <f t="shared" si="6"/>
        <v>#VALUE!</v>
      </c>
      <c r="D76" s="7" t="e">
        <f t="shared" si="7"/>
        <v>#VALUE!</v>
      </c>
      <c r="E76" s="7" t="e">
        <f>C75*LeasingNOFam!$E$17</f>
        <v>#VALUE!</v>
      </c>
      <c r="F76" s="8" t="e">
        <f>IF(C76&gt;1,C75*Seguros_Oblig!$N$3,0)</f>
        <v>#VALUE!</v>
      </c>
      <c r="G76" s="8" t="e">
        <f>IF(LeasingHab!$C$10="TARIFA 1",(C75*(VLOOKUP(LeasingHab!$C$24,Seguros_Oblig!$A$3:$B$55,2,FALSE))),(C75*(VLOOKUP(LeasingHab!$C$24,Seguros_Oblig!$A$3:$D$55,4,FALSE))))</f>
        <v>#VALUE!</v>
      </c>
      <c r="H76" s="8" t="e">
        <f>IF(LeasingHab!$C$10="TARIFA 1",(C75*(VLOOKUP(LeasingHab!$C$25,Seguros_Oblig!$A$3:$B$55,2,FALSE))),(C75*(VLOOKUP(LeasingHab!$C$25,Seguros_Oblig!$A$3:$D$55,4,FALSE))))</f>
        <v>#VALUE!</v>
      </c>
      <c r="I76" s="8" t="e">
        <f>IF(LeasingHab!$C$10="TARIFA 1",(C75*(VLOOKUP(LeasingHab!$C$26,Seguros_Oblig!$A$3:$B$55,2,FALSE))),(C75*(VLOOKUP(LeasingHab!$C$26,Seguros_Oblig!$A$3:$D$55,4,FALSE))))</f>
        <v>#VALUE!</v>
      </c>
      <c r="J76" s="10">
        <f t="shared" si="2"/>
        <v>0</v>
      </c>
      <c r="K76" s="7" t="e">
        <f>IF(C75&lt;1,"0",Seguros_Oblig!$N$4*(LeasingNOFam!$C$12*90%))</f>
        <v>#VALUE!</v>
      </c>
      <c r="L76" s="7" t="e">
        <f>IF(B76=" ","0",PMT(LeasingNOFam!$E$17,LeasingNOFam!$C$18,-LeasingNOFam!$C$15,,)-PMT(LeasingNOFam!$E$17,LeasingNOFam!$C$18,-LeasingNOFam!$C$22)+LeasingNOFam!$C$22*LeasingNOFam!$E$17)</f>
        <v>#VALUE!</v>
      </c>
      <c r="M76" s="9" t="e">
        <f t="shared" si="3"/>
        <v>#VALUE!</v>
      </c>
      <c r="N76" s="7" t="e">
        <f>IF(C75&lt;1,"0",LeasingHab!$C$39)</f>
        <v>#VALUE!</v>
      </c>
      <c r="O76" s="9" t="e">
        <f t="shared" si="4"/>
        <v>#VALUE!</v>
      </c>
    </row>
    <row r="77" spans="2:15" ht="15.5" x14ac:dyDescent="0.35">
      <c r="B77" s="6" t="e">
        <f t="shared" si="5"/>
        <v>#VALUE!</v>
      </c>
      <c r="C77" s="7" t="e">
        <f t="shared" si="6"/>
        <v>#VALUE!</v>
      </c>
      <c r="D77" s="7" t="e">
        <f t="shared" si="7"/>
        <v>#VALUE!</v>
      </c>
      <c r="E77" s="7" t="e">
        <f>C76*LeasingNOFam!$E$17</f>
        <v>#VALUE!</v>
      </c>
      <c r="F77" s="8" t="e">
        <f>IF(C77&gt;1,C76*Seguros_Oblig!$N$3,0)</f>
        <v>#VALUE!</v>
      </c>
      <c r="G77" s="8" t="e">
        <f>IF(LeasingHab!$C$10="TARIFA 1",(C76*(VLOOKUP(LeasingHab!$C$24,Seguros_Oblig!$A$3:$B$55,2,FALSE))),(C76*(VLOOKUP(LeasingHab!$C$24,Seguros_Oblig!$A$3:$D$55,4,FALSE))))</f>
        <v>#VALUE!</v>
      </c>
      <c r="H77" s="8" t="e">
        <f>IF(LeasingHab!$C$10="TARIFA 1",(C76*(VLOOKUP(LeasingHab!$C$25,Seguros_Oblig!$A$3:$B$55,2,FALSE))),(C76*(VLOOKUP(LeasingHab!$C$25,Seguros_Oblig!$A$3:$D$55,4,FALSE))))</f>
        <v>#VALUE!</v>
      </c>
      <c r="I77" s="8" t="e">
        <f>IF(LeasingHab!$C$10="TARIFA 1",(C76*(VLOOKUP(LeasingHab!$C$26,Seguros_Oblig!$A$3:$B$55,2,FALSE))),(C76*(VLOOKUP(LeasingHab!$C$26,Seguros_Oblig!$A$3:$D$55,4,FALSE))))</f>
        <v>#VALUE!</v>
      </c>
      <c r="J77" s="10">
        <f t="shared" si="2"/>
        <v>0</v>
      </c>
      <c r="K77" s="7" t="e">
        <f>IF(C76&lt;1,"0",Seguros_Oblig!$N$4*(LeasingNOFam!$C$12*90%))</f>
        <v>#VALUE!</v>
      </c>
      <c r="L77" s="7" t="e">
        <f>IF(B77=" ","0",PMT(LeasingNOFam!$E$17,LeasingNOFam!$C$18,-LeasingNOFam!$C$15,,)-PMT(LeasingNOFam!$E$17,LeasingNOFam!$C$18,-LeasingNOFam!$C$22)+LeasingNOFam!$C$22*LeasingNOFam!$E$17)</f>
        <v>#VALUE!</v>
      </c>
      <c r="M77" s="9" t="e">
        <f t="shared" si="3"/>
        <v>#VALUE!</v>
      </c>
      <c r="N77" s="7" t="e">
        <f>IF(C76&lt;1,"0",LeasingHab!$C$39)</f>
        <v>#VALUE!</v>
      </c>
      <c r="O77" s="9" t="e">
        <f t="shared" si="4"/>
        <v>#VALUE!</v>
      </c>
    </row>
    <row r="78" spans="2:15" ht="15.5" x14ac:dyDescent="0.35">
      <c r="B78" s="6" t="e">
        <f t="shared" si="5"/>
        <v>#VALUE!</v>
      </c>
      <c r="C78" s="7" t="e">
        <f t="shared" si="6"/>
        <v>#VALUE!</v>
      </c>
      <c r="D78" s="7" t="e">
        <f t="shared" si="7"/>
        <v>#VALUE!</v>
      </c>
      <c r="E78" s="7" t="e">
        <f>C77*LeasingNOFam!$E$17</f>
        <v>#VALUE!</v>
      </c>
      <c r="F78" s="8" t="e">
        <f>IF(C78&gt;1,C77*Seguros_Oblig!$N$3,0)</f>
        <v>#VALUE!</v>
      </c>
      <c r="G78" s="8" t="e">
        <f>IF(LeasingHab!$C$10="TARIFA 1",(C77*(VLOOKUP(LeasingHab!$C$24,Seguros_Oblig!$A$3:$B$55,2,FALSE))),(C77*(VLOOKUP(LeasingHab!$C$24,Seguros_Oblig!$A$3:$D$55,4,FALSE))))</f>
        <v>#VALUE!</v>
      </c>
      <c r="H78" s="8" t="e">
        <f>IF(LeasingHab!$C$10="TARIFA 1",(C77*(VLOOKUP(LeasingHab!$C$25,Seguros_Oblig!$A$3:$B$55,2,FALSE))),(C77*(VLOOKUP(LeasingHab!$C$25,Seguros_Oblig!$A$3:$D$55,4,FALSE))))</f>
        <v>#VALUE!</v>
      </c>
      <c r="I78" s="8" t="e">
        <f>IF(LeasingHab!$C$10="TARIFA 1",(C77*(VLOOKUP(LeasingHab!$C$26,Seguros_Oblig!$A$3:$B$55,2,FALSE))),(C77*(VLOOKUP(LeasingHab!$C$26,Seguros_Oblig!$A$3:$D$55,4,FALSE))))</f>
        <v>#VALUE!</v>
      </c>
      <c r="J78" s="10">
        <f t="shared" si="2"/>
        <v>0</v>
      </c>
      <c r="K78" s="7" t="e">
        <f>IF(C77&lt;1,"0",Seguros_Oblig!$N$4*(LeasingNOFam!$C$12*90%))</f>
        <v>#VALUE!</v>
      </c>
      <c r="L78" s="7" t="e">
        <f>IF(B78=" ","0",PMT(LeasingNOFam!$E$17,LeasingNOFam!$C$18,-LeasingNOFam!$C$15,,)-PMT(LeasingNOFam!$E$17,LeasingNOFam!$C$18,-LeasingNOFam!$C$22)+LeasingNOFam!$C$22*LeasingNOFam!$E$17)</f>
        <v>#VALUE!</v>
      </c>
      <c r="M78" s="9" t="e">
        <f t="shared" si="3"/>
        <v>#VALUE!</v>
      </c>
      <c r="N78" s="7" t="e">
        <f>IF(C77&lt;1,"0",LeasingHab!$C$39)</f>
        <v>#VALUE!</v>
      </c>
      <c r="O78" s="9" t="e">
        <f t="shared" si="4"/>
        <v>#VALUE!</v>
      </c>
    </row>
    <row r="79" spans="2:15" ht="15.5" x14ac:dyDescent="0.35">
      <c r="B79" s="6" t="e">
        <f t="shared" si="5"/>
        <v>#VALUE!</v>
      </c>
      <c r="C79" s="7" t="e">
        <f t="shared" si="6"/>
        <v>#VALUE!</v>
      </c>
      <c r="D79" s="7" t="e">
        <f t="shared" si="7"/>
        <v>#VALUE!</v>
      </c>
      <c r="E79" s="7" t="e">
        <f>C78*LeasingNOFam!$E$17</f>
        <v>#VALUE!</v>
      </c>
      <c r="F79" s="8" t="e">
        <f>IF(C79&gt;1,C78*Seguros_Oblig!$N$3,0)</f>
        <v>#VALUE!</v>
      </c>
      <c r="G79" s="8" t="e">
        <f>IF(LeasingHab!$C$10="TARIFA 1",(C78*(VLOOKUP(LeasingHab!$C$24,Seguros_Oblig!$A$3:$B$55,2,FALSE))),(C78*(VLOOKUP(LeasingHab!$C$24,Seguros_Oblig!$A$3:$D$55,4,FALSE))))</f>
        <v>#VALUE!</v>
      </c>
      <c r="H79" s="8" t="e">
        <f>IF(LeasingHab!$C$10="TARIFA 1",(C78*(VLOOKUP(LeasingHab!$C$25,Seguros_Oblig!$A$3:$B$55,2,FALSE))),(C78*(VLOOKUP(LeasingHab!$C$25,Seguros_Oblig!$A$3:$D$55,4,FALSE))))</f>
        <v>#VALUE!</v>
      </c>
      <c r="I79" s="8" t="e">
        <f>IF(LeasingHab!$C$10="TARIFA 1",(C78*(VLOOKUP(LeasingHab!$C$26,Seguros_Oblig!$A$3:$B$55,2,FALSE))),(C78*(VLOOKUP(LeasingHab!$C$26,Seguros_Oblig!$A$3:$D$55,4,FALSE))))</f>
        <v>#VALUE!</v>
      </c>
      <c r="J79" s="10">
        <f t="shared" si="2"/>
        <v>0</v>
      </c>
      <c r="K79" s="7" t="e">
        <f>IF(C78&lt;1,"0",Seguros_Oblig!$N$4*(LeasingNOFam!$C$12*90%))</f>
        <v>#VALUE!</v>
      </c>
      <c r="L79" s="7" t="e">
        <f>IF(B79=" ","0",PMT(LeasingNOFam!$E$17,LeasingNOFam!$C$18,-LeasingNOFam!$C$15,,)-PMT(LeasingNOFam!$E$17,LeasingNOFam!$C$18,-LeasingNOFam!$C$22)+LeasingNOFam!$C$22*LeasingNOFam!$E$17)</f>
        <v>#VALUE!</v>
      </c>
      <c r="M79" s="9" t="e">
        <f t="shared" si="3"/>
        <v>#VALUE!</v>
      </c>
      <c r="N79" s="7" t="e">
        <f>IF(C78&lt;1,"0",LeasingHab!$C$39)</f>
        <v>#VALUE!</v>
      </c>
      <c r="O79" s="9" t="e">
        <f t="shared" si="4"/>
        <v>#VALUE!</v>
      </c>
    </row>
    <row r="80" spans="2:15" ht="15.5" x14ac:dyDescent="0.35">
      <c r="B80" s="6" t="e">
        <f t="shared" si="5"/>
        <v>#VALUE!</v>
      </c>
      <c r="C80" s="7" t="e">
        <f t="shared" si="6"/>
        <v>#VALUE!</v>
      </c>
      <c r="D80" s="7" t="e">
        <f t="shared" si="7"/>
        <v>#VALUE!</v>
      </c>
      <c r="E80" s="7" t="e">
        <f>C79*LeasingNOFam!$E$17</f>
        <v>#VALUE!</v>
      </c>
      <c r="F80" s="8" t="e">
        <f>IF(C80&gt;1,C79*Seguros_Oblig!$N$3,0)</f>
        <v>#VALUE!</v>
      </c>
      <c r="G80" s="8" t="e">
        <f>IF(LeasingHab!$C$10="TARIFA 1",(C79*(VLOOKUP(LeasingHab!$C$24,Seguros_Oblig!$A$3:$B$55,2,FALSE))),(C79*(VLOOKUP(LeasingHab!$C$24,Seguros_Oblig!$A$3:$D$55,4,FALSE))))</f>
        <v>#VALUE!</v>
      </c>
      <c r="H80" s="8" t="e">
        <f>IF(LeasingHab!$C$10="TARIFA 1",(C79*(VLOOKUP(LeasingHab!$C$25,Seguros_Oblig!$A$3:$B$55,2,FALSE))),(C79*(VLOOKUP(LeasingHab!$C$25,Seguros_Oblig!$A$3:$D$55,4,FALSE))))</f>
        <v>#VALUE!</v>
      </c>
      <c r="I80" s="8" t="e">
        <f>IF(LeasingHab!$C$10="TARIFA 1",(C79*(VLOOKUP(LeasingHab!$C$26,Seguros_Oblig!$A$3:$B$55,2,FALSE))),(C79*(VLOOKUP(LeasingHab!$C$26,Seguros_Oblig!$A$3:$D$55,4,FALSE))))</f>
        <v>#VALUE!</v>
      </c>
      <c r="J80" s="10">
        <f t="shared" si="2"/>
        <v>0</v>
      </c>
      <c r="K80" s="7" t="e">
        <f>IF(C79&lt;1,"0",Seguros_Oblig!$N$4*(LeasingNOFam!$C$12*90%))</f>
        <v>#VALUE!</v>
      </c>
      <c r="L80" s="7" t="e">
        <f>IF(B80=" ","0",PMT(LeasingNOFam!$E$17,LeasingNOFam!$C$18,-LeasingNOFam!$C$15,,)-PMT(LeasingNOFam!$E$17,LeasingNOFam!$C$18,-LeasingNOFam!$C$22)+LeasingNOFam!$C$22*LeasingNOFam!$E$17)</f>
        <v>#VALUE!</v>
      </c>
      <c r="M80" s="9" t="e">
        <f t="shared" si="3"/>
        <v>#VALUE!</v>
      </c>
      <c r="N80" s="7" t="e">
        <f>IF(C79&lt;1,"0",LeasingHab!$C$39)</f>
        <v>#VALUE!</v>
      </c>
      <c r="O80" s="9" t="e">
        <f t="shared" si="4"/>
        <v>#VALUE!</v>
      </c>
    </row>
    <row r="81" spans="2:15" ht="15.5" x14ac:dyDescent="0.35">
      <c r="B81" s="6" t="e">
        <f t="shared" si="5"/>
        <v>#VALUE!</v>
      </c>
      <c r="C81" s="7" t="e">
        <f t="shared" si="6"/>
        <v>#VALUE!</v>
      </c>
      <c r="D81" s="7" t="e">
        <f t="shared" si="7"/>
        <v>#VALUE!</v>
      </c>
      <c r="E81" s="7" t="e">
        <f>C80*LeasingNOFam!$E$17</f>
        <v>#VALUE!</v>
      </c>
      <c r="F81" s="8" t="e">
        <f>IF(C81&gt;1,C80*Seguros_Oblig!$N$3,0)</f>
        <v>#VALUE!</v>
      </c>
      <c r="G81" s="8" t="e">
        <f>IF(LeasingHab!$C$10="TARIFA 1",(C80*(VLOOKUP(LeasingHab!$C$24,Seguros_Oblig!$A$3:$B$55,2,FALSE))),(C80*(VLOOKUP(LeasingHab!$C$24,Seguros_Oblig!$A$3:$D$55,4,FALSE))))</f>
        <v>#VALUE!</v>
      </c>
      <c r="H81" s="8" t="e">
        <f>IF(LeasingHab!$C$10="TARIFA 1",(C80*(VLOOKUP(LeasingHab!$C$25,Seguros_Oblig!$A$3:$B$55,2,FALSE))),(C80*(VLOOKUP(LeasingHab!$C$25,Seguros_Oblig!$A$3:$D$55,4,FALSE))))</f>
        <v>#VALUE!</v>
      </c>
      <c r="I81" s="8" t="e">
        <f>IF(LeasingHab!$C$10="TARIFA 1",(C80*(VLOOKUP(LeasingHab!$C$26,Seguros_Oblig!$A$3:$B$55,2,FALSE))),(C80*(VLOOKUP(LeasingHab!$C$26,Seguros_Oblig!$A$3:$D$55,4,FALSE))))</f>
        <v>#VALUE!</v>
      </c>
      <c r="J81" s="10">
        <f t="shared" si="2"/>
        <v>0</v>
      </c>
      <c r="K81" s="7" t="e">
        <f>IF(C80&lt;1,"0",Seguros_Oblig!$N$4*(LeasingNOFam!$C$12*90%))</f>
        <v>#VALUE!</v>
      </c>
      <c r="L81" s="7" t="e">
        <f>IF(B81=" ","0",PMT(LeasingNOFam!$E$17,LeasingNOFam!$C$18,-LeasingNOFam!$C$15,,)-PMT(LeasingNOFam!$E$17,LeasingNOFam!$C$18,-LeasingNOFam!$C$22)+LeasingNOFam!$C$22*LeasingNOFam!$E$17)</f>
        <v>#VALUE!</v>
      </c>
      <c r="M81" s="9" t="e">
        <f t="shared" si="3"/>
        <v>#VALUE!</v>
      </c>
      <c r="N81" s="7" t="e">
        <f>IF(C80&lt;1,"0",LeasingHab!$C$39)</f>
        <v>#VALUE!</v>
      </c>
      <c r="O81" s="9" t="e">
        <f t="shared" si="4"/>
        <v>#VALUE!</v>
      </c>
    </row>
    <row r="82" spans="2:15" ht="15.5" x14ac:dyDescent="0.35">
      <c r="B82" s="6" t="e">
        <f t="shared" si="5"/>
        <v>#VALUE!</v>
      </c>
      <c r="C82" s="7" t="e">
        <f>IF(D81=0,0,C81-D82)</f>
        <v>#VALUE!</v>
      </c>
      <c r="D82" s="7" t="e">
        <f>IF((C81-1)&lt;$E$19,0,L82-E82)</f>
        <v>#VALUE!</v>
      </c>
      <c r="E82" s="7" t="e">
        <f>IF((C81-1)&lt;$E$19,0,C81*LeasingNOFam!$E$17)</f>
        <v>#VALUE!</v>
      </c>
      <c r="F82" s="8" t="e">
        <f>IF((C81-1)&lt;$E$19,"0",C81*Seguros_Oblig!$N$3)</f>
        <v>#VALUE!</v>
      </c>
      <c r="G82" s="8" t="e">
        <f>IF(LeasingHab!$C$10="TARIFA 1",(C81*(VLOOKUP(LeasingHab!$C$24,Seguros_Oblig!$A$3:$B$55,2,FALSE))),(C81*(VLOOKUP(LeasingHab!$C$24,Seguros_Oblig!$A$3:$D$55,4,FALSE))))</f>
        <v>#VALUE!</v>
      </c>
      <c r="H82" s="8" t="e">
        <f>IF(LeasingHab!$C$10="TARIFA 1",(C81*(VLOOKUP(LeasingHab!$C$25,Seguros_Oblig!$A$3:$B$55,2,FALSE))),(C81*(VLOOKUP(LeasingHab!$C$25,Seguros_Oblig!$A$3:$D$55,4,FALSE))))</f>
        <v>#VALUE!</v>
      </c>
      <c r="I82" s="8" t="e">
        <f>IF(LeasingHab!$C$10="TARIFA 1",(C81*(VLOOKUP(LeasingHab!$C$26,Seguros_Oblig!$A$3:$B$55,2,FALSE))),(C81*(VLOOKUP(LeasingHab!$C$26,Seguros_Oblig!$A$3:$D$55,4,FALSE))))</f>
        <v>#VALUE!</v>
      </c>
      <c r="J82" s="10">
        <f t="shared" si="2"/>
        <v>0</v>
      </c>
      <c r="K82" s="7" t="e">
        <f>IF((C81-1)&lt;$E$19,0,Seguros_Oblig!$N$4*(LeasingNOFam!$C$12*90%))</f>
        <v>#VALUE!</v>
      </c>
      <c r="L82" s="7" t="e">
        <f>IF(B82&gt;LeasingNOFam!$C$18,0,PMT(LeasingNOFam!$E$17,LeasingNOFam!$C$18,-LeasingNOFam!$C$15,,)-PMT(LeasingNOFam!$E$17,LeasingNOFam!$C$18,-LeasingNOFam!$C$22)+LeasingNOFam!$C$22*LeasingNOFam!$E$17)</f>
        <v>#VALUE!</v>
      </c>
      <c r="M82" s="9" t="e">
        <f t="shared" si="3"/>
        <v>#VALUE!</v>
      </c>
      <c r="N82" s="7" t="e">
        <f>IF(C81&lt;1,"0",LeasingHab!$C$39)</f>
        <v>#VALUE!</v>
      </c>
      <c r="O82" s="9" t="e">
        <f t="shared" si="4"/>
        <v>#VALUE!</v>
      </c>
    </row>
    <row r="83" spans="2:15" ht="15.5" x14ac:dyDescent="0.35">
      <c r="B83" s="6" t="e">
        <f t="shared" si="5"/>
        <v>#VALUE!</v>
      </c>
      <c r="C83" s="7" t="e">
        <f t="shared" ref="C83:C146" si="8">IF(D82=0,0,C82-D83)</f>
        <v>#VALUE!</v>
      </c>
      <c r="D83" s="7" t="e">
        <f t="shared" ref="D83:D146" si="9">IF((C82-1)&lt;$E$19,0,L83-E83)</f>
        <v>#VALUE!</v>
      </c>
      <c r="E83" s="7" t="e">
        <f>IF((C82-1)&lt;$E$19,0,C82*LeasingNOFam!$E$17)</f>
        <v>#VALUE!</v>
      </c>
      <c r="F83" s="8" t="e">
        <f>IF((C82-1)&lt;$E$19,"0",C82*Seguros_Oblig!$N$3)</f>
        <v>#VALUE!</v>
      </c>
      <c r="G83" s="8" t="e">
        <f>IF(LeasingHab!$C$10="TARIFA 1",(C82*(VLOOKUP(LeasingHab!$C$24,Seguros_Oblig!$A$3:$B$55,2,FALSE))),(C82*(VLOOKUP(LeasingHab!$C$24,Seguros_Oblig!$A$3:$D$55,4,FALSE))))</f>
        <v>#VALUE!</v>
      </c>
      <c r="H83" s="8" t="e">
        <f>IF(LeasingHab!$C$10="TARIFA 1",(C82*(VLOOKUP(LeasingHab!$C$25,Seguros_Oblig!$A$3:$B$55,2,FALSE))),(C82*(VLOOKUP(LeasingHab!$C$25,Seguros_Oblig!$A$3:$D$55,4,FALSE))))</f>
        <v>#VALUE!</v>
      </c>
      <c r="I83" s="8" t="e">
        <f>IF(LeasingHab!$C$10="TARIFA 1",(C82*(VLOOKUP(LeasingHab!$C$26,Seguros_Oblig!$A$3:$B$55,2,FALSE))),(C82*(VLOOKUP(LeasingHab!$C$26,Seguros_Oblig!$A$3:$D$55,4,FALSE))))</f>
        <v>#VALUE!</v>
      </c>
      <c r="J83" s="10">
        <f t="shared" si="2"/>
        <v>0</v>
      </c>
      <c r="K83" s="7" t="e">
        <f>IF((C82-1)&lt;$E$19,0,Seguros_Oblig!$N$4*(LeasingNOFam!$C$12*90%))</f>
        <v>#VALUE!</v>
      </c>
      <c r="L83" s="7" t="e">
        <f>IF(B83&gt;LeasingNOFam!$C$18,0,PMT(LeasingNOFam!$E$17,LeasingNOFam!$C$18,-LeasingNOFam!$C$15,,)-PMT(LeasingNOFam!$E$17,LeasingNOFam!$C$18,-LeasingNOFam!$C$22)+LeasingNOFam!$C$22*LeasingNOFam!$E$17)</f>
        <v>#VALUE!</v>
      </c>
      <c r="M83" s="9" t="e">
        <f t="shared" si="3"/>
        <v>#VALUE!</v>
      </c>
      <c r="N83" s="7" t="e">
        <f>IF(C82&lt;1,"0",LeasingHab!$C$39)</f>
        <v>#VALUE!</v>
      </c>
      <c r="O83" s="9" t="e">
        <f t="shared" si="4"/>
        <v>#VALUE!</v>
      </c>
    </row>
    <row r="84" spans="2:15" ht="15.5" x14ac:dyDescent="0.35">
      <c r="B84" s="6" t="e">
        <f t="shared" si="5"/>
        <v>#VALUE!</v>
      </c>
      <c r="C84" s="7" t="e">
        <f t="shared" si="8"/>
        <v>#VALUE!</v>
      </c>
      <c r="D84" s="7" t="e">
        <f t="shared" si="9"/>
        <v>#VALUE!</v>
      </c>
      <c r="E84" s="7" t="e">
        <f>IF((C83-1)&lt;$E$19,0,C83*LeasingNOFam!$E$17)</f>
        <v>#VALUE!</v>
      </c>
      <c r="F84" s="8" t="e">
        <f>IF((C83-1)&lt;$E$19,"0",C83*Seguros_Oblig!$N$3)</f>
        <v>#VALUE!</v>
      </c>
      <c r="G84" s="8" t="e">
        <f>IF(LeasingHab!$C$10="TARIFA 1",(C83*(VLOOKUP(LeasingHab!$C$24,Seguros_Oblig!$A$3:$B$55,2,FALSE))),(C83*(VLOOKUP(LeasingHab!$C$24,Seguros_Oblig!$A$3:$D$55,4,FALSE))))</f>
        <v>#VALUE!</v>
      </c>
      <c r="H84" s="8" t="e">
        <f>IF(LeasingHab!$C$10="TARIFA 1",(C83*(VLOOKUP(LeasingHab!$C$25,Seguros_Oblig!$A$3:$B$55,2,FALSE))),(C83*(VLOOKUP(LeasingHab!$C$25,Seguros_Oblig!$A$3:$D$55,4,FALSE))))</f>
        <v>#VALUE!</v>
      </c>
      <c r="I84" s="8" t="e">
        <f>IF(LeasingHab!$C$10="TARIFA 1",(C83*(VLOOKUP(LeasingHab!$C$26,Seguros_Oblig!$A$3:$B$55,2,FALSE))),(C83*(VLOOKUP(LeasingHab!$C$26,Seguros_Oblig!$A$3:$D$55,4,FALSE))))</f>
        <v>#VALUE!</v>
      </c>
      <c r="J84" s="10">
        <f t="shared" si="2"/>
        <v>0</v>
      </c>
      <c r="K84" s="7" t="e">
        <f>IF((C83-1)&lt;$E$19,0,Seguros_Oblig!$N$4*(LeasingNOFam!$C$12*90%))</f>
        <v>#VALUE!</v>
      </c>
      <c r="L84" s="7" t="e">
        <f>IF(B84&gt;LeasingNOFam!$C$18,0,PMT(LeasingNOFam!$E$17,LeasingNOFam!$C$18,-LeasingNOFam!$C$15,,)-PMT(LeasingNOFam!$E$17,LeasingNOFam!$C$18,-LeasingNOFam!$C$22)+LeasingNOFam!$C$22*LeasingNOFam!$E$17)</f>
        <v>#VALUE!</v>
      </c>
      <c r="M84" s="9" t="e">
        <f t="shared" si="3"/>
        <v>#VALUE!</v>
      </c>
      <c r="N84" s="7" t="e">
        <f>IF(C83&lt;1,"0",LeasingHab!$C$39)</f>
        <v>#VALUE!</v>
      </c>
      <c r="O84" s="9" t="e">
        <f t="shared" si="4"/>
        <v>#VALUE!</v>
      </c>
    </row>
    <row r="85" spans="2:15" ht="15.5" x14ac:dyDescent="0.35">
      <c r="B85" s="6" t="e">
        <f t="shared" si="5"/>
        <v>#VALUE!</v>
      </c>
      <c r="C85" s="7" t="e">
        <f t="shared" si="8"/>
        <v>#VALUE!</v>
      </c>
      <c r="D85" s="7" t="e">
        <f t="shared" si="9"/>
        <v>#VALUE!</v>
      </c>
      <c r="E85" s="7" t="e">
        <f>IF((C84-1)&lt;$E$19,0,C84*LeasingNOFam!$E$17)</f>
        <v>#VALUE!</v>
      </c>
      <c r="F85" s="8" t="e">
        <f>IF((C84-1)&lt;$E$19,"0",C84*Seguros_Oblig!$N$3)</f>
        <v>#VALUE!</v>
      </c>
      <c r="G85" s="8" t="e">
        <f>IF(LeasingHab!$C$10="TARIFA 1",(C84*(VLOOKUP(LeasingHab!$C$24,Seguros_Oblig!$A$3:$B$55,2,FALSE))),(C84*(VLOOKUP(LeasingHab!$C$24,Seguros_Oblig!$A$3:$D$55,4,FALSE))))</f>
        <v>#VALUE!</v>
      </c>
      <c r="H85" s="8" t="e">
        <f>IF(LeasingHab!$C$10="TARIFA 1",(C84*(VLOOKUP(LeasingHab!$C$25,Seguros_Oblig!$A$3:$B$55,2,FALSE))),(C84*(VLOOKUP(LeasingHab!$C$25,Seguros_Oblig!$A$3:$D$55,4,FALSE))))</f>
        <v>#VALUE!</v>
      </c>
      <c r="I85" s="8" t="e">
        <f>IF(LeasingHab!$C$10="TARIFA 1",(C84*(VLOOKUP(LeasingHab!$C$26,Seguros_Oblig!$A$3:$B$55,2,FALSE))),(C84*(VLOOKUP(LeasingHab!$C$26,Seguros_Oblig!$A$3:$D$55,4,FALSE))))</f>
        <v>#VALUE!</v>
      </c>
      <c r="J85" s="10">
        <f t="shared" si="2"/>
        <v>0</v>
      </c>
      <c r="K85" s="7" t="e">
        <f>IF((C84-1)&lt;$E$19,0,Seguros_Oblig!$N$4*(LeasingNOFam!$C$12*90%))</f>
        <v>#VALUE!</v>
      </c>
      <c r="L85" s="7" t="e">
        <f>IF(B85&gt;LeasingNOFam!$C$18,0,PMT(LeasingNOFam!$E$17,LeasingNOFam!$C$18,-LeasingNOFam!$C$15,,)-PMT(LeasingNOFam!$E$17,LeasingNOFam!$C$18,-LeasingNOFam!$C$22)+LeasingNOFam!$C$22*LeasingNOFam!$E$17)</f>
        <v>#VALUE!</v>
      </c>
      <c r="M85" s="9" t="e">
        <f t="shared" si="3"/>
        <v>#VALUE!</v>
      </c>
      <c r="N85" s="7" t="e">
        <f>IF(C84&lt;1,"0",LeasingHab!$C$39)</f>
        <v>#VALUE!</v>
      </c>
      <c r="O85" s="9" t="e">
        <f t="shared" si="4"/>
        <v>#VALUE!</v>
      </c>
    </row>
    <row r="86" spans="2:15" ht="15.5" x14ac:dyDescent="0.35">
      <c r="B86" s="6" t="e">
        <f t="shared" si="5"/>
        <v>#VALUE!</v>
      </c>
      <c r="C86" s="7" t="e">
        <f t="shared" si="8"/>
        <v>#VALUE!</v>
      </c>
      <c r="D86" s="7" t="e">
        <f t="shared" si="9"/>
        <v>#VALUE!</v>
      </c>
      <c r="E86" s="7" t="e">
        <f>IF((C85-1)&lt;$E$19,0,C85*LeasingNOFam!$E$17)</f>
        <v>#VALUE!</v>
      </c>
      <c r="F86" s="8" t="e">
        <f>IF((C85-1)&lt;$E$19,"0",C85*Seguros_Oblig!$N$3)</f>
        <v>#VALUE!</v>
      </c>
      <c r="G86" s="8" t="e">
        <f>IF(LeasingHab!$C$10="TARIFA 1",(C85*(VLOOKUP(LeasingHab!$C$24,Seguros_Oblig!$A$3:$B$55,2,FALSE))),(C85*(VLOOKUP(LeasingHab!$C$24,Seguros_Oblig!$A$3:$D$55,4,FALSE))))</f>
        <v>#VALUE!</v>
      </c>
      <c r="H86" s="8" t="e">
        <f>IF(LeasingHab!$C$10="TARIFA 1",(C85*(VLOOKUP(LeasingHab!$C$25,Seguros_Oblig!$A$3:$B$55,2,FALSE))),(C85*(VLOOKUP(LeasingHab!$C$25,Seguros_Oblig!$A$3:$D$55,4,FALSE))))</f>
        <v>#VALUE!</v>
      </c>
      <c r="I86" s="8" t="e">
        <f>IF(LeasingHab!$C$10="TARIFA 1",(C85*(VLOOKUP(LeasingHab!$C$26,Seguros_Oblig!$A$3:$B$55,2,FALSE))),(C85*(VLOOKUP(LeasingHab!$C$26,Seguros_Oblig!$A$3:$D$55,4,FALSE))))</f>
        <v>#VALUE!</v>
      </c>
      <c r="J86" s="10">
        <f t="shared" si="2"/>
        <v>0</v>
      </c>
      <c r="K86" s="7" t="e">
        <f>IF((C85-1)&lt;$E$19,0,Seguros_Oblig!$N$4*(LeasingNOFam!$C$12*90%))</f>
        <v>#VALUE!</v>
      </c>
      <c r="L86" s="7" t="e">
        <f>IF(B86&gt;LeasingNOFam!$C$18,0,PMT(LeasingNOFam!$E$17,LeasingNOFam!$C$18,-LeasingNOFam!$C$15,,)-PMT(LeasingNOFam!$E$17,LeasingNOFam!$C$18,-LeasingNOFam!$C$22)+LeasingNOFam!$C$22*LeasingNOFam!$E$17)</f>
        <v>#VALUE!</v>
      </c>
      <c r="M86" s="9" t="e">
        <f t="shared" si="3"/>
        <v>#VALUE!</v>
      </c>
      <c r="N86" s="7" t="e">
        <f>IF(C85&lt;1,"0",LeasingHab!$C$39)</f>
        <v>#VALUE!</v>
      </c>
      <c r="O86" s="9" t="e">
        <f t="shared" si="4"/>
        <v>#VALUE!</v>
      </c>
    </row>
    <row r="87" spans="2:15" ht="15.5" x14ac:dyDescent="0.35">
      <c r="B87" s="6" t="e">
        <f t="shared" si="5"/>
        <v>#VALUE!</v>
      </c>
      <c r="C87" s="7" t="e">
        <f t="shared" si="8"/>
        <v>#VALUE!</v>
      </c>
      <c r="D87" s="7" t="e">
        <f t="shared" si="9"/>
        <v>#VALUE!</v>
      </c>
      <c r="E87" s="7" t="e">
        <f>IF((C86-1)&lt;$E$19,0,C86*LeasingNOFam!$E$17)</f>
        <v>#VALUE!</v>
      </c>
      <c r="F87" s="8" t="e">
        <f>IF((C86-1)&lt;$E$19,"0",C86*Seguros_Oblig!$N$3)</f>
        <v>#VALUE!</v>
      </c>
      <c r="G87" s="8" t="e">
        <f>IF(LeasingHab!$C$10="TARIFA 1",(C86*(VLOOKUP(LeasingHab!$C$24,Seguros_Oblig!$A$3:$B$55,2,FALSE))),(C86*(VLOOKUP(LeasingHab!$C$24,Seguros_Oblig!$A$3:$D$55,4,FALSE))))</f>
        <v>#VALUE!</v>
      </c>
      <c r="H87" s="8" t="e">
        <f>IF(LeasingHab!$C$10="TARIFA 1",(C86*(VLOOKUP(LeasingHab!$C$25,Seguros_Oblig!$A$3:$B$55,2,FALSE))),(C86*(VLOOKUP(LeasingHab!$C$25,Seguros_Oblig!$A$3:$D$55,4,FALSE))))</f>
        <v>#VALUE!</v>
      </c>
      <c r="I87" s="8" t="e">
        <f>IF(LeasingHab!$C$10="TARIFA 1",(C86*(VLOOKUP(LeasingHab!$C$26,Seguros_Oblig!$A$3:$B$55,2,FALSE))),(C86*(VLOOKUP(LeasingHab!$C$26,Seguros_Oblig!$A$3:$D$55,4,FALSE))))</f>
        <v>#VALUE!</v>
      </c>
      <c r="J87" s="10">
        <f t="shared" ref="J87:J150" si="10">_xlfn.AGGREGATE(9,6,F87:I87)</f>
        <v>0</v>
      </c>
      <c r="K87" s="7" t="e">
        <f>IF((C86-1)&lt;$E$19,0,Seguros_Oblig!$N$4*(LeasingNOFam!$C$12*90%))</f>
        <v>#VALUE!</v>
      </c>
      <c r="L87" s="7" t="e">
        <f>IF(B87&gt;LeasingNOFam!$C$18,0,PMT(LeasingNOFam!$E$17,LeasingNOFam!$C$18,-LeasingNOFam!$C$15,,)-PMT(LeasingNOFam!$E$17,LeasingNOFam!$C$18,-LeasingNOFam!$C$22)+LeasingNOFam!$C$22*LeasingNOFam!$E$17)</f>
        <v>#VALUE!</v>
      </c>
      <c r="M87" s="9" t="e">
        <f t="shared" ref="M87:M150" si="11">K87+L87+J87</f>
        <v>#VALUE!</v>
      </c>
      <c r="N87" s="7" t="e">
        <f>IF(C86&lt;1,"0",LeasingHab!$C$39)</f>
        <v>#VALUE!</v>
      </c>
      <c r="O87" s="9" t="e">
        <f t="shared" ref="O87:O150" si="12">M87+N87</f>
        <v>#VALUE!</v>
      </c>
    </row>
    <row r="88" spans="2:15" ht="15.5" x14ac:dyDescent="0.35">
      <c r="B88" s="6" t="e">
        <f t="shared" si="5"/>
        <v>#VALUE!</v>
      </c>
      <c r="C88" s="7" t="e">
        <f t="shared" si="8"/>
        <v>#VALUE!</v>
      </c>
      <c r="D88" s="7" t="e">
        <f t="shared" si="9"/>
        <v>#VALUE!</v>
      </c>
      <c r="E88" s="7" t="e">
        <f>IF((C87-1)&lt;$E$19,0,C87*LeasingNOFam!$E$17)</f>
        <v>#VALUE!</v>
      </c>
      <c r="F88" s="8" t="e">
        <f>IF((C87-1)&lt;$E$19,"0",C87*Seguros_Oblig!$N$3)</f>
        <v>#VALUE!</v>
      </c>
      <c r="G88" s="8" t="e">
        <f>IF(LeasingHab!$C$10="TARIFA 1",(C87*(VLOOKUP(LeasingHab!$C$24,Seguros_Oblig!$A$3:$B$55,2,FALSE))),(C87*(VLOOKUP(LeasingHab!$C$24,Seguros_Oblig!$A$3:$D$55,4,FALSE))))</f>
        <v>#VALUE!</v>
      </c>
      <c r="H88" s="8" t="e">
        <f>IF(LeasingHab!$C$10="TARIFA 1",(C87*(VLOOKUP(LeasingHab!$C$25,Seguros_Oblig!$A$3:$B$55,2,FALSE))),(C87*(VLOOKUP(LeasingHab!$C$25,Seguros_Oblig!$A$3:$D$55,4,FALSE))))</f>
        <v>#VALUE!</v>
      </c>
      <c r="I88" s="8" t="e">
        <f>IF(LeasingHab!$C$10="TARIFA 1",(C87*(VLOOKUP(LeasingHab!$C$26,Seguros_Oblig!$A$3:$B$55,2,FALSE))),(C87*(VLOOKUP(LeasingHab!$C$26,Seguros_Oblig!$A$3:$D$55,4,FALSE))))</f>
        <v>#VALUE!</v>
      </c>
      <c r="J88" s="10">
        <f t="shared" si="10"/>
        <v>0</v>
      </c>
      <c r="K88" s="7" t="e">
        <f>IF((C87-1)&lt;$E$19,0,Seguros_Oblig!$N$4*(LeasingNOFam!$C$12*90%))</f>
        <v>#VALUE!</v>
      </c>
      <c r="L88" s="7" t="e">
        <f>IF(B88&gt;LeasingNOFam!$C$18,0,PMT(LeasingNOFam!$E$17,LeasingNOFam!$C$18,-LeasingNOFam!$C$15,,)-PMT(LeasingNOFam!$E$17,LeasingNOFam!$C$18,-LeasingNOFam!$C$22)+LeasingNOFam!$C$22*LeasingNOFam!$E$17)</f>
        <v>#VALUE!</v>
      </c>
      <c r="M88" s="9" t="e">
        <f t="shared" si="11"/>
        <v>#VALUE!</v>
      </c>
      <c r="N88" s="7" t="e">
        <f>IF(C87&lt;1,"0",LeasingHab!$C$39)</f>
        <v>#VALUE!</v>
      </c>
      <c r="O88" s="9" t="e">
        <f t="shared" si="12"/>
        <v>#VALUE!</v>
      </c>
    </row>
    <row r="89" spans="2:15" ht="15.5" x14ac:dyDescent="0.35">
      <c r="B89" s="6" t="e">
        <f t="shared" si="5"/>
        <v>#VALUE!</v>
      </c>
      <c r="C89" s="7" t="e">
        <f t="shared" si="8"/>
        <v>#VALUE!</v>
      </c>
      <c r="D89" s="7" t="e">
        <f t="shared" si="9"/>
        <v>#VALUE!</v>
      </c>
      <c r="E89" s="7" t="e">
        <f>IF((C88-1)&lt;$E$19,0,C88*LeasingNOFam!$E$17)</f>
        <v>#VALUE!</v>
      </c>
      <c r="F89" s="8" t="e">
        <f>IF((C88-1)&lt;$E$19,"0",C88*Seguros_Oblig!$N$3)</f>
        <v>#VALUE!</v>
      </c>
      <c r="G89" s="8" t="e">
        <f>IF(LeasingHab!$C$10="TARIFA 1",(C88*(VLOOKUP(LeasingHab!$C$24,Seguros_Oblig!$A$3:$B$55,2,FALSE))),(C88*(VLOOKUP(LeasingHab!$C$24,Seguros_Oblig!$A$3:$D$55,4,FALSE))))</f>
        <v>#VALUE!</v>
      </c>
      <c r="H89" s="8" t="e">
        <f>IF(LeasingHab!$C$10="TARIFA 1",(C88*(VLOOKUP(LeasingHab!$C$25,Seguros_Oblig!$A$3:$B$55,2,FALSE))),(C88*(VLOOKUP(LeasingHab!$C$25,Seguros_Oblig!$A$3:$D$55,4,FALSE))))</f>
        <v>#VALUE!</v>
      </c>
      <c r="I89" s="8" t="e">
        <f>IF(LeasingHab!$C$10="TARIFA 1",(C88*(VLOOKUP(LeasingHab!$C$26,Seguros_Oblig!$A$3:$B$55,2,FALSE))),(C88*(VLOOKUP(LeasingHab!$C$26,Seguros_Oblig!$A$3:$D$55,4,FALSE))))</f>
        <v>#VALUE!</v>
      </c>
      <c r="J89" s="10">
        <f t="shared" si="10"/>
        <v>0</v>
      </c>
      <c r="K89" s="7" t="e">
        <f>IF((C88-1)&lt;$E$19,0,Seguros_Oblig!$N$4*(LeasingNOFam!$C$12*90%))</f>
        <v>#VALUE!</v>
      </c>
      <c r="L89" s="7" t="e">
        <f>IF(B89&gt;LeasingNOFam!$C$18,0,PMT(LeasingNOFam!$E$17,LeasingNOFam!$C$18,-LeasingNOFam!$C$15,,)-PMT(LeasingNOFam!$E$17,LeasingNOFam!$C$18,-LeasingNOFam!$C$22)+LeasingNOFam!$C$22*LeasingNOFam!$E$17)</f>
        <v>#VALUE!</v>
      </c>
      <c r="M89" s="9" t="e">
        <f t="shared" si="11"/>
        <v>#VALUE!</v>
      </c>
      <c r="N89" s="7" t="e">
        <f>IF(C88&lt;1,"0",LeasingHab!$C$39)</f>
        <v>#VALUE!</v>
      </c>
      <c r="O89" s="9" t="e">
        <f t="shared" si="12"/>
        <v>#VALUE!</v>
      </c>
    </row>
    <row r="90" spans="2:15" ht="15.5" x14ac:dyDescent="0.35">
      <c r="B90" s="6" t="e">
        <f t="shared" si="5"/>
        <v>#VALUE!</v>
      </c>
      <c r="C90" s="7" t="e">
        <f t="shared" si="8"/>
        <v>#VALUE!</v>
      </c>
      <c r="D90" s="7" t="e">
        <f t="shared" si="9"/>
        <v>#VALUE!</v>
      </c>
      <c r="E90" s="7" t="e">
        <f>IF((C89-1)&lt;$E$19,0,C89*LeasingNOFam!$E$17)</f>
        <v>#VALUE!</v>
      </c>
      <c r="F90" s="8" t="e">
        <f>IF((C89-1)&lt;$E$19,"0",C89*Seguros_Oblig!$N$3)</f>
        <v>#VALUE!</v>
      </c>
      <c r="G90" s="8" t="e">
        <f>IF(LeasingHab!$C$10="TARIFA 1",(C89*(VLOOKUP(LeasingHab!$C$24,Seguros_Oblig!$A$3:$B$55,2,FALSE))),(C89*(VLOOKUP(LeasingHab!$C$24,Seguros_Oblig!$A$3:$D$55,4,FALSE))))</f>
        <v>#VALUE!</v>
      </c>
      <c r="H90" s="8" t="e">
        <f>IF(LeasingHab!$C$10="TARIFA 1",(C89*(VLOOKUP(LeasingHab!$C$25,Seguros_Oblig!$A$3:$B$55,2,FALSE))),(C89*(VLOOKUP(LeasingHab!$C$25,Seguros_Oblig!$A$3:$D$55,4,FALSE))))</f>
        <v>#VALUE!</v>
      </c>
      <c r="I90" s="8" t="e">
        <f>IF(LeasingHab!$C$10="TARIFA 1",(C89*(VLOOKUP(LeasingHab!$C$26,Seguros_Oblig!$A$3:$B$55,2,FALSE))),(C89*(VLOOKUP(LeasingHab!$C$26,Seguros_Oblig!$A$3:$D$55,4,FALSE))))</f>
        <v>#VALUE!</v>
      </c>
      <c r="J90" s="10">
        <f t="shared" si="10"/>
        <v>0</v>
      </c>
      <c r="K90" s="7" t="e">
        <f>IF((C89-1)&lt;$E$19,0,Seguros_Oblig!$N$4*(LeasingNOFam!$C$12*90%))</f>
        <v>#VALUE!</v>
      </c>
      <c r="L90" s="7" t="e">
        <f>IF(B90&gt;LeasingNOFam!$C$18,0,PMT(LeasingNOFam!$E$17,LeasingNOFam!$C$18,-LeasingNOFam!$C$15,,)-PMT(LeasingNOFam!$E$17,LeasingNOFam!$C$18,-LeasingNOFam!$C$22)+LeasingNOFam!$C$22*LeasingNOFam!$E$17)</f>
        <v>#VALUE!</v>
      </c>
      <c r="M90" s="9" t="e">
        <f t="shared" si="11"/>
        <v>#VALUE!</v>
      </c>
      <c r="N90" s="7" t="e">
        <f>IF(C89&lt;1,"0",LeasingHab!$C$39)</f>
        <v>#VALUE!</v>
      </c>
      <c r="O90" s="9" t="e">
        <f t="shared" si="12"/>
        <v>#VALUE!</v>
      </c>
    </row>
    <row r="91" spans="2:15" ht="15.5" x14ac:dyDescent="0.35">
      <c r="B91" s="6" t="e">
        <f t="shared" si="5"/>
        <v>#VALUE!</v>
      </c>
      <c r="C91" s="7" t="e">
        <f t="shared" si="8"/>
        <v>#VALUE!</v>
      </c>
      <c r="D91" s="7" t="e">
        <f t="shared" si="9"/>
        <v>#VALUE!</v>
      </c>
      <c r="E91" s="7" t="e">
        <f>IF((C90-1)&lt;$E$19,0,C90*LeasingNOFam!$E$17)</f>
        <v>#VALUE!</v>
      </c>
      <c r="F91" s="8" t="e">
        <f>IF((C90-1)&lt;$E$19,"0",C90*Seguros_Oblig!$N$3)</f>
        <v>#VALUE!</v>
      </c>
      <c r="G91" s="8" t="e">
        <f>IF(LeasingHab!$C$10="TARIFA 1",(C90*(VLOOKUP(LeasingHab!$C$24,Seguros_Oblig!$A$3:$B$55,2,FALSE))),(C90*(VLOOKUP(LeasingHab!$C$24,Seguros_Oblig!$A$3:$D$55,4,FALSE))))</f>
        <v>#VALUE!</v>
      </c>
      <c r="H91" s="8" t="e">
        <f>IF(LeasingHab!$C$10="TARIFA 1",(C90*(VLOOKUP(LeasingHab!$C$25,Seguros_Oblig!$A$3:$B$55,2,FALSE))),(C90*(VLOOKUP(LeasingHab!$C$25,Seguros_Oblig!$A$3:$D$55,4,FALSE))))</f>
        <v>#VALUE!</v>
      </c>
      <c r="I91" s="8" t="e">
        <f>IF(LeasingHab!$C$10="TARIFA 1",(C90*(VLOOKUP(LeasingHab!$C$26,Seguros_Oblig!$A$3:$B$55,2,FALSE))),(C90*(VLOOKUP(LeasingHab!$C$26,Seguros_Oblig!$A$3:$D$55,4,FALSE))))</f>
        <v>#VALUE!</v>
      </c>
      <c r="J91" s="10">
        <f t="shared" si="10"/>
        <v>0</v>
      </c>
      <c r="K91" s="7" t="e">
        <f>IF((C90-1)&lt;$E$19,0,Seguros_Oblig!$N$4*(LeasingNOFam!$C$12*90%))</f>
        <v>#VALUE!</v>
      </c>
      <c r="L91" s="7" t="e">
        <f>IF(B91&gt;LeasingNOFam!$C$18,0,PMT(LeasingNOFam!$E$17,LeasingNOFam!$C$18,-LeasingNOFam!$C$15,,)-PMT(LeasingNOFam!$E$17,LeasingNOFam!$C$18,-LeasingNOFam!$C$22)+LeasingNOFam!$C$22*LeasingNOFam!$E$17)</f>
        <v>#VALUE!</v>
      </c>
      <c r="M91" s="9" t="e">
        <f t="shared" si="11"/>
        <v>#VALUE!</v>
      </c>
      <c r="N91" s="7" t="e">
        <f>IF(C90&lt;1,"0",LeasingHab!$C$39)</f>
        <v>#VALUE!</v>
      </c>
      <c r="O91" s="9" t="e">
        <f t="shared" si="12"/>
        <v>#VALUE!</v>
      </c>
    </row>
    <row r="92" spans="2:15" ht="15.5" x14ac:dyDescent="0.35">
      <c r="B92" s="6" t="e">
        <f t="shared" ref="B92:B155" si="13">IF(C91&gt;1,B91+1," ")</f>
        <v>#VALUE!</v>
      </c>
      <c r="C92" s="7" t="e">
        <f t="shared" si="8"/>
        <v>#VALUE!</v>
      </c>
      <c r="D92" s="7" t="e">
        <f t="shared" si="9"/>
        <v>#VALUE!</v>
      </c>
      <c r="E92" s="7" t="e">
        <f>IF((C91-1)&lt;$E$19,0,C91*LeasingNOFam!$E$17)</f>
        <v>#VALUE!</v>
      </c>
      <c r="F92" s="8" t="e">
        <f>IF((C91-1)&lt;$E$19,"0",C91*Seguros_Oblig!$N$3)</f>
        <v>#VALUE!</v>
      </c>
      <c r="G92" s="8" t="e">
        <f>IF(LeasingHab!$C$10="TARIFA 1",(C91*(VLOOKUP(LeasingHab!$C$24,Seguros_Oblig!$A$3:$B$55,2,FALSE))),(C91*(VLOOKUP(LeasingHab!$C$24,Seguros_Oblig!$A$3:$D$55,4,FALSE))))</f>
        <v>#VALUE!</v>
      </c>
      <c r="H92" s="8" t="e">
        <f>IF(LeasingHab!$C$10="TARIFA 1",(C91*(VLOOKUP(LeasingHab!$C$25,Seguros_Oblig!$A$3:$B$55,2,FALSE))),(C91*(VLOOKUP(LeasingHab!$C$25,Seguros_Oblig!$A$3:$D$55,4,FALSE))))</f>
        <v>#VALUE!</v>
      </c>
      <c r="I92" s="8" t="e">
        <f>IF(LeasingHab!$C$10="TARIFA 1",(C91*(VLOOKUP(LeasingHab!$C$26,Seguros_Oblig!$A$3:$B$55,2,FALSE))),(C91*(VLOOKUP(LeasingHab!$C$26,Seguros_Oblig!$A$3:$D$55,4,FALSE))))</f>
        <v>#VALUE!</v>
      </c>
      <c r="J92" s="10">
        <f t="shared" si="10"/>
        <v>0</v>
      </c>
      <c r="K92" s="7" t="e">
        <f>IF((C91-1)&lt;$E$19,0,Seguros_Oblig!$N$4*(LeasingNOFam!$C$12*90%))</f>
        <v>#VALUE!</v>
      </c>
      <c r="L92" s="7" t="e">
        <f>IF(B92&gt;LeasingNOFam!$C$18,0,PMT(LeasingNOFam!$E$17,LeasingNOFam!$C$18,-LeasingNOFam!$C$15,,)-PMT(LeasingNOFam!$E$17,LeasingNOFam!$C$18,-LeasingNOFam!$C$22)+LeasingNOFam!$C$22*LeasingNOFam!$E$17)</f>
        <v>#VALUE!</v>
      </c>
      <c r="M92" s="9" t="e">
        <f t="shared" si="11"/>
        <v>#VALUE!</v>
      </c>
      <c r="N92" s="7" t="e">
        <f>IF(C91&lt;1,"0",LeasingHab!$C$39)</f>
        <v>#VALUE!</v>
      </c>
      <c r="O92" s="9" t="e">
        <f t="shared" si="12"/>
        <v>#VALUE!</v>
      </c>
    </row>
    <row r="93" spans="2:15" ht="15.5" x14ac:dyDescent="0.35">
      <c r="B93" s="6" t="e">
        <f t="shared" si="13"/>
        <v>#VALUE!</v>
      </c>
      <c r="C93" s="7" t="e">
        <f t="shared" si="8"/>
        <v>#VALUE!</v>
      </c>
      <c r="D93" s="7" t="e">
        <f t="shared" si="9"/>
        <v>#VALUE!</v>
      </c>
      <c r="E93" s="7" t="e">
        <f>IF((C92-1)&lt;$E$19,0,C92*LeasingNOFam!$E$17)</f>
        <v>#VALUE!</v>
      </c>
      <c r="F93" s="8" t="e">
        <f>IF((C92-1)&lt;$E$19,"0",C92*Seguros_Oblig!$N$3)</f>
        <v>#VALUE!</v>
      </c>
      <c r="G93" s="8" t="e">
        <f>IF(LeasingHab!$C$10="TARIFA 1",(C92*(VLOOKUP(LeasingHab!$C$24,Seguros_Oblig!$A$3:$B$55,2,FALSE))),(C92*(VLOOKUP(LeasingHab!$C$24,Seguros_Oblig!$A$3:$D$55,4,FALSE))))</f>
        <v>#VALUE!</v>
      </c>
      <c r="H93" s="8" t="e">
        <f>IF(LeasingHab!$C$10="TARIFA 1",(C92*(VLOOKUP(LeasingHab!$C$25,Seguros_Oblig!$A$3:$B$55,2,FALSE))),(C92*(VLOOKUP(LeasingHab!$C$25,Seguros_Oblig!$A$3:$D$55,4,FALSE))))</f>
        <v>#VALUE!</v>
      </c>
      <c r="I93" s="8" t="e">
        <f>IF(LeasingHab!$C$10="TARIFA 1",(C92*(VLOOKUP(LeasingHab!$C$26,Seguros_Oblig!$A$3:$B$55,2,FALSE))),(C92*(VLOOKUP(LeasingHab!$C$26,Seguros_Oblig!$A$3:$D$55,4,FALSE))))</f>
        <v>#VALUE!</v>
      </c>
      <c r="J93" s="10">
        <f t="shared" si="10"/>
        <v>0</v>
      </c>
      <c r="K93" s="7" t="e">
        <f>IF((C92-1)&lt;$E$19,0,Seguros_Oblig!$N$4*(LeasingNOFam!$C$12*90%))</f>
        <v>#VALUE!</v>
      </c>
      <c r="L93" s="7" t="e">
        <f>IF(B93&gt;LeasingNOFam!$C$18,0,PMT(LeasingNOFam!$E$17,LeasingNOFam!$C$18,-LeasingNOFam!$C$15,,)-PMT(LeasingNOFam!$E$17,LeasingNOFam!$C$18,-LeasingNOFam!$C$22)+LeasingNOFam!$C$22*LeasingNOFam!$E$17)</f>
        <v>#VALUE!</v>
      </c>
      <c r="M93" s="9" t="e">
        <f t="shared" si="11"/>
        <v>#VALUE!</v>
      </c>
      <c r="N93" s="7" t="e">
        <f>IF(C92&lt;1,"0",LeasingHab!$C$39)</f>
        <v>#VALUE!</v>
      </c>
      <c r="O93" s="9" t="e">
        <f t="shared" si="12"/>
        <v>#VALUE!</v>
      </c>
    </row>
    <row r="94" spans="2:15" ht="15.5" x14ac:dyDescent="0.35">
      <c r="B94" s="6" t="e">
        <f t="shared" si="13"/>
        <v>#VALUE!</v>
      </c>
      <c r="C94" s="7" t="e">
        <f t="shared" si="8"/>
        <v>#VALUE!</v>
      </c>
      <c r="D94" s="7" t="e">
        <f t="shared" si="9"/>
        <v>#VALUE!</v>
      </c>
      <c r="E94" s="7" t="e">
        <f>IF((C93-1)&lt;$E$19,0,C93*LeasingNOFam!$E$17)</f>
        <v>#VALUE!</v>
      </c>
      <c r="F94" s="8" t="e">
        <f>IF((C93-1)&lt;$E$19,"0",C93*Seguros_Oblig!$N$3)</f>
        <v>#VALUE!</v>
      </c>
      <c r="G94" s="8" t="e">
        <f>IF(LeasingHab!$C$10="TARIFA 1",(C93*(VLOOKUP(LeasingHab!$C$24,Seguros_Oblig!$A$3:$B$55,2,FALSE))),(C93*(VLOOKUP(LeasingHab!$C$24,Seguros_Oblig!$A$3:$D$55,4,FALSE))))</f>
        <v>#VALUE!</v>
      </c>
      <c r="H94" s="8" t="e">
        <f>IF(LeasingHab!$C$10="TARIFA 1",(C93*(VLOOKUP(LeasingHab!$C$25,Seguros_Oblig!$A$3:$B$55,2,FALSE))),(C93*(VLOOKUP(LeasingHab!$C$25,Seguros_Oblig!$A$3:$D$55,4,FALSE))))</f>
        <v>#VALUE!</v>
      </c>
      <c r="I94" s="8" t="e">
        <f>IF(LeasingHab!$C$10="TARIFA 1",(C93*(VLOOKUP(LeasingHab!$C$26,Seguros_Oblig!$A$3:$B$55,2,FALSE))),(C93*(VLOOKUP(LeasingHab!$C$26,Seguros_Oblig!$A$3:$D$55,4,FALSE))))</f>
        <v>#VALUE!</v>
      </c>
      <c r="J94" s="10">
        <f t="shared" si="10"/>
        <v>0</v>
      </c>
      <c r="K94" s="7" t="e">
        <f>IF((C93-1)&lt;$E$19,0,Seguros_Oblig!$N$4*(LeasingNOFam!$C$12*90%))</f>
        <v>#VALUE!</v>
      </c>
      <c r="L94" s="7" t="e">
        <f>IF(B94&gt;LeasingNOFam!$C$18,0,PMT(LeasingNOFam!$E$17,LeasingNOFam!$C$18,-LeasingNOFam!$C$15,,)-PMT(LeasingNOFam!$E$17,LeasingNOFam!$C$18,-LeasingNOFam!$C$22)+LeasingNOFam!$C$22*LeasingNOFam!$E$17)</f>
        <v>#VALUE!</v>
      </c>
      <c r="M94" s="9" t="e">
        <f t="shared" si="11"/>
        <v>#VALUE!</v>
      </c>
      <c r="N94" s="7" t="e">
        <f>IF(C93&lt;1,"0",LeasingHab!$C$39)</f>
        <v>#VALUE!</v>
      </c>
      <c r="O94" s="9" t="e">
        <f t="shared" si="12"/>
        <v>#VALUE!</v>
      </c>
    </row>
    <row r="95" spans="2:15" ht="15.5" x14ac:dyDescent="0.35">
      <c r="B95" s="6" t="e">
        <f t="shared" si="13"/>
        <v>#VALUE!</v>
      </c>
      <c r="C95" s="7" t="e">
        <f t="shared" si="8"/>
        <v>#VALUE!</v>
      </c>
      <c r="D95" s="7" t="e">
        <f t="shared" si="9"/>
        <v>#VALUE!</v>
      </c>
      <c r="E95" s="7" t="e">
        <f>IF((C94-1)&lt;$E$19,0,C94*LeasingNOFam!$E$17)</f>
        <v>#VALUE!</v>
      </c>
      <c r="F95" s="8" t="e">
        <f>IF((C94-1)&lt;$E$19,"0",C94*Seguros_Oblig!$N$3)</f>
        <v>#VALUE!</v>
      </c>
      <c r="G95" s="8" t="e">
        <f>IF(LeasingHab!$C$10="TARIFA 1",(C94*(VLOOKUP(LeasingHab!$C$24,Seguros_Oblig!$A$3:$B$55,2,FALSE))),(C94*(VLOOKUP(LeasingHab!$C$24,Seguros_Oblig!$A$3:$D$55,4,FALSE))))</f>
        <v>#VALUE!</v>
      </c>
      <c r="H95" s="8" t="e">
        <f>IF(LeasingHab!$C$10="TARIFA 1",(C94*(VLOOKUP(LeasingHab!$C$25,Seguros_Oblig!$A$3:$B$55,2,FALSE))),(C94*(VLOOKUP(LeasingHab!$C$25,Seguros_Oblig!$A$3:$D$55,4,FALSE))))</f>
        <v>#VALUE!</v>
      </c>
      <c r="I95" s="8" t="e">
        <f>IF(LeasingHab!$C$10="TARIFA 1",(C94*(VLOOKUP(LeasingHab!$C$26,Seguros_Oblig!$A$3:$B$55,2,FALSE))),(C94*(VLOOKUP(LeasingHab!$C$26,Seguros_Oblig!$A$3:$D$55,4,FALSE))))</f>
        <v>#VALUE!</v>
      </c>
      <c r="J95" s="10">
        <f t="shared" si="10"/>
        <v>0</v>
      </c>
      <c r="K95" s="7" t="e">
        <f>IF((C94-1)&lt;$E$19,0,Seguros_Oblig!$N$4*(LeasingNOFam!$C$12*90%))</f>
        <v>#VALUE!</v>
      </c>
      <c r="L95" s="7" t="e">
        <f>IF(B95&gt;LeasingNOFam!$C$18,0,PMT(LeasingNOFam!$E$17,LeasingNOFam!$C$18,-LeasingNOFam!$C$15,,)-PMT(LeasingNOFam!$E$17,LeasingNOFam!$C$18,-LeasingNOFam!$C$22)+LeasingNOFam!$C$22*LeasingNOFam!$E$17)</f>
        <v>#VALUE!</v>
      </c>
      <c r="M95" s="9" t="e">
        <f t="shared" si="11"/>
        <v>#VALUE!</v>
      </c>
      <c r="N95" s="7" t="e">
        <f>IF(C94&lt;1,"0",LeasingHab!$C$39)</f>
        <v>#VALUE!</v>
      </c>
      <c r="O95" s="9" t="e">
        <f t="shared" si="12"/>
        <v>#VALUE!</v>
      </c>
    </row>
    <row r="96" spans="2:15" ht="15.5" x14ac:dyDescent="0.35">
      <c r="B96" s="6" t="e">
        <f t="shared" si="13"/>
        <v>#VALUE!</v>
      </c>
      <c r="C96" s="7" t="e">
        <f t="shared" si="8"/>
        <v>#VALUE!</v>
      </c>
      <c r="D96" s="7" t="e">
        <f t="shared" si="9"/>
        <v>#VALUE!</v>
      </c>
      <c r="E96" s="7" t="e">
        <f>IF((C95-1)&lt;$E$19,0,C95*LeasingNOFam!$E$17)</f>
        <v>#VALUE!</v>
      </c>
      <c r="F96" s="8" t="e">
        <f>IF((C95-1)&lt;$E$19,"0",C95*Seguros_Oblig!$N$3)</f>
        <v>#VALUE!</v>
      </c>
      <c r="G96" s="8" t="e">
        <f>IF(LeasingHab!$C$10="TARIFA 1",(C95*(VLOOKUP(LeasingHab!$C$24,Seguros_Oblig!$A$3:$B$55,2,FALSE))),(C95*(VLOOKUP(LeasingHab!$C$24,Seguros_Oblig!$A$3:$D$55,4,FALSE))))</f>
        <v>#VALUE!</v>
      </c>
      <c r="H96" s="8" t="e">
        <f>IF(LeasingHab!$C$10="TARIFA 1",(C95*(VLOOKUP(LeasingHab!$C$25,Seguros_Oblig!$A$3:$B$55,2,FALSE))),(C95*(VLOOKUP(LeasingHab!$C$25,Seguros_Oblig!$A$3:$D$55,4,FALSE))))</f>
        <v>#VALUE!</v>
      </c>
      <c r="I96" s="8" t="e">
        <f>IF(LeasingHab!$C$10="TARIFA 1",(C95*(VLOOKUP(LeasingHab!$C$26,Seguros_Oblig!$A$3:$B$55,2,FALSE))),(C95*(VLOOKUP(LeasingHab!$C$26,Seguros_Oblig!$A$3:$D$55,4,FALSE))))</f>
        <v>#VALUE!</v>
      </c>
      <c r="J96" s="10">
        <f t="shared" si="10"/>
        <v>0</v>
      </c>
      <c r="K96" s="7" t="e">
        <f>IF((C95-1)&lt;$E$19,0,Seguros_Oblig!$N$4*(LeasingNOFam!$C$12*90%))</f>
        <v>#VALUE!</v>
      </c>
      <c r="L96" s="7" t="e">
        <f>IF(B96&gt;LeasingNOFam!$C$18,0,PMT(LeasingNOFam!$E$17,LeasingNOFam!$C$18,-LeasingNOFam!$C$15,,)-PMT(LeasingNOFam!$E$17,LeasingNOFam!$C$18,-LeasingNOFam!$C$22)+LeasingNOFam!$C$22*LeasingNOFam!$E$17)</f>
        <v>#VALUE!</v>
      </c>
      <c r="M96" s="9" t="e">
        <f t="shared" si="11"/>
        <v>#VALUE!</v>
      </c>
      <c r="N96" s="7" t="e">
        <f>IF(C95&lt;1,"0",LeasingHab!$C$39)</f>
        <v>#VALUE!</v>
      </c>
      <c r="O96" s="9" t="e">
        <f t="shared" si="12"/>
        <v>#VALUE!</v>
      </c>
    </row>
    <row r="97" spans="2:15" ht="15.5" x14ac:dyDescent="0.35">
      <c r="B97" s="6" t="e">
        <f t="shared" si="13"/>
        <v>#VALUE!</v>
      </c>
      <c r="C97" s="7" t="e">
        <f t="shared" si="8"/>
        <v>#VALUE!</v>
      </c>
      <c r="D97" s="7" t="e">
        <f t="shared" si="9"/>
        <v>#VALUE!</v>
      </c>
      <c r="E97" s="7" t="e">
        <f>IF((C96-1)&lt;$E$19,0,C96*LeasingNOFam!$E$17)</f>
        <v>#VALUE!</v>
      </c>
      <c r="F97" s="8" t="e">
        <f>IF((C96-1)&lt;$E$19,"0",C96*Seguros_Oblig!$N$3)</f>
        <v>#VALUE!</v>
      </c>
      <c r="G97" s="8" t="e">
        <f>IF(LeasingHab!$C$10="TARIFA 1",(C96*(VLOOKUP(LeasingHab!$C$24,Seguros_Oblig!$A$3:$B$55,2,FALSE))),(C96*(VLOOKUP(LeasingHab!$C$24,Seguros_Oblig!$A$3:$D$55,4,FALSE))))</f>
        <v>#VALUE!</v>
      </c>
      <c r="H97" s="8" t="e">
        <f>IF(LeasingHab!$C$10="TARIFA 1",(C96*(VLOOKUP(LeasingHab!$C$25,Seguros_Oblig!$A$3:$B$55,2,FALSE))),(C96*(VLOOKUP(LeasingHab!$C$25,Seguros_Oblig!$A$3:$D$55,4,FALSE))))</f>
        <v>#VALUE!</v>
      </c>
      <c r="I97" s="8" t="e">
        <f>IF(LeasingHab!$C$10="TARIFA 1",(C96*(VLOOKUP(LeasingHab!$C$26,Seguros_Oblig!$A$3:$B$55,2,FALSE))),(C96*(VLOOKUP(LeasingHab!$C$26,Seguros_Oblig!$A$3:$D$55,4,FALSE))))</f>
        <v>#VALUE!</v>
      </c>
      <c r="J97" s="10">
        <f t="shared" si="10"/>
        <v>0</v>
      </c>
      <c r="K97" s="7" t="e">
        <f>IF((C96-1)&lt;$E$19,0,Seguros_Oblig!$N$4*(LeasingNOFam!$C$12*90%))</f>
        <v>#VALUE!</v>
      </c>
      <c r="L97" s="7" t="e">
        <f>IF(B97&gt;LeasingNOFam!$C$18,0,PMT(LeasingNOFam!$E$17,LeasingNOFam!$C$18,-LeasingNOFam!$C$15,,)-PMT(LeasingNOFam!$E$17,LeasingNOFam!$C$18,-LeasingNOFam!$C$22)+LeasingNOFam!$C$22*LeasingNOFam!$E$17)</f>
        <v>#VALUE!</v>
      </c>
      <c r="M97" s="9" t="e">
        <f t="shared" si="11"/>
        <v>#VALUE!</v>
      </c>
      <c r="N97" s="7" t="e">
        <f>IF(C96&lt;1,"0",LeasingHab!$C$39)</f>
        <v>#VALUE!</v>
      </c>
      <c r="O97" s="9" t="e">
        <f t="shared" si="12"/>
        <v>#VALUE!</v>
      </c>
    </row>
    <row r="98" spans="2:15" ht="15.5" x14ac:dyDescent="0.35">
      <c r="B98" s="6" t="e">
        <f t="shared" si="13"/>
        <v>#VALUE!</v>
      </c>
      <c r="C98" s="7" t="e">
        <f t="shared" si="8"/>
        <v>#VALUE!</v>
      </c>
      <c r="D98" s="7" t="e">
        <f t="shared" si="9"/>
        <v>#VALUE!</v>
      </c>
      <c r="E98" s="7" t="e">
        <f>IF((C97-1)&lt;$E$19,0,C97*LeasingNOFam!$E$17)</f>
        <v>#VALUE!</v>
      </c>
      <c r="F98" s="8" t="e">
        <f>IF((C97-1)&lt;$E$19,"0",C97*Seguros_Oblig!$N$3)</f>
        <v>#VALUE!</v>
      </c>
      <c r="G98" s="8" t="e">
        <f>IF(LeasingHab!$C$10="TARIFA 1",(C97*(VLOOKUP(LeasingHab!$C$24,Seguros_Oblig!$A$3:$B$55,2,FALSE))),(C97*(VLOOKUP(LeasingHab!$C$24,Seguros_Oblig!$A$3:$D$55,4,FALSE))))</f>
        <v>#VALUE!</v>
      </c>
      <c r="H98" s="8" t="e">
        <f>IF(LeasingHab!$C$10="TARIFA 1",(C97*(VLOOKUP(LeasingHab!$C$25,Seguros_Oblig!$A$3:$B$55,2,FALSE))),(C97*(VLOOKUP(LeasingHab!$C$25,Seguros_Oblig!$A$3:$D$55,4,FALSE))))</f>
        <v>#VALUE!</v>
      </c>
      <c r="I98" s="8" t="e">
        <f>IF(LeasingHab!$C$10="TARIFA 1",(C97*(VLOOKUP(LeasingHab!$C$26,Seguros_Oblig!$A$3:$B$55,2,FALSE))),(C97*(VLOOKUP(LeasingHab!$C$26,Seguros_Oblig!$A$3:$D$55,4,FALSE))))</f>
        <v>#VALUE!</v>
      </c>
      <c r="J98" s="10">
        <f t="shared" si="10"/>
        <v>0</v>
      </c>
      <c r="K98" s="7" t="e">
        <f>IF((C97-1)&lt;$E$19,0,Seguros_Oblig!$N$4*(LeasingNOFam!$C$12*90%))</f>
        <v>#VALUE!</v>
      </c>
      <c r="L98" s="7" t="e">
        <f>IF(B98&gt;LeasingNOFam!$C$18,0,PMT(LeasingNOFam!$E$17,LeasingNOFam!$C$18,-LeasingNOFam!$C$15,,)-PMT(LeasingNOFam!$E$17,LeasingNOFam!$C$18,-LeasingNOFam!$C$22)+LeasingNOFam!$C$22*LeasingNOFam!$E$17)</f>
        <v>#VALUE!</v>
      </c>
      <c r="M98" s="9" t="e">
        <f t="shared" si="11"/>
        <v>#VALUE!</v>
      </c>
      <c r="N98" s="7" t="e">
        <f>IF(C97&lt;1,"0",LeasingHab!$C$39)</f>
        <v>#VALUE!</v>
      </c>
      <c r="O98" s="9" t="e">
        <f t="shared" si="12"/>
        <v>#VALUE!</v>
      </c>
    </row>
    <row r="99" spans="2:15" ht="15.5" x14ac:dyDescent="0.35">
      <c r="B99" s="6" t="e">
        <f t="shared" si="13"/>
        <v>#VALUE!</v>
      </c>
      <c r="C99" s="7" t="e">
        <f t="shared" si="8"/>
        <v>#VALUE!</v>
      </c>
      <c r="D99" s="7" t="e">
        <f t="shared" si="9"/>
        <v>#VALUE!</v>
      </c>
      <c r="E99" s="7" t="e">
        <f>IF((C98-1)&lt;$E$19,0,C98*LeasingNOFam!$E$17)</f>
        <v>#VALUE!</v>
      </c>
      <c r="F99" s="8" t="e">
        <f>IF((C98-1)&lt;$E$19,"0",C98*Seguros_Oblig!$N$3)</f>
        <v>#VALUE!</v>
      </c>
      <c r="G99" s="8" t="e">
        <f>IF(LeasingHab!$C$10="TARIFA 1",(C98*(VLOOKUP(LeasingHab!$C$24,Seguros_Oblig!$A$3:$B$55,2,FALSE))),(C98*(VLOOKUP(LeasingHab!$C$24,Seguros_Oblig!$A$3:$D$55,4,FALSE))))</f>
        <v>#VALUE!</v>
      </c>
      <c r="H99" s="8" t="e">
        <f>IF(LeasingHab!$C$10="TARIFA 1",(C98*(VLOOKUP(LeasingHab!$C$25,Seguros_Oblig!$A$3:$B$55,2,FALSE))),(C98*(VLOOKUP(LeasingHab!$C$25,Seguros_Oblig!$A$3:$D$55,4,FALSE))))</f>
        <v>#VALUE!</v>
      </c>
      <c r="I99" s="8" t="e">
        <f>IF(LeasingHab!$C$10="TARIFA 1",(C98*(VLOOKUP(LeasingHab!$C$26,Seguros_Oblig!$A$3:$B$55,2,FALSE))),(C98*(VLOOKUP(LeasingHab!$C$26,Seguros_Oblig!$A$3:$D$55,4,FALSE))))</f>
        <v>#VALUE!</v>
      </c>
      <c r="J99" s="10">
        <f t="shared" si="10"/>
        <v>0</v>
      </c>
      <c r="K99" s="7" t="e">
        <f>IF((C98-1)&lt;$E$19,0,Seguros_Oblig!$N$4*(LeasingNOFam!$C$12*90%))</f>
        <v>#VALUE!</v>
      </c>
      <c r="L99" s="7" t="e">
        <f>IF(B99&gt;LeasingNOFam!$C$18,0,PMT(LeasingNOFam!$E$17,LeasingNOFam!$C$18,-LeasingNOFam!$C$15,,)-PMT(LeasingNOFam!$E$17,LeasingNOFam!$C$18,-LeasingNOFam!$C$22)+LeasingNOFam!$C$22*LeasingNOFam!$E$17)</f>
        <v>#VALUE!</v>
      </c>
      <c r="M99" s="9" t="e">
        <f t="shared" si="11"/>
        <v>#VALUE!</v>
      </c>
      <c r="N99" s="7" t="e">
        <f>IF(C98&lt;1,"0",LeasingHab!$C$39)</f>
        <v>#VALUE!</v>
      </c>
      <c r="O99" s="9" t="e">
        <f t="shared" si="12"/>
        <v>#VALUE!</v>
      </c>
    </row>
    <row r="100" spans="2:15" ht="15.5" x14ac:dyDescent="0.35">
      <c r="B100" s="6" t="e">
        <f t="shared" si="13"/>
        <v>#VALUE!</v>
      </c>
      <c r="C100" s="7" t="e">
        <f t="shared" si="8"/>
        <v>#VALUE!</v>
      </c>
      <c r="D100" s="7" t="e">
        <f t="shared" si="9"/>
        <v>#VALUE!</v>
      </c>
      <c r="E100" s="7" t="e">
        <f>IF((C99-1)&lt;$E$19,0,C99*LeasingNOFam!$E$17)</f>
        <v>#VALUE!</v>
      </c>
      <c r="F100" s="8" t="e">
        <f>IF((C99-1)&lt;$E$19,"0",C99*Seguros_Oblig!$N$3)</f>
        <v>#VALUE!</v>
      </c>
      <c r="G100" s="8" t="e">
        <f>IF(LeasingHab!$C$10="TARIFA 1",(C99*(VLOOKUP(LeasingHab!$C$24,Seguros_Oblig!$A$3:$B$55,2,FALSE))),(C99*(VLOOKUP(LeasingHab!$C$24,Seguros_Oblig!$A$3:$D$55,4,FALSE))))</f>
        <v>#VALUE!</v>
      </c>
      <c r="H100" s="8" t="e">
        <f>IF(LeasingHab!$C$10="TARIFA 1",(C99*(VLOOKUP(LeasingHab!$C$25,Seguros_Oblig!$A$3:$B$55,2,FALSE))),(C99*(VLOOKUP(LeasingHab!$C$25,Seguros_Oblig!$A$3:$D$55,4,FALSE))))</f>
        <v>#VALUE!</v>
      </c>
      <c r="I100" s="8" t="e">
        <f>IF(LeasingHab!$C$10="TARIFA 1",(C99*(VLOOKUP(LeasingHab!$C$26,Seguros_Oblig!$A$3:$B$55,2,FALSE))),(C99*(VLOOKUP(LeasingHab!$C$26,Seguros_Oblig!$A$3:$D$55,4,FALSE))))</f>
        <v>#VALUE!</v>
      </c>
      <c r="J100" s="10">
        <f t="shared" si="10"/>
        <v>0</v>
      </c>
      <c r="K100" s="7" t="e">
        <f>IF((C99-1)&lt;$E$19,0,Seguros_Oblig!$N$4*(LeasingNOFam!$C$12*90%))</f>
        <v>#VALUE!</v>
      </c>
      <c r="L100" s="7" t="e">
        <f>IF(B100&gt;LeasingNOFam!$C$18,0,PMT(LeasingNOFam!$E$17,LeasingNOFam!$C$18,-LeasingNOFam!$C$15,,)-PMT(LeasingNOFam!$E$17,LeasingNOFam!$C$18,-LeasingNOFam!$C$22)+LeasingNOFam!$C$22*LeasingNOFam!$E$17)</f>
        <v>#VALUE!</v>
      </c>
      <c r="M100" s="9" t="e">
        <f t="shared" si="11"/>
        <v>#VALUE!</v>
      </c>
      <c r="N100" s="7" t="e">
        <f>IF(C99&lt;1,"0",LeasingHab!$C$39)</f>
        <v>#VALUE!</v>
      </c>
      <c r="O100" s="9" t="e">
        <f t="shared" si="12"/>
        <v>#VALUE!</v>
      </c>
    </row>
    <row r="101" spans="2:15" ht="15.5" x14ac:dyDescent="0.35">
      <c r="B101" s="6" t="e">
        <f t="shared" si="13"/>
        <v>#VALUE!</v>
      </c>
      <c r="C101" s="7" t="e">
        <f t="shared" si="8"/>
        <v>#VALUE!</v>
      </c>
      <c r="D101" s="7" t="e">
        <f t="shared" si="9"/>
        <v>#VALUE!</v>
      </c>
      <c r="E101" s="7" t="e">
        <f>IF((C100-1)&lt;$E$19,0,C100*LeasingNOFam!$E$17)</f>
        <v>#VALUE!</v>
      </c>
      <c r="F101" s="8" t="e">
        <f>IF((C100-1)&lt;$E$19,"0",C100*Seguros_Oblig!$N$3)</f>
        <v>#VALUE!</v>
      </c>
      <c r="G101" s="8" t="e">
        <f>IF(LeasingHab!$C$10="TARIFA 1",(C100*(VLOOKUP(LeasingHab!$C$24,Seguros_Oblig!$A$3:$B$55,2,FALSE))),(C100*(VLOOKUP(LeasingHab!$C$24,Seguros_Oblig!$A$3:$D$55,4,FALSE))))</f>
        <v>#VALUE!</v>
      </c>
      <c r="H101" s="8" t="e">
        <f>IF(LeasingHab!$C$10="TARIFA 1",(C100*(VLOOKUP(LeasingHab!$C$25,Seguros_Oblig!$A$3:$B$55,2,FALSE))),(C100*(VLOOKUP(LeasingHab!$C$25,Seguros_Oblig!$A$3:$D$55,4,FALSE))))</f>
        <v>#VALUE!</v>
      </c>
      <c r="I101" s="8" t="e">
        <f>IF(LeasingHab!$C$10="TARIFA 1",(C100*(VLOOKUP(LeasingHab!$C$26,Seguros_Oblig!$A$3:$B$55,2,FALSE))),(C100*(VLOOKUP(LeasingHab!$C$26,Seguros_Oblig!$A$3:$D$55,4,FALSE))))</f>
        <v>#VALUE!</v>
      </c>
      <c r="J101" s="10">
        <f t="shared" si="10"/>
        <v>0</v>
      </c>
      <c r="K101" s="7" t="e">
        <f>IF((C100-1)&lt;$E$19,0,Seguros_Oblig!$N$4*(LeasingNOFam!$C$12*90%))</f>
        <v>#VALUE!</v>
      </c>
      <c r="L101" s="7" t="e">
        <f>IF(B101&gt;LeasingNOFam!$C$18,0,PMT(LeasingNOFam!$E$17,LeasingNOFam!$C$18,-LeasingNOFam!$C$15,,)-PMT(LeasingNOFam!$E$17,LeasingNOFam!$C$18,-LeasingNOFam!$C$22)+LeasingNOFam!$C$22*LeasingNOFam!$E$17)</f>
        <v>#VALUE!</v>
      </c>
      <c r="M101" s="9" t="e">
        <f t="shared" si="11"/>
        <v>#VALUE!</v>
      </c>
      <c r="N101" s="7" t="e">
        <f>IF(C100&lt;1,"0",LeasingHab!$C$39)</f>
        <v>#VALUE!</v>
      </c>
      <c r="O101" s="9" t="e">
        <f t="shared" si="12"/>
        <v>#VALUE!</v>
      </c>
    </row>
    <row r="102" spans="2:15" ht="15.5" x14ac:dyDescent="0.35">
      <c r="B102" s="6" t="e">
        <f t="shared" si="13"/>
        <v>#VALUE!</v>
      </c>
      <c r="C102" s="7" t="e">
        <f t="shared" si="8"/>
        <v>#VALUE!</v>
      </c>
      <c r="D102" s="7" t="e">
        <f t="shared" si="9"/>
        <v>#VALUE!</v>
      </c>
      <c r="E102" s="7" t="e">
        <f>IF((C101-1)&lt;$E$19,0,C101*LeasingNOFam!$E$17)</f>
        <v>#VALUE!</v>
      </c>
      <c r="F102" s="8" t="e">
        <f>IF((C101-1)&lt;$E$19,"0",C101*Seguros_Oblig!$N$3)</f>
        <v>#VALUE!</v>
      </c>
      <c r="G102" s="8" t="e">
        <f>IF(LeasingHab!$C$10="TARIFA 1",(C101*(VLOOKUP(LeasingHab!$C$24,Seguros_Oblig!$A$3:$B$55,2,FALSE))),(C101*(VLOOKUP(LeasingHab!$C$24,Seguros_Oblig!$A$3:$D$55,4,FALSE))))</f>
        <v>#VALUE!</v>
      </c>
      <c r="H102" s="8" t="e">
        <f>IF(LeasingHab!$C$10="TARIFA 1",(C101*(VLOOKUP(LeasingHab!$C$25,Seguros_Oblig!$A$3:$B$55,2,FALSE))),(C101*(VLOOKUP(LeasingHab!$C$25,Seguros_Oblig!$A$3:$D$55,4,FALSE))))</f>
        <v>#VALUE!</v>
      </c>
      <c r="I102" s="8" t="e">
        <f>IF(LeasingHab!$C$10="TARIFA 1",(C101*(VLOOKUP(LeasingHab!$C$26,Seguros_Oblig!$A$3:$B$55,2,FALSE))),(C101*(VLOOKUP(LeasingHab!$C$26,Seguros_Oblig!$A$3:$D$55,4,FALSE))))</f>
        <v>#VALUE!</v>
      </c>
      <c r="J102" s="10">
        <f t="shared" si="10"/>
        <v>0</v>
      </c>
      <c r="K102" s="7" t="e">
        <f>IF((C101-1)&lt;$E$19,0,Seguros_Oblig!$N$4*(LeasingNOFam!$C$12*90%))</f>
        <v>#VALUE!</v>
      </c>
      <c r="L102" s="7" t="e">
        <f>IF(B102&gt;LeasingNOFam!$C$18,0,PMT(LeasingNOFam!$E$17,LeasingNOFam!$C$18,-LeasingNOFam!$C$15,,)-PMT(LeasingNOFam!$E$17,LeasingNOFam!$C$18,-LeasingNOFam!$C$22)+LeasingNOFam!$C$22*LeasingNOFam!$E$17)</f>
        <v>#VALUE!</v>
      </c>
      <c r="M102" s="9" t="e">
        <f t="shared" si="11"/>
        <v>#VALUE!</v>
      </c>
      <c r="N102" s="7" t="e">
        <f>IF(C101&lt;1,"0",LeasingHab!$C$39)</f>
        <v>#VALUE!</v>
      </c>
      <c r="O102" s="9" t="e">
        <f t="shared" si="12"/>
        <v>#VALUE!</v>
      </c>
    </row>
    <row r="103" spans="2:15" ht="15.5" x14ac:dyDescent="0.35">
      <c r="B103" s="6" t="e">
        <f t="shared" si="13"/>
        <v>#VALUE!</v>
      </c>
      <c r="C103" s="7" t="e">
        <f t="shared" si="8"/>
        <v>#VALUE!</v>
      </c>
      <c r="D103" s="7" t="e">
        <f t="shared" si="9"/>
        <v>#VALUE!</v>
      </c>
      <c r="E103" s="7" t="e">
        <f>IF((C102-1)&lt;$E$19,0,C102*LeasingNOFam!$E$17)</f>
        <v>#VALUE!</v>
      </c>
      <c r="F103" s="8" t="e">
        <f>IF((C102-1)&lt;$E$19,"0",C102*Seguros_Oblig!$N$3)</f>
        <v>#VALUE!</v>
      </c>
      <c r="G103" s="8" t="e">
        <f>IF(LeasingHab!$C$10="TARIFA 1",(C102*(VLOOKUP(LeasingHab!$C$24,Seguros_Oblig!$A$3:$B$55,2,FALSE))),(C102*(VLOOKUP(LeasingHab!$C$24,Seguros_Oblig!$A$3:$D$55,4,FALSE))))</f>
        <v>#VALUE!</v>
      </c>
      <c r="H103" s="8" t="e">
        <f>IF(LeasingHab!$C$10="TARIFA 1",(C102*(VLOOKUP(LeasingHab!$C$25,Seguros_Oblig!$A$3:$B$55,2,FALSE))),(C102*(VLOOKUP(LeasingHab!$C$25,Seguros_Oblig!$A$3:$D$55,4,FALSE))))</f>
        <v>#VALUE!</v>
      </c>
      <c r="I103" s="8" t="e">
        <f>IF(LeasingHab!$C$10="TARIFA 1",(C102*(VLOOKUP(LeasingHab!$C$26,Seguros_Oblig!$A$3:$B$55,2,FALSE))),(C102*(VLOOKUP(LeasingHab!$C$26,Seguros_Oblig!$A$3:$D$55,4,FALSE))))</f>
        <v>#VALUE!</v>
      </c>
      <c r="J103" s="10">
        <f t="shared" si="10"/>
        <v>0</v>
      </c>
      <c r="K103" s="7" t="e">
        <f>IF((C102-1)&lt;$E$19,0,Seguros_Oblig!$N$4*(LeasingNOFam!$C$12*90%))</f>
        <v>#VALUE!</v>
      </c>
      <c r="L103" s="7" t="e">
        <f>IF(B103&gt;LeasingNOFam!$C$18,0,PMT(LeasingNOFam!$E$17,LeasingNOFam!$C$18,-LeasingNOFam!$C$15,,)-PMT(LeasingNOFam!$E$17,LeasingNOFam!$C$18,-LeasingNOFam!$C$22)+LeasingNOFam!$C$22*LeasingNOFam!$E$17)</f>
        <v>#VALUE!</v>
      </c>
      <c r="M103" s="9" t="e">
        <f t="shared" si="11"/>
        <v>#VALUE!</v>
      </c>
      <c r="N103" s="7" t="e">
        <f>IF(C102&lt;1,"0",LeasingHab!$C$39)</f>
        <v>#VALUE!</v>
      </c>
      <c r="O103" s="9" t="e">
        <f t="shared" si="12"/>
        <v>#VALUE!</v>
      </c>
    </row>
    <row r="104" spans="2:15" ht="15.5" x14ac:dyDescent="0.35">
      <c r="B104" s="6" t="e">
        <f t="shared" si="13"/>
        <v>#VALUE!</v>
      </c>
      <c r="C104" s="7" t="e">
        <f t="shared" si="8"/>
        <v>#VALUE!</v>
      </c>
      <c r="D104" s="7" t="e">
        <f t="shared" si="9"/>
        <v>#VALUE!</v>
      </c>
      <c r="E104" s="7" t="e">
        <f>IF((C103-1)&lt;$E$19,0,C103*LeasingNOFam!$E$17)</f>
        <v>#VALUE!</v>
      </c>
      <c r="F104" s="8" t="e">
        <f>IF((C103-1)&lt;$E$19,"0",C103*Seguros_Oblig!$N$3)</f>
        <v>#VALUE!</v>
      </c>
      <c r="G104" s="8" t="e">
        <f>IF(LeasingHab!$C$10="TARIFA 1",(C103*(VLOOKUP(LeasingHab!$C$24,Seguros_Oblig!$A$3:$B$55,2,FALSE))),(C103*(VLOOKUP(LeasingHab!$C$24,Seguros_Oblig!$A$3:$D$55,4,FALSE))))</f>
        <v>#VALUE!</v>
      </c>
      <c r="H104" s="8" t="e">
        <f>IF(LeasingHab!$C$10="TARIFA 1",(C103*(VLOOKUP(LeasingHab!$C$25,Seguros_Oblig!$A$3:$B$55,2,FALSE))),(C103*(VLOOKUP(LeasingHab!$C$25,Seguros_Oblig!$A$3:$D$55,4,FALSE))))</f>
        <v>#VALUE!</v>
      </c>
      <c r="I104" s="8" t="e">
        <f>IF(LeasingHab!$C$10="TARIFA 1",(C103*(VLOOKUP(LeasingHab!$C$26,Seguros_Oblig!$A$3:$B$55,2,FALSE))),(C103*(VLOOKUP(LeasingHab!$C$26,Seguros_Oblig!$A$3:$D$55,4,FALSE))))</f>
        <v>#VALUE!</v>
      </c>
      <c r="J104" s="10">
        <f t="shared" si="10"/>
        <v>0</v>
      </c>
      <c r="K104" s="7" t="e">
        <f>IF((C103-1)&lt;$E$19,0,Seguros_Oblig!$N$4*(LeasingNOFam!$C$12*90%))</f>
        <v>#VALUE!</v>
      </c>
      <c r="L104" s="7" t="e">
        <f>IF(B104&gt;LeasingNOFam!$C$18,0,PMT(LeasingNOFam!$E$17,LeasingNOFam!$C$18,-LeasingNOFam!$C$15,,)-PMT(LeasingNOFam!$E$17,LeasingNOFam!$C$18,-LeasingNOFam!$C$22)+LeasingNOFam!$C$22*LeasingNOFam!$E$17)</f>
        <v>#VALUE!</v>
      </c>
      <c r="M104" s="9" t="e">
        <f t="shared" si="11"/>
        <v>#VALUE!</v>
      </c>
      <c r="N104" s="7" t="e">
        <f>IF(C103&lt;1,"0",LeasingHab!$C$39)</f>
        <v>#VALUE!</v>
      </c>
      <c r="O104" s="9" t="e">
        <f t="shared" si="12"/>
        <v>#VALUE!</v>
      </c>
    </row>
    <row r="105" spans="2:15" ht="15.5" x14ac:dyDescent="0.35">
      <c r="B105" s="6" t="e">
        <f t="shared" si="13"/>
        <v>#VALUE!</v>
      </c>
      <c r="C105" s="7" t="e">
        <f t="shared" si="8"/>
        <v>#VALUE!</v>
      </c>
      <c r="D105" s="7" t="e">
        <f t="shared" si="9"/>
        <v>#VALUE!</v>
      </c>
      <c r="E105" s="7" t="e">
        <f>IF((C104-1)&lt;$E$19,0,C104*LeasingNOFam!$E$17)</f>
        <v>#VALUE!</v>
      </c>
      <c r="F105" s="8" t="e">
        <f>IF((C104-1)&lt;$E$19,"0",C104*Seguros_Oblig!$N$3)</f>
        <v>#VALUE!</v>
      </c>
      <c r="G105" s="8" t="e">
        <f>IF(LeasingHab!$C$10="TARIFA 1",(C104*(VLOOKUP(LeasingHab!$C$24,Seguros_Oblig!$A$3:$B$55,2,FALSE))),(C104*(VLOOKUP(LeasingHab!$C$24,Seguros_Oblig!$A$3:$D$55,4,FALSE))))</f>
        <v>#VALUE!</v>
      </c>
      <c r="H105" s="8" t="e">
        <f>IF(LeasingHab!$C$10="TARIFA 1",(C104*(VLOOKUP(LeasingHab!$C$25,Seguros_Oblig!$A$3:$B$55,2,FALSE))),(C104*(VLOOKUP(LeasingHab!$C$25,Seguros_Oblig!$A$3:$D$55,4,FALSE))))</f>
        <v>#VALUE!</v>
      </c>
      <c r="I105" s="8" t="e">
        <f>IF(LeasingHab!$C$10="TARIFA 1",(C104*(VLOOKUP(LeasingHab!$C$26,Seguros_Oblig!$A$3:$B$55,2,FALSE))),(C104*(VLOOKUP(LeasingHab!$C$26,Seguros_Oblig!$A$3:$D$55,4,FALSE))))</f>
        <v>#VALUE!</v>
      </c>
      <c r="J105" s="10">
        <f t="shared" si="10"/>
        <v>0</v>
      </c>
      <c r="K105" s="7" t="e">
        <f>IF((C104-1)&lt;$E$19,0,Seguros_Oblig!$N$4*(LeasingNOFam!$C$12*90%))</f>
        <v>#VALUE!</v>
      </c>
      <c r="L105" s="7" t="e">
        <f>IF(B105&gt;LeasingNOFam!$C$18,0,PMT(LeasingNOFam!$E$17,LeasingNOFam!$C$18,-LeasingNOFam!$C$15,,)-PMT(LeasingNOFam!$E$17,LeasingNOFam!$C$18,-LeasingNOFam!$C$22)+LeasingNOFam!$C$22*LeasingNOFam!$E$17)</f>
        <v>#VALUE!</v>
      </c>
      <c r="M105" s="9" t="e">
        <f t="shared" si="11"/>
        <v>#VALUE!</v>
      </c>
      <c r="N105" s="7" t="e">
        <f>IF(C104&lt;1,"0",LeasingHab!$C$39)</f>
        <v>#VALUE!</v>
      </c>
      <c r="O105" s="9" t="e">
        <f t="shared" si="12"/>
        <v>#VALUE!</v>
      </c>
    </row>
    <row r="106" spans="2:15" ht="15.5" x14ac:dyDescent="0.35">
      <c r="B106" s="6" t="e">
        <f t="shared" si="13"/>
        <v>#VALUE!</v>
      </c>
      <c r="C106" s="7" t="e">
        <f t="shared" si="8"/>
        <v>#VALUE!</v>
      </c>
      <c r="D106" s="7" t="e">
        <f t="shared" si="9"/>
        <v>#VALUE!</v>
      </c>
      <c r="E106" s="7" t="e">
        <f>IF((C105-1)&lt;$E$19,0,C105*LeasingNOFam!$E$17)</f>
        <v>#VALUE!</v>
      </c>
      <c r="F106" s="8" t="e">
        <f>IF((C105-1)&lt;$E$19,"0",C105*Seguros_Oblig!$N$3)</f>
        <v>#VALUE!</v>
      </c>
      <c r="G106" s="8" t="e">
        <f>IF(LeasingHab!$C$10="TARIFA 1",(C105*(VLOOKUP(LeasingHab!$C$24,Seguros_Oblig!$A$3:$B$55,2,FALSE))),(C105*(VLOOKUP(LeasingHab!$C$24,Seguros_Oblig!$A$3:$D$55,4,FALSE))))</f>
        <v>#VALUE!</v>
      </c>
      <c r="H106" s="8" t="e">
        <f>IF(LeasingHab!$C$10="TARIFA 1",(C105*(VLOOKUP(LeasingHab!$C$25,Seguros_Oblig!$A$3:$B$55,2,FALSE))),(C105*(VLOOKUP(LeasingHab!$C$25,Seguros_Oblig!$A$3:$D$55,4,FALSE))))</f>
        <v>#VALUE!</v>
      </c>
      <c r="I106" s="8" t="e">
        <f>IF(LeasingHab!$C$10="TARIFA 1",(C105*(VLOOKUP(LeasingHab!$C$26,Seguros_Oblig!$A$3:$B$55,2,FALSE))),(C105*(VLOOKUP(LeasingHab!$C$26,Seguros_Oblig!$A$3:$D$55,4,FALSE))))</f>
        <v>#VALUE!</v>
      </c>
      <c r="J106" s="10">
        <f t="shared" si="10"/>
        <v>0</v>
      </c>
      <c r="K106" s="7" t="e">
        <f>IF((C105-1)&lt;$E$19,0,Seguros_Oblig!$N$4*(LeasingNOFam!$C$12*90%))</f>
        <v>#VALUE!</v>
      </c>
      <c r="L106" s="7" t="e">
        <f>IF(B106&gt;LeasingNOFam!$C$18,0,PMT(LeasingNOFam!$E$17,LeasingNOFam!$C$18,-LeasingNOFam!$C$15,,)-PMT(LeasingNOFam!$E$17,LeasingNOFam!$C$18,-LeasingNOFam!$C$22)+LeasingNOFam!$C$22*LeasingNOFam!$E$17)</f>
        <v>#VALUE!</v>
      </c>
      <c r="M106" s="9" t="e">
        <f t="shared" si="11"/>
        <v>#VALUE!</v>
      </c>
      <c r="N106" s="7" t="e">
        <f>IF(C105&lt;1,"0",LeasingHab!$C$39)</f>
        <v>#VALUE!</v>
      </c>
      <c r="O106" s="9" t="e">
        <f t="shared" si="12"/>
        <v>#VALUE!</v>
      </c>
    </row>
    <row r="107" spans="2:15" ht="15.5" x14ac:dyDescent="0.35">
      <c r="B107" s="6" t="e">
        <f t="shared" si="13"/>
        <v>#VALUE!</v>
      </c>
      <c r="C107" s="7" t="e">
        <f t="shared" si="8"/>
        <v>#VALUE!</v>
      </c>
      <c r="D107" s="7" t="e">
        <f t="shared" si="9"/>
        <v>#VALUE!</v>
      </c>
      <c r="E107" s="7" t="e">
        <f>IF((C106-1)&lt;$E$19,0,C106*LeasingNOFam!$E$17)</f>
        <v>#VALUE!</v>
      </c>
      <c r="F107" s="8" t="e">
        <f>IF((C106-1)&lt;$E$19,"0",C106*Seguros_Oblig!$N$3)</f>
        <v>#VALUE!</v>
      </c>
      <c r="G107" s="8" t="e">
        <f>IF(LeasingHab!$C$10="TARIFA 1",(C106*(VLOOKUP(LeasingHab!$C$24,Seguros_Oblig!$A$3:$B$55,2,FALSE))),(C106*(VLOOKUP(LeasingHab!$C$24,Seguros_Oblig!$A$3:$D$55,4,FALSE))))</f>
        <v>#VALUE!</v>
      </c>
      <c r="H107" s="8" t="e">
        <f>IF(LeasingHab!$C$10="TARIFA 1",(C106*(VLOOKUP(LeasingHab!$C$25,Seguros_Oblig!$A$3:$B$55,2,FALSE))),(C106*(VLOOKUP(LeasingHab!$C$25,Seguros_Oblig!$A$3:$D$55,4,FALSE))))</f>
        <v>#VALUE!</v>
      </c>
      <c r="I107" s="8" t="e">
        <f>IF(LeasingHab!$C$10="TARIFA 1",(C106*(VLOOKUP(LeasingHab!$C$26,Seguros_Oblig!$A$3:$B$55,2,FALSE))),(C106*(VLOOKUP(LeasingHab!$C$26,Seguros_Oblig!$A$3:$D$55,4,FALSE))))</f>
        <v>#VALUE!</v>
      </c>
      <c r="J107" s="10">
        <f t="shared" si="10"/>
        <v>0</v>
      </c>
      <c r="K107" s="7" t="e">
        <f>IF((C106-1)&lt;$E$19,0,Seguros_Oblig!$N$4*(LeasingNOFam!$C$12*90%))</f>
        <v>#VALUE!</v>
      </c>
      <c r="L107" s="7" t="e">
        <f>IF(B107&gt;LeasingNOFam!$C$18,0,PMT(LeasingNOFam!$E$17,LeasingNOFam!$C$18,-LeasingNOFam!$C$15,,)-PMT(LeasingNOFam!$E$17,LeasingNOFam!$C$18,-LeasingNOFam!$C$22)+LeasingNOFam!$C$22*LeasingNOFam!$E$17)</f>
        <v>#VALUE!</v>
      </c>
      <c r="M107" s="9" t="e">
        <f t="shared" si="11"/>
        <v>#VALUE!</v>
      </c>
      <c r="N107" s="7" t="e">
        <f>IF(C106&lt;1,"0",LeasingHab!$C$39)</f>
        <v>#VALUE!</v>
      </c>
      <c r="O107" s="9" t="e">
        <f t="shared" si="12"/>
        <v>#VALUE!</v>
      </c>
    </row>
    <row r="108" spans="2:15" ht="15.5" x14ac:dyDescent="0.35">
      <c r="B108" s="6" t="e">
        <f t="shared" si="13"/>
        <v>#VALUE!</v>
      </c>
      <c r="C108" s="7" t="e">
        <f t="shared" si="8"/>
        <v>#VALUE!</v>
      </c>
      <c r="D108" s="7" t="e">
        <f t="shared" si="9"/>
        <v>#VALUE!</v>
      </c>
      <c r="E108" s="7" t="e">
        <f>IF((C107-1)&lt;$E$19,0,C107*LeasingNOFam!$E$17)</f>
        <v>#VALUE!</v>
      </c>
      <c r="F108" s="8" t="e">
        <f>IF((C107-1)&lt;$E$19,"0",C107*Seguros_Oblig!$N$3)</f>
        <v>#VALUE!</v>
      </c>
      <c r="G108" s="8" t="e">
        <f>IF(LeasingHab!$C$10="TARIFA 1",(C107*(VLOOKUP(LeasingHab!$C$24,Seguros_Oblig!$A$3:$B$55,2,FALSE))),(C107*(VLOOKUP(LeasingHab!$C$24,Seguros_Oblig!$A$3:$D$55,4,FALSE))))</f>
        <v>#VALUE!</v>
      </c>
      <c r="H108" s="8" t="e">
        <f>IF(LeasingHab!$C$10="TARIFA 1",(C107*(VLOOKUP(LeasingHab!$C$25,Seguros_Oblig!$A$3:$B$55,2,FALSE))),(C107*(VLOOKUP(LeasingHab!$C$25,Seguros_Oblig!$A$3:$D$55,4,FALSE))))</f>
        <v>#VALUE!</v>
      </c>
      <c r="I108" s="8" t="e">
        <f>IF(LeasingHab!$C$10="TARIFA 1",(C107*(VLOOKUP(LeasingHab!$C$26,Seguros_Oblig!$A$3:$B$55,2,FALSE))),(C107*(VLOOKUP(LeasingHab!$C$26,Seguros_Oblig!$A$3:$D$55,4,FALSE))))</f>
        <v>#VALUE!</v>
      </c>
      <c r="J108" s="10">
        <f t="shared" si="10"/>
        <v>0</v>
      </c>
      <c r="K108" s="7" t="e">
        <f>IF((C107-1)&lt;$E$19,0,Seguros_Oblig!$N$4*(LeasingNOFam!$C$12*90%))</f>
        <v>#VALUE!</v>
      </c>
      <c r="L108" s="7" t="e">
        <f>IF(B108&gt;LeasingNOFam!$C$18,0,PMT(LeasingNOFam!$E$17,LeasingNOFam!$C$18,-LeasingNOFam!$C$15,,)-PMT(LeasingNOFam!$E$17,LeasingNOFam!$C$18,-LeasingNOFam!$C$22)+LeasingNOFam!$C$22*LeasingNOFam!$E$17)</f>
        <v>#VALUE!</v>
      </c>
      <c r="M108" s="9" t="e">
        <f t="shared" si="11"/>
        <v>#VALUE!</v>
      </c>
      <c r="N108" s="7" t="e">
        <f>IF(C107&lt;1,"0",LeasingHab!$C$39)</f>
        <v>#VALUE!</v>
      </c>
      <c r="O108" s="9" t="e">
        <f t="shared" si="12"/>
        <v>#VALUE!</v>
      </c>
    </row>
    <row r="109" spans="2:15" ht="15.5" x14ac:dyDescent="0.35">
      <c r="B109" s="6" t="e">
        <f t="shared" si="13"/>
        <v>#VALUE!</v>
      </c>
      <c r="C109" s="7" t="e">
        <f t="shared" si="8"/>
        <v>#VALUE!</v>
      </c>
      <c r="D109" s="7" t="e">
        <f t="shared" si="9"/>
        <v>#VALUE!</v>
      </c>
      <c r="E109" s="7" t="e">
        <f>IF((C108-1)&lt;$E$19,0,C108*LeasingNOFam!$E$17)</f>
        <v>#VALUE!</v>
      </c>
      <c r="F109" s="8" t="e">
        <f>IF((C108-1)&lt;$E$19,"0",C108*Seguros_Oblig!$N$3)</f>
        <v>#VALUE!</v>
      </c>
      <c r="G109" s="8" t="e">
        <f>IF(LeasingHab!$C$10="TARIFA 1",(C108*(VLOOKUP(LeasingHab!$C$24,Seguros_Oblig!$A$3:$B$55,2,FALSE))),(C108*(VLOOKUP(LeasingHab!$C$24,Seguros_Oblig!$A$3:$D$55,4,FALSE))))</f>
        <v>#VALUE!</v>
      </c>
      <c r="H109" s="8" t="e">
        <f>IF(LeasingHab!$C$10="TARIFA 1",(C108*(VLOOKUP(LeasingHab!$C$25,Seguros_Oblig!$A$3:$B$55,2,FALSE))),(C108*(VLOOKUP(LeasingHab!$C$25,Seguros_Oblig!$A$3:$D$55,4,FALSE))))</f>
        <v>#VALUE!</v>
      </c>
      <c r="I109" s="8" t="e">
        <f>IF(LeasingHab!$C$10="TARIFA 1",(C108*(VLOOKUP(LeasingHab!$C$26,Seguros_Oblig!$A$3:$B$55,2,FALSE))),(C108*(VLOOKUP(LeasingHab!$C$26,Seguros_Oblig!$A$3:$D$55,4,FALSE))))</f>
        <v>#VALUE!</v>
      </c>
      <c r="J109" s="10">
        <f t="shared" si="10"/>
        <v>0</v>
      </c>
      <c r="K109" s="7" t="e">
        <f>IF((C108-1)&lt;$E$19,0,Seguros_Oblig!$N$4*(LeasingNOFam!$C$12*90%))</f>
        <v>#VALUE!</v>
      </c>
      <c r="L109" s="7" t="e">
        <f>IF(B109&gt;LeasingNOFam!$C$18,0,PMT(LeasingNOFam!$E$17,LeasingNOFam!$C$18,-LeasingNOFam!$C$15,,)-PMT(LeasingNOFam!$E$17,LeasingNOFam!$C$18,-LeasingNOFam!$C$22)+LeasingNOFam!$C$22*LeasingNOFam!$E$17)</f>
        <v>#VALUE!</v>
      </c>
      <c r="M109" s="9" t="e">
        <f t="shared" si="11"/>
        <v>#VALUE!</v>
      </c>
      <c r="N109" s="7" t="e">
        <f>IF(C108&lt;1,"0",LeasingHab!$C$39)</f>
        <v>#VALUE!</v>
      </c>
      <c r="O109" s="9" t="e">
        <f t="shared" si="12"/>
        <v>#VALUE!</v>
      </c>
    </row>
    <row r="110" spans="2:15" ht="15.5" x14ac:dyDescent="0.35">
      <c r="B110" s="6" t="e">
        <f t="shared" si="13"/>
        <v>#VALUE!</v>
      </c>
      <c r="C110" s="7" t="e">
        <f t="shared" si="8"/>
        <v>#VALUE!</v>
      </c>
      <c r="D110" s="7" t="e">
        <f t="shared" si="9"/>
        <v>#VALUE!</v>
      </c>
      <c r="E110" s="7" t="e">
        <f>IF((C109-1)&lt;$E$19,0,C109*LeasingNOFam!$E$17)</f>
        <v>#VALUE!</v>
      </c>
      <c r="F110" s="8" t="e">
        <f>IF((C109-1)&lt;$E$19,"0",C109*Seguros_Oblig!$N$3)</f>
        <v>#VALUE!</v>
      </c>
      <c r="G110" s="8" t="e">
        <f>IF(LeasingHab!$C$10="TARIFA 1",(C109*(VLOOKUP(LeasingHab!$C$24,Seguros_Oblig!$A$3:$B$55,2,FALSE))),(C109*(VLOOKUP(LeasingHab!$C$24,Seguros_Oblig!$A$3:$D$55,4,FALSE))))</f>
        <v>#VALUE!</v>
      </c>
      <c r="H110" s="8" t="e">
        <f>IF(LeasingHab!$C$10="TARIFA 1",(C109*(VLOOKUP(LeasingHab!$C$25,Seguros_Oblig!$A$3:$B$55,2,FALSE))),(C109*(VLOOKUP(LeasingHab!$C$25,Seguros_Oblig!$A$3:$D$55,4,FALSE))))</f>
        <v>#VALUE!</v>
      </c>
      <c r="I110" s="8" t="e">
        <f>IF(LeasingHab!$C$10="TARIFA 1",(C109*(VLOOKUP(LeasingHab!$C$26,Seguros_Oblig!$A$3:$B$55,2,FALSE))),(C109*(VLOOKUP(LeasingHab!$C$26,Seguros_Oblig!$A$3:$D$55,4,FALSE))))</f>
        <v>#VALUE!</v>
      </c>
      <c r="J110" s="10">
        <f t="shared" si="10"/>
        <v>0</v>
      </c>
      <c r="K110" s="7" t="e">
        <f>IF((C109-1)&lt;$E$19,0,Seguros_Oblig!$N$4*(LeasingNOFam!$C$12*90%))</f>
        <v>#VALUE!</v>
      </c>
      <c r="L110" s="7" t="e">
        <f>IF(B110&gt;LeasingNOFam!$C$18,0,PMT(LeasingNOFam!$E$17,LeasingNOFam!$C$18,-LeasingNOFam!$C$15,,)-PMT(LeasingNOFam!$E$17,LeasingNOFam!$C$18,-LeasingNOFam!$C$22)+LeasingNOFam!$C$22*LeasingNOFam!$E$17)</f>
        <v>#VALUE!</v>
      </c>
      <c r="M110" s="9" t="e">
        <f t="shared" si="11"/>
        <v>#VALUE!</v>
      </c>
      <c r="N110" s="7" t="e">
        <f>IF(C109&lt;1,"0",LeasingHab!$C$39)</f>
        <v>#VALUE!</v>
      </c>
      <c r="O110" s="9" t="e">
        <f t="shared" si="12"/>
        <v>#VALUE!</v>
      </c>
    </row>
    <row r="111" spans="2:15" ht="15.5" x14ac:dyDescent="0.35">
      <c r="B111" s="6" t="e">
        <f t="shared" si="13"/>
        <v>#VALUE!</v>
      </c>
      <c r="C111" s="7" t="e">
        <f t="shared" si="8"/>
        <v>#VALUE!</v>
      </c>
      <c r="D111" s="7" t="e">
        <f t="shared" si="9"/>
        <v>#VALUE!</v>
      </c>
      <c r="E111" s="7" t="e">
        <f>IF((C110-1)&lt;$E$19,0,C110*LeasingNOFam!$E$17)</f>
        <v>#VALUE!</v>
      </c>
      <c r="F111" s="8" t="e">
        <f>IF((C110-1)&lt;$E$19,"0",C110*Seguros_Oblig!$N$3)</f>
        <v>#VALUE!</v>
      </c>
      <c r="G111" s="8" t="e">
        <f>IF(LeasingHab!$C$10="TARIFA 1",(C110*(VLOOKUP(LeasingHab!$C$24,Seguros_Oblig!$A$3:$B$55,2,FALSE))),(C110*(VLOOKUP(LeasingHab!$C$24,Seguros_Oblig!$A$3:$D$55,4,FALSE))))</f>
        <v>#VALUE!</v>
      </c>
      <c r="H111" s="8" t="e">
        <f>IF(LeasingHab!$C$10="TARIFA 1",(C110*(VLOOKUP(LeasingHab!$C$25,Seguros_Oblig!$A$3:$B$55,2,FALSE))),(C110*(VLOOKUP(LeasingHab!$C$25,Seguros_Oblig!$A$3:$D$55,4,FALSE))))</f>
        <v>#VALUE!</v>
      </c>
      <c r="I111" s="8" t="e">
        <f>IF(LeasingHab!$C$10="TARIFA 1",(C110*(VLOOKUP(LeasingHab!$C$26,Seguros_Oblig!$A$3:$B$55,2,FALSE))),(C110*(VLOOKUP(LeasingHab!$C$26,Seguros_Oblig!$A$3:$D$55,4,FALSE))))</f>
        <v>#VALUE!</v>
      </c>
      <c r="J111" s="10">
        <f t="shared" si="10"/>
        <v>0</v>
      </c>
      <c r="K111" s="7" t="e">
        <f>IF((C110-1)&lt;$E$19,0,Seguros_Oblig!$N$4*(LeasingNOFam!$C$12*90%))</f>
        <v>#VALUE!</v>
      </c>
      <c r="L111" s="7" t="e">
        <f>IF(B111&gt;LeasingNOFam!$C$18,0,PMT(LeasingNOFam!$E$17,LeasingNOFam!$C$18,-LeasingNOFam!$C$15,,)-PMT(LeasingNOFam!$E$17,LeasingNOFam!$C$18,-LeasingNOFam!$C$22)+LeasingNOFam!$C$22*LeasingNOFam!$E$17)</f>
        <v>#VALUE!</v>
      </c>
      <c r="M111" s="9" t="e">
        <f t="shared" si="11"/>
        <v>#VALUE!</v>
      </c>
      <c r="N111" s="7" t="e">
        <f>IF(C110&lt;1,"0",LeasingHab!$C$39)</f>
        <v>#VALUE!</v>
      </c>
      <c r="O111" s="9" t="e">
        <f t="shared" si="12"/>
        <v>#VALUE!</v>
      </c>
    </row>
    <row r="112" spans="2:15" ht="15.5" x14ac:dyDescent="0.35">
      <c r="B112" s="6" t="e">
        <f t="shared" si="13"/>
        <v>#VALUE!</v>
      </c>
      <c r="C112" s="7" t="e">
        <f t="shared" si="8"/>
        <v>#VALUE!</v>
      </c>
      <c r="D112" s="7" t="e">
        <f t="shared" si="9"/>
        <v>#VALUE!</v>
      </c>
      <c r="E112" s="7" t="e">
        <f>IF((C111-1)&lt;$E$19,0,C111*LeasingNOFam!$E$17)</f>
        <v>#VALUE!</v>
      </c>
      <c r="F112" s="8" t="e">
        <f>IF((C111-1)&lt;$E$19,"0",C111*Seguros_Oblig!$N$3)</f>
        <v>#VALUE!</v>
      </c>
      <c r="G112" s="8" t="e">
        <f>IF(LeasingHab!$C$10="TARIFA 1",(C111*(VLOOKUP(LeasingHab!$C$24,Seguros_Oblig!$A$3:$B$55,2,FALSE))),(C111*(VLOOKUP(LeasingHab!$C$24,Seguros_Oblig!$A$3:$D$55,4,FALSE))))</f>
        <v>#VALUE!</v>
      </c>
      <c r="H112" s="8" t="e">
        <f>IF(LeasingHab!$C$10="TARIFA 1",(C111*(VLOOKUP(LeasingHab!$C$25,Seguros_Oblig!$A$3:$B$55,2,FALSE))),(C111*(VLOOKUP(LeasingHab!$C$25,Seguros_Oblig!$A$3:$D$55,4,FALSE))))</f>
        <v>#VALUE!</v>
      </c>
      <c r="I112" s="8" t="e">
        <f>IF(LeasingHab!$C$10="TARIFA 1",(C111*(VLOOKUP(LeasingHab!$C$26,Seguros_Oblig!$A$3:$B$55,2,FALSE))),(C111*(VLOOKUP(LeasingHab!$C$26,Seguros_Oblig!$A$3:$D$55,4,FALSE))))</f>
        <v>#VALUE!</v>
      </c>
      <c r="J112" s="10">
        <f t="shared" si="10"/>
        <v>0</v>
      </c>
      <c r="K112" s="7" t="e">
        <f>IF((C111-1)&lt;$E$19,0,Seguros_Oblig!$N$4*(LeasingNOFam!$C$12*90%))</f>
        <v>#VALUE!</v>
      </c>
      <c r="L112" s="7" t="e">
        <f>IF(B112&gt;LeasingNOFam!$C$18,0,PMT(LeasingNOFam!$E$17,LeasingNOFam!$C$18,-LeasingNOFam!$C$15,,)-PMT(LeasingNOFam!$E$17,LeasingNOFam!$C$18,-LeasingNOFam!$C$22)+LeasingNOFam!$C$22*LeasingNOFam!$E$17)</f>
        <v>#VALUE!</v>
      </c>
      <c r="M112" s="9" t="e">
        <f t="shared" si="11"/>
        <v>#VALUE!</v>
      </c>
      <c r="N112" s="7" t="e">
        <f>IF(C111&lt;1,"0",LeasingHab!$C$39)</f>
        <v>#VALUE!</v>
      </c>
      <c r="O112" s="9" t="e">
        <f t="shared" si="12"/>
        <v>#VALUE!</v>
      </c>
    </row>
    <row r="113" spans="2:15" ht="15.5" x14ac:dyDescent="0.35">
      <c r="B113" s="6" t="e">
        <f t="shared" si="13"/>
        <v>#VALUE!</v>
      </c>
      <c r="C113" s="7" t="e">
        <f t="shared" si="8"/>
        <v>#VALUE!</v>
      </c>
      <c r="D113" s="7" t="e">
        <f t="shared" si="9"/>
        <v>#VALUE!</v>
      </c>
      <c r="E113" s="7" t="e">
        <f>IF((C112-1)&lt;$E$19,0,C112*LeasingNOFam!$E$17)</f>
        <v>#VALUE!</v>
      </c>
      <c r="F113" s="8" t="e">
        <f>IF((C112-1)&lt;$E$19,"0",C112*Seguros_Oblig!$N$3)</f>
        <v>#VALUE!</v>
      </c>
      <c r="G113" s="8" t="e">
        <f>IF(LeasingHab!$C$10="TARIFA 1",(C112*(VLOOKUP(LeasingHab!$C$24,Seguros_Oblig!$A$3:$B$55,2,FALSE))),(C112*(VLOOKUP(LeasingHab!$C$24,Seguros_Oblig!$A$3:$D$55,4,FALSE))))</f>
        <v>#VALUE!</v>
      </c>
      <c r="H113" s="8" t="e">
        <f>IF(LeasingHab!$C$10="TARIFA 1",(C112*(VLOOKUP(LeasingHab!$C$25,Seguros_Oblig!$A$3:$B$55,2,FALSE))),(C112*(VLOOKUP(LeasingHab!$C$25,Seguros_Oblig!$A$3:$D$55,4,FALSE))))</f>
        <v>#VALUE!</v>
      </c>
      <c r="I113" s="8" t="e">
        <f>IF(LeasingHab!$C$10="TARIFA 1",(C112*(VLOOKUP(LeasingHab!$C$26,Seguros_Oblig!$A$3:$B$55,2,FALSE))),(C112*(VLOOKUP(LeasingHab!$C$26,Seguros_Oblig!$A$3:$D$55,4,FALSE))))</f>
        <v>#VALUE!</v>
      </c>
      <c r="J113" s="10">
        <f t="shared" si="10"/>
        <v>0</v>
      </c>
      <c r="K113" s="7" t="e">
        <f>IF((C112-1)&lt;$E$19,0,Seguros_Oblig!$N$4*(LeasingNOFam!$C$12*90%))</f>
        <v>#VALUE!</v>
      </c>
      <c r="L113" s="7" t="e">
        <f>IF(B113&gt;LeasingNOFam!$C$18,0,PMT(LeasingNOFam!$E$17,LeasingNOFam!$C$18,-LeasingNOFam!$C$15,,)-PMT(LeasingNOFam!$E$17,LeasingNOFam!$C$18,-LeasingNOFam!$C$22)+LeasingNOFam!$C$22*LeasingNOFam!$E$17)</f>
        <v>#VALUE!</v>
      </c>
      <c r="M113" s="9" t="e">
        <f t="shared" si="11"/>
        <v>#VALUE!</v>
      </c>
      <c r="N113" s="7" t="e">
        <f>IF(C112&lt;1,"0",LeasingHab!$C$39)</f>
        <v>#VALUE!</v>
      </c>
      <c r="O113" s="9" t="e">
        <f t="shared" si="12"/>
        <v>#VALUE!</v>
      </c>
    </row>
    <row r="114" spans="2:15" ht="15.5" x14ac:dyDescent="0.35">
      <c r="B114" s="6" t="e">
        <f t="shared" si="13"/>
        <v>#VALUE!</v>
      </c>
      <c r="C114" s="7" t="e">
        <f t="shared" si="8"/>
        <v>#VALUE!</v>
      </c>
      <c r="D114" s="7" t="e">
        <f t="shared" si="9"/>
        <v>#VALUE!</v>
      </c>
      <c r="E114" s="7" t="e">
        <f>IF((C113-1)&lt;$E$19,0,C113*LeasingNOFam!$E$17)</f>
        <v>#VALUE!</v>
      </c>
      <c r="F114" s="8" t="e">
        <f>IF((C113-1)&lt;$E$19,"0",C113*Seguros_Oblig!$N$3)</f>
        <v>#VALUE!</v>
      </c>
      <c r="G114" s="8" t="e">
        <f>IF(LeasingHab!$C$10="TARIFA 1",(C113*(VLOOKUP(LeasingHab!$C$24,Seguros_Oblig!$A$3:$B$55,2,FALSE))),(C113*(VLOOKUP(LeasingHab!$C$24,Seguros_Oblig!$A$3:$D$55,4,FALSE))))</f>
        <v>#VALUE!</v>
      </c>
      <c r="H114" s="8" t="e">
        <f>IF(LeasingHab!$C$10="TARIFA 1",(C113*(VLOOKUP(LeasingHab!$C$25,Seguros_Oblig!$A$3:$B$55,2,FALSE))),(C113*(VLOOKUP(LeasingHab!$C$25,Seguros_Oblig!$A$3:$D$55,4,FALSE))))</f>
        <v>#VALUE!</v>
      </c>
      <c r="I114" s="8" t="e">
        <f>IF(LeasingHab!$C$10="TARIFA 1",(C113*(VLOOKUP(LeasingHab!$C$26,Seguros_Oblig!$A$3:$B$55,2,FALSE))),(C113*(VLOOKUP(LeasingHab!$C$26,Seguros_Oblig!$A$3:$D$55,4,FALSE))))</f>
        <v>#VALUE!</v>
      </c>
      <c r="J114" s="10">
        <f t="shared" si="10"/>
        <v>0</v>
      </c>
      <c r="K114" s="7" t="e">
        <f>IF((C113-1)&lt;$E$19,0,Seguros_Oblig!$N$4*(LeasingNOFam!$C$12*90%))</f>
        <v>#VALUE!</v>
      </c>
      <c r="L114" s="7" t="e">
        <f>IF(B114&gt;LeasingNOFam!$C$18,0,PMT(LeasingNOFam!$E$17,LeasingNOFam!$C$18,-LeasingNOFam!$C$15,,)-PMT(LeasingNOFam!$E$17,LeasingNOFam!$C$18,-LeasingNOFam!$C$22)+LeasingNOFam!$C$22*LeasingNOFam!$E$17)</f>
        <v>#VALUE!</v>
      </c>
      <c r="M114" s="9" t="e">
        <f t="shared" si="11"/>
        <v>#VALUE!</v>
      </c>
      <c r="N114" s="7" t="e">
        <f>IF(C113&lt;1,"0",LeasingHab!$C$39)</f>
        <v>#VALUE!</v>
      </c>
      <c r="O114" s="9" t="e">
        <f t="shared" si="12"/>
        <v>#VALUE!</v>
      </c>
    </row>
    <row r="115" spans="2:15" ht="15.5" x14ac:dyDescent="0.35">
      <c r="B115" s="6" t="e">
        <f t="shared" si="13"/>
        <v>#VALUE!</v>
      </c>
      <c r="C115" s="7" t="e">
        <f t="shared" si="8"/>
        <v>#VALUE!</v>
      </c>
      <c r="D115" s="7" t="e">
        <f t="shared" si="9"/>
        <v>#VALUE!</v>
      </c>
      <c r="E115" s="7" t="e">
        <f>IF((C114-1)&lt;$E$19,0,C114*LeasingNOFam!$E$17)</f>
        <v>#VALUE!</v>
      </c>
      <c r="F115" s="8" t="e">
        <f>IF((C114-1)&lt;$E$19,"0",C114*Seguros_Oblig!$N$3)</f>
        <v>#VALUE!</v>
      </c>
      <c r="G115" s="8" t="e">
        <f>IF(LeasingHab!$C$10="TARIFA 1",(C114*(VLOOKUP(LeasingHab!$C$24,Seguros_Oblig!$A$3:$B$55,2,FALSE))),(C114*(VLOOKUP(LeasingHab!$C$24,Seguros_Oblig!$A$3:$D$55,4,FALSE))))</f>
        <v>#VALUE!</v>
      </c>
      <c r="H115" s="8" t="e">
        <f>IF(LeasingHab!$C$10="TARIFA 1",(C114*(VLOOKUP(LeasingHab!$C$25,Seguros_Oblig!$A$3:$B$55,2,FALSE))),(C114*(VLOOKUP(LeasingHab!$C$25,Seguros_Oblig!$A$3:$D$55,4,FALSE))))</f>
        <v>#VALUE!</v>
      </c>
      <c r="I115" s="8" t="e">
        <f>IF(LeasingHab!$C$10="TARIFA 1",(C114*(VLOOKUP(LeasingHab!$C$26,Seguros_Oblig!$A$3:$B$55,2,FALSE))),(C114*(VLOOKUP(LeasingHab!$C$26,Seguros_Oblig!$A$3:$D$55,4,FALSE))))</f>
        <v>#VALUE!</v>
      </c>
      <c r="J115" s="10">
        <f t="shared" si="10"/>
        <v>0</v>
      </c>
      <c r="K115" s="7" t="e">
        <f>IF((C114-1)&lt;$E$19,0,Seguros_Oblig!$N$4*(LeasingNOFam!$C$12*90%))</f>
        <v>#VALUE!</v>
      </c>
      <c r="L115" s="7" t="e">
        <f>IF(B115&gt;LeasingNOFam!$C$18,0,PMT(LeasingNOFam!$E$17,LeasingNOFam!$C$18,-LeasingNOFam!$C$15,,)-PMT(LeasingNOFam!$E$17,LeasingNOFam!$C$18,-LeasingNOFam!$C$22)+LeasingNOFam!$C$22*LeasingNOFam!$E$17)</f>
        <v>#VALUE!</v>
      </c>
      <c r="M115" s="9" t="e">
        <f t="shared" si="11"/>
        <v>#VALUE!</v>
      </c>
      <c r="N115" s="7" t="e">
        <f>IF(C114&lt;1,"0",LeasingHab!$C$39)</f>
        <v>#VALUE!</v>
      </c>
      <c r="O115" s="9" t="e">
        <f t="shared" si="12"/>
        <v>#VALUE!</v>
      </c>
    </row>
    <row r="116" spans="2:15" ht="15.5" x14ac:dyDescent="0.35">
      <c r="B116" s="6" t="e">
        <f t="shared" si="13"/>
        <v>#VALUE!</v>
      </c>
      <c r="C116" s="7" t="e">
        <f t="shared" si="8"/>
        <v>#VALUE!</v>
      </c>
      <c r="D116" s="7" t="e">
        <f t="shared" si="9"/>
        <v>#VALUE!</v>
      </c>
      <c r="E116" s="7" t="e">
        <f>IF((C115-1)&lt;$E$19,0,C115*LeasingNOFam!$E$17)</f>
        <v>#VALUE!</v>
      </c>
      <c r="F116" s="8" t="e">
        <f>IF((C115-1)&lt;$E$19,"0",C115*Seguros_Oblig!$N$3)</f>
        <v>#VALUE!</v>
      </c>
      <c r="G116" s="8" t="e">
        <f>IF(LeasingHab!$C$10="TARIFA 1",(C115*(VLOOKUP(LeasingHab!$C$24,Seguros_Oblig!$A$3:$B$55,2,FALSE))),(C115*(VLOOKUP(LeasingHab!$C$24,Seguros_Oblig!$A$3:$D$55,4,FALSE))))</f>
        <v>#VALUE!</v>
      </c>
      <c r="H116" s="8" t="e">
        <f>IF(LeasingHab!$C$10="TARIFA 1",(C115*(VLOOKUP(LeasingHab!$C$25,Seguros_Oblig!$A$3:$B$55,2,FALSE))),(C115*(VLOOKUP(LeasingHab!$C$25,Seguros_Oblig!$A$3:$D$55,4,FALSE))))</f>
        <v>#VALUE!</v>
      </c>
      <c r="I116" s="8" t="e">
        <f>IF(LeasingHab!$C$10="TARIFA 1",(C115*(VLOOKUP(LeasingHab!$C$26,Seguros_Oblig!$A$3:$B$55,2,FALSE))),(C115*(VLOOKUP(LeasingHab!$C$26,Seguros_Oblig!$A$3:$D$55,4,FALSE))))</f>
        <v>#VALUE!</v>
      </c>
      <c r="J116" s="10">
        <f t="shared" si="10"/>
        <v>0</v>
      </c>
      <c r="K116" s="7" t="e">
        <f>IF((C115-1)&lt;$E$19,0,Seguros_Oblig!$N$4*(LeasingNOFam!$C$12*90%))</f>
        <v>#VALUE!</v>
      </c>
      <c r="L116" s="7" t="e">
        <f>IF(B116&gt;LeasingNOFam!$C$18,0,PMT(LeasingNOFam!$E$17,LeasingNOFam!$C$18,-LeasingNOFam!$C$15,,)-PMT(LeasingNOFam!$E$17,LeasingNOFam!$C$18,-LeasingNOFam!$C$22)+LeasingNOFam!$C$22*LeasingNOFam!$E$17)</f>
        <v>#VALUE!</v>
      </c>
      <c r="M116" s="9" t="e">
        <f t="shared" si="11"/>
        <v>#VALUE!</v>
      </c>
      <c r="N116" s="7" t="e">
        <f>IF(C115&lt;1,"0",LeasingHab!$C$39)</f>
        <v>#VALUE!</v>
      </c>
      <c r="O116" s="9" t="e">
        <f t="shared" si="12"/>
        <v>#VALUE!</v>
      </c>
    </row>
    <row r="117" spans="2:15" ht="15.5" x14ac:dyDescent="0.35">
      <c r="B117" s="6" t="e">
        <f t="shared" si="13"/>
        <v>#VALUE!</v>
      </c>
      <c r="C117" s="7" t="e">
        <f t="shared" si="8"/>
        <v>#VALUE!</v>
      </c>
      <c r="D117" s="7" t="e">
        <f t="shared" si="9"/>
        <v>#VALUE!</v>
      </c>
      <c r="E117" s="7" t="e">
        <f>IF((C116-1)&lt;$E$19,0,C116*LeasingNOFam!$E$17)</f>
        <v>#VALUE!</v>
      </c>
      <c r="F117" s="8" t="e">
        <f>IF((C116-1)&lt;$E$19,"0",C116*Seguros_Oblig!$N$3)</f>
        <v>#VALUE!</v>
      </c>
      <c r="G117" s="8" t="e">
        <f>IF(LeasingHab!$C$10="TARIFA 1",(C116*(VLOOKUP(LeasingHab!$C$24,Seguros_Oblig!$A$3:$B$55,2,FALSE))),(C116*(VLOOKUP(LeasingHab!$C$24,Seguros_Oblig!$A$3:$D$55,4,FALSE))))</f>
        <v>#VALUE!</v>
      </c>
      <c r="H117" s="8" t="e">
        <f>IF(LeasingHab!$C$10="TARIFA 1",(C116*(VLOOKUP(LeasingHab!$C$25,Seguros_Oblig!$A$3:$B$55,2,FALSE))),(C116*(VLOOKUP(LeasingHab!$C$25,Seguros_Oblig!$A$3:$D$55,4,FALSE))))</f>
        <v>#VALUE!</v>
      </c>
      <c r="I117" s="8" t="e">
        <f>IF(LeasingHab!$C$10="TARIFA 1",(C116*(VLOOKUP(LeasingHab!$C$26,Seguros_Oblig!$A$3:$B$55,2,FALSE))),(C116*(VLOOKUP(LeasingHab!$C$26,Seguros_Oblig!$A$3:$D$55,4,FALSE))))</f>
        <v>#VALUE!</v>
      </c>
      <c r="J117" s="10">
        <f t="shared" si="10"/>
        <v>0</v>
      </c>
      <c r="K117" s="7" t="e">
        <f>IF((C116-1)&lt;$E$19,0,Seguros_Oblig!$N$4*(LeasingNOFam!$C$12*90%))</f>
        <v>#VALUE!</v>
      </c>
      <c r="L117" s="7" t="e">
        <f>IF(B117&gt;LeasingNOFam!$C$18,0,PMT(LeasingNOFam!$E$17,LeasingNOFam!$C$18,-LeasingNOFam!$C$15,,)-PMT(LeasingNOFam!$E$17,LeasingNOFam!$C$18,-LeasingNOFam!$C$22)+LeasingNOFam!$C$22*LeasingNOFam!$E$17)</f>
        <v>#VALUE!</v>
      </c>
      <c r="M117" s="9" t="e">
        <f t="shared" si="11"/>
        <v>#VALUE!</v>
      </c>
      <c r="N117" s="7" t="e">
        <f>IF(C116&lt;1,"0",LeasingHab!$C$39)</f>
        <v>#VALUE!</v>
      </c>
      <c r="O117" s="9" t="e">
        <f t="shared" si="12"/>
        <v>#VALUE!</v>
      </c>
    </row>
    <row r="118" spans="2:15" ht="15.5" x14ac:dyDescent="0.35">
      <c r="B118" s="6" t="e">
        <f t="shared" si="13"/>
        <v>#VALUE!</v>
      </c>
      <c r="C118" s="7" t="e">
        <f t="shared" si="8"/>
        <v>#VALUE!</v>
      </c>
      <c r="D118" s="7" t="e">
        <f t="shared" si="9"/>
        <v>#VALUE!</v>
      </c>
      <c r="E118" s="7" t="e">
        <f>IF((C117-1)&lt;$E$19,0,C117*LeasingNOFam!$E$17)</f>
        <v>#VALUE!</v>
      </c>
      <c r="F118" s="8" t="e">
        <f>IF((C117-1)&lt;$E$19,"0",C117*Seguros_Oblig!$N$3)</f>
        <v>#VALUE!</v>
      </c>
      <c r="G118" s="8" t="e">
        <f>IF(LeasingHab!$C$10="TARIFA 1",(C117*(VLOOKUP(LeasingHab!$C$24,Seguros_Oblig!$A$3:$B$55,2,FALSE))),(C117*(VLOOKUP(LeasingHab!$C$24,Seguros_Oblig!$A$3:$D$55,4,FALSE))))</f>
        <v>#VALUE!</v>
      </c>
      <c r="H118" s="8" t="e">
        <f>IF(LeasingHab!$C$10="TARIFA 1",(C117*(VLOOKUP(LeasingHab!$C$25,Seguros_Oblig!$A$3:$B$55,2,FALSE))),(C117*(VLOOKUP(LeasingHab!$C$25,Seguros_Oblig!$A$3:$D$55,4,FALSE))))</f>
        <v>#VALUE!</v>
      </c>
      <c r="I118" s="8" t="e">
        <f>IF(LeasingHab!$C$10="TARIFA 1",(C117*(VLOOKUP(LeasingHab!$C$26,Seguros_Oblig!$A$3:$B$55,2,FALSE))),(C117*(VLOOKUP(LeasingHab!$C$26,Seguros_Oblig!$A$3:$D$55,4,FALSE))))</f>
        <v>#VALUE!</v>
      </c>
      <c r="J118" s="10">
        <f t="shared" si="10"/>
        <v>0</v>
      </c>
      <c r="K118" s="7" t="e">
        <f>IF((C117-1)&lt;$E$19,0,Seguros_Oblig!$N$4*(LeasingNOFam!$C$12*90%))</f>
        <v>#VALUE!</v>
      </c>
      <c r="L118" s="7" t="e">
        <f>IF(B118&gt;LeasingNOFam!$C$18,0,PMT(LeasingNOFam!$E$17,LeasingNOFam!$C$18,-LeasingNOFam!$C$15,,)-PMT(LeasingNOFam!$E$17,LeasingNOFam!$C$18,-LeasingNOFam!$C$22)+LeasingNOFam!$C$22*LeasingNOFam!$E$17)</f>
        <v>#VALUE!</v>
      </c>
      <c r="M118" s="9" t="e">
        <f t="shared" si="11"/>
        <v>#VALUE!</v>
      </c>
      <c r="N118" s="7" t="e">
        <f>IF(C117&lt;1,"0",LeasingHab!$C$39)</f>
        <v>#VALUE!</v>
      </c>
      <c r="O118" s="9" t="e">
        <f t="shared" si="12"/>
        <v>#VALUE!</v>
      </c>
    </row>
    <row r="119" spans="2:15" ht="15.5" x14ac:dyDescent="0.35">
      <c r="B119" s="6" t="e">
        <f t="shared" si="13"/>
        <v>#VALUE!</v>
      </c>
      <c r="C119" s="7" t="e">
        <f t="shared" si="8"/>
        <v>#VALUE!</v>
      </c>
      <c r="D119" s="7" t="e">
        <f t="shared" si="9"/>
        <v>#VALUE!</v>
      </c>
      <c r="E119" s="7" t="e">
        <f>IF((C118-1)&lt;$E$19,0,C118*LeasingNOFam!$E$17)</f>
        <v>#VALUE!</v>
      </c>
      <c r="F119" s="8" t="e">
        <f>IF((C118-1)&lt;$E$19,"0",C118*Seguros_Oblig!$N$3)</f>
        <v>#VALUE!</v>
      </c>
      <c r="G119" s="8" t="e">
        <f>IF(LeasingHab!$C$10="TARIFA 1",(C118*(VLOOKUP(LeasingHab!$C$24,Seguros_Oblig!$A$3:$B$55,2,FALSE))),(C118*(VLOOKUP(LeasingHab!$C$24,Seguros_Oblig!$A$3:$D$55,4,FALSE))))</f>
        <v>#VALUE!</v>
      </c>
      <c r="H119" s="8" t="e">
        <f>IF(LeasingHab!$C$10="TARIFA 1",(C118*(VLOOKUP(LeasingHab!$C$25,Seguros_Oblig!$A$3:$B$55,2,FALSE))),(C118*(VLOOKUP(LeasingHab!$C$25,Seguros_Oblig!$A$3:$D$55,4,FALSE))))</f>
        <v>#VALUE!</v>
      </c>
      <c r="I119" s="8" t="e">
        <f>IF(LeasingHab!$C$10="TARIFA 1",(C118*(VLOOKUP(LeasingHab!$C$26,Seguros_Oblig!$A$3:$B$55,2,FALSE))),(C118*(VLOOKUP(LeasingHab!$C$26,Seguros_Oblig!$A$3:$D$55,4,FALSE))))</f>
        <v>#VALUE!</v>
      </c>
      <c r="J119" s="10">
        <f t="shared" si="10"/>
        <v>0</v>
      </c>
      <c r="K119" s="7" t="e">
        <f>IF((C118-1)&lt;$E$19,0,Seguros_Oblig!$N$4*(LeasingNOFam!$C$12*90%))</f>
        <v>#VALUE!</v>
      </c>
      <c r="L119" s="7" t="e">
        <f>IF(B119&gt;LeasingNOFam!$C$18,0,PMT(LeasingNOFam!$E$17,LeasingNOFam!$C$18,-LeasingNOFam!$C$15,,)-PMT(LeasingNOFam!$E$17,LeasingNOFam!$C$18,-LeasingNOFam!$C$22)+LeasingNOFam!$C$22*LeasingNOFam!$E$17)</f>
        <v>#VALUE!</v>
      </c>
      <c r="M119" s="9" t="e">
        <f t="shared" si="11"/>
        <v>#VALUE!</v>
      </c>
      <c r="N119" s="7" t="e">
        <f>IF(C118&lt;1,"0",LeasingHab!$C$39)</f>
        <v>#VALUE!</v>
      </c>
      <c r="O119" s="9" t="e">
        <f t="shared" si="12"/>
        <v>#VALUE!</v>
      </c>
    </row>
    <row r="120" spans="2:15" ht="15.5" x14ac:dyDescent="0.35">
      <c r="B120" s="6" t="e">
        <f t="shared" si="13"/>
        <v>#VALUE!</v>
      </c>
      <c r="C120" s="7" t="e">
        <f t="shared" si="8"/>
        <v>#VALUE!</v>
      </c>
      <c r="D120" s="7" t="e">
        <f t="shared" si="9"/>
        <v>#VALUE!</v>
      </c>
      <c r="E120" s="7" t="e">
        <f>IF((C119-1)&lt;$E$19,0,C119*LeasingNOFam!$E$17)</f>
        <v>#VALUE!</v>
      </c>
      <c r="F120" s="8" t="e">
        <f>IF((C119-1)&lt;$E$19,"0",C119*Seguros_Oblig!$N$3)</f>
        <v>#VALUE!</v>
      </c>
      <c r="G120" s="8" t="e">
        <f>IF(LeasingHab!$C$10="TARIFA 1",(C119*(VLOOKUP(LeasingHab!$C$24,Seguros_Oblig!$A$3:$B$55,2,FALSE))),(C119*(VLOOKUP(LeasingHab!$C$24,Seguros_Oblig!$A$3:$D$55,4,FALSE))))</f>
        <v>#VALUE!</v>
      </c>
      <c r="H120" s="8" t="e">
        <f>IF(LeasingHab!$C$10="TARIFA 1",(C119*(VLOOKUP(LeasingHab!$C$25,Seguros_Oblig!$A$3:$B$55,2,FALSE))),(C119*(VLOOKUP(LeasingHab!$C$25,Seguros_Oblig!$A$3:$D$55,4,FALSE))))</f>
        <v>#VALUE!</v>
      </c>
      <c r="I120" s="8" t="e">
        <f>IF(LeasingHab!$C$10="TARIFA 1",(C119*(VLOOKUP(LeasingHab!$C$26,Seguros_Oblig!$A$3:$B$55,2,FALSE))),(C119*(VLOOKUP(LeasingHab!$C$26,Seguros_Oblig!$A$3:$D$55,4,FALSE))))</f>
        <v>#VALUE!</v>
      </c>
      <c r="J120" s="10">
        <f t="shared" si="10"/>
        <v>0</v>
      </c>
      <c r="K120" s="7" t="e">
        <f>IF((C119-1)&lt;$E$19,0,Seguros_Oblig!$N$4*(LeasingNOFam!$C$12*90%))</f>
        <v>#VALUE!</v>
      </c>
      <c r="L120" s="7" t="e">
        <f>IF(B120&gt;LeasingNOFam!$C$18,0,PMT(LeasingNOFam!$E$17,LeasingNOFam!$C$18,-LeasingNOFam!$C$15,,)-PMT(LeasingNOFam!$E$17,LeasingNOFam!$C$18,-LeasingNOFam!$C$22)+LeasingNOFam!$C$22*LeasingNOFam!$E$17)</f>
        <v>#VALUE!</v>
      </c>
      <c r="M120" s="9" t="e">
        <f t="shared" si="11"/>
        <v>#VALUE!</v>
      </c>
      <c r="N120" s="7" t="e">
        <f>IF(C119&lt;1,"0",LeasingHab!$C$39)</f>
        <v>#VALUE!</v>
      </c>
      <c r="O120" s="9" t="e">
        <f t="shared" si="12"/>
        <v>#VALUE!</v>
      </c>
    </row>
    <row r="121" spans="2:15" ht="15.5" x14ac:dyDescent="0.35">
      <c r="B121" s="6" t="e">
        <f t="shared" si="13"/>
        <v>#VALUE!</v>
      </c>
      <c r="C121" s="7" t="e">
        <f t="shared" si="8"/>
        <v>#VALUE!</v>
      </c>
      <c r="D121" s="7" t="e">
        <f t="shared" si="9"/>
        <v>#VALUE!</v>
      </c>
      <c r="E121" s="7" t="e">
        <f>IF((C120-1)&lt;$E$19,0,C120*LeasingNOFam!$E$17)</f>
        <v>#VALUE!</v>
      </c>
      <c r="F121" s="8" t="e">
        <f>IF((C120-1)&lt;$E$19,"0",C120*Seguros_Oblig!$N$3)</f>
        <v>#VALUE!</v>
      </c>
      <c r="G121" s="8" t="e">
        <f>IF(LeasingHab!$C$10="TARIFA 1",(C120*(VLOOKUP(LeasingHab!$C$24,Seguros_Oblig!$A$3:$B$55,2,FALSE))),(C120*(VLOOKUP(LeasingHab!$C$24,Seguros_Oblig!$A$3:$D$55,4,FALSE))))</f>
        <v>#VALUE!</v>
      </c>
      <c r="H121" s="8" t="e">
        <f>IF(LeasingHab!$C$10="TARIFA 1",(C120*(VLOOKUP(LeasingHab!$C$25,Seguros_Oblig!$A$3:$B$55,2,FALSE))),(C120*(VLOOKUP(LeasingHab!$C$25,Seguros_Oblig!$A$3:$D$55,4,FALSE))))</f>
        <v>#VALUE!</v>
      </c>
      <c r="I121" s="8" t="e">
        <f>IF(LeasingHab!$C$10="TARIFA 1",(C120*(VLOOKUP(LeasingHab!$C$26,Seguros_Oblig!$A$3:$B$55,2,FALSE))),(C120*(VLOOKUP(LeasingHab!$C$26,Seguros_Oblig!$A$3:$D$55,4,FALSE))))</f>
        <v>#VALUE!</v>
      </c>
      <c r="J121" s="10">
        <f t="shared" si="10"/>
        <v>0</v>
      </c>
      <c r="K121" s="7" t="e">
        <f>IF((C120-1)&lt;$E$19,0,Seguros_Oblig!$N$4*(LeasingNOFam!$C$12*90%))</f>
        <v>#VALUE!</v>
      </c>
      <c r="L121" s="7" t="e">
        <f>IF(B121&gt;LeasingNOFam!$C$18,0,PMT(LeasingNOFam!$E$17,LeasingNOFam!$C$18,-LeasingNOFam!$C$15,,)-PMT(LeasingNOFam!$E$17,LeasingNOFam!$C$18,-LeasingNOFam!$C$22)+LeasingNOFam!$C$22*LeasingNOFam!$E$17)</f>
        <v>#VALUE!</v>
      </c>
      <c r="M121" s="9" t="e">
        <f t="shared" si="11"/>
        <v>#VALUE!</v>
      </c>
      <c r="N121" s="7" t="e">
        <f>IF(C120&lt;1,"0",LeasingHab!$C$39)</f>
        <v>#VALUE!</v>
      </c>
      <c r="O121" s="9" t="e">
        <f t="shared" si="12"/>
        <v>#VALUE!</v>
      </c>
    </row>
    <row r="122" spans="2:15" ht="15.5" x14ac:dyDescent="0.35">
      <c r="B122" s="6" t="e">
        <f t="shared" si="13"/>
        <v>#VALUE!</v>
      </c>
      <c r="C122" s="7" t="e">
        <f t="shared" si="8"/>
        <v>#VALUE!</v>
      </c>
      <c r="D122" s="7" t="e">
        <f t="shared" si="9"/>
        <v>#VALUE!</v>
      </c>
      <c r="E122" s="7" t="e">
        <f>IF((C121-1)&lt;$E$19,0,C121*LeasingNOFam!$E$17)</f>
        <v>#VALUE!</v>
      </c>
      <c r="F122" s="8" t="e">
        <f>IF((C121-1)&lt;$E$19,"0",C121*Seguros_Oblig!$N$3)</f>
        <v>#VALUE!</v>
      </c>
      <c r="G122" s="8" t="e">
        <f>IF(LeasingHab!$C$10="TARIFA 1",(C121*(VLOOKUP(LeasingHab!$C$24,Seguros_Oblig!$A$3:$B$55,2,FALSE))),(C121*(VLOOKUP(LeasingHab!$C$24,Seguros_Oblig!$A$3:$D$55,4,FALSE))))</f>
        <v>#VALUE!</v>
      </c>
      <c r="H122" s="8" t="e">
        <f>IF(LeasingHab!$C$10="TARIFA 1",(C121*(VLOOKUP(LeasingHab!$C$25,Seguros_Oblig!$A$3:$B$55,2,FALSE))),(C121*(VLOOKUP(LeasingHab!$C$25,Seguros_Oblig!$A$3:$D$55,4,FALSE))))</f>
        <v>#VALUE!</v>
      </c>
      <c r="I122" s="8" t="e">
        <f>IF(LeasingHab!$C$10="TARIFA 1",(C121*(VLOOKUP(LeasingHab!$C$26,Seguros_Oblig!$A$3:$B$55,2,FALSE))),(C121*(VLOOKUP(LeasingHab!$C$26,Seguros_Oblig!$A$3:$D$55,4,FALSE))))</f>
        <v>#VALUE!</v>
      </c>
      <c r="J122" s="10">
        <f t="shared" si="10"/>
        <v>0</v>
      </c>
      <c r="K122" s="7" t="e">
        <f>IF((C121-1)&lt;$E$19,0,Seguros_Oblig!$N$4*(LeasingNOFam!$C$12*90%))</f>
        <v>#VALUE!</v>
      </c>
      <c r="L122" s="7" t="e">
        <f>IF(B122&gt;LeasingNOFam!$C$18,0,PMT(LeasingNOFam!$E$17,LeasingNOFam!$C$18,-LeasingNOFam!$C$15,,)-PMT(LeasingNOFam!$E$17,LeasingNOFam!$C$18,-LeasingNOFam!$C$22)+LeasingNOFam!$C$22*LeasingNOFam!$E$17)</f>
        <v>#VALUE!</v>
      </c>
      <c r="M122" s="9" t="e">
        <f t="shared" si="11"/>
        <v>#VALUE!</v>
      </c>
      <c r="N122" s="7" t="e">
        <f>IF(C121&lt;1,"0",LeasingHab!$C$39)</f>
        <v>#VALUE!</v>
      </c>
      <c r="O122" s="9" t="e">
        <f t="shared" si="12"/>
        <v>#VALUE!</v>
      </c>
    </row>
    <row r="123" spans="2:15" ht="15.5" x14ac:dyDescent="0.35">
      <c r="B123" s="6" t="e">
        <f t="shared" si="13"/>
        <v>#VALUE!</v>
      </c>
      <c r="C123" s="7" t="e">
        <f t="shared" si="8"/>
        <v>#VALUE!</v>
      </c>
      <c r="D123" s="7" t="e">
        <f t="shared" si="9"/>
        <v>#VALUE!</v>
      </c>
      <c r="E123" s="7" t="e">
        <f>IF((C122-1)&lt;$E$19,0,C122*LeasingNOFam!$E$17)</f>
        <v>#VALUE!</v>
      </c>
      <c r="F123" s="8" t="e">
        <f>IF((C122-1)&lt;$E$19,"0",C122*Seguros_Oblig!$N$3)</f>
        <v>#VALUE!</v>
      </c>
      <c r="G123" s="8" t="e">
        <f>IF(LeasingHab!$C$10="TARIFA 1",(C122*(VLOOKUP(LeasingHab!$C$24,Seguros_Oblig!$A$3:$B$55,2,FALSE))),(C122*(VLOOKUP(LeasingHab!$C$24,Seguros_Oblig!$A$3:$D$55,4,FALSE))))</f>
        <v>#VALUE!</v>
      </c>
      <c r="H123" s="8" t="e">
        <f>IF(LeasingHab!$C$10="TARIFA 1",(C122*(VLOOKUP(LeasingHab!$C$25,Seguros_Oblig!$A$3:$B$55,2,FALSE))),(C122*(VLOOKUP(LeasingHab!$C$25,Seguros_Oblig!$A$3:$D$55,4,FALSE))))</f>
        <v>#VALUE!</v>
      </c>
      <c r="I123" s="8" t="e">
        <f>IF(LeasingHab!$C$10="TARIFA 1",(C122*(VLOOKUP(LeasingHab!$C$26,Seguros_Oblig!$A$3:$B$55,2,FALSE))),(C122*(VLOOKUP(LeasingHab!$C$26,Seguros_Oblig!$A$3:$D$55,4,FALSE))))</f>
        <v>#VALUE!</v>
      </c>
      <c r="J123" s="10">
        <f t="shared" si="10"/>
        <v>0</v>
      </c>
      <c r="K123" s="7" t="e">
        <f>IF((C122-1)&lt;$E$19,0,Seguros_Oblig!$N$4*(LeasingNOFam!$C$12*90%))</f>
        <v>#VALUE!</v>
      </c>
      <c r="L123" s="7" t="e">
        <f>IF(B123&gt;LeasingNOFam!$C$18,0,PMT(LeasingNOFam!$E$17,LeasingNOFam!$C$18,-LeasingNOFam!$C$15,,)-PMT(LeasingNOFam!$E$17,LeasingNOFam!$C$18,-LeasingNOFam!$C$22)+LeasingNOFam!$C$22*LeasingNOFam!$E$17)</f>
        <v>#VALUE!</v>
      </c>
      <c r="M123" s="9" t="e">
        <f t="shared" si="11"/>
        <v>#VALUE!</v>
      </c>
      <c r="N123" s="7" t="e">
        <f>IF(C122&lt;1,"0",LeasingHab!$C$39)</f>
        <v>#VALUE!</v>
      </c>
      <c r="O123" s="9" t="e">
        <f t="shared" si="12"/>
        <v>#VALUE!</v>
      </c>
    </row>
    <row r="124" spans="2:15" ht="15.5" x14ac:dyDescent="0.35">
      <c r="B124" s="6" t="e">
        <f t="shared" si="13"/>
        <v>#VALUE!</v>
      </c>
      <c r="C124" s="7" t="e">
        <f t="shared" si="8"/>
        <v>#VALUE!</v>
      </c>
      <c r="D124" s="7" t="e">
        <f t="shared" si="9"/>
        <v>#VALUE!</v>
      </c>
      <c r="E124" s="7" t="e">
        <f>IF((C123-1)&lt;$E$19,0,C123*LeasingNOFam!$E$17)</f>
        <v>#VALUE!</v>
      </c>
      <c r="F124" s="8" t="e">
        <f>IF((C123-1)&lt;$E$19,"0",C123*Seguros_Oblig!$N$3)</f>
        <v>#VALUE!</v>
      </c>
      <c r="G124" s="8" t="e">
        <f>IF(LeasingHab!$C$10="TARIFA 1",(C123*(VLOOKUP(LeasingHab!$C$24,Seguros_Oblig!$A$3:$B$55,2,FALSE))),(C123*(VLOOKUP(LeasingHab!$C$24,Seguros_Oblig!$A$3:$D$55,4,FALSE))))</f>
        <v>#VALUE!</v>
      </c>
      <c r="H124" s="8" t="e">
        <f>IF(LeasingHab!$C$10="TARIFA 1",(C123*(VLOOKUP(LeasingHab!$C$25,Seguros_Oblig!$A$3:$B$55,2,FALSE))),(C123*(VLOOKUP(LeasingHab!$C$25,Seguros_Oblig!$A$3:$D$55,4,FALSE))))</f>
        <v>#VALUE!</v>
      </c>
      <c r="I124" s="8" t="e">
        <f>IF(LeasingHab!$C$10="TARIFA 1",(C123*(VLOOKUP(LeasingHab!$C$26,Seguros_Oblig!$A$3:$B$55,2,FALSE))),(C123*(VLOOKUP(LeasingHab!$C$26,Seguros_Oblig!$A$3:$D$55,4,FALSE))))</f>
        <v>#VALUE!</v>
      </c>
      <c r="J124" s="10">
        <f t="shared" si="10"/>
        <v>0</v>
      </c>
      <c r="K124" s="7" t="e">
        <f>IF((C123-1)&lt;$E$19,0,Seguros_Oblig!$N$4*(LeasingNOFam!$C$12*90%))</f>
        <v>#VALUE!</v>
      </c>
      <c r="L124" s="7" t="e">
        <f>IF(B124&gt;LeasingNOFam!$C$18,0,PMT(LeasingNOFam!$E$17,LeasingNOFam!$C$18,-LeasingNOFam!$C$15,,)-PMT(LeasingNOFam!$E$17,LeasingNOFam!$C$18,-LeasingNOFam!$C$22)+LeasingNOFam!$C$22*LeasingNOFam!$E$17)</f>
        <v>#VALUE!</v>
      </c>
      <c r="M124" s="9" t="e">
        <f t="shared" si="11"/>
        <v>#VALUE!</v>
      </c>
      <c r="N124" s="7" t="e">
        <f>IF(C123&lt;1,"0",LeasingHab!$C$39)</f>
        <v>#VALUE!</v>
      </c>
      <c r="O124" s="9" t="e">
        <f t="shared" si="12"/>
        <v>#VALUE!</v>
      </c>
    </row>
    <row r="125" spans="2:15" ht="15.5" x14ac:dyDescent="0.35">
      <c r="B125" s="6" t="e">
        <f t="shared" si="13"/>
        <v>#VALUE!</v>
      </c>
      <c r="C125" s="7" t="e">
        <f t="shared" si="8"/>
        <v>#VALUE!</v>
      </c>
      <c r="D125" s="7" t="e">
        <f t="shared" si="9"/>
        <v>#VALUE!</v>
      </c>
      <c r="E125" s="7" t="e">
        <f>IF((C124-1)&lt;$E$19,0,C124*LeasingNOFam!$E$17)</f>
        <v>#VALUE!</v>
      </c>
      <c r="F125" s="8" t="e">
        <f>IF((C124-1)&lt;$E$19,"0",C124*Seguros_Oblig!$N$3)</f>
        <v>#VALUE!</v>
      </c>
      <c r="G125" s="8" t="e">
        <f>IF(LeasingHab!$C$10="TARIFA 1",(C124*(VLOOKUP(LeasingHab!$C$24,Seguros_Oblig!$A$3:$B$55,2,FALSE))),(C124*(VLOOKUP(LeasingHab!$C$24,Seguros_Oblig!$A$3:$D$55,4,FALSE))))</f>
        <v>#VALUE!</v>
      </c>
      <c r="H125" s="8" t="e">
        <f>IF(LeasingHab!$C$10="TARIFA 1",(C124*(VLOOKUP(LeasingHab!$C$25,Seguros_Oblig!$A$3:$B$55,2,FALSE))),(C124*(VLOOKUP(LeasingHab!$C$25,Seguros_Oblig!$A$3:$D$55,4,FALSE))))</f>
        <v>#VALUE!</v>
      </c>
      <c r="I125" s="8" t="e">
        <f>IF(LeasingHab!$C$10="TARIFA 1",(C124*(VLOOKUP(LeasingHab!$C$26,Seguros_Oblig!$A$3:$B$55,2,FALSE))),(C124*(VLOOKUP(LeasingHab!$C$26,Seguros_Oblig!$A$3:$D$55,4,FALSE))))</f>
        <v>#VALUE!</v>
      </c>
      <c r="J125" s="10">
        <f t="shared" si="10"/>
        <v>0</v>
      </c>
      <c r="K125" s="7" t="e">
        <f>IF((C124-1)&lt;$E$19,0,Seguros_Oblig!$N$4*(LeasingNOFam!$C$12*90%))</f>
        <v>#VALUE!</v>
      </c>
      <c r="L125" s="7" t="e">
        <f>IF(B125&gt;LeasingNOFam!$C$18,0,PMT(LeasingNOFam!$E$17,LeasingNOFam!$C$18,-LeasingNOFam!$C$15,,)-PMT(LeasingNOFam!$E$17,LeasingNOFam!$C$18,-LeasingNOFam!$C$22)+LeasingNOFam!$C$22*LeasingNOFam!$E$17)</f>
        <v>#VALUE!</v>
      </c>
      <c r="M125" s="9" t="e">
        <f t="shared" si="11"/>
        <v>#VALUE!</v>
      </c>
      <c r="N125" s="7" t="e">
        <f>IF(C124&lt;1,"0",LeasingHab!$C$39)</f>
        <v>#VALUE!</v>
      </c>
      <c r="O125" s="9" t="e">
        <f t="shared" si="12"/>
        <v>#VALUE!</v>
      </c>
    </row>
    <row r="126" spans="2:15" ht="15.5" x14ac:dyDescent="0.35">
      <c r="B126" s="6" t="e">
        <f t="shared" si="13"/>
        <v>#VALUE!</v>
      </c>
      <c r="C126" s="7" t="e">
        <f t="shared" si="8"/>
        <v>#VALUE!</v>
      </c>
      <c r="D126" s="7" t="e">
        <f t="shared" si="9"/>
        <v>#VALUE!</v>
      </c>
      <c r="E126" s="7" t="e">
        <f>IF((C125-1)&lt;$E$19,0,C125*LeasingNOFam!$E$17)</f>
        <v>#VALUE!</v>
      </c>
      <c r="F126" s="8" t="e">
        <f>IF((C125-1)&lt;$E$19,"0",C125*Seguros_Oblig!$N$3)</f>
        <v>#VALUE!</v>
      </c>
      <c r="G126" s="8" t="e">
        <f>IF(LeasingHab!$C$10="TARIFA 1",(C125*(VLOOKUP(LeasingHab!$C$24,Seguros_Oblig!$A$3:$B$55,2,FALSE))),(C125*(VLOOKUP(LeasingHab!$C$24,Seguros_Oblig!$A$3:$D$55,4,FALSE))))</f>
        <v>#VALUE!</v>
      </c>
      <c r="H126" s="8" t="e">
        <f>IF(LeasingHab!$C$10="TARIFA 1",(C125*(VLOOKUP(LeasingHab!$C$25,Seguros_Oblig!$A$3:$B$55,2,FALSE))),(C125*(VLOOKUP(LeasingHab!$C$25,Seguros_Oblig!$A$3:$D$55,4,FALSE))))</f>
        <v>#VALUE!</v>
      </c>
      <c r="I126" s="8" t="e">
        <f>IF(LeasingHab!$C$10="TARIFA 1",(C125*(VLOOKUP(LeasingHab!$C$26,Seguros_Oblig!$A$3:$B$55,2,FALSE))),(C125*(VLOOKUP(LeasingHab!$C$26,Seguros_Oblig!$A$3:$D$55,4,FALSE))))</f>
        <v>#VALUE!</v>
      </c>
      <c r="J126" s="10">
        <f t="shared" si="10"/>
        <v>0</v>
      </c>
      <c r="K126" s="7" t="e">
        <f>IF((C125-1)&lt;$E$19,0,Seguros_Oblig!$N$4*(LeasingNOFam!$C$12*90%))</f>
        <v>#VALUE!</v>
      </c>
      <c r="L126" s="7" t="e">
        <f>IF(B126&gt;LeasingNOFam!$C$18,0,PMT(LeasingNOFam!$E$17,LeasingNOFam!$C$18,-LeasingNOFam!$C$15,,)-PMT(LeasingNOFam!$E$17,LeasingNOFam!$C$18,-LeasingNOFam!$C$22)+LeasingNOFam!$C$22*LeasingNOFam!$E$17)</f>
        <v>#VALUE!</v>
      </c>
      <c r="M126" s="9" t="e">
        <f t="shared" si="11"/>
        <v>#VALUE!</v>
      </c>
      <c r="N126" s="7" t="e">
        <f>IF(C125&lt;1,"0",LeasingHab!$C$39)</f>
        <v>#VALUE!</v>
      </c>
      <c r="O126" s="9" t="e">
        <f t="shared" si="12"/>
        <v>#VALUE!</v>
      </c>
    </row>
    <row r="127" spans="2:15" ht="15.5" x14ac:dyDescent="0.35">
      <c r="B127" s="6" t="e">
        <f t="shared" si="13"/>
        <v>#VALUE!</v>
      </c>
      <c r="C127" s="7" t="e">
        <f t="shared" si="8"/>
        <v>#VALUE!</v>
      </c>
      <c r="D127" s="7" t="e">
        <f t="shared" si="9"/>
        <v>#VALUE!</v>
      </c>
      <c r="E127" s="7" t="e">
        <f>IF((C126-1)&lt;$E$19,0,C126*LeasingNOFam!$E$17)</f>
        <v>#VALUE!</v>
      </c>
      <c r="F127" s="8" t="e">
        <f>IF((C126-1)&lt;$E$19,"0",C126*Seguros_Oblig!$N$3)</f>
        <v>#VALUE!</v>
      </c>
      <c r="G127" s="8" t="e">
        <f>IF(LeasingHab!$C$10="TARIFA 1",(C126*(VLOOKUP(LeasingHab!$C$24,Seguros_Oblig!$A$3:$B$55,2,FALSE))),(C126*(VLOOKUP(LeasingHab!$C$24,Seguros_Oblig!$A$3:$D$55,4,FALSE))))</f>
        <v>#VALUE!</v>
      </c>
      <c r="H127" s="8" t="e">
        <f>IF(LeasingHab!$C$10="TARIFA 1",(C126*(VLOOKUP(LeasingHab!$C$25,Seguros_Oblig!$A$3:$B$55,2,FALSE))),(C126*(VLOOKUP(LeasingHab!$C$25,Seguros_Oblig!$A$3:$D$55,4,FALSE))))</f>
        <v>#VALUE!</v>
      </c>
      <c r="I127" s="8" t="e">
        <f>IF(LeasingHab!$C$10="TARIFA 1",(C126*(VLOOKUP(LeasingHab!$C$26,Seguros_Oblig!$A$3:$B$55,2,FALSE))),(C126*(VLOOKUP(LeasingHab!$C$26,Seguros_Oblig!$A$3:$D$55,4,FALSE))))</f>
        <v>#VALUE!</v>
      </c>
      <c r="J127" s="10">
        <f t="shared" si="10"/>
        <v>0</v>
      </c>
      <c r="K127" s="7" t="e">
        <f>IF((C126-1)&lt;$E$19,0,Seguros_Oblig!$N$4*(LeasingNOFam!$C$12*90%))</f>
        <v>#VALUE!</v>
      </c>
      <c r="L127" s="7" t="e">
        <f>IF(B127&gt;LeasingNOFam!$C$18,0,PMT(LeasingNOFam!$E$17,LeasingNOFam!$C$18,-LeasingNOFam!$C$15,,)-PMT(LeasingNOFam!$E$17,LeasingNOFam!$C$18,-LeasingNOFam!$C$22)+LeasingNOFam!$C$22*LeasingNOFam!$E$17)</f>
        <v>#VALUE!</v>
      </c>
      <c r="M127" s="9" t="e">
        <f t="shared" si="11"/>
        <v>#VALUE!</v>
      </c>
      <c r="N127" s="7" t="e">
        <f>IF(C126&lt;1,"0",LeasingHab!$C$39)</f>
        <v>#VALUE!</v>
      </c>
      <c r="O127" s="9" t="e">
        <f t="shared" si="12"/>
        <v>#VALUE!</v>
      </c>
    </row>
    <row r="128" spans="2:15" ht="15.5" x14ac:dyDescent="0.35">
      <c r="B128" s="6" t="e">
        <f t="shared" si="13"/>
        <v>#VALUE!</v>
      </c>
      <c r="C128" s="7" t="e">
        <f t="shared" si="8"/>
        <v>#VALUE!</v>
      </c>
      <c r="D128" s="7" t="e">
        <f t="shared" si="9"/>
        <v>#VALUE!</v>
      </c>
      <c r="E128" s="7" t="e">
        <f>IF((C127-1)&lt;$E$19,0,C127*LeasingNOFam!$E$17)</f>
        <v>#VALUE!</v>
      </c>
      <c r="F128" s="8" t="e">
        <f>IF((C127-1)&lt;$E$19,"0",C127*Seguros_Oblig!$N$3)</f>
        <v>#VALUE!</v>
      </c>
      <c r="G128" s="8" t="e">
        <f>IF(LeasingHab!$C$10="TARIFA 1",(C127*(VLOOKUP(LeasingHab!$C$24,Seguros_Oblig!$A$3:$B$55,2,FALSE))),(C127*(VLOOKUP(LeasingHab!$C$24,Seguros_Oblig!$A$3:$D$55,4,FALSE))))</f>
        <v>#VALUE!</v>
      </c>
      <c r="H128" s="8" t="e">
        <f>IF(LeasingHab!$C$10="TARIFA 1",(C127*(VLOOKUP(LeasingHab!$C$25,Seguros_Oblig!$A$3:$B$55,2,FALSE))),(C127*(VLOOKUP(LeasingHab!$C$25,Seguros_Oblig!$A$3:$D$55,4,FALSE))))</f>
        <v>#VALUE!</v>
      </c>
      <c r="I128" s="8" t="e">
        <f>IF(LeasingHab!$C$10="TARIFA 1",(C127*(VLOOKUP(LeasingHab!$C$26,Seguros_Oblig!$A$3:$B$55,2,FALSE))),(C127*(VLOOKUP(LeasingHab!$C$26,Seguros_Oblig!$A$3:$D$55,4,FALSE))))</f>
        <v>#VALUE!</v>
      </c>
      <c r="J128" s="10">
        <f t="shared" si="10"/>
        <v>0</v>
      </c>
      <c r="K128" s="7" t="e">
        <f>IF((C127-1)&lt;$E$19,0,Seguros_Oblig!$N$4*(LeasingNOFam!$C$12*90%))</f>
        <v>#VALUE!</v>
      </c>
      <c r="L128" s="7" t="e">
        <f>IF(B128&gt;LeasingNOFam!$C$18,0,PMT(LeasingNOFam!$E$17,LeasingNOFam!$C$18,-LeasingNOFam!$C$15,,)-PMT(LeasingNOFam!$E$17,LeasingNOFam!$C$18,-LeasingNOFam!$C$22)+LeasingNOFam!$C$22*LeasingNOFam!$E$17)</f>
        <v>#VALUE!</v>
      </c>
      <c r="M128" s="9" t="e">
        <f t="shared" si="11"/>
        <v>#VALUE!</v>
      </c>
      <c r="N128" s="7" t="e">
        <f>IF(C127&lt;1,"0",LeasingHab!$C$39)</f>
        <v>#VALUE!</v>
      </c>
      <c r="O128" s="9" t="e">
        <f t="shared" si="12"/>
        <v>#VALUE!</v>
      </c>
    </row>
    <row r="129" spans="2:15" ht="15.5" x14ac:dyDescent="0.35">
      <c r="B129" s="6" t="e">
        <f t="shared" si="13"/>
        <v>#VALUE!</v>
      </c>
      <c r="C129" s="7" t="e">
        <f t="shared" si="8"/>
        <v>#VALUE!</v>
      </c>
      <c r="D129" s="7" t="e">
        <f t="shared" si="9"/>
        <v>#VALUE!</v>
      </c>
      <c r="E129" s="7" t="e">
        <f>IF((C128-1)&lt;$E$19,0,C128*LeasingNOFam!$E$17)</f>
        <v>#VALUE!</v>
      </c>
      <c r="F129" s="8" t="e">
        <f>IF((C128-1)&lt;$E$19,"0",C128*Seguros_Oblig!$N$3)</f>
        <v>#VALUE!</v>
      </c>
      <c r="G129" s="8" t="e">
        <f>IF(LeasingHab!$C$10="TARIFA 1",(C128*(VLOOKUP(LeasingHab!$C$24,Seguros_Oblig!$A$3:$B$55,2,FALSE))),(C128*(VLOOKUP(LeasingHab!$C$24,Seguros_Oblig!$A$3:$D$55,4,FALSE))))</f>
        <v>#VALUE!</v>
      </c>
      <c r="H129" s="8" t="e">
        <f>IF(LeasingHab!$C$10="TARIFA 1",(C128*(VLOOKUP(LeasingHab!$C$25,Seguros_Oblig!$A$3:$B$55,2,FALSE))),(C128*(VLOOKUP(LeasingHab!$C$25,Seguros_Oblig!$A$3:$D$55,4,FALSE))))</f>
        <v>#VALUE!</v>
      </c>
      <c r="I129" s="8" t="e">
        <f>IF(LeasingHab!$C$10="TARIFA 1",(C128*(VLOOKUP(LeasingHab!$C$26,Seguros_Oblig!$A$3:$B$55,2,FALSE))),(C128*(VLOOKUP(LeasingHab!$C$26,Seguros_Oblig!$A$3:$D$55,4,FALSE))))</f>
        <v>#VALUE!</v>
      </c>
      <c r="J129" s="10">
        <f t="shared" si="10"/>
        <v>0</v>
      </c>
      <c r="K129" s="7" t="e">
        <f>IF((C128-1)&lt;$E$19,0,Seguros_Oblig!$N$4*(LeasingNOFam!$C$12*90%))</f>
        <v>#VALUE!</v>
      </c>
      <c r="L129" s="7" t="e">
        <f>IF(B129&gt;LeasingNOFam!$C$18,0,PMT(LeasingNOFam!$E$17,LeasingNOFam!$C$18,-LeasingNOFam!$C$15,,)-PMT(LeasingNOFam!$E$17,LeasingNOFam!$C$18,-LeasingNOFam!$C$22)+LeasingNOFam!$C$22*LeasingNOFam!$E$17)</f>
        <v>#VALUE!</v>
      </c>
      <c r="M129" s="9" t="e">
        <f t="shared" si="11"/>
        <v>#VALUE!</v>
      </c>
      <c r="N129" s="7" t="e">
        <f>IF(C128&lt;1,"0",LeasingHab!$C$39)</f>
        <v>#VALUE!</v>
      </c>
      <c r="O129" s="9" t="e">
        <f t="shared" si="12"/>
        <v>#VALUE!</v>
      </c>
    </row>
    <row r="130" spans="2:15" ht="15.5" x14ac:dyDescent="0.35">
      <c r="B130" s="6" t="e">
        <f t="shared" si="13"/>
        <v>#VALUE!</v>
      </c>
      <c r="C130" s="7" t="e">
        <f t="shared" si="8"/>
        <v>#VALUE!</v>
      </c>
      <c r="D130" s="7" t="e">
        <f t="shared" si="9"/>
        <v>#VALUE!</v>
      </c>
      <c r="E130" s="7" t="e">
        <f>IF((C129-1)&lt;$E$19,0,C129*LeasingNOFam!$E$17)</f>
        <v>#VALUE!</v>
      </c>
      <c r="F130" s="8" t="e">
        <f>IF((C129-1)&lt;$E$19,"0",C129*Seguros_Oblig!$N$3)</f>
        <v>#VALUE!</v>
      </c>
      <c r="G130" s="8" t="e">
        <f>IF(LeasingHab!$C$10="TARIFA 1",(C129*(VLOOKUP(LeasingHab!$C$24,Seguros_Oblig!$A$3:$B$55,2,FALSE))),(C129*(VLOOKUP(LeasingHab!$C$24,Seguros_Oblig!$A$3:$D$55,4,FALSE))))</f>
        <v>#VALUE!</v>
      </c>
      <c r="H130" s="8" t="e">
        <f>IF(LeasingHab!$C$10="TARIFA 1",(C129*(VLOOKUP(LeasingHab!$C$25,Seguros_Oblig!$A$3:$B$55,2,FALSE))),(C129*(VLOOKUP(LeasingHab!$C$25,Seguros_Oblig!$A$3:$D$55,4,FALSE))))</f>
        <v>#VALUE!</v>
      </c>
      <c r="I130" s="8" t="e">
        <f>IF(LeasingHab!$C$10="TARIFA 1",(C129*(VLOOKUP(LeasingHab!$C$26,Seguros_Oblig!$A$3:$B$55,2,FALSE))),(C129*(VLOOKUP(LeasingHab!$C$26,Seguros_Oblig!$A$3:$D$55,4,FALSE))))</f>
        <v>#VALUE!</v>
      </c>
      <c r="J130" s="10">
        <f t="shared" si="10"/>
        <v>0</v>
      </c>
      <c r="K130" s="7" t="e">
        <f>IF((C129-1)&lt;$E$19,0,Seguros_Oblig!$N$4*(LeasingNOFam!$C$12*90%))</f>
        <v>#VALUE!</v>
      </c>
      <c r="L130" s="7" t="e">
        <f>IF(B130&gt;LeasingNOFam!$C$18,0,PMT(LeasingNOFam!$E$17,LeasingNOFam!$C$18,-LeasingNOFam!$C$15,,)-PMT(LeasingNOFam!$E$17,LeasingNOFam!$C$18,-LeasingNOFam!$C$22)+LeasingNOFam!$C$22*LeasingNOFam!$E$17)</f>
        <v>#VALUE!</v>
      </c>
      <c r="M130" s="9" t="e">
        <f t="shared" si="11"/>
        <v>#VALUE!</v>
      </c>
      <c r="N130" s="7" t="e">
        <f>IF(C129&lt;1,"0",LeasingHab!$C$39)</f>
        <v>#VALUE!</v>
      </c>
      <c r="O130" s="9" t="e">
        <f t="shared" si="12"/>
        <v>#VALUE!</v>
      </c>
    </row>
    <row r="131" spans="2:15" ht="15.5" x14ac:dyDescent="0.35">
      <c r="B131" s="6" t="e">
        <f t="shared" si="13"/>
        <v>#VALUE!</v>
      </c>
      <c r="C131" s="7" t="e">
        <f t="shared" si="8"/>
        <v>#VALUE!</v>
      </c>
      <c r="D131" s="7" t="e">
        <f t="shared" si="9"/>
        <v>#VALUE!</v>
      </c>
      <c r="E131" s="7" t="e">
        <f>IF((C130-1)&lt;$E$19,0,C130*LeasingNOFam!$E$17)</f>
        <v>#VALUE!</v>
      </c>
      <c r="F131" s="8" t="e">
        <f>IF((C130-1)&lt;$E$19,"0",C130*Seguros_Oblig!$N$3)</f>
        <v>#VALUE!</v>
      </c>
      <c r="G131" s="8" t="e">
        <f>IF(LeasingHab!$C$10="TARIFA 1",(C130*(VLOOKUP(LeasingHab!$C$24,Seguros_Oblig!$A$3:$B$55,2,FALSE))),(C130*(VLOOKUP(LeasingHab!$C$24,Seguros_Oblig!$A$3:$D$55,4,FALSE))))</f>
        <v>#VALUE!</v>
      </c>
      <c r="H131" s="8" t="e">
        <f>IF(LeasingHab!$C$10="TARIFA 1",(C130*(VLOOKUP(LeasingHab!$C$25,Seguros_Oblig!$A$3:$B$55,2,FALSE))),(C130*(VLOOKUP(LeasingHab!$C$25,Seguros_Oblig!$A$3:$D$55,4,FALSE))))</f>
        <v>#VALUE!</v>
      </c>
      <c r="I131" s="8" t="e">
        <f>IF(LeasingHab!$C$10="TARIFA 1",(C130*(VLOOKUP(LeasingHab!$C$26,Seguros_Oblig!$A$3:$B$55,2,FALSE))),(C130*(VLOOKUP(LeasingHab!$C$26,Seguros_Oblig!$A$3:$D$55,4,FALSE))))</f>
        <v>#VALUE!</v>
      </c>
      <c r="J131" s="10">
        <f t="shared" si="10"/>
        <v>0</v>
      </c>
      <c r="K131" s="7" t="e">
        <f>IF((C130-1)&lt;$E$19,0,Seguros_Oblig!$N$4*(LeasingNOFam!$C$12*90%))</f>
        <v>#VALUE!</v>
      </c>
      <c r="L131" s="7" t="e">
        <f>IF(B131&gt;LeasingNOFam!$C$18,0,PMT(LeasingNOFam!$E$17,LeasingNOFam!$C$18,-LeasingNOFam!$C$15,,)-PMT(LeasingNOFam!$E$17,LeasingNOFam!$C$18,-LeasingNOFam!$C$22)+LeasingNOFam!$C$22*LeasingNOFam!$E$17)</f>
        <v>#VALUE!</v>
      </c>
      <c r="M131" s="9" t="e">
        <f t="shared" si="11"/>
        <v>#VALUE!</v>
      </c>
      <c r="N131" s="7" t="e">
        <f>IF(C130&lt;1,"0",LeasingHab!$C$39)</f>
        <v>#VALUE!</v>
      </c>
      <c r="O131" s="9" t="e">
        <f t="shared" si="12"/>
        <v>#VALUE!</v>
      </c>
    </row>
    <row r="132" spans="2:15" ht="15.5" x14ac:dyDescent="0.35">
      <c r="B132" s="6" t="e">
        <f t="shared" si="13"/>
        <v>#VALUE!</v>
      </c>
      <c r="C132" s="7" t="e">
        <f t="shared" si="8"/>
        <v>#VALUE!</v>
      </c>
      <c r="D132" s="7" t="e">
        <f t="shared" si="9"/>
        <v>#VALUE!</v>
      </c>
      <c r="E132" s="7" t="e">
        <f>IF((C131-1)&lt;$E$19,0,C131*LeasingNOFam!$E$17)</f>
        <v>#VALUE!</v>
      </c>
      <c r="F132" s="8" t="e">
        <f>IF((C131-1)&lt;$E$19,"0",C131*Seguros_Oblig!$N$3)</f>
        <v>#VALUE!</v>
      </c>
      <c r="G132" s="8" t="e">
        <f>IF(LeasingHab!$C$10="TARIFA 1",(C131*(VLOOKUP(LeasingHab!$C$24,Seguros_Oblig!$A$3:$B$55,2,FALSE))),(C131*(VLOOKUP(LeasingHab!$C$24,Seguros_Oblig!$A$3:$D$55,4,FALSE))))</f>
        <v>#VALUE!</v>
      </c>
      <c r="H132" s="8" t="e">
        <f>IF(LeasingHab!$C$10="TARIFA 1",(C131*(VLOOKUP(LeasingHab!$C$25,Seguros_Oblig!$A$3:$B$55,2,FALSE))),(C131*(VLOOKUP(LeasingHab!$C$25,Seguros_Oblig!$A$3:$D$55,4,FALSE))))</f>
        <v>#VALUE!</v>
      </c>
      <c r="I132" s="8" t="e">
        <f>IF(LeasingHab!$C$10="TARIFA 1",(C131*(VLOOKUP(LeasingHab!$C$26,Seguros_Oblig!$A$3:$B$55,2,FALSE))),(C131*(VLOOKUP(LeasingHab!$C$26,Seguros_Oblig!$A$3:$D$55,4,FALSE))))</f>
        <v>#VALUE!</v>
      </c>
      <c r="J132" s="10">
        <f t="shared" si="10"/>
        <v>0</v>
      </c>
      <c r="K132" s="7" t="e">
        <f>IF((C131-1)&lt;$E$19,0,Seguros_Oblig!$N$4*(LeasingNOFam!$C$12*90%))</f>
        <v>#VALUE!</v>
      </c>
      <c r="L132" s="7" t="e">
        <f>IF(B132&gt;LeasingNOFam!$C$18,0,PMT(LeasingNOFam!$E$17,LeasingNOFam!$C$18,-LeasingNOFam!$C$15,,)-PMT(LeasingNOFam!$E$17,LeasingNOFam!$C$18,-LeasingNOFam!$C$22)+LeasingNOFam!$C$22*LeasingNOFam!$E$17)</f>
        <v>#VALUE!</v>
      </c>
      <c r="M132" s="9" t="e">
        <f t="shared" si="11"/>
        <v>#VALUE!</v>
      </c>
      <c r="N132" s="7" t="e">
        <f>IF(C131&lt;1,"0",LeasingHab!$C$39)</f>
        <v>#VALUE!</v>
      </c>
      <c r="O132" s="9" t="e">
        <f t="shared" si="12"/>
        <v>#VALUE!</v>
      </c>
    </row>
    <row r="133" spans="2:15" ht="15.5" x14ac:dyDescent="0.35">
      <c r="B133" s="6" t="e">
        <f t="shared" si="13"/>
        <v>#VALUE!</v>
      </c>
      <c r="C133" s="7" t="e">
        <f t="shared" si="8"/>
        <v>#VALUE!</v>
      </c>
      <c r="D133" s="7" t="e">
        <f t="shared" si="9"/>
        <v>#VALUE!</v>
      </c>
      <c r="E133" s="7" t="e">
        <f>IF((C132-1)&lt;$E$19,0,C132*LeasingNOFam!$E$17)</f>
        <v>#VALUE!</v>
      </c>
      <c r="F133" s="8" t="e">
        <f>IF((C132-1)&lt;$E$19,"0",C132*Seguros_Oblig!$N$3)</f>
        <v>#VALUE!</v>
      </c>
      <c r="G133" s="8" t="e">
        <f>IF(LeasingHab!$C$10="TARIFA 1",(C132*(VLOOKUP(LeasingHab!$C$24,Seguros_Oblig!$A$3:$B$55,2,FALSE))),(C132*(VLOOKUP(LeasingHab!$C$24,Seguros_Oblig!$A$3:$D$55,4,FALSE))))</f>
        <v>#VALUE!</v>
      </c>
      <c r="H133" s="8" t="e">
        <f>IF(LeasingHab!$C$10="TARIFA 1",(C132*(VLOOKUP(LeasingHab!$C$25,Seguros_Oblig!$A$3:$B$55,2,FALSE))),(C132*(VLOOKUP(LeasingHab!$C$25,Seguros_Oblig!$A$3:$D$55,4,FALSE))))</f>
        <v>#VALUE!</v>
      </c>
      <c r="I133" s="8" t="e">
        <f>IF(LeasingHab!$C$10="TARIFA 1",(C132*(VLOOKUP(LeasingHab!$C$26,Seguros_Oblig!$A$3:$B$55,2,FALSE))),(C132*(VLOOKUP(LeasingHab!$C$26,Seguros_Oblig!$A$3:$D$55,4,FALSE))))</f>
        <v>#VALUE!</v>
      </c>
      <c r="J133" s="10">
        <f t="shared" si="10"/>
        <v>0</v>
      </c>
      <c r="K133" s="7" t="e">
        <f>IF((C132-1)&lt;$E$19,0,Seguros_Oblig!$N$4*(LeasingNOFam!$C$12*90%))</f>
        <v>#VALUE!</v>
      </c>
      <c r="L133" s="7" t="e">
        <f>IF(B133&gt;LeasingNOFam!$C$18,0,PMT(LeasingNOFam!$E$17,LeasingNOFam!$C$18,-LeasingNOFam!$C$15,,)-PMT(LeasingNOFam!$E$17,LeasingNOFam!$C$18,-LeasingNOFam!$C$22)+LeasingNOFam!$C$22*LeasingNOFam!$E$17)</f>
        <v>#VALUE!</v>
      </c>
      <c r="M133" s="9" t="e">
        <f t="shared" si="11"/>
        <v>#VALUE!</v>
      </c>
      <c r="N133" s="7" t="e">
        <f>IF(C132&lt;1,"0",LeasingHab!$C$39)</f>
        <v>#VALUE!</v>
      </c>
      <c r="O133" s="9" t="e">
        <f t="shared" si="12"/>
        <v>#VALUE!</v>
      </c>
    </row>
    <row r="134" spans="2:15" ht="15.5" x14ac:dyDescent="0.35">
      <c r="B134" s="6" t="e">
        <f t="shared" si="13"/>
        <v>#VALUE!</v>
      </c>
      <c r="C134" s="7" t="e">
        <f t="shared" si="8"/>
        <v>#VALUE!</v>
      </c>
      <c r="D134" s="7" t="e">
        <f t="shared" si="9"/>
        <v>#VALUE!</v>
      </c>
      <c r="E134" s="7" t="e">
        <f>IF((C133-1)&lt;$E$19,0,C133*LeasingNOFam!$E$17)</f>
        <v>#VALUE!</v>
      </c>
      <c r="F134" s="8" t="e">
        <f>IF((C133-1)&lt;$E$19,"0",C133*Seguros_Oblig!$N$3)</f>
        <v>#VALUE!</v>
      </c>
      <c r="G134" s="8" t="e">
        <f>IF(LeasingHab!$C$10="TARIFA 1",(C133*(VLOOKUP(LeasingHab!$C$24,Seguros_Oblig!$A$3:$B$55,2,FALSE))),(C133*(VLOOKUP(LeasingHab!$C$24,Seguros_Oblig!$A$3:$D$55,4,FALSE))))</f>
        <v>#VALUE!</v>
      </c>
      <c r="H134" s="8" t="e">
        <f>IF(LeasingHab!$C$10="TARIFA 1",(C133*(VLOOKUP(LeasingHab!$C$25,Seguros_Oblig!$A$3:$B$55,2,FALSE))),(C133*(VLOOKUP(LeasingHab!$C$25,Seguros_Oblig!$A$3:$D$55,4,FALSE))))</f>
        <v>#VALUE!</v>
      </c>
      <c r="I134" s="8" t="e">
        <f>IF(LeasingHab!$C$10="TARIFA 1",(C133*(VLOOKUP(LeasingHab!$C$26,Seguros_Oblig!$A$3:$B$55,2,FALSE))),(C133*(VLOOKUP(LeasingHab!$C$26,Seguros_Oblig!$A$3:$D$55,4,FALSE))))</f>
        <v>#VALUE!</v>
      </c>
      <c r="J134" s="10">
        <f t="shared" si="10"/>
        <v>0</v>
      </c>
      <c r="K134" s="7" t="e">
        <f>IF((C133-1)&lt;$E$19,0,Seguros_Oblig!$N$4*(LeasingNOFam!$C$12*90%))</f>
        <v>#VALUE!</v>
      </c>
      <c r="L134" s="7" t="e">
        <f>IF(B134&gt;LeasingNOFam!$C$18,0,PMT(LeasingNOFam!$E$17,LeasingNOFam!$C$18,-LeasingNOFam!$C$15,,)-PMT(LeasingNOFam!$E$17,LeasingNOFam!$C$18,-LeasingNOFam!$C$22)+LeasingNOFam!$C$22*LeasingNOFam!$E$17)</f>
        <v>#VALUE!</v>
      </c>
      <c r="M134" s="9" t="e">
        <f t="shared" si="11"/>
        <v>#VALUE!</v>
      </c>
      <c r="N134" s="7" t="e">
        <f>IF(C133&lt;1,"0",LeasingHab!$C$39)</f>
        <v>#VALUE!</v>
      </c>
      <c r="O134" s="9" t="e">
        <f t="shared" si="12"/>
        <v>#VALUE!</v>
      </c>
    </row>
    <row r="135" spans="2:15" ht="15.5" x14ac:dyDescent="0.35">
      <c r="B135" s="6" t="e">
        <f t="shared" si="13"/>
        <v>#VALUE!</v>
      </c>
      <c r="C135" s="7" t="e">
        <f t="shared" si="8"/>
        <v>#VALUE!</v>
      </c>
      <c r="D135" s="7" t="e">
        <f t="shared" si="9"/>
        <v>#VALUE!</v>
      </c>
      <c r="E135" s="7" t="e">
        <f>IF((C134-1)&lt;$E$19,0,C134*LeasingNOFam!$E$17)</f>
        <v>#VALUE!</v>
      </c>
      <c r="F135" s="8" t="e">
        <f>IF((C134-1)&lt;$E$19,"0",C134*Seguros_Oblig!$N$3)</f>
        <v>#VALUE!</v>
      </c>
      <c r="G135" s="8" t="e">
        <f>IF(LeasingHab!$C$10="TARIFA 1",(C134*(VLOOKUP(LeasingHab!$C$24,Seguros_Oblig!$A$3:$B$55,2,FALSE))),(C134*(VLOOKUP(LeasingHab!$C$24,Seguros_Oblig!$A$3:$D$55,4,FALSE))))</f>
        <v>#VALUE!</v>
      </c>
      <c r="H135" s="8" t="e">
        <f>IF(LeasingHab!$C$10="TARIFA 1",(C134*(VLOOKUP(LeasingHab!$C$25,Seguros_Oblig!$A$3:$B$55,2,FALSE))),(C134*(VLOOKUP(LeasingHab!$C$25,Seguros_Oblig!$A$3:$D$55,4,FALSE))))</f>
        <v>#VALUE!</v>
      </c>
      <c r="I135" s="8" t="e">
        <f>IF(LeasingHab!$C$10="TARIFA 1",(C134*(VLOOKUP(LeasingHab!$C$26,Seguros_Oblig!$A$3:$B$55,2,FALSE))),(C134*(VLOOKUP(LeasingHab!$C$26,Seguros_Oblig!$A$3:$D$55,4,FALSE))))</f>
        <v>#VALUE!</v>
      </c>
      <c r="J135" s="10">
        <f t="shared" si="10"/>
        <v>0</v>
      </c>
      <c r="K135" s="7" t="e">
        <f>IF((C134-1)&lt;$E$19,0,Seguros_Oblig!$N$4*(LeasingNOFam!$C$12*90%))</f>
        <v>#VALUE!</v>
      </c>
      <c r="L135" s="7" t="e">
        <f>IF(B135&gt;LeasingNOFam!$C$18,0,PMT(LeasingNOFam!$E$17,LeasingNOFam!$C$18,-LeasingNOFam!$C$15,,)-PMT(LeasingNOFam!$E$17,LeasingNOFam!$C$18,-LeasingNOFam!$C$22)+LeasingNOFam!$C$22*LeasingNOFam!$E$17)</f>
        <v>#VALUE!</v>
      </c>
      <c r="M135" s="9" t="e">
        <f t="shared" si="11"/>
        <v>#VALUE!</v>
      </c>
      <c r="N135" s="7" t="e">
        <f>IF(C134&lt;1,"0",LeasingHab!$C$39)</f>
        <v>#VALUE!</v>
      </c>
      <c r="O135" s="9" t="e">
        <f t="shared" si="12"/>
        <v>#VALUE!</v>
      </c>
    </row>
    <row r="136" spans="2:15" ht="15.5" x14ac:dyDescent="0.35">
      <c r="B136" s="6" t="e">
        <f t="shared" si="13"/>
        <v>#VALUE!</v>
      </c>
      <c r="C136" s="7" t="e">
        <f t="shared" si="8"/>
        <v>#VALUE!</v>
      </c>
      <c r="D136" s="7" t="e">
        <f t="shared" si="9"/>
        <v>#VALUE!</v>
      </c>
      <c r="E136" s="7" t="e">
        <f>IF((C135-1)&lt;$E$19,0,C135*LeasingNOFam!$E$17)</f>
        <v>#VALUE!</v>
      </c>
      <c r="F136" s="8" t="e">
        <f>IF((C135-1)&lt;$E$19,"0",C135*Seguros_Oblig!$N$3)</f>
        <v>#VALUE!</v>
      </c>
      <c r="G136" s="8" t="e">
        <f>IF(LeasingHab!$C$10="TARIFA 1",(C135*(VLOOKUP(LeasingHab!$C$24,Seguros_Oblig!$A$3:$B$55,2,FALSE))),(C135*(VLOOKUP(LeasingHab!$C$24,Seguros_Oblig!$A$3:$D$55,4,FALSE))))</f>
        <v>#VALUE!</v>
      </c>
      <c r="H136" s="8" t="e">
        <f>IF(LeasingHab!$C$10="TARIFA 1",(C135*(VLOOKUP(LeasingHab!$C$25,Seguros_Oblig!$A$3:$B$55,2,FALSE))),(C135*(VLOOKUP(LeasingHab!$C$25,Seguros_Oblig!$A$3:$D$55,4,FALSE))))</f>
        <v>#VALUE!</v>
      </c>
      <c r="I136" s="8" t="e">
        <f>IF(LeasingHab!$C$10="TARIFA 1",(C135*(VLOOKUP(LeasingHab!$C$26,Seguros_Oblig!$A$3:$B$55,2,FALSE))),(C135*(VLOOKUP(LeasingHab!$C$26,Seguros_Oblig!$A$3:$D$55,4,FALSE))))</f>
        <v>#VALUE!</v>
      </c>
      <c r="J136" s="10">
        <f t="shared" si="10"/>
        <v>0</v>
      </c>
      <c r="K136" s="7" t="e">
        <f>IF((C135-1)&lt;$E$19,0,Seguros_Oblig!$N$4*(LeasingNOFam!$C$12*90%))</f>
        <v>#VALUE!</v>
      </c>
      <c r="L136" s="7" t="e">
        <f>IF(B136&gt;LeasingNOFam!$C$18,0,PMT(LeasingNOFam!$E$17,LeasingNOFam!$C$18,-LeasingNOFam!$C$15,,)-PMT(LeasingNOFam!$E$17,LeasingNOFam!$C$18,-LeasingNOFam!$C$22)+LeasingNOFam!$C$22*LeasingNOFam!$E$17)</f>
        <v>#VALUE!</v>
      </c>
      <c r="M136" s="9" t="e">
        <f t="shared" si="11"/>
        <v>#VALUE!</v>
      </c>
      <c r="N136" s="7" t="e">
        <f>IF(C135&lt;1,"0",LeasingHab!$C$39)</f>
        <v>#VALUE!</v>
      </c>
      <c r="O136" s="9" t="e">
        <f t="shared" si="12"/>
        <v>#VALUE!</v>
      </c>
    </row>
    <row r="137" spans="2:15" ht="15.5" x14ac:dyDescent="0.35">
      <c r="B137" s="6" t="e">
        <f t="shared" si="13"/>
        <v>#VALUE!</v>
      </c>
      <c r="C137" s="7" t="e">
        <f t="shared" si="8"/>
        <v>#VALUE!</v>
      </c>
      <c r="D137" s="7" t="e">
        <f t="shared" si="9"/>
        <v>#VALUE!</v>
      </c>
      <c r="E137" s="7" t="e">
        <f>IF((C136-1)&lt;$E$19,0,C136*LeasingNOFam!$E$17)</f>
        <v>#VALUE!</v>
      </c>
      <c r="F137" s="8" t="e">
        <f>IF((C136-1)&lt;$E$19,"0",C136*Seguros_Oblig!$N$3)</f>
        <v>#VALUE!</v>
      </c>
      <c r="G137" s="8" t="e">
        <f>IF(LeasingHab!$C$10="TARIFA 1",(C136*(VLOOKUP(LeasingHab!$C$24,Seguros_Oblig!$A$3:$B$55,2,FALSE))),(C136*(VLOOKUP(LeasingHab!$C$24,Seguros_Oblig!$A$3:$D$55,4,FALSE))))</f>
        <v>#VALUE!</v>
      </c>
      <c r="H137" s="8" t="e">
        <f>IF(LeasingHab!$C$10="TARIFA 1",(C136*(VLOOKUP(LeasingHab!$C$25,Seguros_Oblig!$A$3:$B$55,2,FALSE))),(C136*(VLOOKUP(LeasingHab!$C$25,Seguros_Oblig!$A$3:$D$55,4,FALSE))))</f>
        <v>#VALUE!</v>
      </c>
      <c r="I137" s="8" t="e">
        <f>IF(LeasingHab!$C$10="TARIFA 1",(C136*(VLOOKUP(LeasingHab!$C$26,Seguros_Oblig!$A$3:$B$55,2,FALSE))),(C136*(VLOOKUP(LeasingHab!$C$26,Seguros_Oblig!$A$3:$D$55,4,FALSE))))</f>
        <v>#VALUE!</v>
      </c>
      <c r="J137" s="10">
        <f t="shared" si="10"/>
        <v>0</v>
      </c>
      <c r="K137" s="7" t="e">
        <f>IF((C136-1)&lt;$E$19,0,Seguros_Oblig!$N$4*(LeasingNOFam!$C$12*90%))</f>
        <v>#VALUE!</v>
      </c>
      <c r="L137" s="7" t="e">
        <f>IF(B137&gt;LeasingNOFam!$C$18,0,PMT(LeasingNOFam!$E$17,LeasingNOFam!$C$18,-LeasingNOFam!$C$15,,)-PMT(LeasingNOFam!$E$17,LeasingNOFam!$C$18,-LeasingNOFam!$C$22)+LeasingNOFam!$C$22*LeasingNOFam!$E$17)</f>
        <v>#VALUE!</v>
      </c>
      <c r="M137" s="9" t="e">
        <f t="shared" si="11"/>
        <v>#VALUE!</v>
      </c>
      <c r="N137" s="7" t="e">
        <f>IF(C136&lt;1,"0",LeasingHab!$C$39)</f>
        <v>#VALUE!</v>
      </c>
      <c r="O137" s="9" t="e">
        <f t="shared" si="12"/>
        <v>#VALUE!</v>
      </c>
    </row>
    <row r="138" spans="2:15" ht="15.5" x14ac:dyDescent="0.35">
      <c r="B138" s="6" t="e">
        <f t="shared" si="13"/>
        <v>#VALUE!</v>
      </c>
      <c r="C138" s="7" t="e">
        <f t="shared" si="8"/>
        <v>#VALUE!</v>
      </c>
      <c r="D138" s="7" t="e">
        <f t="shared" si="9"/>
        <v>#VALUE!</v>
      </c>
      <c r="E138" s="7" t="e">
        <f>IF((C137-1)&lt;$E$19,0,C137*LeasingNOFam!$E$17)</f>
        <v>#VALUE!</v>
      </c>
      <c r="F138" s="8" t="e">
        <f>IF((C137-1)&lt;$E$19,"0",C137*Seguros_Oblig!$N$3)</f>
        <v>#VALUE!</v>
      </c>
      <c r="G138" s="8" t="e">
        <f>IF(LeasingHab!$C$10="TARIFA 1",(C137*(VLOOKUP(LeasingHab!$C$24,Seguros_Oblig!$A$3:$B$55,2,FALSE))),(C137*(VLOOKUP(LeasingHab!$C$24,Seguros_Oblig!$A$3:$D$55,4,FALSE))))</f>
        <v>#VALUE!</v>
      </c>
      <c r="H138" s="8" t="e">
        <f>IF(LeasingHab!$C$10="TARIFA 1",(C137*(VLOOKUP(LeasingHab!$C$25,Seguros_Oblig!$A$3:$B$55,2,FALSE))),(C137*(VLOOKUP(LeasingHab!$C$25,Seguros_Oblig!$A$3:$D$55,4,FALSE))))</f>
        <v>#VALUE!</v>
      </c>
      <c r="I138" s="8" t="e">
        <f>IF(LeasingHab!$C$10="TARIFA 1",(C137*(VLOOKUP(LeasingHab!$C$26,Seguros_Oblig!$A$3:$B$55,2,FALSE))),(C137*(VLOOKUP(LeasingHab!$C$26,Seguros_Oblig!$A$3:$D$55,4,FALSE))))</f>
        <v>#VALUE!</v>
      </c>
      <c r="J138" s="10">
        <f t="shared" si="10"/>
        <v>0</v>
      </c>
      <c r="K138" s="7" t="e">
        <f>IF((C137-1)&lt;$E$19,0,Seguros_Oblig!$N$4*(LeasingNOFam!$C$12*90%))</f>
        <v>#VALUE!</v>
      </c>
      <c r="L138" s="7" t="e">
        <f>IF(B138&gt;LeasingNOFam!$C$18,0,PMT(LeasingNOFam!$E$17,LeasingNOFam!$C$18,-LeasingNOFam!$C$15,,)-PMT(LeasingNOFam!$E$17,LeasingNOFam!$C$18,-LeasingNOFam!$C$22)+LeasingNOFam!$C$22*LeasingNOFam!$E$17)</f>
        <v>#VALUE!</v>
      </c>
      <c r="M138" s="9" t="e">
        <f t="shared" si="11"/>
        <v>#VALUE!</v>
      </c>
      <c r="N138" s="7" t="e">
        <f>IF(C137&lt;1,"0",LeasingHab!$C$39)</f>
        <v>#VALUE!</v>
      </c>
      <c r="O138" s="9" t="e">
        <f t="shared" si="12"/>
        <v>#VALUE!</v>
      </c>
    </row>
    <row r="139" spans="2:15" ht="15.5" x14ac:dyDescent="0.35">
      <c r="B139" s="6" t="e">
        <f t="shared" si="13"/>
        <v>#VALUE!</v>
      </c>
      <c r="C139" s="7" t="e">
        <f t="shared" si="8"/>
        <v>#VALUE!</v>
      </c>
      <c r="D139" s="7" t="e">
        <f t="shared" si="9"/>
        <v>#VALUE!</v>
      </c>
      <c r="E139" s="7" t="e">
        <f>IF((C138-1)&lt;$E$19,0,C138*LeasingNOFam!$E$17)</f>
        <v>#VALUE!</v>
      </c>
      <c r="F139" s="8" t="e">
        <f>IF((C138-1)&lt;$E$19,"0",C138*Seguros_Oblig!$N$3)</f>
        <v>#VALUE!</v>
      </c>
      <c r="G139" s="8" t="e">
        <f>IF(LeasingHab!$C$10="TARIFA 1",(C138*(VLOOKUP(LeasingHab!$C$24,Seguros_Oblig!$A$3:$B$55,2,FALSE))),(C138*(VLOOKUP(LeasingHab!$C$24,Seguros_Oblig!$A$3:$D$55,4,FALSE))))</f>
        <v>#VALUE!</v>
      </c>
      <c r="H139" s="8" t="e">
        <f>IF(LeasingHab!$C$10="TARIFA 1",(C138*(VLOOKUP(LeasingHab!$C$25,Seguros_Oblig!$A$3:$B$55,2,FALSE))),(C138*(VLOOKUP(LeasingHab!$C$25,Seguros_Oblig!$A$3:$D$55,4,FALSE))))</f>
        <v>#VALUE!</v>
      </c>
      <c r="I139" s="8" t="e">
        <f>IF(LeasingHab!$C$10="TARIFA 1",(C138*(VLOOKUP(LeasingHab!$C$26,Seguros_Oblig!$A$3:$B$55,2,FALSE))),(C138*(VLOOKUP(LeasingHab!$C$26,Seguros_Oblig!$A$3:$D$55,4,FALSE))))</f>
        <v>#VALUE!</v>
      </c>
      <c r="J139" s="10">
        <f t="shared" si="10"/>
        <v>0</v>
      </c>
      <c r="K139" s="7" t="e">
        <f>IF((C138-1)&lt;$E$19,0,Seguros_Oblig!$N$4*(LeasingNOFam!$C$12*90%))</f>
        <v>#VALUE!</v>
      </c>
      <c r="L139" s="7" t="e">
        <f>IF(B139&gt;LeasingNOFam!$C$18,0,PMT(LeasingNOFam!$E$17,LeasingNOFam!$C$18,-LeasingNOFam!$C$15,,)-PMT(LeasingNOFam!$E$17,LeasingNOFam!$C$18,-LeasingNOFam!$C$22)+LeasingNOFam!$C$22*LeasingNOFam!$E$17)</f>
        <v>#VALUE!</v>
      </c>
      <c r="M139" s="9" t="e">
        <f t="shared" si="11"/>
        <v>#VALUE!</v>
      </c>
      <c r="N139" s="7" t="e">
        <f>IF(C138&lt;1,"0",LeasingHab!$C$39)</f>
        <v>#VALUE!</v>
      </c>
      <c r="O139" s="9" t="e">
        <f t="shared" si="12"/>
        <v>#VALUE!</v>
      </c>
    </row>
    <row r="140" spans="2:15" ht="15.5" x14ac:dyDescent="0.35">
      <c r="B140" s="6" t="e">
        <f t="shared" si="13"/>
        <v>#VALUE!</v>
      </c>
      <c r="C140" s="7" t="e">
        <f t="shared" si="8"/>
        <v>#VALUE!</v>
      </c>
      <c r="D140" s="7" t="e">
        <f t="shared" si="9"/>
        <v>#VALUE!</v>
      </c>
      <c r="E140" s="7" t="e">
        <f>IF((C139-1)&lt;$E$19,0,C139*LeasingNOFam!$E$17)</f>
        <v>#VALUE!</v>
      </c>
      <c r="F140" s="8" t="e">
        <f>IF((C139-1)&lt;$E$19,"0",C139*Seguros_Oblig!$N$3)</f>
        <v>#VALUE!</v>
      </c>
      <c r="G140" s="8" t="e">
        <f>IF(LeasingHab!$C$10="TARIFA 1",(C139*(VLOOKUP(LeasingHab!$C$24,Seguros_Oblig!$A$3:$B$55,2,FALSE))),(C139*(VLOOKUP(LeasingHab!$C$24,Seguros_Oblig!$A$3:$D$55,4,FALSE))))</f>
        <v>#VALUE!</v>
      </c>
      <c r="H140" s="8" t="e">
        <f>IF(LeasingHab!$C$10="TARIFA 1",(C139*(VLOOKUP(LeasingHab!$C$25,Seguros_Oblig!$A$3:$B$55,2,FALSE))),(C139*(VLOOKUP(LeasingHab!$C$25,Seguros_Oblig!$A$3:$D$55,4,FALSE))))</f>
        <v>#VALUE!</v>
      </c>
      <c r="I140" s="8" t="e">
        <f>IF(LeasingHab!$C$10="TARIFA 1",(C139*(VLOOKUP(LeasingHab!$C$26,Seguros_Oblig!$A$3:$B$55,2,FALSE))),(C139*(VLOOKUP(LeasingHab!$C$26,Seguros_Oblig!$A$3:$D$55,4,FALSE))))</f>
        <v>#VALUE!</v>
      </c>
      <c r="J140" s="10">
        <f t="shared" si="10"/>
        <v>0</v>
      </c>
      <c r="K140" s="7" t="e">
        <f>IF((C139-1)&lt;$E$19,0,Seguros_Oblig!$N$4*(LeasingNOFam!$C$12*90%))</f>
        <v>#VALUE!</v>
      </c>
      <c r="L140" s="7" t="e">
        <f>IF(B140&gt;LeasingNOFam!$C$18,0,PMT(LeasingNOFam!$E$17,LeasingNOFam!$C$18,-LeasingNOFam!$C$15,,)-PMT(LeasingNOFam!$E$17,LeasingNOFam!$C$18,-LeasingNOFam!$C$22)+LeasingNOFam!$C$22*LeasingNOFam!$E$17)</f>
        <v>#VALUE!</v>
      </c>
      <c r="M140" s="9" t="e">
        <f t="shared" si="11"/>
        <v>#VALUE!</v>
      </c>
      <c r="N140" s="7" t="e">
        <f>IF(C139&lt;1,"0",LeasingHab!$C$39)</f>
        <v>#VALUE!</v>
      </c>
      <c r="O140" s="9" t="e">
        <f t="shared" si="12"/>
        <v>#VALUE!</v>
      </c>
    </row>
    <row r="141" spans="2:15" ht="15.5" x14ac:dyDescent="0.35">
      <c r="B141" s="6" t="e">
        <f t="shared" si="13"/>
        <v>#VALUE!</v>
      </c>
      <c r="C141" s="7" t="e">
        <f t="shared" si="8"/>
        <v>#VALUE!</v>
      </c>
      <c r="D141" s="7" t="e">
        <f t="shared" si="9"/>
        <v>#VALUE!</v>
      </c>
      <c r="E141" s="7" t="e">
        <f>IF((C140-1)&lt;$E$19,0,C140*LeasingNOFam!$E$17)</f>
        <v>#VALUE!</v>
      </c>
      <c r="F141" s="8" t="e">
        <f>IF((C140-1)&lt;$E$19,"0",C140*Seguros_Oblig!$N$3)</f>
        <v>#VALUE!</v>
      </c>
      <c r="G141" s="8" t="e">
        <f>IF(LeasingHab!$C$10="TARIFA 1",(C140*(VLOOKUP(LeasingHab!$C$24,Seguros_Oblig!$A$3:$B$55,2,FALSE))),(C140*(VLOOKUP(LeasingHab!$C$24,Seguros_Oblig!$A$3:$D$55,4,FALSE))))</f>
        <v>#VALUE!</v>
      </c>
      <c r="H141" s="8" t="e">
        <f>IF(LeasingHab!$C$10="TARIFA 1",(C140*(VLOOKUP(LeasingHab!$C$25,Seguros_Oblig!$A$3:$B$55,2,FALSE))),(C140*(VLOOKUP(LeasingHab!$C$25,Seguros_Oblig!$A$3:$D$55,4,FALSE))))</f>
        <v>#VALUE!</v>
      </c>
      <c r="I141" s="8" t="e">
        <f>IF(LeasingHab!$C$10="TARIFA 1",(C140*(VLOOKUP(LeasingHab!$C$26,Seguros_Oblig!$A$3:$B$55,2,FALSE))),(C140*(VLOOKUP(LeasingHab!$C$26,Seguros_Oblig!$A$3:$D$55,4,FALSE))))</f>
        <v>#VALUE!</v>
      </c>
      <c r="J141" s="10">
        <f t="shared" si="10"/>
        <v>0</v>
      </c>
      <c r="K141" s="7" t="e">
        <f>IF((C140-1)&lt;$E$19,0,Seguros_Oblig!$N$4*(LeasingNOFam!$C$12*90%))</f>
        <v>#VALUE!</v>
      </c>
      <c r="L141" s="7" t="e">
        <f>IF(B141&gt;LeasingNOFam!$C$18,0,PMT(LeasingNOFam!$E$17,LeasingNOFam!$C$18,-LeasingNOFam!$C$15,,)-PMT(LeasingNOFam!$E$17,LeasingNOFam!$C$18,-LeasingNOFam!$C$22)+LeasingNOFam!$C$22*LeasingNOFam!$E$17)</f>
        <v>#VALUE!</v>
      </c>
      <c r="M141" s="9" t="e">
        <f t="shared" si="11"/>
        <v>#VALUE!</v>
      </c>
      <c r="N141" s="7" t="e">
        <f>IF(C140&lt;1,"0",LeasingHab!$C$39)</f>
        <v>#VALUE!</v>
      </c>
      <c r="O141" s="9" t="e">
        <f t="shared" si="12"/>
        <v>#VALUE!</v>
      </c>
    </row>
    <row r="142" spans="2:15" ht="15.5" x14ac:dyDescent="0.35">
      <c r="B142" s="6" t="e">
        <f t="shared" si="13"/>
        <v>#VALUE!</v>
      </c>
      <c r="C142" s="7" t="e">
        <f t="shared" si="8"/>
        <v>#VALUE!</v>
      </c>
      <c r="D142" s="7" t="e">
        <f t="shared" si="9"/>
        <v>#VALUE!</v>
      </c>
      <c r="E142" s="7" t="e">
        <f>IF((C141-1)&lt;$E$19,0,C141*LeasingNOFam!$E$17)</f>
        <v>#VALUE!</v>
      </c>
      <c r="F142" s="8" t="e">
        <f>IF((C141-1)&lt;$E$19,"0",C141*Seguros_Oblig!$N$3)</f>
        <v>#VALUE!</v>
      </c>
      <c r="G142" s="8" t="e">
        <f>IF(LeasingHab!$C$10="TARIFA 1",(C141*(VLOOKUP(LeasingHab!$C$24,Seguros_Oblig!$A$3:$B$55,2,FALSE))),(C141*(VLOOKUP(LeasingHab!$C$24,Seguros_Oblig!$A$3:$D$55,4,FALSE))))</f>
        <v>#VALUE!</v>
      </c>
      <c r="H142" s="8" t="e">
        <f>IF(LeasingHab!$C$10="TARIFA 1",(C141*(VLOOKUP(LeasingHab!$C$25,Seguros_Oblig!$A$3:$B$55,2,FALSE))),(C141*(VLOOKUP(LeasingHab!$C$25,Seguros_Oblig!$A$3:$D$55,4,FALSE))))</f>
        <v>#VALUE!</v>
      </c>
      <c r="I142" s="8" t="e">
        <f>IF(LeasingHab!$C$10="TARIFA 1",(C141*(VLOOKUP(LeasingHab!$C$26,Seguros_Oblig!$A$3:$B$55,2,FALSE))),(C141*(VLOOKUP(LeasingHab!$C$26,Seguros_Oblig!$A$3:$D$55,4,FALSE))))</f>
        <v>#VALUE!</v>
      </c>
      <c r="J142" s="10">
        <f t="shared" si="10"/>
        <v>0</v>
      </c>
      <c r="K142" s="7" t="e">
        <f>IF((C141-1)&lt;$E$19,0,Seguros_Oblig!$N$4*(LeasingNOFam!$C$12*90%))</f>
        <v>#VALUE!</v>
      </c>
      <c r="L142" s="7" t="e">
        <f>IF(B142&gt;LeasingNOFam!$C$18,0,PMT(LeasingNOFam!$E$17,LeasingNOFam!$C$18,-LeasingNOFam!$C$15,,)-PMT(LeasingNOFam!$E$17,LeasingNOFam!$C$18,-LeasingNOFam!$C$22)+LeasingNOFam!$C$22*LeasingNOFam!$E$17)</f>
        <v>#VALUE!</v>
      </c>
      <c r="M142" s="9" t="e">
        <f t="shared" si="11"/>
        <v>#VALUE!</v>
      </c>
      <c r="N142" s="7" t="e">
        <f>IF(C141&lt;1,"0",LeasingHab!$C$39)</f>
        <v>#VALUE!</v>
      </c>
      <c r="O142" s="9" t="e">
        <f t="shared" si="12"/>
        <v>#VALUE!</v>
      </c>
    </row>
    <row r="143" spans="2:15" ht="15.5" x14ac:dyDescent="0.35">
      <c r="B143" s="6" t="e">
        <f t="shared" si="13"/>
        <v>#VALUE!</v>
      </c>
      <c r="C143" s="7" t="e">
        <f t="shared" si="8"/>
        <v>#VALUE!</v>
      </c>
      <c r="D143" s="7" t="e">
        <f t="shared" si="9"/>
        <v>#VALUE!</v>
      </c>
      <c r="E143" s="7" t="e">
        <f>IF((C142-1)&lt;$E$19,0,C142*LeasingNOFam!$E$17)</f>
        <v>#VALUE!</v>
      </c>
      <c r="F143" s="8" t="e">
        <f>IF((C142-1)&lt;$E$19,"0",C142*Seguros_Oblig!$N$3)</f>
        <v>#VALUE!</v>
      </c>
      <c r="G143" s="8" t="e">
        <f>IF(LeasingHab!$C$10="TARIFA 1",(C142*(VLOOKUP(LeasingHab!$C$24,Seguros_Oblig!$A$3:$B$55,2,FALSE))),(C142*(VLOOKUP(LeasingHab!$C$24,Seguros_Oblig!$A$3:$D$55,4,FALSE))))</f>
        <v>#VALUE!</v>
      </c>
      <c r="H143" s="8" t="e">
        <f>IF(LeasingHab!$C$10="TARIFA 1",(C142*(VLOOKUP(LeasingHab!$C$25,Seguros_Oblig!$A$3:$B$55,2,FALSE))),(C142*(VLOOKUP(LeasingHab!$C$25,Seguros_Oblig!$A$3:$D$55,4,FALSE))))</f>
        <v>#VALUE!</v>
      </c>
      <c r="I143" s="8" t="e">
        <f>IF(LeasingHab!$C$10="TARIFA 1",(C142*(VLOOKUP(LeasingHab!$C$26,Seguros_Oblig!$A$3:$B$55,2,FALSE))),(C142*(VLOOKUP(LeasingHab!$C$26,Seguros_Oblig!$A$3:$D$55,4,FALSE))))</f>
        <v>#VALUE!</v>
      </c>
      <c r="J143" s="10">
        <f t="shared" si="10"/>
        <v>0</v>
      </c>
      <c r="K143" s="7" t="e">
        <f>IF((C142-1)&lt;$E$19,0,Seguros_Oblig!$N$4*(LeasingNOFam!$C$12*90%))</f>
        <v>#VALUE!</v>
      </c>
      <c r="L143" s="7" t="e">
        <f>IF(B143&gt;LeasingNOFam!$C$18,0,PMT(LeasingNOFam!$E$17,LeasingNOFam!$C$18,-LeasingNOFam!$C$15,,)-PMT(LeasingNOFam!$E$17,LeasingNOFam!$C$18,-LeasingNOFam!$C$22)+LeasingNOFam!$C$22*LeasingNOFam!$E$17)</f>
        <v>#VALUE!</v>
      </c>
      <c r="M143" s="9" t="e">
        <f t="shared" si="11"/>
        <v>#VALUE!</v>
      </c>
      <c r="N143" s="7" t="e">
        <f>IF(C142&lt;1,"0",LeasingHab!$C$39)</f>
        <v>#VALUE!</v>
      </c>
      <c r="O143" s="9" t="e">
        <f t="shared" si="12"/>
        <v>#VALUE!</v>
      </c>
    </row>
    <row r="144" spans="2:15" ht="15.5" x14ac:dyDescent="0.35">
      <c r="B144" s="6" t="e">
        <f t="shared" si="13"/>
        <v>#VALUE!</v>
      </c>
      <c r="C144" s="7" t="e">
        <f t="shared" si="8"/>
        <v>#VALUE!</v>
      </c>
      <c r="D144" s="7" t="e">
        <f t="shared" si="9"/>
        <v>#VALUE!</v>
      </c>
      <c r="E144" s="7" t="e">
        <f>IF((C143-1)&lt;$E$19,0,C143*LeasingNOFam!$E$17)</f>
        <v>#VALUE!</v>
      </c>
      <c r="F144" s="8" t="e">
        <f>IF((C143-1)&lt;$E$19,"0",C143*Seguros_Oblig!$N$3)</f>
        <v>#VALUE!</v>
      </c>
      <c r="G144" s="8" t="e">
        <f>IF(LeasingHab!$C$10="TARIFA 1",(C143*(VLOOKUP(LeasingHab!$C$24,Seguros_Oblig!$A$3:$B$55,2,FALSE))),(C143*(VLOOKUP(LeasingHab!$C$24,Seguros_Oblig!$A$3:$D$55,4,FALSE))))</f>
        <v>#VALUE!</v>
      </c>
      <c r="H144" s="8" t="e">
        <f>IF(LeasingHab!$C$10="TARIFA 1",(C143*(VLOOKUP(LeasingHab!$C$25,Seguros_Oblig!$A$3:$B$55,2,FALSE))),(C143*(VLOOKUP(LeasingHab!$C$25,Seguros_Oblig!$A$3:$D$55,4,FALSE))))</f>
        <v>#VALUE!</v>
      </c>
      <c r="I144" s="8" t="e">
        <f>IF(LeasingHab!$C$10="TARIFA 1",(C143*(VLOOKUP(LeasingHab!$C$26,Seguros_Oblig!$A$3:$B$55,2,FALSE))),(C143*(VLOOKUP(LeasingHab!$C$26,Seguros_Oblig!$A$3:$D$55,4,FALSE))))</f>
        <v>#VALUE!</v>
      </c>
      <c r="J144" s="10">
        <f t="shared" si="10"/>
        <v>0</v>
      </c>
      <c r="K144" s="7" t="e">
        <f>IF((C143-1)&lt;$E$19,0,Seguros_Oblig!$N$4*(LeasingNOFam!$C$12*90%))</f>
        <v>#VALUE!</v>
      </c>
      <c r="L144" s="7" t="e">
        <f>IF(B144&gt;LeasingNOFam!$C$18,0,PMT(LeasingNOFam!$E$17,LeasingNOFam!$C$18,-LeasingNOFam!$C$15,,)-PMT(LeasingNOFam!$E$17,LeasingNOFam!$C$18,-LeasingNOFam!$C$22)+LeasingNOFam!$C$22*LeasingNOFam!$E$17)</f>
        <v>#VALUE!</v>
      </c>
      <c r="M144" s="9" t="e">
        <f t="shared" si="11"/>
        <v>#VALUE!</v>
      </c>
      <c r="N144" s="7" t="e">
        <f>IF(C143&lt;1,"0",LeasingHab!$C$39)</f>
        <v>#VALUE!</v>
      </c>
      <c r="O144" s="9" t="e">
        <f t="shared" si="12"/>
        <v>#VALUE!</v>
      </c>
    </row>
    <row r="145" spans="2:15" ht="15.5" x14ac:dyDescent="0.35">
      <c r="B145" s="6" t="e">
        <f t="shared" si="13"/>
        <v>#VALUE!</v>
      </c>
      <c r="C145" s="7" t="e">
        <f t="shared" si="8"/>
        <v>#VALUE!</v>
      </c>
      <c r="D145" s="7" t="e">
        <f t="shared" si="9"/>
        <v>#VALUE!</v>
      </c>
      <c r="E145" s="7" t="e">
        <f>IF((C144-1)&lt;$E$19,0,C144*LeasingNOFam!$E$17)</f>
        <v>#VALUE!</v>
      </c>
      <c r="F145" s="8" t="e">
        <f>IF((C144-1)&lt;$E$19,"0",C144*Seguros_Oblig!$N$3)</f>
        <v>#VALUE!</v>
      </c>
      <c r="G145" s="8" t="e">
        <f>IF(LeasingHab!$C$10="TARIFA 1",(C144*(VLOOKUP(LeasingHab!$C$24,Seguros_Oblig!$A$3:$B$55,2,FALSE))),(C144*(VLOOKUP(LeasingHab!$C$24,Seguros_Oblig!$A$3:$D$55,4,FALSE))))</f>
        <v>#VALUE!</v>
      </c>
      <c r="H145" s="8" t="e">
        <f>IF(LeasingHab!$C$10="TARIFA 1",(C144*(VLOOKUP(LeasingHab!$C$25,Seguros_Oblig!$A$3:$B$55,2,FALSE))),(C144*(VLOOKUP(LeasingHab!$C$25,Seguros_Oblig!$A$3:$D$55,4,FALSE))))</f>
        <v>#VALUE!</v>
      </c>
      <c r="I145" s="8" t="e">
        <f>IF(LeasingHab!$C$10="TARIFA 1",(C144*(VLOOKUP(LeasingHab!$C$26,Seguros_Oblig!$A$3:$B$55,2,FALSE))),(C144*(VLOOKUP(LeasingHab!$C$26,Seguros_Oblig!$A$3:$D$55,4,FALSE))))</f>
        <v>#VALUE!</v>
      </c>
      <c r="J145" s="10">
        <f t="shared" si="10"/>
        <v>0</v>
      </c>
      <c r="K145" s="7" t="e">
        <f>IF((C144-1)&lt;$E$19,0,Seguros_Oblig!$N$4*(LeasingNOFam!$C$12*90%))</f>
        <v>#VALUE!</v>
      </c>
      <c r="L145" s="7" t="e">
        <f>IF(B145&gt;LeasingNOFam!$C$18,0,PMT(LeasingNOFam!$E$17,LeasingNOFam!$C$18,-LeasingNOFam!$C$15,,)-PMT(LeasingNOFam!$E$17,LeasingNOFam!$C$18,-LeasingNOFam!$C$22)+LeasingNOFam!$C$22*LeasingNOFam!$E$17)</f>
        <v>#VALUE!</v>
      </c>
      <c r="M145" s="9" t="e">
        <f t="shared" si="11"/>
        <v>#VALUE!</v>
      </c>
      <c r="N145" s="7" t="e">
        <f>IF(C144&lt;1,"0",LeasingHab!$C$39)</f>
        <v>#VALUE!</v>
      </c>
      <c r="O145" s="9" t="e">
        <f t="shared" si="12"/>
        <v>#VALUE!</v>
      </c>
    </row>
    <row r="146" spans="2:15" ht="15.5" x14ac:dyDescent="0.35">
      <c r="B146" s="6" t="e">
        <f t="shared" si="13"/>
        <v>#VALUE!</v>
      </c>
      <c r="C146" s="7" t="e">
        <f t="shared" si="8"/>
        <v>#VALUE!</v>
      </c>
      <c r="D146" s="7" t="e">
        <f t="shared" si="9"/>
        <v>#VALUE!</v>
      </c>
      <c r="E146" s="7" t="e">
        <f>IF((C145-1)&lt;$E$19,0,C145*LeasingNOFam!$E$17)</f>
        <v>#VALUE!</v>
      </c>
      <c r="F146" s="8" t="e">
        <f>IF((C145-1)&lt;$E$19,"0",C145*Seguros_Oblig!$N$3)</f>
        <v>#VALUE!</v>
      </c>
      <c r="G146" s="8" t="e">
        <f>IF(LeasingHab!$C$10="TARIFA 1",(C145*(VLOOKUP(LeasingHab!$C$24,Seguros_Oblig!$A$3:$B$55,2,FALSE))),(C145*(VLOOKUP(LeasingHab!$C$24,Seguros_Oblig!$A$3:$D$55,4,FALSE))))</f>
        <v>#VALUE!</v>
      </c>
      <c r="H146" s="8" t="e">
        <f>IF(LeasingHab!$C$10="TARIFA 1",(C145*(VLOOKUP(LeasingHab!$C$25,Seguros_Oblig!$A$3:$B$55,2,FALSE))),(C145*(VLOOKUP(LeasingHab!$C$25,Seguros_Oblig!$A$3:$D$55,4,FALSE))))</f>
        <v>#VALUE!</v>
      </c>
      <c r="I146" s="8" t="e">
        <f>IF(LeasingHab!$C$10="TARIFA 1",(C145*(VLOOKUP(LeasingHab!$C$26,Seguros_Oblig!$A$3:$B$55,2,FALSE))),(C145*(VLOOKUP(LeasingHab!$C$26,Seguros_Oblig!$A$3:$D$55,4,FALSE))))</f>
        <v>#VALUE!</v>
      </c>
      <c r="J146" s="10">
        <f t="shared" si="10"/>
        <v>0</v>
      </c>
      <c r="K146" s="7" t="e">
        <f>IF((C145-1)&lt;$E$19,0,Seguros_Oblig!$N$4*(LeasingNOFam!$C$12*90%))</f>
        <v>#VALUE!</v>
      </c>
      <c r="L146" s="7" t="e">
        <f>IF(B146&gt;LeasingNOFam!$C$18,0,PMT(LeasingNOFam!$E$17,LeasingNOFam!$C$18,-LeasingNOFam!$C$15,,)-PMT(LeasingNOFam!$E$17,LeasingNOFam!$C$18,-LeasingNOFam!$C$22)+LeasingNOFam!$C$22*LeasingNOFam!$E$17)</f>
        <v>#VALUE!</v>
      </c>
      <c r="M146" s="9" t="e">
        <f t="shared" si="11"/>
        <v>#VALUE!</v>
      </c>
      <c r="N146" s="7" t="e">
        <f>IF(C145&lt;1,"0",LeasingHab!$C$39)</f>
        <v>#VALUE!</v>
      </c>
      <c r="O146" s="9" t="e">
        <f t="shared" si="12"/>
        <v>#VALUE!</v>
      </c>
    </row>
    <row r="147" spans="2:15" ht="15.5" x14ac:dyDescent="0.35">
      <c r="B147" s="6" t="e">
        <f t="shared" si="13"/>
        <v>#VALUE!</v>
      </c>
      <c r="C147" s="7" t="e">
        <f t="shared" ref="C147:C210" si="14">IF(D146=0,0,C146-D147)</f>
        <v>#VALUE!</v>
      </c>
      <c r="D147" s="7" t="e">
        <f t="shared" ref="D147:D210" si="15">IF((C146-1)&lt;$E$19,0,L147-E147)</f>
        <v>#VALUE!</v>
      </c>
      <c r="E147" s="7" t="e">
        <f>IF((C146-1)&lt;$E$19,0,C146*LeasingNOFam!$E$17)</f>
        <v>#VALUE!</v>
      </c>
      <c r="F147" s="8" t="e">
        <f>IF((C146-1)&lt;$E$19,"0",C146*Seguros_Oblig!$N$3)</f>
        <v>#VALUE!</v>
      </c>
      <c r="G147" s="8" t="e">
        <f>IF(LeasingHab!$C$10="TARIFA 1",(C146*(VLOOKUP(LeasingHab!$C$24,Seguros_Oblig!$A$3:$B$55,2,FALSE))),(C146*(VLOOKUP(LeasingHab!$C$24,Seguros_Oblig!$A$3:$D$55,4,FALSE))))</f>
        <v>#VALUE!</v>
      </c>
      <c r="H147" s="8" t="e">
        <f>IF(LeasingHab!$C$10="TARIFA 1",(C146*(VLOOKUP(LeasingHab!$C$25,Seguros_Oblig!$A$3:$B$55,2,FALSE))),(C146*(VLOOKUP(LeasingHab!$C$25,Seguros_Oblig!$A$3:$D$55,4,FALSE))))</f>
        <v>#VALUE!</v>
      </c>
      <c r="I147" s="8" t="e">
        <f>IF(LeasingHab!$C$10="TARIFA 1",(C146*(VLOOKUP(LeasingHab!$C$26,Seguros_Oblig!$A$3:$B$55,2,FALSE))),(C146*(VLOOKUP(LeasingHab!$C$26,Seguros_Oblig!$A$3:$D$55,4,FALSE))))</f>
        <v>#VALUE!</v>
      </c>
      <c r="J147" s="10">
        <f t="shared" si="10"/>
        <v>0</v>
      </c>
      <c r="K147" s="7" t="e">
        <f>IF((C146-1)&lt;$E$19,0,Seguros_Oblig!$N$4*(LeasingNOFam!$C$12*90%))</f>
        <v>#VALUE!</v>
      </c>
      <c r="L147" s="7" t="e">
        <f>IF(B147&gt;LeasingNOFam!$C$18,0,PMT(LeasingNOFam!$E$17,LeasingNOFam!$C$18,-LeasingNOFam!$C$15,,)-PMT(LeasingNOFam!$E$17,LeasingNOFam!$C$18,-LeasingNOFam!$C$22)+LeasingNOFam!$C$22*LeasingNOFam!$E$17)</f>
        <v>#VALUE!</v>
      </c>
      <c r="M147" s="9" t="e">
        <f t="shared" si="11"/>
        <v>#VALUE!</v>
      </c>
      <c r="N147" s="7" t="e">
        <f>IF(C146&lt;1,"0",LeasingHab!$C$39)</f>
        <v>#VALUE!</v>
      </c>
      <c r="O147" s="9" t="e">
        <f t="shared" si="12"/>
        <v>#VALUE!</v>
      </c>
    </row>
    <row r="148" spans="2:15" ht="15.5" x14ac:dyDescent="0.35">
      <c r="B148" s="6" t="e">
        <f t="shared" si="13"/>
        <v>#VALUE!</v>
      </c>
      <c r="C148" s="7" t="e">
        <f t="shared" si="14"/>
        <v>#VALUE!</v>
      </c>
      <c r="D148" s="7" t="e">
        <f t="shared" si="15"/>
        <v>#VALUE!</v>
      </c>
      <c r="E148" s="7" t="e">
        <f>IF((C147-1)&lt;$E$19,0,C147*LeasingNOFam!$E$17)</f>
        <v>#VALUE!</v>
      </c>
      <c r="F148" s="8" t="e">
        <f>IF((C147-1)&lt;$E$19,"0",C147*Seguros_Oblig!$N$3)</f>
        <v>#VALUE!</v>
      </c>
      <c r="G148" s="8" t="e">
        <f>IF(LeasingHab!$C$10="TARIFA 1",(C147*(VLOOKUP(LeasingHab!$C$24,Seguros_Oblig!$A$3:$B$55,2,FALSE))),(C147*(VLOOKUP(LeasingHab!$C$24,Seguros_Oblig!$A$3:$D$55,4,FALSE))))</f>
        <v>#VALUE!</v>
      </c>
      <c r="H148" s="8" t="e">
        <f>IF(LeasingHab!$C$10="TARIFA 1",(C147*(VLOOKUP(LeasingHab!$C$25,Seguros_Oblig!$A$3:$B$55,2,FALSE))),(C147*(VLOOKUP(LeasingHab!$C$25,Seguros_Oblig!$A$3:$D$55,4,FALSE))))</f>
        <v>#VALUE!</v>
      </c>
      <c r="I148" s="8" t="e">
        <f>IF(LeasingHab!$C$10="TARIFA 1",(C147*(VLOOKUP(LeasingHab!$C$26,Seguros_Oblig!$A$3:$B$55,2,FALSE))),(C147*(VLOOKUP(LeasingHab!$C$26,Seguros_Oblig!$A$3:$D$55,4,FALSE))))</f>
        <v>#VALUE!</v>
      </c>
      <c r="J148" s="10">
        <f t="shared" si="10"/>
        <v>0</v>
      </c>
      <c r="K148" s="7" t="e">
        <f>IF((C147-1)&lt;$E$19,0,Seguros_Oblig!$N$4*(LeasingNOFam!$C$12*90%))</f>
        <v>#VALUE!</v>
      </c>
      <c r="L148" s="7" t="e">
        <f>IF(B148&gt;LeasingNOFam!$C$18,0,PMT(LeasingNOFam!$E$17,LeasingNOFam!$C$18,-LeasingNOFam!$C$15,,)-PMT(LeasingNOFam!$E$17,LeasingNOFam!$C$18,-LeasingNOFam!$C$22)+LeasingNOFam!$C$22*LeasingNOFam!$E$17)</f>
        <v>#VALUE!</v>
      </c>
      <c r="M148" s="9" t="e">
        <f t="shared" si="11"/>
        <v>#VALUE!</v>
      </c>
      <c r="N148" s="7" t="e">
        <f>IF(C147&lt;1,"0",LeasingHab!$C$39)</f>
        <v>#VALUE!</v>
      </c>
      <c r="O148" s="9" t="e">
        <f t="shared" si="12"/>
        <v>#VALUE!</v>
      </c>
    </row>
    <row r="149" spans="2:15" ht="15.5" x14ac:dyDescent="0.35">
      <c r="B149" s="6" t="e">
        <f t="shared" si="13"/>
        <v>#VALUE!</v>
      </c>
      <c r="C149" s="7" t="e">
        <f t="shared" si="14"/>
        <v>#VALUE!</v>
      </c>
      <c r="D149" s="7" t="e">
        <f t="shared" si="15"/>
        <v>#VALUE!</v>
      </c>
      <c r="E149" s="7" t="e">
        <f>IF((C148-1)&lt;$E$19,0,C148*LeasingNOFam!$E$17)</f>
        <v>#VALUE!</v>
      </c>
      <c r="F149" s="8" t="e">
        <f>IF((C148-1)&lt;$E$19,"0",C148*Seguros_Oblig!$N$3)</f>
        <v>#VALUE!</v>
      </c>
      <c r="G149" s="8" t="e">
        <f>IF(LeasingHab!$C$10="TARIFA 1",(C148*(VLOOKUP(LeasingHab!$C$24,Seguros_Oblig!$A$3:$B$55,2,FALSE))),(C148*(VLOOKUP(LeasingHab!$C$24,Seguros_Oblig!$A$3:$D$55,4,FALSE))))</f>
        <v>#VALUE!</v>
      </c>
      <c r="H149" s="8" t="e">
        <f>IF(LeasingHab!$C$10="TARIFA 1",(C148*(VLOOKUP(LeasingHab!$C$25,Seguros_Oblig!$A$3:$B$55,2,FALSE))),(C148*(VLOOKUP(LeasingHab!$C$25,Seguros_Oblig!$A$3:$D$55,4,FALSE))))</f>
        <v>#VALUE!</v>
      </c>
      <c r="I149" s="8" t="e">
        <f>IF(LeasingHab!$C$10="TARIFA 1",(C148*(VLOOKUP(LeasingHab!$C$26,Seguros_Oblig!$A$3:$B$55,2,FALSE))),(C148*(VLOOKUP(LeasingHab!$C$26,Seguros_Oblig!$A$3:$D$55,4,FALSE))))</f>
        <v>#VALUE!</v>
      </c>
      <c r="J149" s="10">
        <f t="shared" si="10"/>
        <v>0</v>
      </c>
      <c r="K149" s="7" t="e">
        <f>IF((C148-1)&lt;$E$19,0,Seguros_Oblig!$N$4*(LeasingNOFam!$C$12*90%))</f>
        <v>#VALUE!</v>
      </c>
      <c r="L149" s="7" t="e">
        <f>IF(B149&gt;LeasingNOFam!$C$18,0,PMT(LeasingNOFam!$E$17,LeasingNOFam!$C$18,-LeasingNOFam!$C$15,,)-PMT(LeasingNOFam!$E$17,LeasingNOFam!$C$18,-LeasingNOFam!$C$22)+LeasingNOFam!$C$22*LeasingNOFam!$E$17)</f>
        <v>#VALUE!</v>
      </c>
      <c r="M149" s="9" t="e">
        <f t="shared" si="11"/>
        <v>#VALUE!</v>
      </c>
      <c r="N149" s="7" t="e">
        <f>IF(C148&lt;1,"0",LeasingHab!$C$39)</f>
        <v>#VALUE!</v>
      </c>
      <c r="O149" s="9" t="e">
        <f t="shared" si="12"/>
        <v>#VALUE!</v>
      </c>
    </row>
    <row r="150" spans="2:15" ht="15.5" x14ac:dyDescent="0.35">
      <c r="B150" s="6" t="e">
        <f t="shared" si="13"/>
        <v>#VALUE!</v>
      </c>
      <c r="C150" s="7" t="e">
        <f t="shared" si="14"/>
        <v>#VALUE!</v>
      </c>
      <c r="D150" s="7" t="e">
        <f t="shared" si="15"/>
        <v>#VALUE!</v>
      </c>
      <c r="E150" s="7" t="e">
        <f>IF((C149-1)&lt;$E$19,0,C149*LeasingNOFam!$E$17)</f>
        <v>#VALUE!</v>
      </c>
      <c r="F150" s="8" t="e">
        <f>IF((C149-1)&lt;$E$19,"0",C149*Seguros_Oblig!$N$3)</f>
        <v>#VALUE!</v>
      </c>
      <c r="G150" s="8" t="e">
        <f>IF(LeasingHab!$C$10="TARIFA 1",(C149*(VLOOKUP(LeasingHab!$C$24,Seguros_Oblig!$A$3:$B$55,2,FALSE))),(C149*(VLOOKUP(LeasingHab!$C$24,Seguros_Oblig!$A$3:$D$55,4,FALSE))))</f>
        <v>#VALUE!</v>
      </c>
      <c r="H150" s="8" t="e">
        <f>IF(LeasingHab!$C$10="TARIFA 1",(C149*(VLOOKUP(LeasingHab!$C$25,Seguros_Oblig!$A$3:$B$55,2,FALSE))),(C149*(VLOOKUP(LeasingHab!$C$25,Seguros_Oblig!$A$3:$D$55,4,FALSE))))</f>
        <v>#VALUE!</v>
      </c>
      <c r="I150" s="8" t="e">
        <f>IF(LeasingHab!$C$10="TARIFA 1",(C149*(VLOOKUP(LeasingHab!$C$26,Seguros_Oblig!$A$3:$B$55,2,FALSE))),(C149*(VLOOKUP(LeasingHab!$C$26,Seguros_Oblig!$A$3:$D$55,4,FALSE))))</f>
        <v>#VALUE!</v>
      </c>
      <c r="J150" s="10">
        <f t="shared" si="10"/>
        <v>0</v>
      </c>
      <c r="K150" s="7" t="e">
        <f>IF((C149-1)&lt;$E$19,0,Seguros_Oblig!$N$4*(LeasingNOFam!$C$12*90%))</f>
        <v>#VALUE!</v>
      </c>
      <c r="L150" s="7" t="e">
        <f>IF(B150&gt;LeasingNOFam!$C$18,0,PMT(LeasingNOFam!$E$17,LeasingNOFam!$C$18,-LeasingNOFam!$C$15,,)-PMT(LeasingNOFam!$E$17,LeasingNOFam!$C$18,-LeasingNOFam!$C$22)+LeasingNOFam!$C$22*LeasingNOFam!$E$17)</f>
        <v>#VALUE!</v>
      </c>
      <c r="M150" s="9" t="e">
        <f t="shared" si="11"/>
        <v>#VALUE!</v>
      </c>
      <c r="N150" s="7" t="e">
        <f>IF(C149&lt;1,"0",LeasingHab!$C$39)</f>
        <v>#VALUE!</v>
      </c>
      <c r="O150" s="9" t="e">
        <f t="shared" si="12"/>
        <v>#VALUE!</v>
      </c>
    </row>
    <row r="151" spans="2:15" ht="15.5" x14ac:dyDescent="0.35">
      <c r="B151" s="6" t="e">
        <f t="shared" si="13"/>
        <v>#VALUE!</v>
      </c>
      <c r="C151" s="7" t="e">
        <f t="shared" si="14"/>
        <v>#VALUE!</v>
      </c>
      <c r="D151" s="7" t="e">
        <f t="shared" si="15"/>
        <v>#VALUE!</v>
      </c>
      <c r="E151" s="7" t="e">
        <f>IF((C150-1)&lt;$E$19,0,C150*LeasingNOFam!$E$17)</f>
        <v>#VALUE!</v>
      </c>
      <c r="F151" s="8" t="e">
        <f>IF((C150-1)&lt;$E$19,"0",C150*Seguros_Oblig!$N$3)</f>
        <v>#VALUE!</v>
      </c>
      <c r="G151" s="8" t="e">
        <f>IF(LeasingHab!$C$10="TARIFA 1",(C150*(VLOOKUP(LeasingHab!$C$24,Seguros_Oblig!$A$3:$B$55,2,FALSE))),(C150*(VLOOKUP(LeasingHab!$C$24,Seguros_Oblig!$A$3:$D$55,4,FALSE))))</f>
        <v>#VALUE!</v>
      </c>
      <c r="H151" s="8" t="e">
        <f>IF(LeasingHab!$C$10="TARIFA 1",(C150*(VLOOKUP(LeasingHab!$C$25,Seguros_Oblig!$A$3:$B$55,2,FALSE))),(C150*(VLOOKUP(LeasingHab!$C$25,Seguros_Oblig!$A$3:$D$55,4,FALSE))))</f>
        <v>#VALUE!</v>
      </c>
      <c r="I151" s="8" t="e">
        <f>IF(LeasingHab!$C$10="TARIFA 1",(C150*(VLOOKUP(LeasingHab!$C$26,Seguros_Oblig!$A$3:$B$55,2,FALSE))),(C150*(VLOOKUP(LeasingHab!$C$26,Seguros_Oblig!$A$3:$D$55,4,FALSE))))</f>
        <v>#VALUE!</v>
      </c>
      <c r="J151" s="10">
        <f t="shared" ref="J151:J214" si="16">_xlfn.AGGREGATE(9,6,F151:I151)</f>
        <v>0</v>
      </c>
      <c r="K151" s="7" t="e">
        <f>IF((C150-1)&lt;$E$19,0,Seguros_Oblig!$N$4*(LeasingNOFam!$C$12*90%))</f>
        <v>#VALUE!</v>
      </c>
      <c r="L151" s="7" t="e">
        <f>IF(B151&gt;LeasingNOFam!$C$18,0,PMT(LeasingNOFam!$E$17,LeasingNOFam!$C$18,-LeasingNOFam!$C$15,,)-PMT(LeasingNOFam!$E$17,LeasingNOFam!$C$18,-LeasingNOFam!$C$22)+LeasingNOFam!$C$22*LeasingNOFam!$E$17)</f>
        <v>#VALUE!</v>
      </c>
      <c r="M151" s="9" t="e">
        <f t="shared" ref="M151:M214" si="17">K151+L151+J151</f>
        <v>#VALUE!</v>
      </c>
      <c r="N151" s="7" t="e">
        <f>IF(C150&lt;1,"0",LeasingHab!$C$39)</f>
        <v>#VALUE!</v>
      </c>
      <c r="O151" s="9" t="e">
        <f t="shared" ref="O151:O214" si="18">M151+N151</f>
        <v>#VALUE!</v>
      </c>
    </row>
    <row r="152" spans="2:15" ht="15.5" x14ac:dyDescent="0.35">
      <c r="B152" s="6" t="e">
        <f t="shared" si="13"/>
        <v>#VALUE!</v>
      </c>
      <c r="C152" s="7" t="e">
        <f t="shared" si="14"/>
        <v>#VALUE!</v>
      </c>
      <c r="D152" s="7" t="e">
        <f t="shared" si="15"/>
        <v>#VALUE!</v>
      </c>
      <c r="E152" s="7" t="e">
        <f>IF((C151-1)&lt;$E$19,0,C151*LeasingNOFam!$E$17)</f>
        <v>#VALUE!</v>
      </c>
      <c r="F152" s="8" t="e">
        <f>IF((C151-1)&lt;$E$19,"0",C151*Seguros_Oblig!$N$3)</f>
        <v>#VALUE!</v>
      </c>
      <c r="G152" s="8" t="e">
        <f>IF(LeasingHab!$C$10="TARIFA 1",(C151*(VLOOKUP(LeasingHab!$C$24,Seguros_Oblig!$A$3:$B$55,2,FALSE))),(C151*(VLOOKUP(LeasingHab!$C$24,Seguros_Oblig!$A$3:$D$55,4,FALSE))))</f>
        <v>#VALUE!</v>
      </c>
      <c r="H152" s="8" t="e">
        <f>IF(LeasingHab!$C$10="TARIFA 1",(C151*(VLOOKUP(LeasingHab!$C$25,Seguros_Oblig!$A$3:$B$55,2,FALSE))),(C151*(VLOOKUP(LeasingHab!$C$25,Seguros_Oblig!$A$3:$D$55,4,FALSE))))</f>
        <v>#VALUE!</v>
      </c>
      <c r="I152" s="8" t="e">
        <f>IF(LeasingHab!$C$10="TARIFA 1",(C151*(VLOOKUP(LeasingHab!$C$26,Seguros_Oblig!$A$3:$B$55,2,FALSE))),(C151*(VLOOKUP(LeasingHab!$C$26,Seguros_Oblig!$A$3:$D$55,4,FALSE))))</f>
        <v>#VALUE!</v>
      </c>
      <c r="J152" s="10">
        <f t="shared" si="16"/>
        <v>0</v>
      </c>
      <c r="K152" s="7" t="e">
        <f>IF((C151-1)&lt;$E$19,0,Seguros_Oblig!$N$4*(LeasingNOFam!$C$12*90%))</f>
        <v>#VALUE!</v>
      </c>
      <c r="L152" s="7" t="e">
        <f>IF(B152&gt;LeasingNOFam!$C$18,0,PMT(LeasingNOFam!$E$17,LeasingNOFam!$C$18,-LeasingNOFam!$C$15,,)-PMT(LeasingNOFam!$E$17,LeasingNOFam!$C$18,-LeasingNOFam!$C$22)+LeasingNOFam!$C$22*LeasingNOFam!$E$17)</f>
        <v>#VALUE!</v>
      </c>
      <c r="M152" s="9" t="e">
        <f t="shared" si="17"/>
        <v>#VALUE!</v>
      </c>
      <c r="N152" s="7" t="e">
        <f>IF(C151&lt;1,"0",LeasingHab!$C$39)</f>
        <v>#VALUE!</v>
      </c>
      <c r="O152" s="9" t="e">
        <f t="shared" si="18"/>
        <v>#VALUE!</v>
      </c>
    </row>
    <row r="153" spans="2:15" ht="15.5" x14ac:dyDescent="0.35">
      <c r="B153" s="6" t="e">
        <f t="shared" si="13"/>
        <v>#VALUE!</v>
      </c>
      <c r="C153" s="7" t="e">
        <f t="shared" si="14"/>
        <v>#VALUE!</v>
      </c>
      <c r="D153" s="7" t="e">
        <f t="shared" si="15"/>
        <v>#VALUE!</v>
      </c>
      <c r="E153" s="7" t="e">
        <f>IF((C152-1)&lt;$E$19,0,C152*LeasingNOFam!$E$17)</f>
        <v>#VALUE!</v>
      </c>
      <c r="F153" s="8" t="e">
        <f>IF((C152-1)&lt;$E$19,"0",C152*Seguros_Oblig!$N$3)</f>
        <v>#VALUE!</v>
      </c>
      <c r="G153" s="8" t="e">
        <f>IF(LeasingHab!$C$10="TARIFA 1",(C152*(VLOOKUP(LeasingHab!$C$24,Seguros_Oblig!$A$3:$B$55,2,FALSE))),(C152*(VLOOKUP(LeasingHab!$C$24,Seguros_Oblig!$A$3:$D$55,4,FALSE))))</f>
        <v>#VALUE!</v>
      </c>
      <c r="H153" s="8" t="e">
        <f>IF(LeasingHab!$C$10="TARIFA 1",(C152*(VLOOKUP(LeasingHab!$C$25,Seguros_Oblig!$A$3:$B$55,2,FALSE))),(C152*(VLOOKUP(LeasingHab!$C$25,Seguros_Oblig!$A$3:$D$55,4,FALSE))))</f>
        <v>#VALUE!</v>
      </c>
      <c r="I153" s="8" t="e">
        <f>IF(LeasingHab!$C$10="TARIFA 1",(C152*(VLOOKUP(LeasingHab!$C$26,Seguros_Oblig!$A$3:$B$55,2,FALSE))),(C152*(VLOOKUP(LeasingHab!$C$26,Seguros_Oblig!$A$3:$D$55,4,FALSE))))</f>
        <v>#VALUE!</v>
      </c>
      <c r="J153" s="10">
        <f t="shared" si="16"/>
        <v>0</v>
      </c>
      <c r="K153" s="7" t="e">
        <f>IF((C152-1)&lt;$E$19,0,Seguros_Oblig!$N$4*(LeasingNOFam!$C$12*90%))</f>
        <v>#VALUE!</v>
      </c>
      <c r="L153" s="7" t="e">
        <f>IF(B153&gt;LeasingNOFam!$C$18,0,PMT(LeasingNOFam!$E$17,LeasingNOFam!$C$18,-LeasingNOFam!$C$15,,)-PMT(LeasingNOFam!$E$17,LeasingNOFam!$C$18,-LeasingNOFam!$C$22)+LeasingNOFam!$C$22*LeasingNOFam!$E$17)</f>
        <v>#VALUE!</v>
      </c>
      <c r="M153" s="9" t="e">
        <f t="shared" si="17"/>
        <v>#VALUE!</v>
      </c>
      <c r="N153" s="7" t="e">
        <f>IF(C152&lt;1,"0",LeasingHab!$C$39)</f>
        <v>#VALUE!</v>
      </c>
      <c r="O153" s="9" t="e">
        <f t="shared" si="18"/>
        <v>#VALUE!</v>
      </c>
    </row>
    <row r="154" spans="2:15" ht="15.5" x14ac:dyDescent="0.35">
      <c r="B154" s="6" t="e">
        <f t="shared" si="13"/>
        <v>#VALUE!</v>
      </c>
      <c r="C154" s="7" t="e">
        <f t="shared" si="14"/>
        <v>#VALUE!</v>
      </c>
      <c r="D154" s="7" t="e">
        <f t="shared" si="15"/>
        <v>#VALUE!</v>
      </c>
      <c r="E154" s="7" t="e">
        <f>IF((C153-1)&lt;$E$19,0,C153*LeasingNOFam!$E$17)</f>
        <v>#VALUE!</v>
      </c>
      <c r="F154" s="8" t="e">
        <f>IF((C153-1)&lt;$E$19,"0",C153*Seguros_Oblig!$N$3)</f>
        <v>#VALUE!</v>
      </c>
      <c r="G154" s="8" t="e">
        <f>IF(LeasingHab!$C$10="TARIFA 1",(C153*(VLOOKUP(LeasingHab!$C$24,Seguros_Oblig!$A$3:$B$55,2,FALSE))),(C153*(VLOOKUP(LeasingHab!$C$24,Seguros_Oblig!$A$3:$D$55,4,FALSE))))</f>
        <v>#VALUE!</v>
      </c>
      <c r="H154" s="8" t="e">
        <f>IF(LeasingHab!$C$10="TARIFA 1",(C153*(VLOOKUP(LeasingHab!$C$25,Seguros_Oblig!$A$3:$B$55,2,FALSE))),(C153*(VLOOKUP(LeasingHab!$C$25,Seguros_Oblig!$A$3:$D$55,4,FALSE))))</f>
        <v>#VALUE!</v>
      </c>
      <c r="I154" s="8" t="e">
        <f>IF(LeasingHab!$C$10="TARIFA 1",(C153*(VLOOKUP(LeasingHab!$C$26,Seguros_Oblig!$A$3:$B$55,2,FALSE))),(C153*(VLOOKUP(LeasingHab!$C$26,Seguros_Oblig!$A$3:$D$55,4,FALSE))))</f>
        <v>#VALUE!</v>
      </c>
      <c r="J154" s="10">
        <f t="shared" si="16"/>
        <v>0</v>
      </c>
      <c r="K154" s="7" t="e">
        <f>IF((C153-1)&lt;$E$19,0,Seguros_Oblig!$N$4*(LeasingNOFam!$C$12*90%))</f>
        <v>#VALUE!</v>
      </c>
      <c r="L154" s="7" t="e">
        <f>IF(B154&gt;LeasingNOFam!$C$18,0,PMT(LeasingNOFam!$E$17,LeasingNOFam!$C$18,-LeasingNOFam!$C$15,,)-PMT(LeasingNOFam!$E$17,LeasingNOFam!$C$18,-LeasingNOFam!$C$22)+LeasingNOFam!$C$22*LeasingNOFam!$E$17)</f>
        <v>#VALUE!</v>
      </c>
      <c r="M154" s="9" t="e">
        <f t="shared" si="17"/>
        <v>#VALUE!</v>
      </c>
      <c r="N154" s="7" t="e">
        <f>IF(C153&lt;1,"0",LeasingHab!$C$39)</f>
        <v>#VALUE!</v>
      </c>
      <c r="O154" s="9" t="e">
        <f t="shared" si="18"/>
        <v>#VALUE!</v>
      </c>
    </row>
    <row r="155" spans="2:15" ht="15.5" x14ac:dyDescent="0.35">
      <c r="B155" s="6" t="e">
        <f t="shared" si="13"/>
        <v>#VALUE!</v>
      </c>
      <c r="C155" s="7" t="e">
        <f t="shared" si="14"/>
        <v>#VALUE!</v>
      </c>
      <c r="D155" s="7" t="e">
        <f t="shared" si="15"/>
        <v>#VALUE!</v>
      </c>
      <c r="E155" s="7" t="e">
        <f>IF((C154-1)&lt;$E$19,0,C154*LeasingNOFam!$E$17)</f>
        <v>#VALUE!</v>
      </c>
      <c r="F155" s="8" t="e">
        <f>IF((C154-1)&lt;$E$19,"0",C154*Seguros_Oblig!$N$3)</f>
        <v>#VALUE!</v>
      </c>
      <c r="G155" s="8" t="e">
        <f>IF(LeasingHab!$C$10="TARIFA 1",(C154*(VLOOKUP(LeasingHab!$C$24,Seguros_Oblig!$A$3:$B$55,2,FALSE))),(C154*(VLOOKUP(LeasingHab!$C$24,Seguros_Oblig!$A$3:$D$55,4,FALSE))))</f>
        <v>#VALUE!</v>
      </c>
      <c r="H155" s="8" t="e">
        <f>IF(LeasingHab!$C$10="TARIFA 1",(C154*(VLOOKUP(LeasingHab!$C$25,Seguros_Oblig!$A$3:$B$55,2,FALSE))),(C154*(VLOOKUP(LeasingHab!$C$25,Seguros_Oblig!$A$3:$D$55,4,FALSE))))</f>
        <v>#VALUE!</v>
      </c>
      <c r="I155" s="8" t="e">
        <f>IF(LeasingHab!$C$10="TARIFA 1",(C154*(VLOOKUP(LeasingHab!$C$26,Seguros_Oblig!$A$3:$B$55,2,FALSE))),(C154*(VLOOKUP(LeasingHab!$C$26,Seguros_Oblig!$A$3:$D$55,4,FALSE))))</f>
        <v>#VALUE!</v>
      </c>
      <c r="J155" s="10">
        <f t="shared" si="16"/>
        <v>0</v>
      </c>
      <c r="K155" s="7" t="e">
        <f>IF((C154-1)&lt;$E$19,0,Seguros_Oblig!$N$4*(LeasingNOFam!$C$12*90%))</f>
        <v>#VALUE!</v>
      </c>
      <c r="L155" s="7" t="e">
        <f>IF(B155&gt;LeasingNOFam!$C$18,0,PMT(LeasingNOFam!$E$17,LeasingNOFam!$C$18,-LeasingNOFam!$C$15,,)-PMT(LeasingNOFam!$E$17,LeasingNOFam!$C$18,-LeasingNOFam!$C$22)+LeasingNOFam!$C$22*LeasingNOFam!$E$17)</f>
        <v>#VALUE!</v>
      </c>
      <c r="M155" s="9" t="e">
        <f t="shared" si="17"/>
        <v>#VALUE!</v>
      </c>
      <c r="N155" s="7" t="e">
        <f>IF(C154&lt;1,"0",LeasingHab!$C$39)</f>
        <v>#VALUE!</v>
      </c>
      <c r="O155" s="9" t="e">
        <f t="shared" si="18"/>
        <v>#VALUE!</v>
      </c>
    </row>
    <row r="156" spans="2:15" ht="15.5" x14ac:dyDescent="0.35">
      <c r="B156" s="6" t="e">
        <f t="shared" ref="B156:B219" si="19">IF(C155&gt;1,B155+1," ")</f>
        <v>#VALUE!</v>
      </c>
      <c r="C156" s="7" t="e">
        <f t="shared" si="14"/>
        <v>#VALUE!</v>
      </c>
      <c r="D156" s="7" t="e">
        <f t="shared" si="15"/>
        <v>#VALUE!</v>
      </c>
      <c r="E156" s="7" t="e">
        <f>IF((C155-1)&lt;$E$19,0,C155*LeasingNOFam!$E$17)</f>
        <v>#VALUE!</v>
      </c>
      <c r="F156" s="8" t="e">
        <f>IF((C155-1)&lt;$E$19,"0",C155*Seguros_Oblig!$N$3)</f>
        <v>#VALUE!</v>
      </c>
      <c r="G156" s="8" t="e">
        <f>IF(LeasingHab!$C$10="TARIFA 1",(C155*(VLOOKUP(LeasingHab!$C$24,Seguros_Oblig!$A$3:$B$55,2,FALSE))),(C155*(VLOOKUP(LeasingHab!$C$24,Seguros_Oblig!$A$3:$D$55,4,FALSE))))</f>
        <v>#VALUE!</v>
      </c>
      <c r="H156" s="8" t="e">
        <f>IF(LeasingHab!$C$10="TARIFA 1",(C155*(VLOOKUP(LeasingHab!$C$25,Seguros_Oblig!$A$3:$B$55,2,FALSE))),(C155*(VLOOKUP(LeasingHab!$C$25,Seguros_Oblig!$A$3:$D$55,4,FALSE))))</f>
        <v>#VALUE!</v>
      </c>
      <c r="I156" s="8" t="e">
        <f>IF(LeasingHab!$C$10="TARIFA 1",(C155*(VLOOKUP(LeasingHab!$C$26,Seguros_Oblig!$A$3:$B$55,2,FALSE))),(C155*(VLOOKUP(LeasingHab!$C$26,Seguros_Oblig!$A$3:$D$55,4,FALSE))))</f>
        <v>#VALUE!</v>
      </c>
      <c r="J156" s="10">
        <f t="shared" si="16"/>
        <v>0</v>
      </c>
      <c r="K156" s="7" t="e">
        <f>IF((C155-1)&lt;$E$19,0,Seguros_Oblig!$N$4*(LeasingNOFam!$C$12*90%))</f>
        <v>#VALUE!</v>
      </c>
      <c r="L156" s="7" t="e">
        <f>IF(B156&gt;LeasingNOFam!$C$18,0,PMT(LeasingNOFam!$E$17,LeasingNOFam!$C$18,-LeasingNOFam!$C$15,,)-PMT(LeasingNOFam!$E$17,LeasingNOFam!$C$18,-LeasingNOFam!$C$22)+LeasingNOFam!$C$22*LeasingNOFam!$E$17)</f>
        <v>#VALUE!</v>
      </c>
      <c r="M156" s="9" t="e">
        <f t="shared" si="17"/>
        <v>#VALUE!</v>
      </c>
      <c r="N156" s="7" t="e">
        <f>IF(C155&lt;1,"0",LeasingHab!$C$39)</f>
        <v>#VALUE!</v>
      </c>
      <c r="O156" s="9" t="e">
        <f t="shared" si="18"/>
        <v>#VALUE!</v>
      </c>
    </row>
    <row r="157" spans="2:15" ht="15.5" x14ac:dyDescent="0.35">
      <c r="B157" s="6" t="e">
        <f t="shared" si="19"/>
        <v>#VALUE!</v>
      </c>
      <c r="C157" s="7" t="e">
        <f t="shared" si="14"/>
        <v>#VALUE!</v>
      </c>
      <c r="D157" s="7" t="e">
        <f t="shared" si="15"/>
        <v>#VALUE!</v>
      </c>
      <c r="E157" s="7" t="e">
        <f>IF((C156-1)&lt;$E$19,0,C156*LeasingNOFam!$E$17)</f>
        <v>#VALUE!</v>
      </c>
      <c r="F157" s="8" t="e">
        <f>IF((C156-1)&lt;$E$19,"0",C156*Seguros_Oblig!$N$3)</f>
        <v>#VALUE!</v>
      </c>
      <c r="G157" s="8" t="e">
        <f>IF(LeasingHab!$C$10="TARIFA 1",(C156*(VLOOKUP(LeasingHab!$C$24,Seguros_Oblig!$A$3:$B$55,2,FALSE))),(C156*(VLOOKUP(LeasingHab!$C$24,Seguros_Oblig!$A$3:$D$55,4,FALSE))))</f>
        <v>#VALUE!</v>
      </c>
      <c r="H157" s="8" t="e">
        <f>IF(LeasingHab!$C$10="TARIFA 1",(C156*(VLOOKUP(LeasingHab!$C$25,Seguros_Oblig!$A$3:$B$55,2,FALSE))),(C156*(VLOOKUP(LeasingHab!$C$25,Seguros_Oblig!$A$3:$D$55,4,FALSE))))</f>
        <v>#VALUE!</v>
      </c>
      <c r="I157" s="8" t="e">
        <f>IF(LeasingHab!$C$10="TARIFA 1",(C156*(VLOOKUP(LeasingHab!$C$26,Seguros_Oblig!$A$3:$B$55,2,FALSE))),(C156*(VLOOKUP(LeasingHab!$C$26,Seguros_Oblig!$A$3:$D$55,4,FALSE))))</f>
        <v>#VALUE!</v>
      </c>
      <c r="J157" s="10">
        <f t="shared" si="16"/>
        <v>0</v>
      </c>
      <c r="K157" s="7" t="e">
        <f>IF((C156-1)&lt;$E$19,0,Seguros_Oblig!$N$4*(LeasingNOFam!$C$12*90%))</f>
        <v>#VALUE!</v>
      </c>
      <c r="L157" s="7" t="e">
        <f>IF(B157&gt;LeasingNOFam!$C$18,0,PMT(LeasingNOFam!$E$17,LeasingNOFam!$C$18,-LeasingNOFam!$C$15,,)-PMT(LeasingNOFam!$E$17,LeasingNOFam!$C$18,-LeasingNOFam!$C$22)+LeasingNOFam!$C$22*LeasingNOFam!$E$17)</f>
        <v>#VALUE!</v>
      </c>
      <c r="M157" s="9" t="e">
        <f t="shared" si="17"/>
        <v>#VALUE!</v>
      </c>
      <c r="N157" s="7" t="e">
        <f>IF(C156&lt;1,"0",LeasingHab!$C$39)</f>
        <v>#VALUE!</v>
      </c>
      <c r="O157" s="9" t="e">
        <f t="shared" si="18"/>
        <v>#VALUE!</v>
      </c>
    </row>
    <row r="158" spans="2:15" ht="15.5" x14ac:dyDescent="0.35">
      <c r="B158" s="6" t="e">
        <f t="shared" si="19"/>
        <v>#VALUE!</v>
      </c>
      <c r="C158" s="7" t="e">
        <f t="shared" si="14"/>
        <v>#VALUE!</v>
      </c>
      <c r="D158" s="7" t="e">
        <f t="shared" si="15"/>
        <v>#VALUE!</v>
      </c>
      <c r="E158" s="7" t="e">
        <f>IF((C157-1)&lt;$E$19,0,C157*LeasingNOFam!$E$17)</f>
        <v>#VALUE!</v>
      </c>
      <c r="F158" s="8" t="e">
        <f>IF((C157-1)&lt;$E$19,"0",C157*Seguros_Oblig!$N$3)</f>
        <v>#VALUE!</v>
      </c>
      <c r="G158" s="8" t="e">
        <f>IF(LeasingHab!$C$10="TARIFA 1",(C157*(VLOOKUP(LeasingHab!$C$24,Seguros_Oblig!$A$3:$B$55,2,FALSE))),(C157*(VLOOKUP(LeasingHab!$C$24,Seguros_Oblig!$A$3:$D$55,4,FALSE))))</f>
        <v>#VALUE!</v>
      </c>
      <c r="H158" s="8" t="e">
        <f>IF(LeasingHab!$C$10="TARIFA 1",(C157*(VLOOKUP(LeasingHab!$C$25,Seguros_Oblig!$A$3:$B$55,2,FALSE))),(C157*(VLOOKUP(LeasingHab!$C$25,Seguros_Oblig!$A$3:$D$55,4,FALSE))))</f>
        <v>#VALUE!</v>
      </c>
      <c r="I158" s="8" t="e">
        <f>IF(LeasingHab!$C$10="TARIFA 1",(C157*(VLOOKUP(LeasingHab!$C$26,Seguros_Oblig!$A$3:$B$55,2,FALSE))),(C157*(VLOOKUP(LeasingHab!$C$26,Seguros_Oblig!$A$3:$D$55,4,FALSE))))</f>
        <v>#VALUE!</v>
      </c>
      <c r="J158" s="10">
        <f t="shared" si="16"/>
        <v>0</v>
      </c>
      <c r="K158" s="7" t="e">
        <f>IF((C157-1)&lt;$E$19,0,Seguros_Oblig!$N$4*(LeasingNOFam!$C$12*90%))</f>
        <v>#VALUE!</v>
      </c>
      <c r="L158" s="7" t="e">
        <f>IF(B158&gt;LeasingNOFam!$C$18,0,PMT(LeasingNOFam!$E$17,LeasingNOFam!$C$18,-LeasingNOFam!$C$15,,)-PMT(LeasingNOFam!$E$17,LeasingNOFam!$C$18,-LeasingNOFam!$C$22)+LeasingNOFam!$C$22*LeasingNOFam!$E$17)</f>
        <v>#VALUE!</v>
      </c>
      <c r="M158" s="9" t="e">
        <f t="shared" si="17"/>
        <v>#VALUE!</v>
      </c>
      <c r="N158" s="7" t="e">
        <f>IF(C157&lt;1,"0",LeasingHab!$C$39)</f>
        <v>#VALUE!</v>
      </c>
      <c r="O158" s="9" t="e">
        <f t="shared" si="18"/>
        <v>#VALUE!</v>
      </c>
    </row>
    <row r="159" spans="2:15" ht="15.5" x14ac:dyDescent="0.35">
      <c r="B159" s="6" t="e">
        <f t="shared" si="19"/>
        <v>#VALUE!</v>
      </c>
      <c r="C159" s="7" t="e">
        <f t="shared" si="14"/>
        <v>#VALUE!</v>
      </c>
      <c r="D159" s="7" t="e">
        <f t="shared" si="15"/>
        <v>#VALUE!</v>
      </c>
      <c r="E159" s="7" t="e">
        <f>IF((C158-1)&lt;$E$19,0,C158*LeasingNOFam!$E$17)</f>
        <v>#VALUE!</v>
      </c>
      <c r="F159" s="8" t="e">
        <f>IF((C158-1)&lt;$E$19,"0",C158*Seguros_Oblig!$N$3)</f>
        <v>#VALUE!</v>
      </c>
      <c r="G159" s="8" t="e">
        <f>IF(LeasingHab!$C$10="TARIFA 1",(C158*(VLOOKUP(LeasingHab!$C$24,Seguros_Oblig!$A$3:$B$55,2,FALSE))),(C158*(VLOOKUP(LeasingHab!$C$24,Seguros_Oblig!$A$3:$D$55,4,FALSE))))</f>
        <v>#VALUE!</v>
      </c>
      <c r="H159" s="8" t="e">
        <f>IF(LeasingHab!$C$10="TARIFA 1",(C158*(VLOOKUP(LeasingHab!$C$25,Seguros_Oblig!$A$3:$B$55,2,FALSE))),(C158*(VLOOKUP(LeasingHab!$C$25,Seguros_Oblig!$A$3:$D$55,4,FALSE))))</f>
        <v>#VALUE!</v>
      </c>
      <c r="I159" s="8" t="e">
        <f>IF(LeasingHab!$C$10="TARIFA 1",(C158*(VLOOKUP(LeasingHab!$C$26,Seguros_Oblig!$A$3:$B$55,2,FALSE))),(C158*(VLOOKUP(LeasingHab!$C$26,Seguros_Oblig!$A$3:$D$55,4,FALSE))))</f>
        <v>#VALUE!</v>
      </c>
      <c r="J159" s="10">
        <f t="shared" si="16"/>
        <v>0</v>
      </c>
      <c r="K159" s="7" t="e">
        <f>IF((C158-1)&lt;$E$19,0,Seguros_Oblig!$N$4*(LeasingNOFam!$C$12*90%))</f>
        <v>#VALUE!</v>
      </c>
      <c r="L159" s="7" t="e">
        <f>IF(B159&gt;LeasingNOFam!$C$18,0,PMT(LeasingNOFam!$E$17,LeasingNOFam!$C$18,-LeasingNOFam!$C$15,,)-PMT(LeasingNOFam!$E$17,LeasingNOFam!$C$18,-LeasingNOFam!$C$22)+LeasingNOFam!$C$22*LeasingNOFam!$E$17)</f>
        <v>#VALUE!</v>
      </c>
      <c r="M159" s="9" t="e">
        <f t="shared" si="17"/>
        <v>#VALUE!</v>
      </c>
      <c r="N159" s="7" t="e">
        <f>IF(C158&lt;1,"0",LeasingHab!$C$39)</f>
        <v>#VALUE!</v>
      </c>
      <c r="O159" s="9" t="e">
        <f t="shared" si="18"/>
        <v>#VALUE!</v>
      </c>
    </row>
    <row r="160" spans="2:15" ht="15.5" x14ac:dyDescent="0.35">
      <c r="B160" s="6" t="e">
        <f t="shared" si="19"/>
        <v>#VALUE!</v>
      </c>
      <c r="C160" s="7" t="e">
        <f t="shared" si="14"/>
        <v>#VALUE!</v>
      </c>
      <c r="D160" s="7" t="e">
        <f t="shared" si="15"/>
        <v>#VALUE!</v>
      </c>
      <c r="E160" s="7" t="e">
        <f>IF((C159-1)&lt;$E$19,0,C159*LeasingNOFam!$E$17)</f>
        <v>#VALUE!</v>
      </c>
      <c r="F160" s="8" t="e">
        <f>IF((C159-1)&lt;$E$19,"0",C159*Seguros_Oblig!$N$3)</f>
        <v>#VALUE!</v>
      </c>
      <c r="G160" s="8" t="e">
        <f>IF(LeasingHab!$C$10="TARIFA 1",(C159*(VLOOKUP(LeasingHab!$C$24,Seguros_Oblig!$A$3:$B$55,2,FALSE))),(C159*(VLOOKUP(LeasingHab!$C$24,Seguros_Oblig!$A$3:$D$55,4,FALSE))))</f>
        <v>#VALUE!</v>
      </c>
      <c r="H160" s="8" t="e">
        <f>IF(LeasingHab!$C$10="TARIFA 1",(C159*(VLOOKUP(LeasingHab!$C$25,Seguros_Oblig!$A$3:$B$55,2,FALSE))),(C159*(VLOOKUP(LeasingHab!$C$25,Seguros_Oblig!$A$3:$D$55,4,FALSE))))</f>
        <v>#VALUE!</v>
      </c>
      <c r="I160" s="8" t="e">
        <f>IF(LeasingHab!$C$10="TARIFA 1",(C159*(VLOOKUP(LeasingHab!$C$26,Seguros_Oblig!$A$3:$B$55,2,FALSE))),(C159*(VLOOKUP(LeasingHab!$C$26,Seguros_Oblig!$A$3:$D$55,4,FALSE))))</f>
        <v>#VALUE!</v>
      </c>
      <c r="J160" s="10">
        <f t="shared" si="16"/>
        <v>0</v>
      </c>
      <c r="K160" s="7" t="e">
        <f>IF((C159-1)&lt;$E$19,0,Seguros_Oblig!$N$4*(LeasingNOFam!$C$12*90%))</f>
        <v>#VALUE!</v>
      </c>
      <c r="L160" s="7" t="e">
        <f>IF(B160&gt;LeasingNOFam!$C$18,0,PMT(LeasingNOFam!$E$17,LeasingNOFam!$C$18,-LeasingNOFam!$C$15,,)-PMT(LeasingNOFam!$E$17,LeasingNOFam!$C$18,-LeasingNOFam!$C$22)+LeasingNOFam!$C$22*LeasingNOFam!$E$17)</f>
        <v>#VALUE!</v>
      </c>
      <c r="M160" s="9" t="e">
        <f t="shared" si="17"/>
        <v>#VALUE!</v>
      </c>
      <c r="N160" s="7" t="e">
        <f>IF(C159&lt;1,"0",LeasingHab!$C$39)</f>
        <v>#VALUE!</v>
      </c>
      <c r="O160" s="9" t="e">
        <f t="shared" si="18"/>
        <v>#VALUE!</v>
      </c>
    </row>
    <row r="161" spans="2:15" ht="15.5" x14ac:dyDescent="0.35">
      <c r="B161" s="6" t="e">
        <f t="shared" si="19"/>
        <v>#VALUE!</v>
      </c>
      <c r="C161" s="7" t="e">
        <f t="shared" si="14"/>
        <v>#VALUE!</v>
      </c>
      <c r="D161" s="7" t="e">
        <f t="shared" si="15"/>
        <v>#VALUE!</v>
      </c>
      <c r="E161" s="7" t="e">
        <f>IF((C160-1)&lt;$E$19,0,C160*LeasingNOFam!$E$17)</f>
        <v>#VALUE!</v>
      </c>
      <c r="F161" s="8" t="e">
        <f>IF((C160-1)&lt;$E$19,"0",C160*Seguros_Oblig!$N$3)</f>
        <v>#VALUE!</v>
      </c>
      <c r="G161" s="8" t="e">
        <f>IF(LeasingHab!$C$10="TARIFA 1",(C160*(VLOOKUP(LeasingHab!$C$24,Seguros_Oblig!$A$3:$B$55,2,FALSE))),(C160*(VLOOKUP(LeasingHab!$C$24,Seguros_Oblig!$A$3:$D$55,4,FALSE))))</f>
        <v>#VALUE!</v>
      </c>
      <c r="H161" s="8" t="e">
        <f>IF(LeasingHab!$C$10="TARIFA 1",(C160*(VLOOKUP(LeasingHab!$C$25,Seguros_Oblig!$A$3:$B$55,2,FALSE))),(C160*(VLOOKUP(LeasingHab!$C$25,Seguros_Oblig!$A$3:$D$55,4,FALSE))))</f>
        <v>#VALUE!</v>
      </c>
      <c r="I161" s="8" t="e">
        <f>IF(LeasingHab!$C$10="TARIFA 1",(C160*(VLOOKUP(LeasingHab!$C$26,Seguros_Oblig!$A$3:$B$55,2,FALSE))),(C160*(VLOOKUP(LeasingHab!$C$26,Seguros_Oblig!$A$3:$D$55,4,FALSE))))</f>
        <v>#VALUE!</v>
      </c>
      <c r="J161" s="10">
        <f t="shared" si="16"/>
        <v>0</v>
      </c>
      <c r="K161" s="7" t="e">
        <f>IF((C160-1)&lt;$E$19,0,Seguros_Oblig!$N$4*(LeasingNOFam!$C$12*90%))</f>
        <v>#VALUE!</v>
      </c>
      <c r="L161" s="7" t="e">
        <f>IF(B161&gt;LeasingNOFam!$C$18,0,PMT(LeasingNOFam!$E$17,LeasingNOFam!$C$18,-LeasingNOFam!$C$15,,)-PMT(LeasingNOFam!$E$17,LeasingNOFam!$C$18,-LeasingNOFam!$C$22)+LeasingNOFam!$C$22*LeasingNOFam!$E$17)</f>
        <v>#VALUE!</v>
      </c>
      <c r="M161" s="9" t="e">
        <f t="shared" si="17"/>
        <v>#VALUE!</v>
      </c>
      <c r="N161" s="7" t="e">
        <f>IF(C160&lt;1,"0",LeasingHab!$C$39)</f>
        <v>#VALUE!</v>
      </c>
      <c r="O161" s="9" t="e">
        <f t="shared" si="18"/>
        <v>#VALUE!</v>
      </c>
    </row>
    <row r="162" spans="2:15" ht="15.5" x14ac:dyDescent="0.35">
      <c r="B162" s="6" t="e">
        <f t="shared" si="19"/>
        <v>#VALUE!</v>
      </c>
      <c r="C162" s="7" t="e">
        <f t="shared" si="14"/>
        <v>#VALUE!</v>
      </c>
      <c r="D162" s="7" t="e">
        <f t="shared" si="15"/>
        <v>#VALUE!</v>
      </c>
      <c r="E162" s="7" t="e">
        <f>IF((C161-1)&lt;$E$19,0,C161*LeasingNOFam!$E$17)</f>
        <v>#VALUE!</v>
      </c>
      <c r="F162" s="8" t="e">
        <f>IF((C161-1)&lt;$E$19,"0",C161*Seguros_Oblig!$N$3)</f>
        <v>#VALUE!</v>
      </c>
      <c r="G162" s="8" t="e">
        <f>IF(LeasingHab!$C$10="TARIFA 1",(C161*(VLOOKUP(LeasingHab!$C$24,Seguros_Oblig!$A$3:$B$55,2,FALSE))),(C161*(VLOOKUP(LeasingHab!$C$24,Seguros_Oblig!$A$3:$D$55,4,FALSE))))</f>
        <v>#VALUE!</v>
      </c>
      <c r="H162" s="8" t="e">
        <f>IF(LeasingHab!$C$10="TARIFA 1",(C161*(VLOOKUP(LeasingHab!$C$25,Seguros_Oblig!$A$3:$B$55,2,FALSE))),(C161*(VLOOKUP(LeasingHab!$C$25,Seguros_Oblig!$A$3:$D$55,4,FALSE))))</f>
        <v>#VALUE!</v>
      </c>
      <c r="I162" s="8" t="e">
        <f>IF(LeasingHab!$C$10="TARIFA 1",(C161*(VLOOKUP(LeasingHab!$C$26,Seguros_Oblig!$A$3:$B$55,2,FALSE))),(C161*(VLOOKUP(LeasingHab!$C$26,Seguros_Oblig!$A$3:$D$55,4,FALSE))))</f>
        <v>#VALUE!</v>
      </c>
      <c r="J162" s="10">
        <f t="shared" si="16"/>
        <v>0</v>
      </c>
      <c r="K162" s="7" t="e">
        <f>IF((C161-1)&lt;$E$19,0,Seguros_Oblig!$N$4*(LeasingNOFam!$C$12*90%))</f>
        <v>#VALUE!</v>
      </c>
      <c r="L162" s="7" t="e">
        <f>IF(B162&gt;LeasingNOFam!$C$18,0,PMT(LeasingNOFam!$E$17,LeasingNOFam!$C$18,-LeasingNOFam!$C$15,,)-PMT(LeasingNOFam!$E$17,LeasingNOFam!$C$18,-LeasingNOFam!$C$22)+LeasingNOFam!$C$22*LeasingNOFam!$E$17)</f>
        <v>#VALUE!</v>
      </c>
      <c r="M162" s="9" t="e">
        <f t="shared" si="17"/>
        <v>#VALUE!</v>
      </c>
      <c r="N162" s="7" t="e">
        <f>IF(C161&lt;1,"0",LeasingHab!$C$39)</f>
        <v>#VALUE!</v>
      </c>
      <c r="O162" s="9" t="e">
        <f t="shared" si="18"/>
        <v>#VALUE!</v>
      </c>
    </row>
    <row r="163" spans="2:15" ht="15.5" x14ac:dyDescent="0.35">
      <c r="B163" s="6" t="e">
        <f t="shared" si="19"/>
        <v>#VALUE!</v>
      </c>
      <c r="C163" s="7" t="e">
        <f t="shared" si="14"/>
        <v>#VALUE!</v>
      </c>
      <c r="D163" s="7" t="e">
        <f t="shared" si="15"/>
        <v>#VALUE!</v>
      </c>
      <c r="E163" s="7" t="e">
        <f>IF((C162-1)&lt;$E$19,0,C162*LeasingNOFam!$E$17)</f>
        <v>#VALUE!</v>
      </c>
      <c r="F163" s="8" t="e">
        <f>IF((C162-1)&lt;$E$19,"0",C162*Seguros_Oblig!$N$3)</f>
        <v>#VALUE!</v>
      </c>
      <c r="G163" s="8" t="e">
        <f>IF(LeasingHab!$C$10="TARIFA 1",(C162*(VLOOKUP(LeasingHab!$C$24,Seguros_Oblig!$A$3:$B$55,2,FALSE))),(C162*(VLOOKUP(LeasingHab!$C$24,Seguros_Oblig!$A$3:$D$55,4,FALSE))))</f>
        <v>#VALUE!</v>
      </c>
      <c r="H163" s="8" t="e">
        <f>IF(LeasingHab!$C$10="TARIFA 1",(C162*(VLOOKUP(LeasingHab!$C$25,Seguros_Oblig!$A$3:$B$55,2,FALSE))),(C162*(VLOOKUP(LeasingHab!$C$25,Seguros_Oblig!$A$3:$D$55,4,FALSE))))</f>
        <v>#VALUE!</v>
      </c>
      <c r="I163" s="8" t="e">
        <f>IF(LeasingHab!$C$10="TARIFA 1",(C162*(VLOOKUP(LeasingHab!$C$26,Seguros_Oblig!$A$3:$B$55,2,FALSE))),(C162*(VLOOKUP(LeasingHab!$C$26,Seguros_Oblig!$A$3:$D$55,4,FALSE))))</f>
        <v>#VALUE!</v>
      </c>
      <c r="J163" s="10">
        <f t="shared" si="16"/>
        <v>0</v>
      </c>
      <c r="K163" s="7" t="e">
        <f>IF((C162-1)&lt;$E$19,0,Seguros_Oblig!$N$4*(LeasingNOFam!$C$12*90%))</f>
        <v>#VALUE!</v>
      </c>
      <c r="L163" s="7" t="e">
        <f>IF(B163&gt;LeasingNOFam!$C$18,0,PMT(LeasingNOFam!$E$17,LeasingNOFam!$C$18,-LeasingNOFam!$C$15,,)-PMT(LeasingNOFam!$E$17,LeasingNOFam!$C$18,-LeasingNOFam!$C$22)+LeasingNOFam!$C$22*LeasingNOFam!$E$17)</f>
        <v>#VALUE!</v>
      </c>
      <c r="M163" s="9" t="e">
        <f t="shared" si="17"/>
        <v>#VALUE!</v>
      </c>
      <c r="N163" s="7" t="e">
        <f>IF(C162&lt;1,"0",LeasingHab!$C$39)</f>
        <v>#VALUE!</v>
      </c>
      <c r="O163" s="9" t="e">
        <f t="shared" si="18"/>
        <v>#VALUE!</v>
      </c>
    </row>
    <row r="164" spans="2:15" ht="15.5" x14ac:dyDescent="0.35">
      <c r="B164" s="6" t="e">
        <f t="shared" si="19"/>
        <v>#VALUE!</v>
      </c>
      <c r="C164" s="7" t="e">
        <f t="shared" si="14"/>
        <v>#VALUE!</v>
      </c>
      <c r="D164" s="7" t="e">
        <f t="shared" si="15"/>
        <v>#VALUE!</v>
      </c>
      <c r="E164" s="7" t="e">
        <f>IF((C163-1)&lt;$E$19,0,C163*LeasingNOFam!$E$17)</f>
        <v>#VALUE!</v>
      </c>
      <c r="F164" s="8" t="e">
        <f>IF((C163-1)&lt;$E$19,"0",C163*Seguros_Oblig!$N$3)</f>
        <v>#VALUE!</v>
      </c>
      <c r="G164" s="8" t="e">
        <f>IF(LeasingHab!$C$10="TARIFA 1",(C163*(VLOOKUP(LeasingHab!$C$24,Seguros_Oblig!$A$3:$B$55,2,FALSE))),(C163*(VLOOKUP(LeasingHab!$C$24,Seguros_Oblig!$A$3:$D$55,4,FALSE))))</f>
        <v>#VALUE!</v>
      </c>
      <c r="H164" s="8" t="e">
        <f>IF(LeasingHab!$C$10="TARIFA 1",(C163*(VLOOKUP(LeasingHab!$C$25,Seguros_Oblig!$A$3:$B$55,2,FALSE))),(C163*(VLOOKUP(LeasingHab!$C$25,Seguros_Oblig!$A$3:$D$55,4,FALSE))))</f>
        <v>#VALUE!</v>
      </c>
      <c r="I164" s="8" t="e">
        <f>IF(LeasingHab!$C$10="TARIFA 1",(C163*(VLOOKUP(LeasingHab!$C$26,Seguros_Oblig!$A$3:$B$55,2,FALSE))),(C163*(VLOOKUP(LeasingHab!$C$26,Seguros_Oblig!$A$3:$D$55,4,FALSE))))</f>
        <v>#VALUE!</v>
      </c>
      <c r="J164" s="10">
        <f t="shared" si="16"/>
        <v>0</v>
      </c>
      <c r="K164" s="7" t="e">
        <f>IF((C163-1)&lt;$E$19,0,Seguros_Oblig!$N$4*(LeasingNOFam!$C$12*90%))</f>
        <v>#VALUE!</v>
      </c>
      <c r="L164" s="7" t="e">
        <f>IF(B164&gt;LeasingNOFam!$C$18,0,PMT(LeasingNOFam!$E$17,LeasingNOFam!$C$18,-LeasingNOFam!$C$15,,)-PMT(LeasingNOFam!$E$17,LeasingNOFam!$C$18,-LeasingNOFam!$C$22)+LeasingNOFam!$C$22*LeasingNOFam!$E$17)</f>
        <v>#VALUE!</v>
      </c>
      <c r="M164" s="9" t="e">
        <f t="shared" si="17"/>
        <v>#VALUE!</v>
      </c>
      <c r="N164" s="7" t="e">
        <f>IF(C163&lt;1,"0",LeasingHab!$C$39)</f>
        <v>#VALUE!</v>
      </c>
      <c r="O164" s="9" t="e">
        <f t="shared" si="18"/>
        <v>#VALUE!</v>
      </c>
    </row>
    <row r="165" spans="2:15" ht="15.5" x14ac:dyDescent="0.35">
      <c r="B165" s="6" t="e">
        <f t="shared" si="19"/>
        <v>#VALUE!</v>
      </c>
      <c r="C165" s="7" t="e">
        <f t="shared" si="14"/>
        <v>#VALUE!</v>
      </c>
      <c r="D165" s="7" t="e">
        <f t="shared" si="15"/>
        <v>#VALUE!</v>
      </c>
      <c r="E165" s="7" t="e">
        <f>IF((C164-1)&lt;$E$19,0,C164*LeasingNOFam!$E$17)</f>
        <v>#VALUE!</v>
      </c>
      <c r="F165" s="8" t="e">
        <f>IF((C164-1)&lt;$E$19,"0",C164*Seguros_Oblig!$N$3)</f>
        <v>#VALUE!</v>
      </c>
      <c r="G165" s="8" t="e">
        <f>IF(LeasingHab!$C$10="TARIFA 1",(C164*(VLOOKUP(LeasingHab!$C$24,Seguros_Oblig!$A$3:$B$55,2,FALSE))),(C164*(VLOOKUP(LeasingHab!$C$24,Seguros_Oblig!$A$3:$D$55,4,FALSE))))</f>
        <v>#VALUE!</v>
      </c>
      <c r="H165" s="8" t="e">
        <f>IF(LeasingHab!$C$10="TARIFA 1",(C164*(VLOOKUP(LeasingHab!$C$25,Seguros_Oblig!$A$3:$B$55,2,FALSE))),(C164*(VLOOKUP(LeasingHab!$C$25,Seguros_Oblig!$A$3:$D$55,4,FALSE))))</f>
        <v>#VALUE!</v>
      </c>
      <c r="I165" s="8" t="e">
        <f>IF(LeasingHab!$C$10="TARIFA 1",(C164*(VLOOKUP(LeasingHab!$C$26,Seguros_Oblig!$A$3:$B$55,2,FALSE))),(C164*(VLOOKUP(LeasingHab!$C$26,Seguros_Oblig!$A$3:$D$55,4,FALSE))))</f>
        <v>#VALUE!</v>
      </c>
      <c r="J165" s="10">
        <f t="shared" si="16"/>
        <v>0</v>
      </c>
      <c r="K165" s="7" t="e">
        <f>IF((C164-1)&lt;$E$19,0,Seguros_Oblig!$N$4*(LeasingNOFam!$C$12*90%))</f>
        <v>#VALUE!</v>
      </c>
      <c r="L165" s="7" t="e">
        <f>IF(B165&gt;LeasingNOFam!$C$18,0,PMT(LeasingNOFam!$E$17,LeasingNOFam!$C$18,-LeasingNOFam!$C$15,,)-PMT(LeasingNOFam!$E$17,LeasingNOFam!$C$18,-LeasingNOFam!$C$22)+LeasingNOFam!$C$22*LeasingNOFam!$E$17)</f>
        <v>#VALUE!</v>
      </c>
      <c r="M165" s="9" t="e">
        <f t="shared" si="17"/>
        <v>#VALUE!</v>
      </c>
      <c r="N165" s="7" t="e">
        <f>IF(C164&lt;1,"0",LeasingHab!$C$39)</f>
        <v>#VALUE!</v>
      </c>
      <c r="O165" s="9" t="e">
        <f t="shared" si="18"/>
        <v>#VALUE!</v>
      </c>
    </row>
    <row r="166" spans="2:15" ht="15.5" x14ac:dyDescent="0.35">
      <c r="B166" s="6" t="e">
        <f t="shared" si="19"/>
        <v>#VALUE!</v>
      </c>
      <c r="C166" s="7" t="e">
        <f t="shared" si="14"/>
        <v>#VALUE!</v>
      </c>
      <c r="D166" s="7" t="e">
        <f t="shared" si="15"/>
        <v>#VALUE!</v>
      </c>
      <c r="E166" s="7" t="e">
        <f>IF((C165-1)&lt;$E$19,0,C165*LeasingNOFam!$E$17)</f>
        <v>#VALUE!</v>
      </c>
      <c r="F166" s="8" t="e">
        <f>IF((C165-1)&lt;$E$19,"0",C165*Seguros_Oblig!$N$3)</f>
        <v>#VALUE!</v>
      </c>
      <c r="G166" s="8" t="e">
        <f>IF(LeasingHab!$C$10="TARIFA 1",(C165*(VLOOKUP(LeasingHab!$C$24,Seguros_Oblig!$A$3:$B$55,2,FALSE))),(C165*(VLOOKUP(LeasingHab!$C$24,Seguros_Oblig!$A$3:$D$55,4,FALSE))))</f>
        <v>#VALUE!</v>
      </c>
      <c r="H166" s="8" t="e">
        <f>IF(LeasingHab!$C$10="TARIFA 1",(C165*(VLOOKUP(LeasingHab!$C$25,Seguros_Oblig!$A$3:$B$55,2,FALSE))),(C165*(VLOOKUP(LeasingHab!$C$25,Seguros_Oblig!$A$3:$D$55,4,FALSE))))</f>
        <v>#VALUE!</v>
      </c>
      <c r="I166" s="8" t="e">
        <f>IF(LeasingHab!$C$10="TARIFA 1",(C165*(VLOOKUP(LeasingHab!$C$26,Seguros_Oblig!$A$3:$B$55,2,FALSE))),(C165*(VLOOKUP(LeasingHab!$C$26,Seguros_Oblig!$A$3:$D$55,4,FALSE))))</f>
        <v>#VALUE!</v>
      </c>
      <c r="J166" s="10">
        <f t="shared" si="16"/>
        <v>0</v>
      </c>
      <c r="K166" s="7" t="e">
        <f>IF((C165-1)&lt;$E$19,0,Seguros_Oblig!$N$4*(LeasingNOFam!$C$12*90%))</f>
        <v>#VALUE!</v>
      </c>
      <c r="L166" s="7" t="e">
        <f>IF(B166&gt;LeasingNOFam!$C$18,0,PMT(LeasingNOFam!$E$17,LeasingNOFam!$C$18,-LeasingNOFam!$C$15,,)-PMT(LeasingNOFam!$E$17,LeasingNOFam!$C$18,-LeasingNOFam!$C$22)+LeasingNOFam!$C$22*LeasingNOFam!$E$17)</f>
        <v>#VALUE!</v>
      </c>
      <c r="M166" s="9" t="e">
        <f t="shared" si="17"/>
        <v>#VALUE!</v>
      </c>
      <c r="N166" s="7" t="e">
        <f>IF(C165&lt;1,"0",LeasingHab!$C$39)</f>
        <v>#VALUE!</v>
      </c>
      <c r="O166" s="9" t="e">
        <f t="shared" si="18"/>
        <v>#VALUE!</v>
      </c>
    </row>
    <row r="167" spans="2:15" ht="15.5" x14ac:dyDescent="0.35">
      <c r="B167" s="6" t="e">
        <f t="shared" si="19"/>
        <v>#VALUE!</v>
      </c>
      <c r="C167" s="7" t="e">
        <f t="shared" si="14"/>
        <v>#VALUE!</v>
      </c>
      <c r="D167" s="7" t="e">
        <f t="shared" si="15"/>
        <v>#VALUE!</v>
      </c>
      <c r="E167" s="7" t="e">
        <f>IF((C166-1)&lt;$E$19,0,C166*LeasingNOFam!$E$17)</f>
        <v>#VALUE!</v>
      </c>
      <c r="F167" s="8" t="e">
        <f>IF((C166-1)&lt;$E$19,"0",C166*Seguros_Oblig!$N$3)</f>
        <v>#VALUE!</v>
      </c>
      <c r="G167" s="8" t="e">
        <f>IF(LeasingHab!$C$10="TARIFA 1",(C166*(VLOOKUP(LeasingHab!$C$24,Seguros_Oblig!$A$3:$B$55,2,FALSE))),(C166*(VLOOKUP(LeasingHab!$C$24,Seguros_Oblig!$A$3:$D$55,4,FALSE))))</f>
        <v>#VALUE!</v>
      </c>
      <c r="H167" s="8" t="e">
        <f>IF(LeasingHab!$C$10="TARIFA 1",(C166*(VLOOKUP(LeasingHab!$C$25,Seguros_Oblig!$A$3:$B$55,2,FALSE))),(C166*(VLOOKUP(LeasingHab!$C$25,Seguros_Oblig!$A$3:$D$55,4,FALSE))))</f>
        <v>#VALUE!</v>
      </c>
      <c r="I167" s="8" t="e">
        <f>IF(LeasingHab!$C$10="TARIFA 1",(C166*(VLOOKUP(LeasingHab!$C$26,Seguros_Oblig!$A$3:$B$55,2,FALSE))),(C166*(VLOOKUP(LeasingHab!$C$26,Seguros_Oblig!$A$3:$D$55,4,FALSE))))</f>
        <v>#VALUE!</v>
      </c>
      <c r="J167" s="10">
        <f t="shared" si="16"/>
        <v>0</v>
      </c>
      <c r="K167" s="7" t="e">
        <f>IF((C166-1)&lt;$E$19,0,Seguros_Oblig!$N$4*(LeasingNOFam!$C$12*90%))</f>
        <v>#VALUE!</v>
      </c>
      <c r="L167" s="7" t="e">
        <f>IF(B167&gt;LeasingNOFam!$C$18,0,PMT(LeasingNOFam!$E$17,LeasingNOFam!$C$18,-LeasingNOFam!$C$15,,)-PMT(LeasingNOFam!$E$17,LeasingNOFam!$C$18,-LeasingNOFam!$C$22)+LeasingNOFam!$C$22*LeasingNOFam!$E$17)</f>
        <v>#VALUE!</v>
      </c>
      <c r="M167" s="9" t="e">
        <f t="shared" si="17"/>
        <v>#VALUE!</v>
      </c>
      <c r="N167" s="7" t="e">
        <f>IF(C166&lt;1,"0",LeasingHab!$C$39)</f>
        <v>#VALUE!</v>
      </c>
      <c r="O167" s="9" t="e">
        <f t="shared" si="18"/>
        <v>#VALUE!</v>
      </c>
    </row>
    <row r="168" spans="2:15" ht="15.5" x14ac:dyDescent="0.35">
      <c r="B168" s="6" t="e">
        <f t="shared" si="19"/>
        <v>#VALUE!</v>
      </c>
      <c r="C168" s="7" t="e">
        <f t="shared" si="14"/>
        <v>#VALUE!</v>
      </c>
      <c r="D168" s="7" t="e">
        <f t="shared" si="15"/>
        <v>#VALUE!</v>
      </c>
      <c r="E168" s="7" t="e">
        <f>IF((C167-1)&lt;$E$19,0,C167*LeasingNOFam!$E$17)</f>
        <v>#VALUE!</v>
      </c>
      <c r="F168" s="8" t="e">
        <f>IF((C167-1)&lt;$E$19,"0",C167*Seguros_Oblig!$N$3)</f>
        <v>#VALUE!</v>
      </c>
      <c r="G168" s="8" t="e">
        <f>IF(LeasingHab!$C$10="TARIFA 1",(C167*(VLOOKUP(LeasingHab!$C$24,Seguros_Oblig!$A$3:$B$55,2,FALSE))),(C167*(VLOOKUP(LeasingHab!$C$24,Seguros_Oblig!$A$3:$D$55,4,FALSE))))</f>
        <v>#VALUE!</v>
      </c>
      <c r="H168" s="8" t="e">
        <f>IF(LeasingHab!$C$10="TARIFA 1",(C167*(VLOOKUP(LeasingHab!$C$25,Seguros_Oblig!$A$3:$B$55,2,FALSE))),(C167*(VLOOKUP(LeasingHab!$C$25,Seguros_Oblig!$A$3:$D$55,4,FALSE))))</f>
        <v>#VALUE!</v>
      </c>
      <c r="I168" s="8" t="e">
        <f>IF(LeasingHab!$C$10="TARIFA 1",(C167*(VLOOKUP(LeasingHab!$C$26,Seguros_Oblig!$A$3:$B$55,2,FALSE))),(C167*(VLOOKUP(LeasingHab!$C$26,Seguros_Oblig!$A$3:$D$55,4,FALSE))))</f>
        <v>#VALUE!</v>
      </c>
      <c r="J168" s="10">
        <f t="shared" si="16"/>
        <v>0</v>
      </c>
      <c r="K168" s="7" t="e">
        <f>IF((C167-1)&lt;$E$19,0,Seguros_Oblig!$N$4*(LeasingNOFam!$C$12*90%))</f>
        <v>#VALUE!</v>
      </c>
      <c r="L168" s="7" t="e">
        <f>IF(B168&gt;LeasingNOFam!$C$18,0,PMT(LeasingNOFam!$E$17,LeasingNOFam!$C$18,-LeasingNOFam!$C$15,,)-PMT(LeasingNOFam!$E$17,LeasingNOFam!$C$18,-LeasingNOFam!$C$22)+LeasingNOFam!$C$22*LeasingNOFam!$E$17)</f>
        <v>#VALUE!</v>
      </c>
      <c r="M168" s="9" t="e">
        <f t="shared" si="17"/>
        <v>#VALUE!</v>
      </c>
      <c r="N168" s="7" t="e">
        <f>IF(C167&lt;1,"0",LeasingHab!$C$39)</f>
        <v>#VALUE!</v>
      </c>
      <c r="O168" s="9" t="e">
        <f t="shared" si="18"/>
        <v>#VALUE!</v>
      </c>
    </row>
    <row r="169" spans="2:15" ht="15.5" x14ac:dyDescent="0.35">
      <c r="B169" s="6" t="e">
        <f t="shared" si="19"/>
        <v>#VALUE!</v>
      </c>
      <c r="C169" s="7" t="e">
        <f t="shared" si="14"/>
        <v>#VALUE!</v>
      </c>
      <c r="D169" s="7" t="e">
        <f t="shared" si="15"/>
        <v>#VALUE!</v>
      </c>
      <c r="E169" s="7" t="e">
        <f>IF((C168-1)&lt;$E$19,0,C168*LeasingNOFam!$E$17)</f>
        <v>#VALUE!</v>
      </c>
      <c r="F169" s="8" t="e">
        <f>IF((C168-1)&lt;$E$19,"0",C168*Seguros_Oblig!$N$3)</f>
        <v>#VALUE!</v>
      </c>
      <c r="G169" s="8" t="e">
        <f>IF(LeasingHab!$C$10="TARIFA 1",(C168*(VLOOKUP(LeasingHab!$C$24,Seguros_Oblig!$A$3:$B$55,2,FALSE))),(C168*(VLOOKUP(LeasingHab!$C$24,Seguros_Oblig!$A$3:$D$55,4,FALSE))))</f>
        <v>#VALUE!</v>
      </c>
      <c r="H169" s="8" t="e">
        <f>IF(LeasingHab!$C$10="TARIFA 1",(C168*(VLOOKUP(LeasingHab!$C$25,Seguros_Oblig!$A$3:$B$55,2,FALSE))),(C168*(VLOOKUP(LeasingHab!$C$25,Seguros_Oblig!$A$3:$D$55,4,FALSE))))</f>
        <v>#VALUE!</v>
      </c>
      <c r="I169" s="8" t="e">
        <f>IF(LeasingHab!$C$10="TARIFA 1",(C168*(VLOOKUP(LeasingHab!$C$26,Seguros_Oblig!$A$3:$B$55,2,FALSE))),(C168*(VLOOKUP(LeasingHab!$C$26,Seguros_Oblig!$A$3:$D$55,4,FALSE))))</f>
        <v>#VALUE!</v>
      </c>
      <c r="J169" s="10">
        <f t="shared" si="16"/>
        <v>0</v>
      </c>
      <c r="K169" s="7" t="e">
        <f>IF((C168-1)&lt;$E$19,0,Seguros_Oblig!$N$4*(LeasingNOFam!$C$12*90%))</f>
        <v>#VALUE!</v>
      </c>
      <c r="L169" s="7" t="e">
        <f>IF(B169&gt;LeasingNOFam!$C$18,0,PMT(LeasingNOFam!$E$17,LeasingNOFam!$C$18,-LeasingNOFam!$C$15,,)-PMT(LeasingNOFam!$E$17,LeasingNOFam!$C$18,-LeasingNOFam!$C$22)+LeasingNOFam!$C$22*LeasingNOFam!$E$17)</f>
        <v>#VALUE!</v>
      </c>
      <c r="M169" s="9" t="e">
        <f t="shared" si="17"/>
        <v>#VALUE!</v>
      </c>
      <c r="N169" s="7" t="e">
        <f>IF(C168&lt;1,"0",LeasingHab!$C$39)</f>
        <v>#VALUE!</v>
      </c>
      <c r="O169" s="9" t="e">
        <f t="shared" si="18"/>
        <v>#VALUE!</v>
      </c>
    </row>
    <row r="170" spans="2:15" ht="15.5" x14ac:dyDescent="0.35">
      <c r="B170" s="6" t="e">
        <f t="shared" si="19"/>
        <v>#VALUE!</v>
      </c>
      <c r="C170" s="7" t="e">
        <f t="shared" si="14"/>
        <v>#VALUE!</v>
      </c>
      <c r="D170" s="7" t="e">
        <f t="shared" si="15"/>
        <v>#VALUE!</v>
      </c>
      <c r="E170" s="7" t="e">
        <f>IF((C169-1)&lt;$E$19,0,C169*LeasingNOFam!$E$17)</f>
        <v>#VALUE!</v>
      </c>
      <c r="F170" s="8" t="e">
        <f>IF((C169-1)&lt;$E$19,"0",C169*Seguros_Oblig!$N$3)</f>
        <v>#VALUE!</v>
      </c>
      <c r="G170" s="8" t="e">
        <f>IF(LeasingHab!$C$10="TARIFA 1",(C169*(VLOOKUP(LeasingHab!$C$24,Seguros_Oblig!$A$3:$B$55,2,FALSE))),(C169*(VLOOKUP(LeasingHab!$C$24,Seguros_Oblig!$A$3:$D$55,4,FALSE))))</f>
        <v>#VALUE!</v>
      </c>
      <c r="H170" s="8" t="e">
        <f>IF(LeasingHab!$C$10="TARIFA 1",(C169*(VLOOKUP(LeasingHab!$C$25,Seguros_Oblig!$A$3:$B$55,2,FALSE))),(C169*(VLOOKUP(LeasingHab!$C$25,Seguros_Oblig!$A$3:$D$55,4,FALSE))))</f>
        <v>#VALUE!</v>
      </c>
      <c r="I170" s="8" t="e">
        <f>IF(LeasingHab!$C$10="TARIFA 1",(C169*(VLOOKUP(LeasingHab!$C$26,Seguros_Oblig!$A$3:$B$55,2,FALSE))),(C169*(VLOOKUP(LeasingHab!$C$26,Seguros_Oblig!$A$3:$D$55,4,FALSE))))</f>
        <v>#VALUE!</v>
      </c>
      <c r="J170" s="10">
        <f t="shared" si="16"/>
        <v>0</v>
      </c>
      <c r="K170" s="7" t="e">
        <f>IF((C169-1)&lt;$E$19,0,Seguros_Oblig!$N$4*(LeasingNOFam!$C$12*90%))</f>
        <v>#VALUE!</v>
      </c>
      <c r="L170" s="7" t="e">
        <f>IF(B170&gt;LeasingNOFam!$C$18,0,PMT(LeasingNOFam!$E$17,LeasingNOFam!$C$18,-LeasingNOFam!$C$15,,)-PMT(LeasingNOFam!$E$17,LeasingNOFam!$C$18,-LeasingNOFam!$C$22)+LeasingNOFam!$C$22*LeasingNOFam!$E$17)</f>
        <v>#VALUE!</v>
      </c>
      <c r="M170" s="9" t="e">
        <f t="shared" si="17"/>
        <v>#VALUE!</v>
      </c>
      <c r="N170" s="7" t="e">
        <f>IF(C169&lt;1,"0",LeasingHab!$C$39)</f>
        <v>#VALUE!</v>
      </c>
      <c r="O170" s="9" t="e">
        <f t="shared" si="18"/>
        <v>#VALUE!</v>
      </c>
    </row>
    <row r="171" spans="2:15" ht="15.5" x14ac:dyDescent="0.35">
      <c r="B171" s="6" t="e">
        <f t="shared" si="19"/>
        <v>#VALUE!</v>
      </c>
      <c r="C171" s="7" t="e">
        <f t="shared" si="14"/>
        <v>#VALUE!</v>
      </c>
      <c r="D171" s="7" t="e">
        <f t="shared" si="15"/>
        <v>#VALUE!</v>
      </c>
      <c r="E171" s="7" t="e">
        <f>IF((C170-1)&lt;$E$19,0,C170*LeasingNOFam!$E$17)</f>
        <v>#VALUE!</v>
      </c>
      <c r="F171" s="8" t="e">
        <f>IF((C170-1)&lt;$E$19,"0",C170*Seguros_Oblig!$N$3)</f>
        <v>#VALUE!</v>
      </c>
      <c r="G171" s="8" t="e">
        <f>IF(LeasingHab!$C$10="TARIFA 1",(C170*(VLOOKUP(LeasingHab!$C$24,Seguros_Oblig!$A$3:$B$55,2,FALSE))),(C170*(VLOOKUP(LeasingHab!$C$24,Seguros_Oblig!$A$3:$D$55,4,FALSE))))</f>
        <v>#VALUE!</v>
      </c>
      <c r="H171" s="8" t="e">
        <f>IF(LeasingHab!$C$10="TARIFA 1",(C170*(VLOOKUP(LeasingHab!$C$25,Seguros_Oblig!$A$3:$B$55,2,FALSE))),(C170*(VLOOKUP(LeasingHab!$C$25,Seguros_Oblig!$A$3:$D$55,4,FALSE))))</f>
        <v>#VALUE!</v>
      </c>
      <c r="I171" s="8" t="e">
        <f>IF(LeasingHab!$C$10="TARIFA 1",(C170*(VLOOKUP(LeasingHab!$C$26,Seguros_Oblig!$A$3:$B$55,2,FALSE))),(C170*(VLOOKUP(LeasingHab!$C$26,Seguros_Oblig!$A$3:$D$55,4,FALSE))))</f>
        <v>#VALUE!</v>
      </c>
      <c r="J171" s="10">
        <f t="shared" si="16"/>
        <v>0</v>
      </c>
      <c r="K171" s="7" t="e">
        <f>IF((C170-1)&lt;$E$19,0,Seguros_Oblig!$N$4*(LeasingNOFam!$C$12*90%))</f>
        <v>#VALUE!</v>
      </c>
      <c r="L171" s="7" t="e">
        <f>IF(B171&gt;LeasingNOFam!$C$18,0,PMT(LeasingNOFam!$E$17,LeasingNOFam!$C$18,-LeasingNOFam!$C$15,,)-PMT(LeasingNOFam!$E$17,LeasingNOFam!$C$18,-LeasingNOFam!$C$22)+LeasingNOFam!$C$22*LeasingNOFam!$E$17)</f>
        <v>#VALUE!</v>
      </c>
      <c r="M171" s="9" t="e">
        <f t="shared" si="17"/>
        <v>#VALUE!</v>
      </c>
      <c r="N171" s="7" t="e">
        <f>IF(C170&lt;1,"0",LeasingHab!$C$39)</f>
        <v>#VALUE!</v>
      </c>
      <c r="O171" s="9" t="e">
        <f t="shared" si="18"/>
        <v>#VALUE!</v>
      </c>
    </row>
    <row r="172" spans="2:15" ht="15.5" x14ac:dyDescent="0.35">
      <c r="B172" s="6" t="e">
        <f t="shared" si="19"/>
        <v>#VALUE!</v>
      </c>
      <c r="C172" s="7" t="e">
        <f t="shared" si="14"/>
        <v>#VALUE!</v>
      </c>
      <c r="D172" s="7" t="e">
        <f t="shared" si="15"/>
        <v>#VALUE!</v>
      </c>
      <c r="E172" s="7" t="e">
        <f>IF((C171-1)&lt;$E$19,0,C171*LeasingNOFam!$E$17)</f>
        <v>#VALUE!</v>
      </c>
      <c r="F172" s="8" t="e">
        <f>IF((C171-1)&lt;$E$19,"0",C171*Seguros_Oblig!$N$3)</f>
        <v>#VALUE!</v>
      </c>
      <c r="G172" s="8" t="e">
        <f>IF(LeasingHab!$C$10="TARIFA 1",(C171*(VLOOKUP(LeasingHab!$C$24,Seguros_Oblig!$A$3:$B$55,2,FALSE))),(C171*(VLOOKUP(LeasingHab!$C$24,Seguros_Oblig!$A$3:$D$55,4,FALSE))))</f>
        <v>#VALUE!</v>
      </c>
      <c r="H172" s="8" t="e">
        <f>IF(LeasingHab!$C$10="TARIFA 1",(C171*(VLOOKUP(LeasingHab!$C$25,Seguros_Oblig!$A$3:$B$55,2,FALSE))),(C171*(VLOOKUP(LeasingHab!$C$25,Seguros_Oblig!$A$3:$D$55,4,FALSE))))</f>
        <v>#VALUE!</v>
      </c>
      <c r="I172" s="8" t="e">
        <f>IF(LeasingHab!$C$10="TARIFA 1",(C171*(VLOOKUP(LeasingHab!$C$26,Seguros_Oblig!$A$3:$B$55,2,FALSE))),(C171*(VLOOKUP(LeasingHab!$C$26,Seguros_Oblig!$A$3:$D$55,4,FALSE))))</f>
        <v>#VALUE!</v>
      </c>
      <c r="J172" s="10">
        <f t="shared" si="16"/>
        <v>0</v>
      </c>
      <c r="K172" s="7" t="e">
        <f>IF((C171-1)&lt;$E$19,0,Seguros_Oblig!$N$4*(LeasingNOFam!$C$12*90%))</f>
        <v>#VALUE!</v>
      </c>
      <c r="L172" s="7" t="e">
        <f>IF(B172&gt;LeasingNOFam!$C$18,0,PMT(LeasingNOFam!$E$17,LeasingNOFam!$C$18,-LeasingNOFam!$C$15,,)-PMT(LeasingNOFam!$E$17,LeasingNOFam!$C$18,-LeasingNOFam!$C$22)+LeasingNOFam!$C$22*LeasingNOFam!$E$17)</f>
        <v>#VALUE!</v>
      </c>
      <c r="M172" s="9" t="e">
        <f t="shared" si="17"/>
        <v>#VALUE!</v>
      </c>
      <c r="N172" s="7" t="e">
        <f>IF(C171&lt;1,"0",LeasingHab!$C$39)</f>
        <v>#VALUE!</v>
      </c>
      <c r="O172" s="9" t="e">
        <f t="shared" si="18"/>
        <v>#VALUE!</v>
      </c>
    </row>
    <row r="173" spans="2:15" ht="15.5" x14ac:dyDescent="0.35">
      <c r="B173" s="6" t="e">
        <f t="shared" si="19"/>
        <v>#VALUE!</v>
      </c>
      <c r="C173" s="7" t="e">
        <f t="shared" si="14"/>
        <v>#VALUE!</v>
      </c>
      <c r="D173" s="7" t="e">
        <f t="shared" si="15"/>
        <v>#VALUE!</v>
      </c>
      <c r="E173" s="7" t="e">
        <f>IF((C172-1)&lt;$E$19,0,C172*LeasingNOFam!$E$17)</f>
        <v>#VALUE!</v>
      </c>
      <c r="F173" s="8" t="e">
        <f>IF((C172-1)&lt;$E$19,"0",C172*Seguros_Oblig!$N$3)</f>
        <v>#VALUE!</v>
      </c>
      <c r="G173" s="8" t="e">
        <f>IF(LeasingHab!$C$10="TARIFA 1",(C172*(VLOOKUP(LeasingHab!$C$24,Seguros_Oblig!$A$3:$B$55,2,FALSE))),(C172*(VLOOKUP(LeasingHab!$C$24,Seguros_Oblig!$A$3:$D$55,4,FALSE))))</f>
        <v>#VALUE!</v>
      </c>
      <c r="H173" s="8" t="e">
        <f>IF(LeasingHab!$C$10="TARIFA 1",(C172*(VLOOKUP(LeasingHab!$C$25,Seguros_Oblig!$A$3:$B$55,2,FALSE))),(C172*(VLOOKUP(LeasingHab!$C$25,Seguros_Oblig!$A$3:$D$55,4,FALSE))))</f>
        <v>#VALUE!</v>
      </c>
      <c r="I173" s="8" t="e">
        <f>IF(LeasingHab!$C$10="TARIFA 1",(C172*(VLOOKUP(LeasingHab!$C$26,Seguros_Oblig!$A$3:$B$55,2,FALSE))),(C172*(VLOOKUP(LeasingHab!$C$26,Seguros_Oblig!$A$3:$D$55,4,FALSE))))</f>
        <v>#VALUE!</v>
      </c>
      <c r="J173" s="10">
        <f t="shared" si="16"/>
        <v>0</v>
      </c>
      <c r="K173" s="7" t="e">
        <f>IF((C172-1)&lt;$E$19,0,Seguros_Oblig!$N$4*(LeasingNOFam!$C$12*90%))</f>
        <v>#VALUE!</v>
      </c>
      <c r="L173" s="7" t="e">
        <f>IF(B173&gt;LeasingNOFam!$C$18,0,PMT(LeasingNOFam!$E$17,LeasingNOFam!$C$18,-LeasingNOFam!$C$15,,)-PMT(LeasingNOFam!$E$17,LeasingNOFam!$C$18,-LeasingNOFam!$C$22)+LeasingNOFam!$C$22*LeasingNOFam!$E$17)</f>
        <v>#VALUE!</v>
      </c>
      <c r="M173" s="9" t="e">
        <f t="shared" si="17"/>
        <v>#VALUE!</v>
      </c>
      <c r="N173" s="7" t="e">
        <f>IF(C172&lt;1,"0",LeasingHab!$C$39)</f>
        <v>#VALUE!</v>
      </c>
      <c r="O173" s="9" t="e">
        <f t="shared" si="18"/>
        <v>#VALUE!</v>
      </c>
    </row>
    <row r="174" spans="2:15" ht="15.5" x14ac:dyDescent="0.35">
      <c r="B174" s="6" t="e">
        <f t="shared" si="19"/>
        <v>#VALUE!</v>
      </c>
      <c r="C174" s="7" t="e">
        <f t="shared" si="14"/>
        <v>#VALUE!</v>
      </c>
      <c r="D174" s="7" t="e">
        <f t="shared" si="15"/>
        <v>#VALUE!</v>
      </c>
      <c r="E174" s="7" t="e">
        <f>IF((C173-1)&lt;$E$19,0,C173*LeasingNOFam!$E$17)</f>
        <v>#VALUE!</v>
      </c>
      <c r="F174" s="8" t="e">
        <f>IF((C173-1)&lt;$E$19,"0",C173*Seguros_Oblig!$N$3)</f>
        <v>#VALUE!</v>
      </c>
      <c r="G174" s="8" t="e">
        <f>IF(LeasingHab!$C$10="TARIFA 1",(C173*(VLOOKUP(LeasingHab!$C$24,Seguros_Oblig!$A$3:$B$55,2,FALSE))),(C173*(VLOOKUP(LeasingHab!$C$24,Seguros_Oblig!$A$3:$D$55,4,FALSE))))</f>
        <v>#VALUE!</v>
      </c>
      <c r="H174" s="8" t="e">
        <f>IF(LeasingHab!$C$10="TARIFA 1",(C173*(VLOOKUP(LeasingHab!$C$25,Seguros_Oblig!$A$3:$B$55,2,FALSE))),(C173*(VLOOKUP(LeasingHab!$C$25,Seguros_Oblig!$A$3:$D$55,4,FALSE))))</f>
        <v>#VALUE!</v>
      </c>
      <c r="I174" s="8" t="e">
        <f>IF(LeasingHab!$C$10="TARIFA 1",(C173*(VLOOKUP(LeasingHab!$C$26,Seguros_Oblig!$A$3:$B$55,2,FALSE))),(C173*(VLOOKUP(LeasingHab!$C$26,Seguros_Oblig!$A$3:$D$55,4,FALSE))))</f>
        <v>#VALUE!</v>
      </c>
      <c r="J174" s="10">
        <f t="shared" si="16"/>
        <v>0</v>
      </c>
      <c r="K174" s="7" t="e">
        <f>IF((C173-1)&lt;$E$19,0,Seguros_Oblig!$N$4*(LeasingNOFam!$C$12*90%))</f>
        <v>#VALUE!</v>
      </c>
      <c r="L174" s="7" t="e">
        <f>IF(B174&gt;LeasingNOFam!$C$18,0,PMT(LeasingNOFam!$E$17,LeasingNOFam!$C$18,-LeasingNOFam!$C$15,,)-PMT(LeasingNOFam!$E$17,LeasingNOFam!$C$18,-LeasingNOFam!$C$22)+LeasingNOFam!$C$22*LeasingNOFam!$E$17)</f>
        <v>#VALUE!</v>
      </c>
      <c r="M174" s="9" t="e">
        <f t="shared" si="17"/>
        <v>#VALUE!</v>
      </c>
      <c r="N174" s="7" t="e">
        <f>IF(C173&lt;1,"0",LeasingHab!$C$39)</f>
        <v>#VALUE!</v>
      </c>
      <c r="O174" s="9" t="e">
        <f t="shared" si="18"/>
        <v>#VALUE!</v>
      </c>
    </row>
    <row r="175" spans="2:15" ht="15.5" x14ac:dyDescent="0.35">
      <c r="B175" s="6" t="e">
        <f t="shared" si="19"/>
        <v>#VALUE!</v>
      </c>
      <c r="C175" s="7" t="e">
        <f t="shared" si="14"/>
        <v>#VALUE!</v>
      </c>
      <c r="D175" s="7" t="e">
        <f t="shared" si="15"/>
        <v>#VALUE!</v>
      </c>
      <c r="E175" s="7" t="e">
        <f>IF((C174-1)&lt;$E$19,0,C174*LeasingNOFam!$E$17)</f>
        <v>#VALUE!</v>
      </c>
      <c r="F175" s="8" t="e">
        <f>IF((C174-1)&lt;$E$19,"0",C174*Seguros_Oblig!$N$3)</f>
        <v>#VALUE!</v>
      </c>
      <c r="G175" s="8" t="e">
        <f>IF(LeasingHab!$C$10="TARIFA 1",(C174*(VLOOKUP(LeasingHab!$C$24,Seguros_Oblig!$A$3:$B$55,2,FALSE))),(C174*(VLOOKUP(LeasingHab!$C$24,Seguros_Oblig!$A$3:$D$55,4,FALSE))))</f>
        <v>#VALUE!</v>
      </c>
      <c r="H175" s="8" t="e">
        <f>IF(LeasingHab!$C$10="TARIFA 1",(C174*(VLOOKUP(LeasingHab!$C$25,Seguros_Oblig!$A$3:$B$55,2,FALSE))),(C174*(VLOOKUP(LeasingHab!$C$25,Seguros_Oblig!$A$3:$D$55,4,FALSE))))</f>
        <v>#VALUE!</v>
      </c>
      <c r="I175" s="8" t="e">
        <f>IF(LeasingHab!$C$10="TARIFA 1",(C174*(VLOOKUP(LeasingHab!$C$26,Seguros_Oblig!$A$3:$B$55,2,FALSE))),(C174*(VLOOKUP(LeasingHab!$C$26,Seguros_Oblig!$A$3:$D$55,4,FALSE))))</f>
        <v>#VALUE!</v>
      </c>
      <c r="J175" s="10">
        <f t="shared" si="16"/>
        <v>0</v>
      </c>
      <c r="K175" s="7" t="e">
        <f>IF((C174-1)&lt;$E$19,0,Seguros_Oblig!$N$4*(LeasingNOFam!$C$12*90%))</f>
        <v>#VALUE!</v>
      </c>
      <c r="L175" s="7" t="e">
        <f>IF(B175&gt;LeasingNOFam!$C$18,0,PMT(LeasingNOFam!$E$17,LeasingNOFam!$C$18,-LeasingNOFam!$C$15,,)-PMT(LeasingNOFam!$E$17,LeasingNOFam!$C$18,-LeasingNOFam!$C$22)+LeasingNOFam!$C$22*LeasingNOFam!$E$17)</f>
        <v>#VALUE!</v>
      </c>
      <c r="M175" s="9" t="e">
        <f t="shared" si="17"/>
        <v>#VALUE!</v>
      </c>
      <c r="N175" s="7" t="e">
        <f>IF(C174&lt;1,"0",LeasingHab!$C$39)</f>
        <v>#VALUE!</v>
      </c>
      <c r="O175" s="9" t="e">
        <f t="shared" si="18"/>
        <v>#VALUE!</v>
      </c>
    </row>
    <row r="176" spans="2:15" ht="15.5" x14ac:dyDescent="0.35">
      <c r="B176" s="6" t="e">
        <f t="shared" si="19"/>
        <v>#VALUE!</v>
      </c>
      <c r="C176" s="7" t="e">
        <f t="shared" si="14"/>
        <v>#VALUE!</v>
      </c>
      <c r="D176" s="7" t="e">
        <f t="shared" si="15"/>
        <v>#VALUE!</v>
      </c>
      <c r="E176" s="7" t="e">
        <f>IF((C175-1)&lt;$E$19,0,C175*LeasingNOFam!$E$17)</f>
        <v>#VALUE!</v>
      </c>
      <c r="F176" s="8" t="e">
        <f>IF((C175-1)&lt;$E$19,"0",C175*Seguros_Oblig!$N$3)</f>
        <v>#VALUE!</v>
      </c>
      <c r="G176" s="8" t="e">
        <f>IF(LeasingHab!$C$10="TARIFA 1",(C175*(VLOOKUP(LeasingHab!$C$24,Seguros_Oblig!$A$3:$B$55,2,FALSE))),(C175*(VLOOKUP(LeasingHab!$C$24,Seguros_Oblig!$A$3:$D$55,4,FALSE))))</f>
        <v>#VALUE!</v>
      </c>
      <c r="H176" s="8" t="e">
        <f>IF(LeasingHab!$C$10="TARIFA 1",(C175*(VLOOKUP(LeasingHab!$C$25,Seguros_Oblig!$A$3:$B$55,2,FALSE))),(C175*(VLOOKUP(LeasingHab!$C$25,Seguros_Oblig!$A$3:$D$55,4,FALSE))))</f>
        <v>#VALUE!</v>
      </c>
      <c r="I176" s="8" t="e">
        <f>IF(LeasingHab!$C$10="TARIFA 1",(C175*(VLOOKUP(LeasingHab!$C$26,Seguros_Oblig!$A$3:$B$55,2,FALSE))),(C175*(VLOOKUP(LeasingHab!$C$26,Seguros_Oblig!$A$3:$D$55,4,FALSE))))</f>
        <v>#VALUE!</v>
      </c>
      <c r="J176" s="10">
        <f t="shared" si="16"/>
        <v>0</v>
      </c>
      <c r="K176" s="7" t="e">
        <f>IF((C175-1)&lt;$E$19,0,Seguros_Oblig!$N$4*(LeasingNOFam!$C$12*90%))</f>
        <v>#VALUE!</v>
      </c>
      <c r="L176" s="7" t="e">
        <f>IF(B176&gt;LeasingNOFam!$C$18,0,PMT(LeasingNOFam!$E$17,LeasingNOFam!$C$18,-LeasingNOFam!$C$15,,)-PMT(LeasingNOFam!$E$17,LeasingNOFam!$C$18,-LeasingNOFam!$C$22)+LeasingNOFam!$C$22*LeasingNOFam!$E$17)</f>
        <v>#VALUE!</v>
      </c>
      <c r="M176" s="9" t="e">
        <f t="shared" si="17"/>
        <v>#VALUE!</v>
      </c>
      <c r="N176" s="7" t="e">
        <f>IF(C175&lt;1,"0",LeasingHab!$C$39)</f>
        <v>#VALUE!</v>
      </c>
      <c r="O176" s="9" t="e">
        <f t="shared" si="18"/>
        <v>#VALUE!</v>
      </c>
    </row>
    <row r="177" spans="2:15" ht="15.5" x14ac:dyDescent="0.35">
      <c r="B177" s="6" t="e">
        <f t="shared" si="19"/>
        <v>#VALUE!</v>
      </c>
      <c r="C177" s="7" t="e">
        <f t="shared" si="14"/>
        <v>#VALUE!</v>
      </c>
      <c r="D177" s="7" t="e">
        <f t="shared" si="15"/>
        <v>#VALUE!</v>
      </c>
      <c r="E177" s="7" t="e">
        <f>IF((C176-1)&lt;$E$19,0,C176*LeasingNOFam!$E$17)</f>
        <v>#VALUE!</v>
      </c>
      <c r="F177" s="8" t="e">
        <f>IF((C176-1)&lt;$E$19,"0",C176*Seguros_Oblig!$N$3)</f>
        <v>#VALUE!</v>
      </c>
      <c r="G177" s="8" t="e">
        <f>IF(LeasingHab!$C$10="TARIFA 1",(C176*(VLOOKUP(LeasingHab!$C$24,Seguros_Oblig!$A$3:$B$55,2,FALSE))),(C176*(VLOOKUP(LeasingHab!$C$24,Seguros_Oblig!$A$3:$D$55,4,FALSE))))</f>
        <v>#VALUE!</v>
      </c>
      <c r="H177" s="8" t="e">
        <f>IF(LeasingHab!$C$10="TARIFA 1",(C176*(VLOOKUP(LeasingHab!$C$25,Seguros_Oblig!$A$3:$B$55,2,FALSE))),(C176*(VLOOKUP(LeasingHab!$C$25,Seguros_Oblig!$A$3:$D$55,4,FALSE))))</f>
        <v>#VALUE!</v>
      </c>
      <c r="I177" s="8" t="e">
        <f>IF(LeasingHab!$C$10="TARIFA 1",(C176*(VLOOKUP(LeasingHab!$C$26,Seguros_Oblig!$A$3:$B$55,2,FALSE))),(C176*(VLOOKUP(LeasingHab!$C$26,Seguros_Oblig!$A$3:$D$55,4,FALSE))))</f>
        <v>#VALUE!</v>
      </c>
      <c r="J177" s="10">
        <f t="shared" si="16"/>
        <v>0</v>
      </c>
      <c r="K177" s="7" t="e">
        <f>IF((C176-1)&lt;$E$19,0,Seguros_Oblig!$N$4*(LeasingNOFam!$C$12*90%))</f>
        <v>#VALUE!</v>
      </c>
      <c r="L177" s="7" t="e">
        <f>IF(B177&gt;LeasingNOFam!$C$18,0,PMT(LeasingNOFam!$E$17,LeasingNOFam!$C$18,-LeasingNOFam!$C$15,,)-PMT(LeasingNOFam!$E$17,LeasingNOFam!$C$18,-LeasingNOFam!$C$22)+LeasingNOFam!$C$22*LeasingNOFam!$E$17)</f>
        <v>#VALUE!</v>
      </c>
      <c r="M177" s="9" t="e">
        <f t="shared" si="17"/>
        <v>#VALUE!</v>
      </c>
      <c r="N177" s="7" t="e">
        <f>IF(C176&lt;1,"0",LeasingHab!$C$39)</f>
        <v>#VALUE!</v>
      </c>
      <c r="O177" s="9" t="e">
        <f t="shared" si="18"/>
        <v>#VALUE!</v>
      </c>
    </row>
    <row r="178" spans="2:15" ht="15.5" x14ac:dyDescent="0.35">
      <c r="B178" s="6" t="e">
        <f t="shared" si="19"/>
        <v>#VALUE!</v>
      </c>
      <c r="C178" s="7" t="e">
        <f t="shared" si="14"/>
        <v>#VALUE!</v>
      </c>
      <c r="D178" s="7" t="e">
        <f t="shared" si="15"/>
        <v>#VALUE!</v>
      </c>
      <c r="E178" s="7" t="e">
        <f>IF((C177-1)&lt;$E$19,0,C177*LeasingNOFam!$E$17)</f>
        <v>#VALUE!</v>
      </c>
      <c r="F178" s="8" t="e">
        <f>IF((C177-1)&lt;$E$19,"0",C177*Seguros_Oblig!$N$3)</f>
        <v>#VALUE!</v>
      </c>
      <c r="G178" s="8" t="e">
        <f>IF(LeasingHab!$C$10="TARIFA 1",(C177*(VLOOKUP(LeasingHab!$C$24,Seguros_Oblig!$A$3:$B$55,2,FALSE))),(C177*(VLOOKUP(LeasingHab!$C$24,Seguros_Oblig!$A$3:$D$55,4,FALSE))))</f>
        <v>#VALUE!</v>
      </c>
      <c r="H178" s="8" t="e">
        <f>IF(LeasingHab!$C$10="TARIFA 1",(C177*(VLOOKUP(LeasingHab!$C$25,Seguros_Oblig!$A$3:$B$55,2,FALSE))),(C177*(VLOOKUP(LeasingHab!$C$25,Seguros_Oblig!$A$3:$D$55,4,FALSE))))</f>
        <v>#VALUE!</v>
      </c>
      <c r="I178" s="8" t="e">
        <f>IF(LeasingHab!$C$10="TARIFA 1",(C177*(VLOOKUP(LeasingHab!$C$26,Seguros_Oblig!$A$3:$B$55,2,FALSE))),(C177*(VLOOKUP(LeasingHab!$C$26,Seguros_Oblig!$A$3:$D$55,4,FALSE))))</f>
        <v>#VALUE!</v>
      </c>
      <c r="J178" s="10">
        <f t="shared" si="16"/>
        <v>0</v>
      </c>
      <c r="K178" s="7" t="e">
        <f>IF((C177-1)&lt;$E$19,0,Seguros_Oblig!$N$4*(LeasingNOFam!$C$12*90%))</f>
        <v>#VALUE!</v>
      </c>
      <c r="L178" s="7" t="e">
        <f>IF(B178&gt;LeasingNOFam!$C$18,0,PMT(LeasingNOFam!$E$17,LeasingNOFam!$C$18,-LeasingNOFam!$C$15,,)-PMT(LeasingNOFam!$E$17,LeasingNOFam!$C$18,-LeasingNOFam!$C$22)+LeasingNOFam!$C$22*LeasingNOFam!$E$17)</f>
        <v>#VALUE!</v>
      </c>
      <c r="M178" s="9" t="e">
        <f t="shared" si="17"/>
        <v>#VALUE!</v>
      </c>
      <c r="N178" s="7" t="e">
        <f>IF(C177&lt;1,"0",LeasingHab!$C$39)</f>
        <v>#VALUE!</v>
      </c>
      <c r="O178" s="9" t="e">
        <f t="shared" si="18"/>
        <v>#VALUE!</v>
      </c>
    </row>
    <row r="179" spans="2:15" ht="15.5" x14ac:dyDescent="0.35">
      <c r="B179" s="6" t="e">
        <f t="shared" si="19"/>
        <v>#VALUE!</v>
      </c>
      <c r="C179" s="7" t="e">
        <f t="shared" si="14"/>
        <v>#VALUE!</v>
      </c>
      <c r="D179" s="7" t="e">
        <f t="shared" si="15"/>
        <v>#VALUE!</v>
      </c>
      <c r="E179" s="7" t="e">
        <f>IF((C178-1)&lt;$E$19,0,C178*LeasingNOFam!$E$17)</f>
        <v>#VALUE!</v>
      </c>
      <c r="F179" s="8" t="e">
        <f>IF((C178-1)&lt;$E$19,"0",C178*Seguros_Oblig!$N$3)</f>
        <v>#VALUE!</v>
      </c>
      <c r="G179" s="8" t="e">
        <f>IF(LeasingHab!$C$10="TARIFA 1",(C178*(VLOOKUP(LeasingHab!$C$24,Seguros_Oblig!$A$3:$B$55,2,FALSE))),(C178*(VLOOKUP(LeasingHab!$C$24,Seguros_Oblig!$A$3:$D$55,4,FALSE))))</f>
        <v>#VALUE!</v>
      </c>
      <c r="H179" s="8" t="e">
        <f>IF(LeasingHab!$C$10="TARIFA 1",(C178*(VLOOKUP(LeasingHab!$C$25,Seguros_Oblig!$A$3:$B$55,2,FALSE))),(C178*(VLOOKUP(LeasingHab!$C$25,Seguros_Oblig!$A$3:$D$55,4,FALSE))))</f>
        <v>#VALUE!</v>
      </c>
      <c r="I179" s="8" t="e">
        <f>IF(LeasingHab!$C$10="TARIFA 1",(C178*(VLOOKUP(LeasingHab!$C$26,Seguros_Oblig!$A$3:$B$55,2,FALSE))),(C178*(VLOOKUP(LeasingHab!$C$26,Seguros_Oblig!$A$3:$D$55,4,FALSE))))</f>
        <v>#VALUE!</v>
      </c>
      <c r="J179" s="10">
        <f t="shared" si="16"/>
        <v>0</v>
      </c>
      <c r="K179" s="7" t="e">
        <f>IF((C178-1)&lt;$E$19,0,Seguros_Oblig!$N$4*(LeasingNOFam!$C$12*90%))</f>
        <v>#VALUE!</v>
      </c>
      <c r="L179" s="7" t="e">
        <f>IF(B179&gt;LeasingNOFam!$C$18,0,PMT(LeasingNOFam!$E$17,LeasingNOFam!$C$18,-LeasingNOFam!$C$15,,)-PMT(LeasingNOFam!$E$17,LeasingNOFam!$C$18,-LeasingNOFam!$C$22)+LeasingNOFam!$C$22*LeasingNOFam!$E$17)</f>
        <v>#VALUE!</v>
      </c>
      <c r="M179" s="9" t="e">
        <f t="shared" si="17"/>
        <v>#VALUE!</v>
      </c>
      <c r="N179" s="7" t="e">
        <f>IF(C178&lt;1,"0",LeasingHab!$C$39)</f>
        <v>#VALUE!</v>
      </c>
      <c r="O179" s="9" t="e">
        <f t="shared" si="18"/>
        <v>#VALUE!</v>
      </c>
    </row>
    <row r="180" spans="2:15" ht="15.5" x14ac:dyDescent="0.35">
      <c r="B180" s="6" t="e">
        <f t="shared" si="19"/>
        <v>#VALUE!</v>
      </c>
      <c r="C180" s="7" t="e">
        <f t="shared" si="14"/>
        <v>#VALUE!</v>
      </c>
      <c r="D180" s="7" t="e">
        <f t="shared" si="15"/>
        <v>#VALUE!</v>
      </c>
      <c r="E180" s="7" t="e">
        <f>IF((C179-1)&lt;$E$19,0,C179*LeasingNOFam!$E$17)</f>
        <v>#VALUE!</v>
      </c>
      <c r="F180" s="8" t="e">
        <f>IF((C179-1)&lt;$E$19,"0",C179*Seguros_Oblig!$N$3)</f>
        <v>#VALUE!</v>
      </c>
      <c r="G180" s="8" t="e">
        <f>IF(LeasingHab!$C$10="TARIFA 1",(C179*(VLOOKUP(LeasingHab!$C$24,Seguros_Oblig!$A$3:$B$55,2,FALSE))),(C179*(VLOOKUP(LeasingHab!$C$24,Seguros_Oblig!$A$3:$D$55,4,FALSE))))</f>
        <v>#VALUE!</v>
      </c>
      <c r="H180" s="8" t="e">
        <f>IF(LeasingHab!$C$10="TARIFA 1",(C179*(VLOOKUP(LeasingHab!$C$25,Seguros_Oblig!$A$3:$B$55,2,FALSE))),(C179*(VLOOKUP(LeasingHab!$C$25,Seguros_Oblig!$A$3:$D$55,4,FALSE))))</f>
        <v>#VALUE!</v>
      </c>
      <c r="I180" s="8" t="e">
        <f>IF(LeasingHab!$C$10="TARIFA 1",(C179*(VLOOKUP(LeasingHab!$C$26,Seguros_Oblig!$A$3:$B$55,2,FALSE))),(C179*(VLOOKUP(LeasingHab!$C$26,Seguros_Oblig!$A$3:$D$55,4,FALSE))))</f>
        <v>#VALUE!</v>
      </c>
      <c r="J180" s="10">
        <f t="shared" si="16"/>
        <v>0</v>
      </c>
      <c r="K180" s="7" t="e">
        <f>IF((C179-1)&lt;$E$19,0,Seguros_Oblig!$N$4*(LeasingNOFam!$C$12*90%))</f>
        <v>#VALUE!</v>
      </c>
      <c r="L180" s="7" t="e">
        <f>IF(B180&gt;LeasingNOFam!$C$18,0,PMT(LeasingNOFam!$E$17,LeasingNOFam!$C$18,-LeasingNOFam!$C$15,,)-PMT(LeasingNOFam!$E$17,LeasingNOFam!$C$18,-LeasingNOFam!$C$22)+LeasingNOFam!$C$22*LeasingNOFam!$E$17)</f>
        <v>#VALUE!</v>
      </c>
      <c r="M180" s="9" t="e">
        <f t="shared" si="17"/>
        <v>#VALUE!</v>
      </c>
      <c r="N180" s="7" t="e">
        <f>IF(C179&lt;1,"0",LeasingHab!$C$39)</f>
        <v>#VALUE!</v>
      </c>
      <c r="O180" s="9" t="e">
        <f t="shared" si="18"/>
        <v>#VALUE!</v>
      </c>
    </row>
    <row r="181" spans="2:15" ht="15.5" x14ac:dyDescent="0.35">
      <c r="B181" s="6" t="e">
        <f t="shared" si="19"/>
        <v>#VALUE!</v>
      </c>
      <c r="C181" s="7" t="e">
        <f t="shared" si="14"/>
        <v>#VALUE!</v>
      </c>
      <c r="D181" s="7" t="e">
        <f t="shared" si="15"/>
        <v>#VALUE!</v>
      </c>
      <c r="E181" s="7" t="e">
        <f>IF((C180-1)&lt;$E$19,0,C180*LeasingNOFam!$E$17)</f>
        <v>#VALUE!</v>
      </c>
      <c r="F181" s="8" t="e">
        <f>IF((C180-1)&lt;$E$19,"0",C180*Seguros_Oblig!$N$3)</f>
        <v>#VALUE!</v>
      </c>
      <c r="G181" s="8" t="e">
        <f>IF(LeasingHab!$C$10="TARIFA 1",(C180*(VLOOKUP(LeasingHab!$C$24,Seguros_Oblig!$A$3:$B$55,2,FALSE))),(C180*(VLOOKUP(LeasingHab!$C$24,Seguros_Oblig!$A$3:$D$55,4,FALSE))))</f>
        <v>#VALUE!</v>
      </c>
      <c r="H181" s="8" t="e">
        <f>IF(LeasingHab!$C$10="TARIFA 1",(C180*(VLOOKUP(LeasingHab!$C$25,Seguros_Oblig!$A$3:$B$55,2,FALSE))),(C180*(VLOOKUP(LeasingHab!$C$25,Seguros_Oblig!$A$3:$D$55,4,FALSE))))</f>
        <v>#VALUE!</v>
      </c>
      <c r="I181" s="8" t="e">
        <f>IF(LeasingHab!$C$10="TARIFA 1",(C180*(VLOOKUP(LeasingHab!$C$26,Seguros_Oblig!$A$3:$B$55,2,FALSE))),(C180*(VLOOKUP(LeasingHab!$C$26,Seguros_Oblig!$A$3:$D$55,4,FALSE))))</f>
        <v>#VALUE!</v>
      </c>
      <c r="J181" s="10">
        <f t="shared" si="16"/>
        <v>0</v>
      </c>
      <c r="K181" s="7" t="e">
        <f>IF((C180-1)&lt;$E$19,0,Seguros_Oblig!$N$4*(LeasingNOFam!$C$12*90%))</f>
        <v>#VALUE!</v>
      </c>
      <c r="L181" s="7" t="e">
        <f>IF(B181&gt;LeasingNOFam!$C$18,0,PMT(LeasingNOFam!$E$17,LeasingNOFam!$C$18,-LeasingNOFam!$C$15,,)-PMT(LeasingNOFam!$E$17,LeasingNOFam!$C$18,-LeasingNOFam!$C$22)+LeasingNOFam!$C$22*LeasingNOFam!$E$17)</f>
        <v>#VALUE!</v>
      </c>
      <c r="M181" s="9" t="e">
        <f t="shared" si="17"/>
        <v>#VALUE!</v>
      </c>
      <c r="N181" s="7" t="e">
        <f>IF(C180&lt;1,"0",LeasingHab!$C$39)</f>
        <v>#VALUE!</v>
      </c>
      <c r="O181" s="9" t="e">
        <f t="shared" si="18"/>
        <v>#VALUE!</v>
      </c>
    </row>
    <row r="182" spans="2:15" ht="15.5" x14ac:dyDescent="0.35">
      <c r="B182" s="6" t="e">
        <f t="shared" si="19"/>
        <v>#VALUE!</v>
      </c>
      <c r="C182" s="7" t="e">
        <f t="shared" si="14"/>
        <v>#VALUE!</v>
      </c>
      <c r="D182" s="7" t="e">
        <f t="shared" si="15"/>
        <v>#VALUE!</v>
      </c>
      <c r="E182" s="7" t="e">
        <f>IF((C181-1)&lt;$E$19,0,C181*LeasingNOFam!$E$17)</f>
        <v>#VALUE!</v>
      </c>
      <c r="F182" s="8" t="e">
        <f>IF((C181-1)&lt;$E$19,"0",C181*Seguros_Oblig!$N$3)</f>
        <v>#VALUE!</v>
      </c>
      <c r="G182" s="8" t="e">
        <f>IF(LeasingHab!$C$10="TARIFA 1",(C181*(VLOOKUP(LeasingHab!$C$24,Seguros_Oblig!$A$3:$B$55,2,FALSE))),(C181*(VLOOKUP(LeasingHab!$C$24,Seguros_Oblig!$A$3:$D$55,4,FALSE))))</f>
        <v>#VALUE!</v>
      </c>
      <c r="H182" s="8" t="e">
        <f>IF(LeasingHab!$C$10="TARIFA 1",(C181*(VLOOKUP(LeasingHab!$C$25,Seguros_Oblig!$A$3:$B$55,2,FALSE))),(C181*(VLOOKUP(LeasingHab!$C$25,Seguros_Oblig!$A$3:$D$55,4,FALSE))))</f>
        <v>#VALUE!</v>
      </c>
      <c r="I182" s="8" t="e">
        <f>IF(LeasingHab!$C$10="TARIFA 1",(C181*(VLOOKUP(LeasingHab!$C$26,Seguros_Oblig!$A$3:$B$55,2,FALSE))),(C181*(VLOOKUP(LeasingHab!$C$26,Seguros_Oblig!$A$3:$D$55,4,FALSE))))</f>
        <v>#VALUE!</v>
      </c>
      <c r="J182" s="10">
        <f t="shared" si="16"/>
        <v>0</v>
      </c>
      <c r="K182" s="7" t="e">
        <f>IF((C181-1)&lt;$E$19,0,Seguros_Oblig!$N$4*(LeasingNOFam!$C$12*90%))</f>
        <v>#VALUE!</v>
      </c>
      <c r="L182" s="7" t="e">
        <f>IF(B182&gt;LeasingNOFam!$C$18,0,PMT(LeasingNOFam!$E$17,LeasingNOFam!$C$18,-LeasingNOFam!$C$15,,)-PMT(LeasingNOFam!$E$17,LeasingNOFam!$C$18,-LeasingNOFam!$C$22)+LeasingNOFam!$C$22*LeasingNOFam!$E$17)</f>
        <v>#VALUE!</v>
      </c>
      <c r="M182" s="9" t="e">
        <f t="shared" si="17"/>
        <v>#VALUE!</v>
      </c>
      <c r="N182" s="7" t="e">
        <f>IF(C181&lt;1,"0",LeasingHab!$C$39)</f>
        <v>#VALUE!</v>
      </c>
      <c r="O182" s="9" t="e">
        <f t="shared" si="18"/>
        <v>#VALUE!</v>
      </c>
    </row>
    <row r="183" spans="2:15" ht="15.5" x14ac:dyDescent="0.35">
      <c r="B183" s="6" t="e">
        <f t="shared" si="19"/>
        <v>#VALUE!</v>
      </c>
      <c r="C183" s="7" t="e">
        <f t="shared" si="14"/>
        <v>#VALUE!</v>
      </c>
      <c r="D183" s="7" t="e">
        <f t="shared" si="15"/>
        <v>#VALUE!</v>
      </c>
      <c r="E183" s="7" t="e">
        <f>IF((C182-1)&lt;$E$19,0,C182*LeasingNOFam!$E$17)</f>
        <v>#VALUE!</v>
      </c>
      <c r="F183" s="8" t="e">
        <f>IF((C182-1)&lt;$E$19,"0",C182*Seguros_Oblig!$N$3)</f>
        <v>#VALUE!</v>
      </c>
      <c r="G183" s="8" t="e">
        <f>IF(LeasingHab!$C$10="TARIFA 1",(C182*(VLOOKUP(LeasingHab!$C$24,Seguros_Oblig!$A$3:$B$55,2,FALSE))),(C182*(VLOOKUP(LeasingHab!$C$24,Seguros_Oblig!$A$3:$D$55,4,FALSE))))</f>
        <v>#VALUE!</v>
      </c>
      <c r="H183" s="8" t="e">
        <f>IF(LeasingHab!$C$10="TARIFA 1",(C182*(VLOOKUP(LeasingHab!$C$25,Seguros_Oblig!$A$3:$B$55,2,FALSE))),(C182*(VLOOKUP(LeasingHab!$C$25,Seguros_Oblig!$A$3:$D$55,4,FALSE))))</f>
        <v>#VALUE!</v>
      </c>
      <c r="I183" s="8" t="e">
        <f>IF(LeasingHab!$C$10="TARIFA 1",(C182*(VLOOKUP(LeasingHab!$C$26,Seguros_Oblig!$A$3:$B$55,2,FALSE))),(C182*(VLOOKUP(LeasingHab!$C$26,Seguros_Oblig!$A$3:$D$55,4,FALSE))))</f>
        <v>#VALUE!</v>
      </c>
      <c r="J183" s="10">
        <f t="shared" si="16"/>
        <v>0</v>
      </c>
      <c r="K183" s="7" t="e">
        <f>IF((C182-1)&lt;$E$19,0,Seguros_Oblig!$N$4*(LeasingNOFam!$C$12*90%))</f>
        <v>#VALUE!</v>
      </c>
      <c r="L183" s="7" t="e">
        <f>IF(B183&gt;LeasingNOFam!$C$18,0,PMT(LeasingNOFam!$E$17,LeasingNOFam!$C$18,-LeasingNOFam!$C$15,,)-PMT(LeasingNOFam!$E$17,LeasingNOFam!$C$18,-LeasingNOFam!$C$22)+LeasingNOFam!$C$22*LeasingNOFam!$E$17)</f>
        <v>#VALUE!</v>
      </c>
      <c r="M183" s="9" t="e">
        <f t="shared" si="17"/>
        <v>#VALUE!</v>
      </c>
      <c r="N183" s="7" t="e">
        <f>IF(C182&lt;1,"0",LeasingHab!$C$39)</f>
        <v>#VALUE!</v>
      </c>
      <c r="O183" s="9" t="e">
        <f t="shared" si="18"/>
        <v>#VALUE!</v>
      </c>
    </row>
    <row r="184" spans="2:15" ht="15.5" x14ac:dyDescent="0.35">
      <c r="B184" s="6" t="e">
        <f t="shared" si="19"/>
        <v>#VALUE!</v>
      </c>
      <c r="C184" s="7" t="e">
        <f t="shared" si="14"/>
        <v>#VALUE!</v>
      </c>
      <c r="D184" s="7" t="e">
        <f t="shared" si="15"/>
        <v>#VALUE!</v>
      </c>
      <c r="E184" s="7" t="e">
        <f>IF((C183-1)&lt;$E$19,0,C183*LeasingNOFam!$E$17)</f>
        <v>#VALUE!</v>
      </c>
      <c r="F184" s="8" t="e">
        <f>IF((C183-1)&lt;$E$19,"0",C183*Seguros_Oblig!$N$3)</f>
        <v>#VALUE!</v>
      </c>
      <c r="G184" s="8" t="e">
        <f>IF(LeasingHab!$C$10="TARIFA 1",(C183*(VLOOKUP(LeasingHab!$C$24,Seguros_Oblig!$A$3:$B$55,2,FALSE))),(C183*(VLOOKUP(LeasingHab!$C$24,Seguros_Oblig!$A$3:$D$55,4,FALSE))))</f>
        <v>#VALUE!</v>
      </c>
      <c r="H184" s="8" t="e">
        <f>IF(LeasingHab!$C$10="TARIFA 1",(C183*(VLOOKUP(LeasingHab!$C$25,Seguros_Oblig!$A$3:$B$55,2,FALSE))),(C183*(VLOOKUP(LeasingHab!$C$25,Seguros_Oblig!$A$3:$D$55,4,FALSE))))</f>
        <v>#VALUE!</v>
      </c>
      <c r="I184" s="8" t="e">
        <f>IF(LeasingHab!$C$10="TARIFA 1",(C183*(VLOOKUP(LeasingHab!$C$26,Seguros_Oblig!$A$3:$B$55,2,FALSE))),(C183*(VLOOKUP(LeasingHab!$C$26,Seguros_Oblig!$A$3:$D$55,4,FALSE))))</f>
        <v>#VALUE!</v>
      </c>
      <c r="J184" s="10">
        <f t="shared" si="16"/>
        <v>0</v>
      </c>
      <c r="K184" s="7" t="e">
        <f>IF((C183-1)&lt;$E$19,0,Seguros_Oblig!$N$4*(LeasingNOFam!$C$12*90%))</f>
        <v>#VALUE!</v>
      </c>
      <c r="L184" s="7" t="e">
        <f>IF(B184&gt;LeasingNOFam!$C$18,0,PMT(LeasingNOFam!$E$17,LeasingNOFam!$C$18,-LeasingNOFam!$C$15,,)-PMT(LeasingNOFam!$E$17,LeasingNOFam!$C$18,-LeasingNOFam!$C$22)+LeasingNOFam!$C$22*LeasingNOFam!$E$17)</f>
        <v>#VALUE!</v>
      </c>
      <c r="M184" s="9" t="e">
        <f t="shared" si="17"/>
        <v>#VALUE!</v>
      </c>
      <c r="N184" s="7" t="e">
        <f>IF(C183&lt;1,"0",LeasingHab!$C$39)</f>
        <v>#VALUE!</v>
      </c>
      <c r="O184" s="9" t="e">
        <f t="shared" si="18"/>
        <v>#VALUE!</v>
      </c>
    </row>
    <row r="185" spans="2:15" ht="15.5" x14ac:dyDescent="0.35">
      <c r="B185" s="6" t="e">
        <f t="shared" si="19"/>
        <v>#VALUE!</v>
      </c>
      <c r="C185" s="7" t="e">
        <f t="shared" si="14"/>
        <v>#VALUE!</v>
      </c>
      <c r="D185" s="7" t="e">
        <f t="shared" si="15"/>
        <v>#VALUE!</v>
      </c>
      <c r="E185" s="7" t="e">
        <f>IF((C184-1)&lt;$E$19,0,C184*LeasingNOFam!$E$17)</f>
        <v>#VALUE!</v>
      </c>
      <c r="F185" s="8" t="e">
        <f>IF((C184-1)&lt;$E$19,"0",C184*Seguros_Oblig!$N$3)</f>
        <v>#VALUE!</v>
      </c>
      <c r="G185" s="8" t="e">
        <f>IF(LeasingHab!$C$10="TARIFA 1",(C184*(VLOOKUP(LeasingHab!$C$24,Seguros_Oblig!$A$3:$B$55,2,FALSE))),(C184*(VLOOKUP(LeasingHab!$C$24,Seguros_Oblig!$A$3:$D$55,4,FALSE))))</f>
        <v>#VALUE!</v>
      </c>
      <c r="H185" s="8" t="e">
        <f>IF(LeasingHab!$C$10="TARIFA 1",(C184*(VLOOKUP(LeasingHab!$C$25,Seguros_Oblig!$A$3:$B$55,2,FALSE))),(C184*(VLOOKUP(LeasingHab!$C$25,Seguros_Oblig!$A$3:$D$55,4,FALSE))))</f>
        <v>#VALUE!</v>
      </c>
      <c r="I185" s="8" t="e">
        <f>IF(LeasingHab!$C$10="TARIFA 1",(C184*(VLOOKUP(LeasingHab!$C$26,Seguros_Oblig!$A$3:$B$55,2,FALSE))),(C184*(VLOOKUP(LeasingHab!$C$26,Seguros_Oblig!$A$3:$D$55,4,FALSE))))</f>
        <v>#VALUE!</v>
      </c>
      <c r="J185" s="10">
        <f t="shared" si="16"/>
        <v>0</v>
      </c>
      <c r="K185" s="7" t="e">
        <f>IF((C184-1)&lt;$E$19,0,Seguros_Oblig!$N$4*(LeasingNOFam!$C$12*90%))</f>
        <v>#VALUE!</v>
      </c>
      <c r="L185" s="7" t="e">
        <f>IF(B185&gt;LeasingNOFam!$C$18,0,PMT(LeasingNOFam!$E$17,LeasingNOFam!$C$18,-LeasingNOFam!$C$15,,)-PMT(LeasingNOFam!$E$17,LeasingNOFam!$C$18,-LeasingNOFam!$C$22)+LeasingNOFam!$C$22*LeasingNOFam!$E$17)</f>
        <v>#VALUE!</v>
      </c>
      <c r="M185" s="9" t="e">
        <f t="shared" si="17"/>
        <v>#VALUE!</v>
      </c>
      <c r="N185" s="7" t="e">
        <f>IF(C184&lt;1,"0",LeasingHab!$C$39)</f>
        <v>#VALUE!</v>
      </c>
      <c r="O185" s="9" t="e">
        <f t="shared" si="18"/>
        <v>#VALUE!</v>
      </c>
    </row>
    <row r="186" spans="2:15" ht="15.5" x14ac:dyDescent="0.35">
      <c r="B186" s="6" t="e">
        <f t="shared" si="19"/>
        <v>#VALUE!</v>
      </c>
      <c r="C186" s="7" t="e">
        <f t="shared" si="14"/>
        <v>#VALUE!</v>
      </c>
      <c r="D186" s="7" t="e">
        <f t="shared" si="15"/>
        <v>#VALUE!</v>
      </c>
      <c r="E186" s="7" t="e">
        <f>IF((C185-1)&lt;$E$19,0,C185*LeasingNOFam!$E$17)</f>
        <v>#VALUE!</v>
      </c>
      <c r="F186" s="8" t="e">
        <f>IF((C185-1)&lt;$E$19,"0",C185*Seguros_Oblig!$N$3)</f>
        <v>#VALUE!</v>
      </c>
      <c r="G186" s="8" t="e">
        <f>IF(LeasingHab!$C$10="TARIFA 1",(C185*(VLOOKUP(LeasingHab!$C$24,Seguros_Oblig!$A$3:$B$55,2,FALSE))),(C185*(VLOOKUP(LeasingHab!$C$24,Seguros_Oblig!$A$3:$D$55,4,FALSE))))</f>
        <v>#VALUE!</v>
      </c>
      <c r="H186" s="8" t="e">
        <f>IF(LeasingHab!$C$10="TARIFA 1",(C185*(VLOOKUP(LeasingHab!$C$25,Seguros_Oblig!$A$3:$B$55,2,FALSE))),(C185*(VLOOKUP(LeasingHab!$C$25,Seguros_Oblig!$A$3:$D$55,4,FALSE))))</f>
        <v>#VALUE!</v>
      </c>
      <c r="I186" s="8" t="e">
        <f>IF(LeasingHab!$C$10="TARIFA 1",(C185*(VLOOKUP(LeasingHab!$C$26,Seguros_Oblig!$A$3:$B$55,2,FALSE))),(C185*(VLOOKUP(LeasingHab!$C$26,Seguros_Oblig!$A$3:$D$55,4,FALSE))))</f>
        <v>#VALUE!</v>
      </c>
      <c r="J186" s="10">
        <f t="shared" si="16"/>
        <v>0</v>
      </c>
      <c r="K186" s="7" t="e">
        <f>IF((C185-1)&lt;$E$19,0,Seguros_Oblig!$N$4*(LeasingNOFam!$C$12*90%))</f>
        <v>#VALUE!</v>
      </c>
      <c r="L186" s="7" t="e">
        <f>IF(B186&gt;LeasingNOFam!$C$18,0,PMT(LeasingNOFam!$E$17,LeasingNOFam!$C$18,-LeasingNOFam!$C$15,,)-PMT(LeasingNOFam!$E$17,LeasingNOFam!$C$18,-LeasingNOFam!$C$22)+LeasingNOFam!$C$22*LeasingNOFam!$E$17)</f>
        <v>#VALUE!</v>
      </c>
      <c r="M186" s="9" t="e">
        <f t="shared" si="17"/>
        <v>#VALUE!</v>
      </c>
      <c r="N186" s="7" t="e">
        <f>IF(C185&lt;1,"0",LeasingHab!$C$39)</f>
        <v>#VALUE!</v>
      </c>
      <c r="O186" s="9" t="e">
        <f t="shared" si="18"/>
        <v>#VALUE!</v>
      </c>
    </row>
    <row r="187" spans="2:15" ht="15.5" x14ac:dyDescent="0.35">
      <c r="B187" s="6" t="e">
        <f t="shared" si="19"/>
        <v>#VALUE!</v>
      </c>
      <c r="C187" s="7" t="e">
        <f t="shared" si="14"/>
        <v>#VALUE!</v>
      </c>
      <c r="D187" s="7" t="e">
        <f t="shared" si="15"/>
        <v>#VALUE!</v>
      </c>
      <c r="E187" s="7" t="e">
        <f>IF((C186-1)&lt;$E$19,0,C186*LeasingNOFam!$E$17)</f>
        <v>#VALUE!</v>
      </c>
      <c r="F187" s="8" t="e">
        <f>IF((C186-1)&lt;$E$19,"0",C186*Seguros_Oblig!$N$3)</f>
        <v>#VALUE!</v>
      </c>
      <c r="G187" s="8" t="e">
        <f>IF(LeasingHab!$C$10="TARIFA 1",(C186*(VLOOKUP(LeasingHab!$C$24,Seguros_Oblig!$A$3:$B$55,2,FALSE))),(C186*(VLOOKUP(LeasingHab!$C$24,Seguros_Oblig!$A$3:$D$55,4,FALSE))))</f>
        <v>#VALUE!</v>
      </c>
      <c r="H187" s="8" t="e">
        <f>IF(LeasingHab!$C$10="TARIFA 1",(C186*(VLOOKUP(LeasingHab!$C$25,Seguros_Oblig!$A$3:$B$55,2,FALSE))),(C186*(VLOOKUP(LeasingHab!$C$25,Seguros_Oblig!$A$3:$D$55,4,FALSE))))</f>
        <v>#VALUE!</v>
      </c>
      <c r="I187" s="8" t="e">
        <f>IF(LeasingHab!$C$10="TARIFA 1",(C186*(VLOOKUP(LeasingHab!$C$26,Seguros_Oblig!$A$3:$B$55,2,FALSE))),(C186*(VLOOKUP(LeasingHab!$C$26,Seguros_Oblig!$A$3:$D$55,4,FALSE))))</f>
        <v>#VALUE!</v>
      </c>
      <c r="J187" s="10">
        <f t="shared" si="16"/>
        <v>0</v>
      </c>
      <c r="K187" s="7" t="e">
        <f>IF((C186-1)&lt;$E$19,0,Seguros_Oblig!$N$4*(LeasingNOFam!$C$12*90%))</f>
        <v>#VALUE!</v>
      </c>
      <c r="L187" s="7" t="e">
        <f>IF(B187&gt;LeasingNOFam!$C$18,0,PMT(LeasingNOFam!$E$17,LeasingNOFam!$C$18,-LeasingNOFam!$C$15,,)-PMT(LeasingNOFam!$E$17,LeasingNOFam!$C$18,-LeasingNOFam!$C$22)+LeasingNOFam!$C$22*LeasingNOFam!$E$17)</f>
        <v>#VALUE!</v>
      </c>
      <c r="M187" s="9" t="e">
        <f t="shared" si="17"/>
        <v>#VALUE!</v>
      </c>
      <c r="N187" s="7" t="e">
        <f>IF(C186&lt;1,"0",LeasingHab!$C$39)</f>
        <v>#VALUE!</v>
      </c>
      <c r="O187" s="9" t="e">
        <f t="shared" si="18"/>
        <v>#VALUE!</v>
      </c>
    </row>
    <row r="188" spans="2:15" ht="15.5" x14ac:dyDescent="0.35">
      <c r="B188" s="6" t="e">
        <f t="shared" si="19"/>
        <v>#VALUE!</v>
      </c>
      <c r="C188" s="7" t="e">
        <f t="shared" si="14"/>
        <v>#VALUE!</v>
      </c>
      <c r="D188" s="7" t="e">
        <f t="shared" si="15"/>
        <v>#VALUE!</v>
      </c>
      <c r="E188" s="7" t="e">
        <f>IF((C187-1)&lt;$E$19,0,C187*LeasingNOFam!$E$17)</f>
        <v>#VALUE!</v>
      </c>
      <c r="F188" s="8" t="e">
        <f>IF((C187-1)&lt;$E$19,"0",C187*Seguros_Oblig!$N$3)</f>
        <v>#VALUE!</v>
      </c>
      <c r="G188" s="8" t="e">
        <f>IF(LeasingHab!$C$10="TARIFA 1",(C187*(VLOOKUP(LeasingHab!$C$24,Seguros_Oblig!$A$3:$B$55,2,FALSE))),(C187*(VLOOKUP(LeasingHab!$C$24,Seguros_Oblig!$A$3:$D$55,4,FALSE))))</f>
        <v>#VALUE!</v>
      </c>
      <c r="H188" s="8" t="e">
        <f>IF(LeasingHab!$C$10="TARIFA 1",(C187*(VLOOKUP(LeasingHab!$C$25,Seguros_Oblig!$A$3:$B$55,2,FALSE))),(C187*(VLOOKUP(LeasingHab!$C$25,Seguros_Oblig!$A$3:$D$55,4,FALSE))))</f>
        <v>#VALUE!</v>
      </c>
      <c r="I188" s="8" t="e">
        <f>IF(LeasingHab!$C$10="TARIFA 1",(C187*(VLOOKUP(LeasingHab!$C$26,Seguros_Oblig!$A$3:$B$55,2,FALSE))),(C187*(VLOOKUP(LeasingHab!$C$26,Seguros_Oblig!$A$3:$D$55,4,FALSE))))</f>
        <v>#VALUE!</v>
      </c>
      <c r="J188" s="10">
        <f t="shared" si="16"/>
        <v>0</v>
      </c>
      <c r="K188" s="7" t="e">
        <f>IF((C187-1)&lt;$E$19,0,Seguros_Oblig!$N$4*(LeasingNOFam!$C$12*90%))</f>
        <v>#VALUE!</v>
      </c>
      <c r="L188" s="7" t="e">
        <f>IF(B188&gt;LeasingNOFam!$C$18,0,PMT(LeasingNOFam!$E$17,LeasingNOFam!$C$18,-LeasingNOFam!$C$15,,)-PMT(LeasingNOFam!$E$17,LeasingNOFam!$C$18,-LeasingNOFam!$C$22)+LeasingNOFam!$C$22*LeasingNOFam!$E$17)</f>
        <v>#VALUE!</v>
      </c>
      <c r="M188" s="9" t="e">
        <f t="shared" si="17"/>
        <v>#VALUE!</v>
      </c>
      <c r="N188" s="7" t="e">
        <f>IF(C187&lt;1,"0",LeasingHab!$C$39)</f>
        <v>#VALUE!</v>
      </c>
      <c r="O188" s="9" t="e">
        <f t="shared" si="18"/>
        <v>#VALUE!</v>
      </c>
    </row>
    <row r="189" spans="2:15" ht="15.5" x14ac:dyDescent="0.35">
      <c r="B189" s="6" t="e">
        <f t="shared" si="19"/>
        <v>#VALUE!</v>
      </c>
      <c r="C189" s="7" t="e">
        <f t="shared" si="14"/>
        <v>#VALUE!</v>
      </c>
      <c r="D189" s="7" t="e">
        <f t="shared" si="15"/>
        <v>#VALUE!</v>
      </c>
      <c r="E189" s="7" t="e">
        <f>IF((C188-1)&lt;$E$19,0,C188*LeasingNOFam!$E$17)</f>
        <v>#VALUE!</v>
      </c>
      <c r="F189" s="8" t="e">
        <f>IF((C188-1)&lt;$E$19,"0",C188*Seguros_Oblig!$N$3)</f>
        <v>#VALUE!</v>
      </c>
      <c r="G189" s="8" t="e">
        <f>IF(LeasingHab!$C$10="TARIFA 1",(C188*(VLOOKUP(LeasingHab!$C$24,Seguros_Oblig!$A$3:$B$55,2,FALSE))),(C188*(VLOOKUP(LeasingHab!$C$24,Seguros_Oblig!$A$3:$D$55,4,FALSE))))</f>
        <v>#VALUE!</v>
      </c>
      <c r="H189" s="8" t="e">
        <f>IF(LeasingHab!$C$10="TARIFA 1",(C188*(VLOOKUP(LeasingHab!$C$25,Seguros_Oblig!$A$3:$B$55,2,FALSE))),(C188*(VLOOKUP(LeasingHab!$C$25,Seguros_Oblig!$A$3:$D$55,4,FALSE))))</f>
        <v>#VALUE!</v>
      </c>
      <c r="I189" s="8" t="e">
        <f>IF(LeasingHab!$C$10="TARIFA 1",(C188*(VLOOKUP(LeasingHab!$C$26,Seguros_Oblig!$A$3:$B$55,2,FALSE))),(C188*(VLOOKUP(LeasingHab!$C$26,Seguros_Oblig!$A$3:$D$55,4,FALSE))))</f>
        <v>#VALUE!</v>
      </c>
      <c r="J189" s="10">
        <f t="shared" si="16"/>
        <v>0</v>
      </c>
      <c r="K189" s="7" t="e">
        <f>IF((C188-1)&lt;$E$19,0,Seguros_Oblig!$N$4*(LeasingNOFam!$C$12*90%))</f>
        <v>#VALUE!</v>
      </c>
      <c r="L189" s="7" t="e">
        <f>IF(B189&gt;LeasingNOFam!$C$18,0,PMT(LeasingNOFam!$E$17,LeasingNOFam!$C$18,-LeasingNOFam!$C$15,,)-PMT(LeasingNOFam!$E$17,LeasingNOFam!$C$18,-LeasingNOFam!$C$22)+LeasingNOFam!$C$22*LeasingNOFam!$E$17)</f>
        <v>#VALUE!</v>
      </c>
      <c r="M189" s="9" t="e">
        <f t="shared" si="17"/>
        <v>#VALUE!</v>
      </c>
      <c r="N189" s="7" t="e">
        <f>IF(C188&lt;1,"0",LeasingHab!$C$39)</f>
        <v>#VALUE!</v>
      </c>
      <c r="O189" s="9" t="e">
        <f t="shared" si="18"/>
        <v>#VALUE!</v>
      </c>
    </row>
    <row r="190" spans="2:15" ht="15.5" x14ac:dyDescent="0.35">
      <c r="B190" s="6" t="e">
        <f t="shared" si="19"/>
        <v>#VALUE!</v>
      </c>
      <c r="C190" s="7" t="e">
        <f t="shared" si="14"/>
        <v>#VALUE!</v>
      </c>
      <c r="D190" s="7" t="e">
        <f t="shared" si="15"/>
        <v>#VALUE!</v>
      </c>
      <c r="E190" s="7" t="e">
        <f>IF((C189-1)&lt;$E$19,0,C189*LeasingNOFam!$E$17)</f>
        <v>#VALUE!</v>
      </c>
      <c r="F190" s="8" t="e">
        <f>IF((C189-1)&lt;$E$19,"0",C189*Seguros_Oblig!$N$3)</f>
        <v>#VALUE!</v>
      </c>
      <c r="G190" s="8" t="e">
        <f>IF(LeasingHab!$C$10="TARIFA 1",(C189*(VLOOKUP(LeasingHab!$C$24,Seguros_Oblig!$A$3:$B$55,2,FALSE))),(C189*(VLOOKUP(LeasingHab!$C$24,Seguros_Oblig!$A$3:$D$55,4,FALSE))))</f>
        <v>#VALUE!</v>
      </c>
      <c r="H190" s="8" t="e">
        <f>IF(LeasingHab!$C$10="TARIFA 1",(C189*(VLOOKUP(LeasingHab!$C$25,Seguros_Oblig!$A$3:$B$55,2,FALSE))),(C189*(VLOOKUP(LeasingHab!$C$25,Seguros_Oblig!$A$3:$D$55,4,FALSE))))</f>
        <v>#VALUE!</v>
      </c>
      <c r="I190" s="8" t="e">
        <f>IF(LeasingHab!$C$10="TARIFA 1",(C189*(VLOOKUP(LeasingHab!$C$26,Seguros_Oblig!$A$3:$B$55,2,FALSE))),(C189*(VLOOKUP(LeasingHab!$C$26,Seguros_Oblig!$A$3:$D$55,4,FALSE))))</f>
        <v>#VALUE!</v>
      </c>
      <c r="J190" s="10">
        <f t="shared" si="16"/>
        <v>0</v>
      </c>
      <c r="K190" s="7" t="e">
        <f>IF((C189-1)&lt;$E$19,0,Seguros_Oblig!$N$4*(LeasingNOFam!$C$12*90%))</f>
        <v>#VALUE!</v>
      </c>
      <c r="L190" s="7" t="e">
        <f>IF(B190&gt;LeasingNOFam!$C$18,0,PMT(LeasingNOFam!$E$17,LeasingNOFam!$C$18,-LeasingNOFam!$C$15,,)-PMT(LeasingNOFam!$E$17,LeasingNOFam!$C$18,-LeasingNOFam!$C$22)+LeasingNOFam!$C$22*LeasingNOFam!$E$17)</f>
        <v>#VALUE!</v>
      </c>
      <c r="M190" s="9" t="e">
        <f t="shared" si="17"/>
        <v>#VALUE!</v>
      </c>
      <c r="N190" s="7" t="e">
        <f>IF(C189&lt;1,"0",LeasingHab!$C$39)</f>
        <v>#VALUE!</v>
      </c>
      <c r="O190" s="9" t="e">
        <f t="shared" si="18"/>
        <v>#VALUE!</v>
      </c>
    </row>
    <row r="191" spans="2:15" ht="15.5" x14ac:dyDescent="0.35">
      <c r="B191" s="6" t="e">
        <f t="shared" si="19"/>
        <v>#VALUE!</v>
      </c>
      <c r="C191" s="7" t="e">
        <f t="shared" si="14"/>
        <v>#VALUE!</v>
      </c>
      <c r="D191" s="7" t="e">
        <f t="shared" si="15"/>
        <v>#VALUE!</v>
      </c>
      <c r="E191" s="7" t="e">
        <f>IF((C190-1)&lt;$E$19,0,C190*LeasingNOFam!$E$17)</f>
        <v>#VALUE!</v>
      </c>
      <c r="F191" s="8" t="e">
        <f>IF((C190-1)&lt;$E$19,"0",C190*Seguros_Oblig!$N$3)</f>
        <v>#VALUE!</v>
      </c>
      <c r="G191" s="8" t="e">
        <f>IF(LeasingHab!$C$10="TARIFA 1",(C190*(VLOOKUP(LeasingHab!$C$24,Seguros_Oblig!$A$3:$B$55,2,FALSE))),(C190*(VLOOKUP(LeasingHab!$C$24,Seguros_Oblig!$A$3:$D$55,4,FALSE))))</f>
        <v>#VALUE!</v>
      </c>
      <c r="H191" s="8" t="e">
        <f>IF(LeasingHab!$C$10="TARIFA 1",(C190*(VLOOKUP(LeasingHab!$C$25,Seguros_Oblig!$A$3:$B$55,2,FALSE))),(C190*(VLOOKUP(LeasingHab!$C$25,Seguros_Oblig!$A$3:$D$55,4,FALSE))))</f>
        <v>#VALUE!</v>
      </c>
      <c r="I191" s="8" t="e">
        <f>IF(LeasingHab!$C$10="TARIFA 1",(C190*(VLOOKUP(LeasingHab!$C$26,Seguros_Oblig!$A$3:$B$55,2,FALSE))),(C190*(VLOOKUP(LeasingHab!$C$26,Seguros_Oblig!$A$3:$D$55,4,FALSE))))</f>
        <v>#VALUE!</v>
      </c>
      <c r="J191" s="10">
        <f t="shared" si="16"/>
        <v>0</v>
      </c>
      <c r="K191" s="7" t="e">
        <f>IF((C190-1)&lt;$E$19,0,Seguros_Oblig!$N$4*(LeasingNOFam!$C$12*90%))</f>
        <v>#VALUE!</v>
      </c>
      <c r="L191" s="7" t="e">
        <f>IF(B191&gt;LeasingNOFam!$C$18,0,PMT(LeasingNOFam!$E$17,LeasingNOFam!$C$18,-LeasingNOFam!$C$15,,)-PMT(LeasingNOFam!$E$17,LeasingNOFam!$C$18,-LeasingNOFam!$C$22)+LeasingNOFam!$C$22*LeasingNOFam!$E$17)</f>
        <v>#VALUE!</v>
      </c>
      <c r="M191" s="9" t="e">
        <f t="shared" si="17"/>
        <v>#VALUE!</v>
      </c>
      <c r="N191" s="7" t="e">
        <f>IF(C190&lt;1,"0",LeasingHab!$C$39)</f>
        <v>#VALUE!</v>
      </c>
      <c r="O191" s="9" t="e">
        <f t="shared" si="18"/>
        <v>#VALUE!</v>
      </c>
    </row>
    <row r="192" spans="2:15" ht="15.5" x14ac:dyDescent="0.35">
      <c r="B192" s="6" t="e">
        <f t="shared" si="19"/>
        <v>#VALUE!</v>
      </c>
      <c r="C192" s="7" t="e">
        <f t="shared" si="14"/>
        <v>#VALUE!</v>
      </c>
      <c r="D192" s="7" t="e">
        <f t="shared" si="15"/>
        <v>#VALUE!</v>
      </c>
      <c r="E192" s="7" t="e">
        <f>IF((C191-1)&lt;$E$19,0,C191*LeasingNOFam!$E$17)</f>
        <v>#VALUE!</v>
      </c>
      <c r="F192" s="8" t="e">
        <f>IF((C191-1)&lt;$E$19,"0",C191*Seguros_Oblig!$N$3)</f>
        <v>#VALUE!</v>
      </c>
      <c r="G192" s="8" t="e">
        <f>IF(LeasingHab!$C$10="TARIFA 1",(C191*(VLOOKUP(LeasingHab!$C$24,Seguros_Oblig!$A$3:$B$55,2,FALSE))),(C191*(VLOOKUP(LeasingHab!$C$24,Seguros_Oblig!$A$3:$D$55,4,FALSE))))</f>
        <v>#VALUE!</v>
      </c>
      <c r="H192" s="8" t="e">
        <f>IF(LeasingHab!$C$10="TARIFA 1",(C191*(VLOOKUP(LeasingHab!$C$25,Seguros_Oblig!$A$3:$B$55,2,FALSE))),(C191*(VLOOKUP(LeasingHab!$C$25,Seguros_Oblig!$A$3:$D$55,4,FALSE))))</f>
        <v>#VALUE!</v>
      </c>
      <c r="I192" s="8" t="e">
        <f>IF(LeasingHab!$C$10="TARIFA 1",(C191*(VLOOKUP(LeasingHab!$C$26,Seguros_Oblig!$A$3:$B$55,2,FALSE))),(C191*(VLOOKUP(LeasingHab!$C$26,Seguros_Oblig!$A$3:$D$55,4,FALSE))))</f>
        <v>#VALUE!</v>
      </c>
      <c r="J192" s="10">
        <f t="shared" si="16"/>
        <v>0</v>
      </c>
      <c r="K192" s="7" t="e">
        <f>IF((C191-1)&lt;$E$19,0,Seguros_Oblig!$N$4*(LeasingNOFam!$C$12*90%))</f>
        <v>#VALUE!</v>
      </c>
      <c r="L192" s="7" t="e">
        <f>IF(B192&gt;LeasingNOFam!$C$18,0,PMT(LeasingNOFam!$E$17,LeasingNOFam!$C$18,-LeasingNOFam!$C$15,,)-PMT(LeasingNOFam!$E$17,LeasingNOFam!$C$18,-LeasingNOFam!$C$22)+LeasingNOFam!$C$22*LeasingNOFam!$E$17)</f>
        <v>#VALUE!</v>
      </c>
      <c r="M192" s="9" t="e">
        <f t="shared" si="17"/>
        <v>#VALUE!</v>
      </c>
      <c r="N192" s="7" t="e">
        <f>IF(C191&lt;1,"0",LeasingHab!$C$39)</f>
        <v>#VALUE!</v>
      </c>
      <c r="O192" s="9" t="e">
        <f t="shared" si="18"/>
        <v>#VALUE!</v>
      </c>
    </row>
    <row r="193" spans="2:15" ht="15.5" x14ac:dyDescent="0.35">
      <c r="B193" s="6" t="e">
        <f t="shared" si="19"/>
        <v>#VALUE!</v>
      </c>
      <c r="C193" s="7" t="e">
        <f t="shared" si="14"/>
        <v>#VALUE!</v>
      </c>
      <c r="D193" s="7" t="e">
        <f t="shared" si="15"/>
        <v>#VALUE!</v>
      </c>
      <c r="E193" s="7" t="e">
        <f>IF((C192-1)&lt;$E$19,0,C192*LeasingNOFam!$E$17)</f>
        <v>#VALUE!</v>
      </c>
      <c r="F193" s="8" t="e">
        <f>IF((C192-1)&lt;$E$19,"0",C192*Seguros_Oblig!$N$3)</f>
        <v>#VALUE!</v>
      </c>
      <c r="G193" s="8" t="e">
        <f>IF(LeasingHab!$C$10="TARIFA 1",(C192*(VLOOKUP(LeasingHab!$C$24,Seguros_Oblig!$A$3:$B$55,2,FALSE))),(C192*(VLOOKUP(LeasingHab!$C$24,Seguros_Oblig!$A$3:$D$55,4,FALSE))))</f>
        <v>#VALUE!</v>
      </c>
      <c r="H193" s="8" t="e">
        <f>IF(LeasingHab!$C$10="TARIFA 1",(C192*(VLOOKUP(LeasingHab!$C$25,Seguros_Oblig!$A$3:$B$55,2,FALSE))),(C192*(VLOOKUP(LeasingHab!$C$25,Seguros_Oblig!$A$3:$D$55,4,FALSE))))</f>
        <v>#VALUE!</v>
      </c>
      <c r="I193" s="8" t="e">
        <f>IF(LeasingHab!$C$10="TARIFA 1",(C192*(VLOOKUP(LeasingHab!$C$26,Seguros_Oblig!$A$3:$B$55,2,FALSE))),(C192*(VLOOKUP(LeasingHab!$C$26,Seguros_Oblig!$A$3:$D$55,4,FALSE))))</f>
        <v>#VALUE!</v>
      </c>
      <c r="J193" s="10">
        <f t="shared" si="16"/>
        <v>0</v>
      </c>
      <c r="K193" s="7" t="e">
        <f>IF((C192-1)&lt;$E$19,0,Seguros_Oblig!$N$4*(LeasingNOFam!$C$12*90%))</f>
        <v>#VALUE!</v>
      </c>
      <c r="L193" s="7" t="e">
        <f>IF(B193&gt;LeasingNOFam!$C$18,0,PMT(LeasingNOFam!$E$17,LeasingNOFam!$C$18,-LeasingNOFam!$C$15,,)-PMT(LeasingNOFam!$E$17,LeasingNOFam!$C$18,-LeasingNOFam!$C$22)+LeasingNOFam!$C$22*LeasingNOFam!$E$17)</f>
        <v>#VALUE!</v>
      </c>
      <c r="M193" s="9" t="e">
        <f t="shared" si="17"/>
        <v>#VALUE!</v>
      </c>
      <c r="N193" s="7" t="e">
        <f>IF(C192&lt;1,"0",LeasingHab!$C$39)</f>
        <v>#VALUE!</v>
      </c>
      <c r="O193" s="9" t="e">
        <f t="shared" si="18"/>
        <v>#VALUE!</v>
      </c>
    </row>
    <row r="194" spans="2:15" ht="15.5" x14ac:dyDescent="0.35">
      <c r="B194" s="6" t="e">
        <f t="shared" si="19"/>
        <v>#VALUE!</v>
      </c>
      <c r="C194" s="7" t="e">
        <f t="shared" si="14"/>
        <v>#VALUE!</v>
      </c>
      <c r="D194" s="7" t="e">
        <f t="shared" si="15"/>
        <v>#VALUE!</v>
      </c>
      <c r="E194" s="7" t="e">
        <f>IF((C193-1)&lt;$E$19,0,C193*LeasingNOFam!$E$17)</f>
        <v>#VALUE!</v>
      </c>
      <c r="F194" s="8" t="e">
        <f>IF((C193-1)&lt;$E$19,"0",C193*Seguros_Oblig!$N$3)</f>
        <v>#VALUE!</v>
      </c>
      <c r="G194" s="8" t="e">
        <f>IF(LeasingHab!$C$10="TARIFA 1",(C193*(VLOOKUP(LeasingHab!$C$24,Seguros_Oblig!$A$3:$B$55,2,FALSE))),(C193*(VLOOKUP(LeasingHab!$C$24,Seguros_Oblig!$A$3:$D$55,4,FALSE))))</f>
        <v>#VALUE!</v>
      </c>
      <c r="H194" s="8" t="e">
        <f>IF(LeasingHab!$C$10="TARIFA 1",(C193*(VLOOKUP(LeasingHab!$C$25,Seguros_Oblig!$A$3:$B$55,2,FALSE))),(C193*(VLOOKUP(LeasingHab!$C$25,Seguros_Oblig!$A$3:$D$55,4,FALSE))))</f>
        <v>#VALUE!</v>
      </c>
      <c r="I194" s="8" t="e">
        <f>IF(LeasingHab!$C$10="TARIFA 1",(C193*(VLOOKUP(LeasingHab!$C$26,Seguros_Oblig!$A$3:$B$55,2,FALSE))),(C193*(VLOOKUP(LeasingHab!$C$26,Seguros_Oblig!$A$3:$D$55,4,FALSE))))</f>
        <v>#VALUE!</v>
      </c>
      <c r="J194" s="10">
        <f t="shared" si="16"/>
        <v>0</v>
      </c>
      <c r="K194" s="7" t="e">
        <f>IF((C193-1)&lt;$E$19,0,Seguros_Oblig!$N$4*(LeasingNOFam!$C$12*90%))</f>
        <v>#VALUE!</v>
      </c>
      <c r="L194" s="7" t="e">
        <f>IF(B194&gt;LeasingNOFam!$C$18,0,PMT(LeasingNOFam!$E$17,LeasingNOFam!$C$18,-LeasingNOFam!$C$15,,)-PMT(LeasingNOFam!$E$17,LeasingNOFam!$C$18,-LeasingNOFam!$C$22)+LeasingNOFam!$C$22*LeasingNOFam!$E$17)</f>
        <v>#VALUE!</v>
      </c>
      <c r="M194" s="9" t="e">
        <f t="shared" si="17"/>
        <v>#VALUE!</v>
      </c>
      <c r="N194" s="7" t="e">
        <f>IF(C193&lt;1,"0",LeasingHab!$C$39)</f>
        <v>#VALUE!</v>
      </c>
      <c r="O194" s="9" t="e">
        <f t="shared" si="18"/>
        <v>#VALUE!</v>
      </c>
    </row>
    <row r="195" spans="2:15" ht="15.5" x14ac:dyDescent="0.35">
      <c r="B195" s="6" t="e">
        <f t="shared" si="19"/>
        <v>#VALUE!</v>
      </c>
      <c r="C195" s="7" t="e">
        <f t="shared" si="14"/>
        <v>#VALUE!</v>
      </c>
      <c r="D195" s="7" t="e">
        <f t="shared" si="15"/>
        <v>#VALUE!</v>
      </c>
      <c r="E195" s="7" t="e">
        <f>IF((C194-1)&lt;$E$19,0,C194*LeasingNOFam!$E$17)</f>
        <v>#VALUE!</v>
      </c>
      <c r="F195" s="8" t="e">
        <f>IF((C194-1)&lt;$E$19,"0",C194*Seguros_Oblig!$N$3)</f>
        <v>#VALUE!</v>
      </c>
      <c r="G195" s="8" t="e">
        <f>IF(LeasingHab!$C$10="TARIFA 1",(C194*(VLOOKUP(LeasingHab!$C$24,Seguros_Oblig!$A$3:$B$55,2,FALSE))),(C194*(VLOOKUP(LeasingHab!$C$24,Seguros_Oblig!$A$3:$D$55,4,FALSE))))</f>
        <v>#VALUE!</v>
      </c>
      <c r="H195" s="8" t="e">
        <f>IF(LeasingHab!$C$10="TARIFA 1",(C194*(VLOOKUP(LeasingHab!$C$25,Seguros_Oblig!$A$3:$B$55,2,FALSE))),(C194*(VLOOKUP(LeasingHab!$C$25,Seguros_Oblig!$A$3:$D$55,4,FALSE))))</f>
        <v>#VALUE!</v>
      </c>
      <c r="I195" s="8" t="e">
        <f>IF(LeasingHab!$C$10="TARIFA 1",(C194*(VLOOKUP(LeasingHab!$C$26,Seguros_Oblig!$A$3:$B$55,2,FALSE))),(C194*(VLOOKUP(LeasingHab!$C$26,Seguros_Oblig!$A$3:$D$55,4,FALSE))))</f>
        <v>#VALUE!</v>
      </c>
      <c r="J195" s="10">
        <f t="shared" si="16"/>
        <v>0</v>
      </c>
      <c r="K195" s="7" t="e">
        <f>IF((C194-1)&lt;$E$19,0,Seguros_Oblig!$N$4*(LeasingNOFam!$C$12*90%))</f>
        <v>#VALUE!</v>
      </c>
      <c r="L195" s="7" t="e">
        <f>IF(B195&gt;LeasingNOFam!$C$18,0,PMT(LeasingNOFam!$E$17,LeasingNOFam!$C$18,-LeasingNOFam!$C$15,,)-PMT(LeasingNOFam!$E$17,LeasingNOFam!$C$18,-LeasingNOFam!$C$22)+LeasingNOFam!$C$22*LeasingNOFam!$E$17)</f>
        <v>#VALUE!</v>
      </c>
      <c r="M195" s="9" t="e">
        <f t="shared" si="17"/>
        <v>#VALUE!</v>
      </c>
      <c r="N195" s="7" t="e">
        <f>IF(C194&lt;1,"0",LeasingHab!$C$39)</f>
        <v>#VALUE!</v>
      </c>
      <c r="O195" s="9" t="e">
        <f t="shared" si="18"/>
        <v>#VALUE!</v>
      </c>
    </row>
    <row r="196" spans="2:15" ht="15.5" x14ac:dyDescent="0.35">
      <c r="B196" s="6" t="e">
        <f t="shared" si="19"/>
        <v>#VALUE!</v>
      </c>
      <c r="C196" s="7" t="e">
        <f t="shared" si="14"/>
        <v>#VALUE!</v>
      </c>
      <c r="D196" s="7" t="e">
        <f t="shared" si="15"/>
        <v>#VALUE!</v>
      </c>
      <c r="E196" s="7" t="e">
        <f>IF((C195-1)&lt;$E$19,0,C195*LeasingNOFam!$E$17)</f>
        <v>#VALUE!</v>
      </c>
      <c r="F196" s="8" t="e">
        <f>IF((C195-1)&lt;$E$19,"0",C195*Seguros_Oblig!$N$3)</f>
        <v>#VALUE!</v>
      </c>
      <c r="G196" s="8" t="e">
        <f>IF(LeasingHab!$C$10="TARIFA 1",(C195*(VLOOKUP(LeasingHab!$C$24,Seguros_Oblig!$A$3:$B$55,2,FALSE))),(C195*(VLOOKUP(LeasingHab!$C$24,Seguros_Oblig!$A$3:$D$55,4,FALSE))))</f>
        <v>#VALUE!</v>
      </c>
      <c r="H196" s="8" t="e">
        <f>IF(LeasingHab!$C$10="TARIFA 1",(C195*(VLOOKUP(LeasingHab!$C$25,Seguros_Oblig!$A$3:$B$55,2,FALSE))),(C195*(VLOOKUP(LeasingHab!$C$25,Seguros_Oblig!$A$3:$D$55,4,FALSE))))</f>
        <v>#VALUE!</v>
      </c>
      <c r="I196" s="8" t="e">
        <f>IF(LeasingHab!$C$10="TARIFA 1",(C195*(VLOOKUP(LeasingHab!$C$26,Seguros_Oblig!$A$3:$B$55,2,FALSE))),(C195*(VLOOKUP(LeasingHab!$C$26,Seguros_Oblig!$A$3:$D$55,4,FALSE))))</f>
        <v>#VALUE!</v>
      </c>
      <c r="J196" s="10">
        <f t="shared" si="16"/>
        <v>0</v>
      </c>
      <c r="K196" s="7" t="e">
        <f>IF((C195-1)&lt;$E$19,0,Seguros_Oblig!$N$4*(LeasingNOFam!$C$12*90%))</f>
        <v>#VALUE!</v>
      </c>
      <c r="L196" s="7" t="e">
        <f>IF(B196&gt;LeasingNOFam!$C$18,0,PMT(LeasingNOFam!$E$17,LeasingNOFam!$C$18,-LeasingNOFam!$C$15,,)-PMT(LeasingNOFam!$E$17,LeasingNOFam!$C$18,-LeasingNOFam!$C$22)+LeasingNOFam!$C$22*LeasingNOFam!$E$17)</f>
        <v>#VALUE!</v>
      </c>
      <c r="M196" s="9" t="e">
        <f t="shared" si="17"/>
        <v>#VALUE!</v>
      </c>
      <c r="N196" s="7" t="e">
        <f>IF(C195&lt;1,"0",LeasingHab!$C$39)</f>
        <v>#VALUE!</v>
      </c>
      <c r="O196" s="9" t="e">
        <f t="shared" si="18"/>
        <v>#VALUE!</v>
      </c>
    </row>
    <row r="197" spans="2:15" ht="15.5" x14ac:dyDescent="0.35">
      <c r="B197" s="6" t="e">
        <f t="shared" si="19"/>
        <v>#VALUE!</v>
      </c>
      <c r="C197" s="7" t="e">
        <f t="shared" si="14"/>
        <v>#VALUE!</v>
      </c>
      <c r="D197" s="7" t="e">
        <f t="shared" si="15"/>
        <v>#VALUE!</v>
      </c>
      <c r="E197" s="7" t="e">
        <f>IF((C196-1)&lt;$E$19,0,C196*LeasingNOFam!$E$17)</f>
        <v>#VALUE!</v>
      </c>
      <c r="F197" s="8" t="e">
        <f>IF((C196-1)&lt;$E$19,"0",C196*Seguros_Oblig!$N$3)</f>
        <v>#VALUE!</v>
      </c>
      <c r="G197" s="8" t="e">
        <f>IF(LeasingHab!$C$10="TARIFA 1",(C196*(VLOOKUP(LeasingHab!$C$24,Seguros_Oblig!$A$3:$B$55,2,FALSE))),(C196*(VLOOKUP(LeasingHab!$C$24,Seguros_Oblig!$A$3:$D$55,4,FALSE))))</f>
        <v>#VALUE!</v>
      </c>
      <c r="H197" s="8" t="e">
        <f>IF(LeasingHab!$C$10="TARIFA 1",(C196*(VLOOKUP(LeasingHab!$C$25,Seguros_Oblig!$A$3:$B$55,2,FALSE))),(C196*(VLOOKUP(LeasingHab!$C$25,Seguros_Oblig!$A$3:$D$55,4,FALSE))))</f>
        <v>#VALUE!</v>
      </c>
      <c r="I197" s="8" t="e">
        <f>IF(LeasingHab!$C$10="TARIFA 1",(C196*(VLOOKUP(LeasingHab!$C$26,Seguros_Oblig!$A$3:$B$55,2,FALSE))),(C196*(VLOOKUP(LeasingHab!$C$26,Seguros_Oblig!$A$3:$D$55,4,FALSE))))</f>
        <v>#VALUE!</v>
      </c>
      <c r="J197" s="10">
        <f t="shared" si="16"/>
        <v>0</v>
      </c>
      <c r="K197" s="7" t="e">
        <f>IF((C196-1)&lt;$E$19,0,Seguros_Oblig!$N$4*(LeasingNOFam!$C$12*90%))</f>
        <v>#VALUE!</v>
      </c>
      <c r="L197" s="7" t="e">
        <f>IF(B197&gt;LeasingNOFam!$C$18,0,PMT(LeasingNOFam!$E$17,LeasingNOFam!$C$18,-LeasingNOFam!$C$15,,)-PMT(LeasingNOFam!$E$17,LeasingNOFam!$C$18,-LeasingNOFam!$C$22)+LeasingNOFam!$C$22*LeasingNOFam!$E$17)</f>
        <v>#VALUE!</v>
      </c>
      <c r="M197" s="9" t="e">
        <f t="shared" si="17"/>
        <v>#VALUE!</v>
      </c>
      <c r="N197" s="7" t="e">
        <f>IF(C196&lt;1,"0",LeasingHab!$C$39)</f>
        <v>#VALUE!</v>
      </c>
      <c r="O197" s="9" t="e">
        <f t="shared" si="18"/>
        <v>#VALUE!</v>
      </c>
    </row>
    <row r="198" spans="2:15" ht="15.5" x14ac:dyDescent="0.35">
      <c r="B198" s="6" t="e">
        <f t="shared" si="19"/>
        <v>#VALUE!</v>
      </c>
      <c r="C198" s="7" t="e">
        <f t="shared" si="14"/>
        <v>#VALUE!</v>
      </c>
      <c r="D198" s="7" t="e">
        <f t="shared" si="15"/>
        <v>#VALUE!</v>
      </c>
      <c r="E198" s="7" t="e">
        <f>IF((C197-1)&lt;$E$19,0,C197*LeasingNOFam!$E$17)</f>
        <v>#VALUE!</v>
      </c>
      <c r="F198" s="8" t="e">
        <f>IF((C197-1)&lt;$E$19,"0",C197*Seguros_Oblig!$N$3)</f>
        <v>#VALUE!</v>
      </c>
      <c r="G198" s="8" t="e">
        <f>IF(LeasingHab!$C$10="TARIFA 1",(C197*(VLOOKUP(LeasingHab!$C$24,Seguros_Oblig!$A$3:$B$55,2,FALSE))),(C197*(VLOOKUP(LeasingHab!$C$24,Seguros_Oblig!$A$3:$D$55,4,FALSE))))</f>
        <v>#VALUE!</v>
      </c>
      <c r="H198" s="8" t="e">
        <f>IF(LeasingHab!$C$10="TARIFA 1",(C197*(VLOOKUP(LeasingHab!$C$25,Seguros_Oblig!$A$3:$B$55,2,FALSE))),(C197*(VLOOKUP(LeasingHab!$C$25,Seguros_Oblig!$A$3:$D$55,4,FALSE))))</f>
        <v>#VALUE!</v>
      </c>
      <c r="I198" s="8" t="e">
        <f>IF(LeasingHab!$C$10="TARIFA 1",(C197*(VLOOKUP(LeasingHab!$C$26,Seguros_Oblig!$A$3:$B$55,2,FALSE))),(C197*(VLOOKUP(LeasingHab!$C$26,Seguros_Oblig!$A$3:$D$55,4,FALSE))))</f>
        <v>#VALUE!</v>
      </c>
      <c r="J198" s="10">
        <f t="shared" si="16"/>
        <v>0</v>
      </c>
      <c r="K198" s="7" t="e">
        <f>IF((C197-1)&lt;$E$19,0,Seguros_Oblig!$N$4*(LeasingNOFam!$C$12*90%))</f>
        <v>#VALUE!</v>
      </c>
      <c r="L198" s="7" t="e">
        <f>IF(B198&gt;LeasingNOFam!$C$18,0,PMT(LeasingNOFam!$E$17,LeasingNOFam!$C$18,-LeasingNOFam!$C$15,,)-PMT(LeasingNOFam!$E$17,LeasingNOFam!$C$18,-LeasingNOFam!$C$22)+LeasingNOFam!$C$22*LeasingNOFam!$E$17)</f>
        <v>#VALUE!</v>
      </c>
      <c r="M198" s="9" t="e">
        <f t="shared" si="17"/>
        <v>#VALUE!</v>
      </c>
      <c r="N198" s="7" t="e">
        <f>IF(C197&lt;1,"0",LeasingHab!$C$39)</f>
        <v>#VALUE!</v>
      </c>
      <c r="O198" s="9" t="e">
        <f t="shared" si="18"/>
        <v>#VALUE!</v>
      </c>
    </row>
    <row r="199" spans="2:15" ht="15.5" x14ac:dyDescent="0.35">
      <c r="B199" s="6" t="e">
        <f t="shared" si="19"/>
        <v>#VALUE!</v>
      </c>
      <c r="C199" s="7" t="e">
        <f t="shared" si="14"/>
        <v>#VALUE!</v>
      </c>
      <c r="D199" s="7" t="e">
        <f t="shared" si="15"/>
        <v>#VALUE!</v>
      </c>
      <c r="E199" s="7" t="e">
        <f>IF((C198-1)&lt;$E$19,0,C198*LeasingNOFam!$E$17)</f>
        <v>#VALUE!</v>
      </c>
      <c r="F199" s="8" t="e">
        <f>IF((C198-1)&lt;$E$19,"0",C198*Seguros_Oblig!$N$3)</f>
        <v>#VALUE!</v>
      </c>
      <c r="G199" s="8" t="e">
        <f>IF(LeasingHab!$C$10="TARIFA 1",(C198*(VLOOKUP(LeasingHab!$C$24,Seguros_Oblig!$A$3:$B$55,2,FALSE))),(C198*(VLOOKUP(LeasingHab!$C$24,Seguros_Oblig!$A$3:$D$55,4,FALSE))))</f>
        <v>#VALUE!</v>
      </c>
      <c r="H199" s="8" t="e">
        <f>IF(LeasingHab!$C$10="TARIFA 1",(C198*(VLOOKUP(LeasingHab!$C$25,Seguros_Oblig!$A$3:$B$55,2,FALSE))),(C198*(VLOOKUP(LeasingHab!$C$25,Seguros_Oblig!$A$3:$D$55,4,FALSE))))</f>
        <v>#VALUE!</v>
      </c>
      <c r="I199" s="8" t="e">
        <f>IF(LeasingHab!$C$10="TARIFA 1",(C198*(VLOOKUP(LeasingHab!$C$26,Seguros_Oblig!$A$3:$B$55,2,FALSE))),(C198*(VLOOKUP(LeasingHab!$C$26,Seguros_Oblig!$A$3:$D$55,4,FALSE))))</f>
        <v>#VALUE!</v>
      </c>
      <c r="J199" s="10">
        <f t="shared" si="16"/>
        <v>0</v>
      </c>
      <c r="K199" s="7" t="e">
        <f>IF((C198-1)&lt;$E$19,0,Seguros_Oblig!$N$4*(LeasingNOFam!$C$12*90%))</f>
        <v>#VALUE!</v>
      </c>
      <c r="L199" s="7" t="e">
        <f>IF(B199&gt;LeasingNOFam!$C$18,0,PMT(LeasingNOFam!$E$17,LeasingNOFam!$C$18,-LeasingNOFam!$C$15,,)-PMT(LeasingNOFam!$E$17,LeasingNOFam!$C$18,-LeasingNOFam!$C$22)+LeasingNOFam!$C$22*LeasingNOFam!$E$17)</f>
        <v>#VALUE!</v>
      </c>
      <c r="M199" s="9" t="e">
        <f t="shared" si="17"/>
        <v>#VALUE!</v>
      </c>
      <c r="N199" s="7" t="e">
        <f>IF(C198&lt;1,"0",LeasingHab!$C$39)</f>
        <v>#VALUE!</v>
      </c>
      <c r="O199" s="9" t="e">
        <f t="shared" si="18"/>
        <v>#VALUE!</v>
      </c>
    </row>
    <row r="200" spans="2:15" ht="15.5" x14ac:dyDescent="0.35">
      <c r="B200" s="6" t="e">
        <f t="shared" si="19"/>
        <v>#VALUE!</v>
      </c>
      <c r="C200" s="7" t="e">
        <f t="shared" si="14"/>
        <v>#VALUE!</v>
      </c>
      <c r="D200" s="7" t="e">
        <f t="shared" si="15"/>
        <v>#VALUE!</v>
      </c>
      <c r="E200" s="7" t="e">
        <f>IF((C199-1)&lt;$E$19,0,C199*LeasingNOFam!$E$17)</f>
        <v>#VALUE!</v>
      </c>
      <c r="F200" s="8" t="e">
        <f>IF((C199-1)&lt;$E$19,"0",C199*Seguros_Oblig!$N$3)</f>
        <v>#VALUE!</v>
      </c>
      <c r="G200" s="8" t="e">
        <f>IF(LeasingHab!$C$10="TARIFA 1",(C199*(VLOOKUP(LeasingHab!$C$24,Seguros_Oblig!$A$3:$B$55,2,FALSE))),(C199*(VLOOKUP(LeasingHab!$C$24,Seguros_Oblig!$A$3:$D$55,4,FALSE))))</f>
        <v>#VALUE!</v>
      </c>
      <c r="H200" s="8" t="e">
        <f>IF(LeasingHab!$C$10="TARIFA 1",(C199*(VLOOKUP(LeasingHab!$C$25,Seguros_Oblig!$A$3:$B$55,2,FALSE))),(C199*(VLOOKUP(LeasingHab!$C$25,Seguros_Oblig!$A$3:$D$55,4,FALSE))))</f>
        <v>#VALUE!</v>
      </c>
      <c r="I200" s="8" t="e">
        <f>IF(LeasingHab!$C$10="TARIFA 1",(C199*(VLOOKUP(LeasingHab!$C$26,Seguros_Oblig!$A$3:$B$55,2,FALSE))),(C199*(VLOOKUP(LeasingHab!$C$26,Seguros_Oblig!$A$3:$D$55,4,FALSE))))</f>
        <v>#VALUE!</v>
      </c>
      <c r="J200" s="10">
        <f t="shared" si="16"/>
        <v>0</v>
      </c>
      <c r="K200" s="7" t="e">
        <f>IF((C199-1)&lt;$E$19,0,Seguros_Oblig!$N$4*(LeasingNOFam!$C$12*90%))</f>
        <v>#VALUE!</v>
      </c>
      <c r="L200" s="7" t="e">
        <f>IF(B200&gt;LeasingNOFam!$C$18,0,PMT(LeasingNOFam!$E$17,LeasingNOFam!$C$18,-LeasingNOFam!$C$15,,)-PMT(LeasingNOFam!$E$17,LeasingNOFam!$C$18,-LeasingNOFam!$C$22)+LeasingNOFam!$C$22*LeasingNOFam!$E$17)</f>
        <v>#VALUE!</v>
      </c>
      <c r="M200" s="9" t="e">
        <f t="shared" si="17"/>
        <v>#VALUE!</v>
      </c>
      <c r="N200" s="7" t="e">
        <f>IF(C199&lt;1,"0",LeasingHab!$C$39)</f>
        <v>#VALUE!</v>
      </c>
      <c r="O200" s="9" t="e">
        <f t="shared" si="18"/>
        <v>#VALUE!</v>
      </c>
    </row>
    <row r="201" spans="2:15" ht="15.5" x14ac:dyDescent="0.35">
      <c r="B201" s="6" t="e">
        <f t="shared" si="19"/>
        <v>#VALUE!</v>
      </c>
      <c r="C201" s="7" t="e">
        <f t="shared" si="14"/>
        <v>#VALUE!</v>
      </c>
      <c r="D201" s="7" t="e">
        <f t="shared" si="15"/>
        <v>#VALUE!</v>
      </c>
      <c r="E201" s="7" t="e">
        <f>IF((C200-1)&lt;$E$19,0,C200*LeasingNOFam!$E$17)</f>
        <v>#VALUE!</v>
      </c>
      <c r="F201" s="8" t="e">
        <f>IF((C200-1)&lt;$E$19,"0",C200*Seguros_Oblig!$N$3)</f>
        <v>#VALUE!</v>
      </c>
      <c r="G201" s="8" t="e">
        <f>IF(LeasingHab!$C$10="TARIFA 1",(C200*(VLOOKUP(LeasingHab!$C$24,Seguros_Oblig!$A$3:$B$55,2,FALSE))),(C200*(VLOOKUP(LeasingHab!$C$24,Seguros_Oblig!$A$3:$D$55,4,FALSE))))</f>
        <v>#VALUE!</v>
      </c>
      <c r="H201" s="8" t="e">
        <f>IF(LeasingHab!$C$10="TARIFA 1",(C200*(VLOOKUP(LeasingHab!$C$25,Seguros_Oblig!$A$3:$B$55,2,FALSE))),(C200*(VLOOKUP(LeasingHab!$C$25,Seguros_Oblig!$A$3:$D$55,4,FALSE))))</f>
        <v>#VALUE!</v>
      </c>
      <c r="I201" s="8" t="e">
        <f>IF(LeasingHab!$C$10="TARIFA 1",(C200*(VLOOKUP(LeasingHab!$C$26,Seguros_Oblig!$A$3:$B$55,2,FALSE))),(C200*(VLOOKUP(LeasingHab!$C$26,Seguros_Oblig!$A$3:$D$55,4,FALSE))))</f>
        <v>#VALUE!</v>
      </c>
      <c r="J201" s="10">
        <f t="shared" si="16"/>
        <v>0</v>
      </c>
      <c r="K201" s="7" t="e">
        <f>IF((C200-1)&lt;$E$19,0,Seguros_Oblig!$N$4*(LeasingNOFam!$C$12*90%))</f>
        <v>#VALUE!</v>
      </c>
      <c r="L201" s="7" t="e">
        <f>IF(B201&gt;LeasingNOFam!$C$18,0,PMT(LeasingNOFam!$E$17,LeasingNOFam!$C$18,-LeasingNOFam!$C$15,,)-PMT(LeasingNOFam!$E$17,LeasingNOFam!$C$18,-LeasingNOFam!$C$22)+LeasingNOFam!$C$22*LeasingNOFam!$E$17)</f>
        <v>#VALUE!</v>
      </c>
      <c r="M201" s="9" t="e">
        <f t="shared" si="17"/>
        <v>#VALUE!</v>
      </c>
      <c r="N201" s="7" t="e">
        <f>IF(C200&lt;1,"0",LeasingHab!$C$39)</f>
        <v>#VALUE!</v>
      </c>
      <c r="O201" s="9" t="e">
        <f t="shared" si="18"/>
        <v>#VALUE!</v>
      </c>
    </row>
    <row r="202" spans="2:15" ht="15.5" x14ac:dyDescent="0.35">
      <c r="B202" s="6" t="e">
        <f t="shared" si="19"/>
        <v>#VALUE!</v>
      </c>
      <c r="C202" s="7" t="e">
        <f t="shared" si="14"/>
        <v>#VALUE!</v>
      </c>
      <c r="D202" s="7" t="e">
        <f t="shared" si="15"/>
        <v>#VALUE!</v>
      </c>
      <c r="E202" s="7" t="e">
        <f>IF((C201-1)&lt;$E$19,0,C201*LeasingNOFam!$E$17)</f>
        <v>#VALUE!</v>
      </c>
      <c r="F202" s="8" t="e">
        <f>IF((C201-1)&lt;$E$19,"0",C201*Seguros_Oblig!$N$3)</f>
        <v>#VALUE!</v>
      </c>
      <c r="G202" s="8" t="e">
        <f>IF(LeasingHab!$C$10="TARIFA 1",(C201*(VLOOKUP(LeasingHab!$C$24,Seguros_Oblig!$A$3:$B$55,2,FALSE))),(C201*(VLOOKUP(LeasingHab!$C$24,Seguros_Oblig!$A$3:$D$55,4,FALSE))))</f>
        <v>#VALUE!</v>
      </c>
      <c r="H202" s="8" t="e">
        <f>IF(LeasingHab!$C$10="TARIFA 1",(C201*(VLOOKUP(LeasingHab!$C$25,Seguros_Oblig!$A$3:$B$55,2,FALSE))),(C201*(VLOOKUP(LeasingHab!$C$25,Seguros_Oblig!$A$3:$D$55,4,FALSE))))</f>
        <v>#VALUE!</v>
      </c>
      <c r="I202" s="8" t="e">
        <f>IF(LeasingHab!$C$10="TARIFA 1",(C201*(VLOOKUP(LeasingHab!$C$26,Seguros_Oblig!$A$3:$B$55,2,FALSE))),(C201*(VLOOKUP(LeasingHab!$C$26,Seguros_Oblig!$A$3:$D$55,4,FALSE))))</f>
        <v>#VALUE!</v>
      </c>
      <c r="J202" s="10">
        <f t="shared" si="16"/>
        <v>0</v>
      </c>
      <c r="K202" s="7" t="e">
        <f>IF((C201-1)&lt;$E$19,0,Seguros_Oblig!$N$4*(LeasingNOFam!$C$12*90%))</f>
        <v>#VALUE!</v>
      </c>
      <c r="L202" s="7" t="e">
        <f>IF(B202&gt;LeasingNOFam!$C$18,0,PMT(LeasingNOFam!$E$17,LeasingNOFam!$C$18,-LeasingNOFam!$C$15,,)-PMT(LeasingNOFam!$E$17,LeasingNOFam!$C$18,-LeasingNOFam!$C$22)+LeasingNOFam!$C$22*LeasingNOFam!$E$17)</f>
        <v>#VALUE!</v>
      </c>
      <c r="M202" s="9" t="e">
        <f t="shared" si="17"/>
        <v>#VALUE!</v>
      </c>
      <c r="N202" s="7" t="e">
        <f>IF(C201&lt;1,"0",LeasingHab!$C$39)</f>
        <v>#VALUE!</v>
      </c>
      <c r="O202" s="9" t="e">
        <f t="shared" si="18"/>
        <v>#VALUE!</v>
      </c>
    </row>
    <row r="203" spans="2:15" ht="15.5" x14ac:dyDescent="0.35">
      <c r="B203" s="6" t="e">
        <f t="shared" si="19"/>
        <v>#VALUE!</v>
      </c>
      <c r="C203" s="7" t="e">
        <f t="shared" si="14"/>
        <v>#VALUE!</v>
      </c>
      <c r="D203" s="7" t="e">
        <f t="shared" si="15"/>
        <v>#VALUE!</v>
      </c>
      <c r="E203" s="7" t="e">
        <f>IF((C202-1)&lt;$E$19,0,C202*LeasingNOFam!$E$17)</f>
        <v>#VALUE!</v>
      </c>
      <c r="F203" s="8" t="e">
        <f>IF((C202-1)&lt;$E$19,"0",C202*Seguros_Oblig!$N$3)</f>
        <v>#VALUE!</v>
      </c>
      <c r="G203" s="8" t="e">
        <f>IF(LeasingHab!$C$10="TARIFA 1",(C202*(VLOOKUP(LeasingHab!$C$24,Seguros_Oblig!$A$3:$B$55,2,FALSE))),(C202*(VLOOKUP(LeasingHab!$C$24,Seguros_Oblig!$A$3:$D$55,4,FALSE))))</f>
        <v>#VALUE!</v>
      </c>
      <c r="H203" s="8" t="e">
        <f>IF(LeasingHab!$C$10="TARIFA 1",(C202*(VLOOKUP(LeasingHab!$C$25,Seguros_Oblig!$A$3:$B$55,2,FALSE))),(C202*(VLOOKUP(LeasingHab!$C$25,Seguros_Oblig!$A$3:$D$55,4,FALSE))))</f>
        <v>#VALUE!</v>
      </c>
      <c r="I203" s="8" t="e">
        <f>IF(LeasingHab!$C$10="TARIFA 1",(C202*(VLOOKUP(LeasingHab!$C$26,Seguros_Oblig!$A$3:$B$55,2,FALSE))),(C202*(VLOOKUP(LeasingHab!$C$26,Seguros_Oblig!$A$3:$D$55,4,FALSE))))</f>
        <v>#VALUE!</v>
      </c>
      <c r="J203" s="10">
        <f t="shared" si="16"/>
        <v>0</v>
      </c>
      <c r="K203" s="7" t="e">
        <f>IF((C202-1)&lt;$E$19,0,Seguros_Oblig!$N$4*(LeasingNOFam!$C$12*90%))</f>
        <v>#VALUE!</v>
      </c>
      <c r="L203" s="7" t="e">
        <f>IF(B203&gt;LeasingNOFam!$C$18,0,PMT(LeasingNOFam!$E$17,LeasingNOFam!$C$18,-LeasingNOFam!$C$15,,)-PMT(LeasingNOFam!$E$17,LeasingNOFam!$C$18,-LeasingNOFam!$C$22)+LeasingNOFam!$C$22*LeasingNOFam!$E$17)</f>
        <v>#VALUE!</v>
      </c>
      <c r="M203" s="9" t="e">
        <f t="shared" si="17"/>
        <v>#VALUE!</v>
      </c>
      <c r="N203" s="7" t="e">
        <f>IF(C202&lt;1,"0",LeasingHab!$C$39)</f>
        <v>#VALUE!</v>
      </c>
      <c r="O203" s="9" t="e">
        <f t="shared" si="18"/>
        <v>#VALUE!</v>
      </c>
    </row>
    <row r="204" spans="2:15" ht="15.5" x14ac:dyDescent="0.35">
      <c r="B204" s="6" t="e">
        <f t="shared" si="19"/>
        <v>#VALUE!</v>
      </c>
      <c r="C204" s="7" t="e">
        <f t="shared" si="14"/>
        <v>#VALUE!</v>
      </c>
      <c r="D204" s="7" t="e">
        <f t="shared" si="15"/>
        <v>#VALUE!</v>
      </c>
      <c r="E204" s="7" t="e">
        <f>IF((C203-1)&lt;$E$19,0,C203*LeasingNOFam!$E$17)</f>
        <v>#VALUE!</v>
      </c>
      <c r="F204" s="8" t="e">
        <f>IF((C203-1)&lt;$E$19,"0",C203*Seguros_Oblig!$N$3)</f>
        <v>#VALUE!</v>
      </c>
      <c r="G204" s="8" t="e">
        <f>IF(LeasingHab!$C$10="TARIFA 1",(C203*(VLOOKUP(LeasingHab!$C$24,Seguros_Oblig!$A$3:$B$55,2,FALSE))),(C203*(VLOOKUP(LeasingHab!$C$24,Seguros_Oblig!$A$3:$D$55,4,FALSE))))</f>
        <v>#VALUE!</v>
      </c>
      <c r="H204" s="8" t="e">
        <f>IF(LeasingHab!$C$10="TARIFA 1",(C203*(VLOOKUP(LeasingHab!$C$25,Seguros_Oblig!$A$3:$B$55,2,FALSE))),(C203*(VLOOKUP(LeasingHab!$C$25,Seguros_Oblig!$A$3:$D$55,4,FALSE))))</f>
        <v>#VALUE!</v>
      </c>
      <c r="I204" s="8" t="e">
        <f>IF(LeasingHab!$C$10="TARIFA 1",(C203*(VLOOKUP(LeasingHab!$C$26,Seguros_Oblig!$A$3:$B$55,2,FALSE))),(C203*(VLOOKUP(LeasingHab!$C$26,Seguros_Oblig!$A$3:$D$55,4,FALSE))))</f>
        <v>#VALUE!</v>
      </c>
      <c r="J204" s="10">
        <f t="shared" si="16"/>
        <v>0</v>
      </c>
      <c r="K204" s="7" t="e">
        <f>IF((C203-1)&lt;$E$19,0,Seguros_Oblig!$N$4*(LeasingNOFam!$C$12*90%))</f>
        <v>#VALUE!</v>
      </c>
      <c r="L204" s="7" t="e">
        <f>IF(B204&gt;LeasingNOFam!$C$18,0,PMT(LeasingNOFam!$E$17,LeasingNOFam!$C$18,-LeasingNOFam!$C$15,,)-PMT(LeasingNOFam!$E$17,LeasingNOFam!$C$18,-LeasingNOFam!$C$22)+LeasingNOFam!$C$22*LeasingNOFam!$E$17)</f>
        <v>#VALUE!</v>
      </c>
      <c r="M204" s="9" t="e">
        <f t="shared" si="17"/>
        <v>#VALUE!</v>
      </c>
      <c r="N204" s="7" t="e">
        <f>IF(C203&lt;1,"0",LeasingHab!$C$39)</f>
        <v>#VALUE!</v>
      </c>
      <c r="O204" s="9" t="e">
        <f t="shared" si="18"/>
        <v>#VALUE!</v>
      </c>
    </row>
    <row r="205" spans="2:15" ht="15.5" x14ac:dyDescent="0.35">
      <c r="B205" s="6" t="e">
        <f t="shared" si="19"/>
        <v>#VALUE!</v>
      </c>
      <c r="C205" s="7" t="e">
        <f t="shared" si="14"/>
        <v>#VALUE!</v>
      </c>
      <c r="D205" s="7" t="e">
        <f t="shared" si="15"/>
        <v>#VALUE!</v>
      </c>
      <c r="E205" s="7" t="e">
        <f>IF((C204-1)&lt;$E$19,0,C204*LeasingNOFam!$E$17)</f>
        <v>#VALUE!</v>
      </c>
      <c r="F205" s="8" t="e">
        <f>IF((C204-1)&lt;$E$19,"0",C204*Seguros_Oblig!$N$3)</f>
        <v>#VALUE!</v>
      </c>
      <c r="G205" s="8" t="e">
        <f>IF(LeasingHab!$C$10="TARIFA 1",(C204*(VLOOKUP(LeasingHab!$C$24,Seguros_Oblig!$A$3:$B$55,2,FALSE))),(C204*(VLOOKUP(LeasingHab!$C$24,Seguros_Oblig!$A$3:$D$55,4,FALSE))))</f>
        <v>#VALUE!</v>
      </c>
      <c r="H205" s="8" t="e">
        <f>IF(LeasingHab!$C$10="TARIFA 1",(C204*(VLOOKUP(LeasingHab!$C$25,Seguros_Oblig!$A$3:$B$55,2,FALSE))),(C204*(VLOOKUP(LeasingHab!$C$25,Seguros_Oblig!$A$3:$D$55,4,FALSE))))</f>
        <v>#VALUE!</v>
      </c>
      <c r="I205" s="8" t="e">
        <f>IF(LeasingHab!$C$10="TARIFA 1",(C204*(VLOOKUP(LeasingHab!$C$26,Seguros_Oblig!$A$3:$B$55,2,FALSE))),(C204*(VLOOKUP(LeasingHab!$C$26,Seguros_Oblig!$A$3:$D$55,4,FALSE))))</f>
        <v>#VALUE!</v>
      </c>
      <c r="J205" s="10">
        <f t="shared" si="16"/>
        <v>0</v>
      </c>
      <c r="K205" s="7" t="e">
        <f>IF((C204-1)&lt;$E$19,0,Seguros_Oblig!$N$4*(LeasingNOFam!$C$12*90%))</f>
        <v>#VALUE!</v>
      </c>
      <c r="L205" s="7" t="e">
        <f>IF(B205&gt;LeasingNOFam!$C$18,0,PMT(LeasingNOFam!$E$17,LeasingNOFam!$C$18,-LeasingNOFam!$C$15,,)-PMT(LeasingNOFam!$E$17,LeasingNOFam!$C$18,-LeasingNOFam!$C$22)+LeasingNOFam!$C$22*LeasingNOFam!$E$17)</f>
        <v>#VALUE!</v>
      </c>
      <c r="M205" s="9" t="e">
        <f t="shared" si="17"/>
        <v>#VALUE!</v>
      </c>
      <c r="N205" s="7" t="e">
        <f>IF(C204&lt;1,"0",LeasingHab!$C$39)</f>
        <v>#VALUE!</v>
      </c>
      <c r="O205" s="9" t="e">
        <f t="shared" si="18"/>
        <v>#VALUE!</v>
      </c>
    </row>
    <row r="206" spans="2:15" ht="15.5" x14ac:dyDescent="0.35">
      <c r="B206" s="6" t="e">
        <f t="shared" si="19"/>
        <v>#VALUE!</v>
      </c>
      <c r="C206" s="7" t="e">
        <f t="shared" si="14"/>
        <v>#VALUE!</v>
      </c>
      <c r="D206" s="7" t="e">
        <f t="shared" si="15"/>
        <v>#VALUE!</v>
      </c>
      <c r="E206" s="7" t="e">
        <f>IF((C205-1)&lt;$E$19,0,C205*LeasingNOFam!$E$17)</f>
        <v>#VALUE!</v>
      </c>
      <c r="F206" s="8" t="e">
        <f>IF((C205-1)&lt;$E$19,"0",C205*Seguros_Oblig!$N$3)</f>
        <v>#VALUE!</v>
      </c>
      <c r="G206" s="8" t="e">
        <f>IF(LeasingHab!$C$10="TARIFA 1",(C205*(VLOOKUP(LeasingHab!$C$24,Seguros_Oblig!$A$3:$B$55,2,FALSE))),(C205*(VLOOKUP(LeasingHab!$C$24,Seguros_Oblig!$A$3:$D$55,4,FALSE))))</f>
        <v>#VALUE!</v>
      </c>
      <c r="H206" s="8" t="e">
        <f>IF(LeasingHab!$C$10="TARIFA 1",(C205*(VLOOKUP(LeasingHab!$C$25,Seguros_Oblig!$A$3:$B$55,2,FALSE))),(C205*(VLOOKUP(LeasingHab!$C$25,Seguros_Oblig!$A$3:$D$55,4,FALSE))))</f>
        <v>#VALUE!</v>
      </c>
      <c r="I206" s="8" t="e">
        <f>IF(LeasingHab!$C$10="TARIFA 1",(C205*(VLOOKUP(LeasingHab!$C$26,Seguros_Oblig!$A$3:$B$55,2,FALSE))),(C205*(VLOOKUP(LeasingHab!$C$26,Seguros_Oblig!$A$3:$D$55,4,FALSE))))</f>
        <v>#VALUE!</v>
      </c>
      <c r="J206" s="10">
        <f t="shared" si="16"/>
        <v>0</v>
      </c>
      <c r="K206" s="7" t="e">
        <f>IF((C205-1)&lt;$E$19,0,Seguros_Oblig!$N$4*(LeasingNOFam!$C$12*90%))</f>
        <v>#VALUE!</v>
      </c>
      <c r="L206" s="7" t="e">
        <f>IF(B206&gt;LeasingNOFam!$C$18,0,PMT(LeasingNOFam!$E$17,LeasingNOFam!$C$18,-LeasingNOFam!$C$15,,)-PMT(LeasingNOFam!$E$17,LeasingNOFam!$C$18,-LeasingNOFam!$C$22)+LeasingNOFam!$C$22*LeasingNOFam!$E$17)</f>
        <v>#VALUE!</v>
      </c>
      <c r="M206" s="9" t="e">
        <f t="shared" si="17"/>
        <v>#VALUE!</v>
      </c>
      <c r="N206" s="7" t="e">
        <f>IF(C205&lt;1,"0",LeasingHab!$C$39)</f>
        <v>#VALUE!</v>
      </c>
      <c r="O206" s="9" t="e">
        <f t="shared" si="18"/>
        <v>#VALUE!</v>
      </c>
    </row>
    <row r="207" spans="2:15" ht="15.5" x14ac:dyDescent="0.35">
      <c r="B207" s="6" t="e">
        <f t="shared" si="19"/>
        <v>#VALUE!</v>
      </c>
      <c r="C207" s="7" t="e">
        <f t="shared" si="14"/>
        <v>#VALUE!</v>
      </c>
      <c r="D207" s="7" t="e">
        <f t="shared" si="15"/>
        <v>#VALUE!</v>
      </c>
      <c r="E207" s="7" t="e">
        <f>IF((C206-1)&lt;$E$19,0,C206*LeasingNOFam!$E$17)</f>
        <v>#VALUE!</v>
      </c>
      <c r="F207" s="8" t="e">
        <f>IF((C206-1)&lt;$E$19,"0",C206*Seguros_Oblig!$N$3)</f>
        <v>#VALUE!</v>
      </c>
      <c r="G207" s="8" t="e">
        <f>IF(LeasingHab!$C$10="TARIFA 1",(C206*(VLOOKUP(LeasingHab!$C$24,Seguros_Oblig!$A$3:$B$55,2,FALSE))),(C206*(VLOOKUP(LeasingHab!$C$24,Seguros_Oblig!$A$3:$D$55,4,FALSE))))</f>
        <v>#VALUE!</v>
      </c>
      <c r="H207" s="8" t="e">
        <f>IF(LeasingHab!$C$10="TARIFA 1",(C206*(VLOOKUP(LeasingHab!$C$25,Seguros_Oblig!$A$3:$B$55,2,FALSE))),(C206*(VLOOKUP(LeasingHab!$C$25,Seguros_Oblig!$A$3:$D$55,4,FALSE))))</f>
        <v>#VALUE!</v>
      </c>
      <c r="I207" s="8" t="e">
        <f>IF(LeasingHab!$C$10="TARIFA 1",(C206*(VLOOKUP(LeasingHab!$C$26,Seguros_Oblig!$A$3:$B$55,2,FALSE))),(C206*(VLOOKUP(LeasingHab!$C$26,Seguros_Oblig!$A$3:$D$55,4,FALSE))))</f>
        <v>#VALUE!</v>
      </c>
      <c r="J207" s="10">
        <f t="shared" si="16"/>
        <v>0</v>
      </c>
      <c r="K207" s="7" t="e">
        <f>IF((C206-1)&lt;$E$19,0,Seguros_Oblig!$N$4*(LeasingNOFam!$C$12*90%))</f>
        <v>#VALUE!</v>
      </c>
      <c r="L207" s="7" t="e">
        <f>IF(B207&gt;LeasingNOFam!$C$18,0,PMT(LeasingNOFam!$E$17,LeasingNOFam!$C$18,-LeasingNOFam!$C$15,,)-PMT(LeasingNOFam!$E$17,LeasingNOFam!$C$18,-LeasingNOFam!$C$22)+LeasingNOFam!$C$22*LeasingNOFam!$E$17)</f>
        <v>#VALUE!</v>
      </c>
      <c r="M207" s="9" t="e">
        <f t="shared" si="17"/>
        <v>#VALUE!</v>
      </c>
      <c r="N207" s="7" t="e">
        <f>IF(C206&lt;1,"0",LeasingHab!$C$39)</f>
        <v>#VALUE!</v>
      </c>
      <c r="O207" s="9" t="e">
        <f t="shared" si="18"/>
        <v>#VALUE!</v>
      </c>
    </row>
    <row r="208" spans="2:15" ht="15.5" x14ac:dyDescent="0.35">
      <c r="B208" s="6" t="e">
        <f t="shared" si="19"/>
        <v>#VALUE!</v>
      </c>
      <c r="C208" s="7" t="e">
        <f t="shared" si="14"/>
        <v>#VALUE!</v>
      </c>
      <c r="D208" s="7" t="e">
        <f t="shared" si="15"/>
        <v>#VALUE!</v>
      </c>
      <c r="E208" s="7" t="e">
        <f>IF((C207-1)&lt;$E$19,0,C207*LeasingNOFam!$E$17)</f>
        <v>#VALUE!</v>
      </c>
      <c r="F208" s="8" t="e">
        <f>IF((C207-1)&lt;$E$19,"0",C207*Seguros_Oblig!$N$3)</f>
        <v>#VALUE!</v>
      </c>
      <c r="G208" s="8" t="e">
        <f>IF(LeasingHab!$C$10="TARIFA 1",(C207*(VLOOKUP(LeasingHab!$C$24,Seguros_Oblig!$A$3:$B$55,2,FALSE))),(C207*(VLOOKUP(LeasingHab!$C$24,Seguros_Oblig!$A$3:$D$55,4,FALSE))))</f>
        <v>#VALUE!</v>
      </c>
      <c r="H208" s="8" t="e">
        <f>IF(LeasingHab!$C$10="TARIFA 1",(C207*(VLOOKUP(LeasingHab!$C$25,Seguros_Oblig!$A$3:$B$55,2,FALSE))),(C207*(VLOOKUP(LeasingHab!$C$25,Seguros_Oblig!$A$3:$D$55,4,FALSE))))</f>
        <v>#VALUE!</v>
      </c>
      <c r="I208" s="8" t="e">
        <f>IF(LeasingHab!$C$10="TARIFA 1",(C207*(VLOOKUP(LeasingHab!$C$26,Seguros_Oblig!$A$3:$B$55,2,FALSE))),(C207*(VLOOKUP(LeasingHab!$C$26,Seguros_Oblig!$A$3:$D$55,4,FALSE))))</f>
        <v>#VALUE!</v>
      </c>
      <c r="J208" s="10">
        <f t="shared" si="16"/>
        <v>0</v>
      </c>
      <c r="K208" s="7" t="e">
        <f>IF((C207-1)&lt;$E$19,0,Seguros_Oblig!$N$4*(LeasingNOFam!$C$12*90%))</f>
        <v>#VALUE!</v>
      </c>
      <c r="L208" s="7" t="e">
        <f>IF(B208&gt;LeasingNOFam!$C$18,0,PMT(LeasingNOFam!$E$17,LeasingNOFam!$C$18,-LeasingNOFam!$C$15,,)-PMT(LeasingNOFam!$E$17,LeasingNOFam!$C$18,-LeasingNOFam!$C$22)+LeasingNOFam!$C$22*LeasingNOFam!$E$17)</f>
        <v>#VALUE!</v>
      </c>
      <c r="M208" s="9" t="e">
        <f t="shared" si="17"/>
        <v>#VALUE!</v>
      </c>
      <c r="N208" s="7" t="e">
        <f>IF(C207&lt;1,"0",LeasingHab!$C$39)</f>
        <v>#VALUE!</v>
      </c>
      <c r="O208" s="9" t="e">
        <f t="shared" si="18"/>
        <v>#VALUE!</v>
      </c>
    </row>
    <row r="209" spans="2:15" ht="15.5" x14ac:dyDescent="0.35">
      <c r="B209" s="6" t="e">
        <f t="shared" si="19"/>
        <v>#VALUE!</v>
      </c>
      <c r="C209" s="7" t="e">
        <f t="shared" si="14"/>
        <v>#VALUE!</v>
      </c>
      <c r="D209" s="7" t="e">
        <f t="shared" si="15"/>
        <v>#VALUE!</v>
      </c>
      <c r="E209" s="7" t="e">
        <f>IF((C208-1)&lt;$E$19,0,C208*LeasingNOFam!$E$17)</f>
        <v>#VALUE!</v>
      </c>
      <c r="F209" s="8" t="e">
        <f>IF((C208-1)&lt;$E$19,"0",C208*Seguros_Oblig!$N$3)</f>
        <v>#VALUE!</v>
      </c>
      <c r="G209" s="8" t="e">
        <f>IF(LeasingHab!$C$10="TARIFA 1",(C208*(VLOOKUP(LeasingHab!$C$24,Seguros_Oblig!$A$3:$B$55,2,FALSE))),(C208*(VLOOKUP(LeasingHab!$C$24,Seguros_Oblig!$A$3:$D$55,4,FALSE))))</f>
        <v>#VALUE!</v>
      </c>
      <c r="H209" s="8" t="e">
        <f>IF(LeasingHab!$C$10="TARIFA 1",(C208*(VLOOKUP(LeasingHab!$C$25,Seguros_Oblig!$A$3:$B$55,2,FALSE))),(C208*(VLOOKUP(LeasingHab!$C$25,Seguros_Oblig!$A$3:$D$55,4,FALSE))))</f>
        <v>#VALUE!</v>
      </c>
      <c r="I209" s="8" t="e">
        <f>IF(LeasingHab!$C$10="TARIFA 1",(C208*(VLOOKUP(LeasingHab!$C$26,Seguros_Oblig!$A$3:$B$55,2,FALSE))),(C208*(VLOOKUP(LeasingHab!$C$26,Seguros_Oblig!$A$3:$D$55,4,FALSE))))</f>
        <v>#VALUE!</v>
      </c>
      <c r="J209" s="10">
        <f t="shared" si="16"/>
        <v>0</v>
      </c>
      <c r="K209" s="7" t="e">
        <f>IF((C208-1)&lt;$E$19,0,Seguros_Oblig!$N$4*(LeasingNOFam!$C$12*90%))</f>
        <v>#VALUE!</v>
      </c>
      <c r="L209" s="7" t="e">
        <f>IF(B209&gt;LeasingNOFam!$C$18,0,PMT(LeasingNOFam!$E$17,LeasingNOFam!$C$18,-LeasingNOFam!$C$15,,)-PMT(LeasingNOFam!$E$17,LeasingNOFam!$C$18,-LeasingNOFam!$C$22)+LeasingNOFam!$C$22*LeasingNOFam!$E$17)</f>
        <v>#VALUE!</v>
      </c>
      <c r="M209" s="9" t="e">
        <f t="shared" si="17"/>
        <v>#VALUE!</v>
      </c>
      <c r="N209" s="7" t="e">
        <f>IF(C208&lt;1,"0",LeasingHab!$C$39)</f>
        <v>#VALUE!</v>
      </c>
      <c r="O209" s="9" t="e">
        <f t="shared" si="18"/>
        <v>#VALUE!</v>
      </c>
    </row>
    <row r="210" spans="2:15" ht="15.5" x14ac:dyDescent="0.35">
      <c r="B210" s="6" t="e">
        <f t="shared" si="19"/>
        <v>#VALUE!</v>
      </c>
      <c r="C210" s="7" t="e">
        <f t="shared" si="14"/>
        <v>#VALUE!</v>
      </c>
      <c r="D210" s="7" t="e">
        <f t="shared" si="15"/>
        <v>#VALUE!</v>
      </c>
      <c r="E210" s="7" t="e">
        <f>IF((C209-1)&lt;$E$19,0,C209*LeasingNOFam!$E$17)</f>
        <v>#VALUE!</v>
      </c>
      <c r="F210" s="8" t="e">
        <f>IF((C209-1)&lt;$E$19,"0",C209*Seguros_Oblig!$N$3)</f>
        <v>#VALUE!</v>
      </c>
      <c r="G210" s="8" t="e">
        <f>IF(LeasingHab!$C$10="TARIFA 1",(C209*(VLOOKUP(LeasingHab!$C$24,Seguros_Oblig!$A$3:$B$55,2,FALSE))),(C209*(VLOOKUP(LeasingHab!$C$24,Seguros_Oblig!$A$3:$D$55,4,FALSE))))</f>
        <v>#VALUE!</v>
      </c>
      <c r="H210" s="8" t="e">
        <f>IF(LeasingHab!$C$10="TARIFA 1",(C209*(VLOOKUP(LeasingHab!$C$25,Seguros_Oblig!$A$3:$B$55,2,FALSE))),(C209*(VLOOKUP(LeasingHab!$C$25,Seguros_Oblig!$A$3:$D$55,4,FALSE))))</f>
        <v>#VALUE!</v>
      </c>
      <c r="I210" s="8" t="e">
        <f>IF(LeasingHab!$C$10="TARIFA 1",(C209*(VLOOKUP(LeasingHab!$C$26,Seguros_Oblig!$A$3:$B$55,2,FALSE))),(C209*(VLOOKUP(LeasingHab!$C$26,Seguros_Oblig!$A$3:$D$55,4,FALSE))))</f>
        <v>#VALUE!</v>
      </c>
      <c r="J210" s="10">
        <f t="shared" si="16"/>
        <v>0</v>
      </c>
      <c r="K210" s="7" t="e">
        <f>IF((C209-1)&lt;$E$19,0,Seguros_Oblig!$N$4*(LeasingNOFam!$C$12*90%))</f>
        <v>#VALUE!</v>
      </c>
      <c r="L210" s="7" t="e">
        <f>IF(B210&gt;LeasingNOFam!$C$18,0,PMT(LeasingNOFam!$E$17,LeasingNOFam!$C$18,-LeasingNOFam!$C$15,,)-PMT(LeasingNOFam!$E$17,LeasingNOFam!$C$18,-LeasingNOFam!$C$22)+LeasingNOFam!$C$22*LeasingNOFam!$E$17)</f>
        <v>#VALUE!</v>
      </c>
      <c r="M210" s="9" t="e">
        <f t="shared" si="17"/>
        <v>#VALUE!</v>
      </c>
      <c r="N210" s="7" t="e">
        <f>IF(C209&lt;1,"0",LeasingHab!$C$39)</f>
        <v>#VALUE!</v>
      </c>
      <c r="O210" s="9" t="e">
        <f t="shared" si="18"/>
        <v>#VALUE!</v>
      </c>
    </row>
    <row r="211" spans="2:15" ht="15.5" x14ac:dyDescent="0.35">
      <c r="B211" s="6" t="e">
        <f t="shared" si="19"/>
        <v>#VALUE!</v>
      </c>
      <c r="C211" s="7" t="e">
        <f t="shared" ref="C211:C274" si="20">IF(D210=0,0,C210-D211)</f>
        <v>#VALUE!</v>
      </c>
      <c r="D211" s="7" t="e">
        <f t="shared" ref="D211:D274" si="21">IF((C210-1)&lt;$E$19,0,L211-E211)</f>
        <v>#VALUE!</v>
      </c>
      <c r="E211" s="7" t="e">
        <f>IF((C210-1)&lt;$E$19,0,C210*LeasingNOFam!$E$17)</f>
        <v>#VALUE!</v>
      </c>
      <c r="F211" s="8" t="e">
        <f>IF((C210-1)&lt;$E$19,"0",C210*Seguros_Oblig!$N$3)</f>
        <v>#VALUE!</v>
      </c>
      <c r="G211" s="8" t="e">
        <f>IF(LeasingHab!$C$10="TARIFA 1",(C210*(VLOOKUP(LeasingHab!$C$24,Seguros_Oblig!$A$3:$B$55,2,FALSE))),(C210*(VLOOKUP(LeasingHab!$C$24,Seguros_Oblig!$A$3:$D$55,4,FALSE))))</f>
        <v>#VALUE!</v>
      </c>
      <c r="H211" s="8" t="e">
        <f>IF(LeasingHab!$C$10="TARIFA 1",(C210*(VLOOKUP(LeasingHab!$C$25,Seguros_Oblig!$A$3:$B$55,2,FALSE))),(C210*(VLOOKUP(LeasingHab!$C$25,Seguros_Oblig!$A$3:$D$55,4,FALSE))))</f>
        <v>#VALUE!</v>
      </c>
      <c r="I211" s="8" t="e">
        <f>IF(LeasingHab!$C$10="TARIFA 1",(C210*(VLOOKUP(LeasingHab!$C$26,Seguros_Oblig!$A$3:$B$55,2,FALSE))),(C210*(VLOOKUP(LeasingHab!$C$26,Seguros_Oblig!$A$3:$D$55,4,FALSE))))</f>
        <v>#VALUE!</v>
      </c>
      <c r="J211" s="10">
        <f t="shared" si="16"/>
        <v>0</v>
      </c>
      <c r="K211" s="7" t="e">
        <f>IF((C210-1)&lt;$E$19,0,Seguros_Oblig!$N$4*(LeasingNOFam!$C$12*90%))</f>
        <v>#VALUE!</v>
      </c>
      <c r="L211" s="7" t="e">
        <f>IF(B211&gt;LeasingNOFam!$C$18,0,PMT(LeasingNOFam!$E$17,LeasingNOFam!$C$18,-LeasingNOFam!$C$15,,)-PMT(LeasingNOFam!$E$17,LeasingNOFam!$C$18,-LeasingNOFam!$C$22)+LeasingNOFam!$C$22*LeasingNOFam!$E$17)</f>
        <v>#VALUE!</v>
      </c>
      <c r="M211" s="9" t="e">
        <f t="shared" si="17"/>
        <v>#VALUE!</v>
      </c>
      <c r="N211" s="7" t="e">
        <f>IF(C210&lt;1,"0",LeasingHab!$C$39)</f>
        <v>#VALUE!</v>
      </c>
      <c r="O211" s="9" t="e">
        <f t="shared" si="18"/>
        <v>#VALUE!</v>
      </c>
    </row>
    <row r="212" spans="2:15" ht="15.5" x14ac:dyDescent="0.35">
      <c r="B212" s="6" t="e">
        <f t="shared" si="19"/>
        <v>#VALUE!</v>
      </c>
      <c r="C212" s="7" t="e">
        <f t="shared" si="20"/>
        <v>#VALUE!</v>
      </c>
      <c r="D212" s="7" t="e">
        <f t="shared" si="21"/>
        <v>#VALUE!</v>
      </c>
      <c r="E212" s="7" t="e">
        <f>IF((C211-1)&lt;$E$19,0,C211*LeasingNOFam!$E$17)</f>
        <v>#VALUE!</v>
      </c>
      <c r="F212" s="8" t="e">
        <f>IF((C211-1)&lt;$E$19,"0",C211*Seguros_Oblig!$N$3)</f>
        <v>#VALUE!</v>
      </c>
      <c r="G212" s="8" t="e">
        <f>IF(LeasingHab!$C$10="TARIFA 1",(C211*(VLOOKUP(LeasingHab!$C$24,Seguros_Oblig!$A$3:$B$55,2,FALSE))),(C211*(VLOOKUP(LeasingHab!$C$24,Seguros_Oblig!$A$3:$D$55,4,FALSE))))</f>
        <v>#VALUE!</v>
      </c>
      <c r="H212" s="8" t="e">
        <f>IF(LeasingHab!$C$10="TARIFA 1",(C211*(VLOOKUP(LeasingHab!$C$25,Seguros_Oblig!$A$3:$B$55,2,FALSE))),(C211*(VLOOKUP(LeasingHab!$C$25,Seguros_Oblig!$A$3:$D$55,4,FALSE))))</f>
        <v>#VALUE!</v>
      </c>
      <c r="I212" s="8" t="e">
        <f>IF(LeasingHab!$C$10="TARIFA 1",(C211*(VLOOKUP(LeasingHab!$C$26,Seguros_Oblig!$A$3:$B$55,2,FALSE))),(C211*(VLOOKUP(LeasingHab!$C$26,Seguros_Oblig!$A$3:$D$55,4,FALSE))))</f>
        <v>#VALUE!</v>
      </c>
      <c r="J212" s="10">
        <f t="shared" si="16"/>
        <v>0</v>
      </c>
      <c r="K212" s="7" t="e">
        <f>IF((C211-1)&lt;$E$19,0,Seguros_Oblig!$N$4*(LeasingNOFam!$C$12*90%))</f>
        <v>#VALUE!</v>
      </c>
      <c r="L212" s="7" t="e">
        <f>IF(B212&gt;LeasingNOFam!$C$18,0,PMT(LeasingNOFam!$E$17,LeasingNOFam!$C$18,-LeasingNOFam!$C$15,,)-PMT(LeasingNOFam!$E$17,LeasingNOFam!$C$18,-LeasingNOFam!$C$22)+LeasingNOFam!$C$22*LeasingNOFam!$E$17)</f>
        <v>#VALUE!</v>
      </c>
      <c r="M212" s="9" t="e">
        <f t="shared" si="17"/>
        <v>#VALUE!</v>
      </c>
      <c r="N212" s="7" t="e">
        <f>IF(C211&lt;1,"0",LeasingHab!$C$39)</f>
        <v>#VALUE!</v>
      </c>
      <c r="O212" s="9" t="e">
        <f t="shared" si="18"/>
        <v>#VALUE!</v>
      </c>
    </row>
    <row r="213" spans="2:15" ht="15.5" x14ac:dyDescent="0.35">
      <c r="B213" s="6" t="e">
        <f t="shared" si="19"/>
        <v>#VALUE!</v>
      </c>
      <c r="C213" s="7" t="e">
        <f t="shared" si="20"/>
        <v>#VALUE!</v>
      </c>
      <c r="D213" s="7" t="e">
        <f t="shared" si="21"/>
        <v>#VALUE!</v>
      </c>
      <c r="E213" s="7" t="e">
        <f>IF((C212-1)&lt;$E$19,0,C212*LeasingNOFam!$E$17)</f>
        <v>#VALUE!</v>
      </c>
      <c r="F213" s="8" t="e">
        <f>IF((C212-1)&lt;$E$19,"0",C212*Seguros_Oblig!$N$3)</f>
        <v>#VALUE!</v>
      </c>
      <c r="G213" s="8" t="e">
        <f>IF(LeasingHab!$C$10="TARIFA 1",(C212*(VLOOKUP(LeasingHab!$C$24,Seguros_Oblig!$A$3:$B$55,2,FALSE))),(C212*(VLOOKUP(LeasingHab!$C$24,Seguros_Oblig!$A$3:$D$55,4,FALSE))))</f>
        <v>#VALUE!</v>
      </c>
      <c r="H213" s="8" t="e">
        <f>IF(LeasingHab!$C$10="TARIFA 1",(C212*(VLOOKUP(LeasingHab!$C$25,Seguros_Oblig!$A$3:$B$55,2,FALSE))),(C212*(VLOOKUP(LeasingHab!$C$25,Seguros_Oblig!$A$3:$D$55,4,FALSE))))</f>
        <v>#VALUE!</v>
      </c>
      <c r="I213" s="8" t="e">
        <f>IF(LeasingHab!$C$10="TARIFA 1",(C212*(VLOOKUP(LeasingHab!$C$26,Seguros_Oblig!$A$3:$B$55,2,FALSE))),(C212*(VLOOKUP(LeasingHab!$C$26,Seguros_Oblig!$A$3:$D$55,4,FALSE))))</f>
        <v>#VALUE!</v>
      </c>
      <c r="J213" s="10">
        <f t="shared" si="16"/>
        <v>0</v>
      </c>
      <c r="K213" s="7" t="e">
        <f>IF((C212-1)&lt;$E$19,0,Seguros_Oblig!$N$4*(LeasingNOFam!$C$12*90%))</f>
        <v>#VALUE!</v>
      </c>
      <c r="L213" s="7" t="e">
        <f>IF(B213&gt;LeasingNOFam!$C$18,0,PMT(LeasingNOFam!$E$17,LeasingNOFam!$C$18,-LeasingNOFam!$C$15,,)-PMT(LeasingNOFam!$E$17,LeasingNOFam!$C$18,-LeasingNOFam!$C$22)+LeasingNOFam!$C$22*LeasingNOFam!$E$17)</f>
        <v>#VALUE!</v>
      </c>
      <c r="M213" s="9" t="e">
        <f t="shared" si="17"/>
        <v>#VALUE!</v>
      </c>
      <c r="N213" s="7" t="e">
        <f>IF(C212&lt;1,"0",LeasingHab!$C$39)</f>
        <v>#VALUE!</v>
      </c>
      <c r="O213" s="9" t="e">
        <f t="shared" si="18"/>
        <v>#VALUE!</v>
      </c>
    </row>
    <row r="214" spans="2:15" ht="15.5" x14ac:dyDescent="0.35">
      <c r="B214" s="6" t="e">
        <f t="shared" si="19"/>
        <v>#VALUE!</v>
      </c>
      <c r="C214" s="7" t="e">
        <f t="shared" si="20"/>
        <v>#VALUE!</v>
      </c>
      <c r="D214" s="7" t="e">
        <f t="shared" si="21"/>
        <v>#VALUE!</v>
      </c>
      <c r="E214" s="7" t="e">
        <f>IF((C213-1)&lt;$E$19,0,C213*LeasingNOFam!$E$17)</f>
        <v>#VALUE!</v>
      </c>
      <c r="F214" s="8" t="e">
        <f>IF((C213-1)&lt;$E$19,"0",C213*Seguros_Oblig!$N$3)</f>
        <v>#VALUE!</v>
      </c>
      <c r="G214" s="8" t="e">
        <f>IF(LeasingHab!$C$10="TARIFA 1",(C213*(VLOOKUP(LeasingHab!$C$24,Seguros_Oblig!$A$3:$B$55,2,FALSE))),(C213*(VLOOKUP(LeasingHab!$C$24,Seguros_Oblig!$A$3:$D$55,4,FALSE))))</f>
        <v>#VALUE!</v>
      </c>
      <c r="H214" s="8" t="e">
        <f>IF(LeasingHab!$C$10="TARIFA 1",(C213*(VLOOKUP(LeasingHab!$C$25,Seguros_Oblig!$A$3:$B$55,2,FALSE))),(C213*(VLOOKUP(LeasingHab!$C$25,Seguros_Oblig!$A$3:$D$55,4,FALSE))))</f>
        <v>#VALUE!</v>
      </c>
      <c r="I214" s="8" t="e">
        <f>IF(LeasingHab!$C$10="TARIFA 1",(C213*(VLOOKUP(LeasingHab!$C$26,Seguros_Oblig!$A$3:$B$55,2,FALSE))),(C213*(VLOOKUP(LeasingHab!$C$26,Seguros_Oblig!$A$3:$D$55,4,FALSE))))</f>
        <v>#VALUE!</v>
      </c>
      <c r="J214" s="10">
        <f t="shared" si="16"/>
        <v>0</v>
      </c>
      <c r="K214" s="7" t="e">
        <f>IF((C213-1)&lt;$E$19,0,Seguros_Oblig!$N$4*(LeasingNOFam!$C$12*90%))</f>
        <v>#VALUE!</v>
      </c>
      <c r="L214" s="7" t="e">
        <f>IF(B214&gt;LeasingNOFam!$C$18,0,PMT(LeasingNOFam!$E$17,LeasingNOFam!$C$18,-LeasingNOFam!$C$15,,)-PMT(LeasingNOFam!$E$17,LeasingNOFam!$C$18,-LeasingNOFam!$C$22)+LeasingNOFam!$C$22*LeasingNOFam!$E$17)</f>
        <v>#VALUE!</v>
      </c>
      <c r="M214" s="9" t="e">
        <f t="shared" si="17"/>
        <v>#VALUE!</v>
      </c>
      <c r="N214" s="7" t="e">
        <f>IF(C213&lt;1,"0",LeasingHab!$C$39)</f>
        <v>#VALUE!</v>
      </c>
      <c r="O214" s="9" t="e">
        <f t="shared" si="18"/>
        <v>#VALUE!</v>
      </c>
    </row>
    <row r="215" spans="2:15" ht="15.5" x14ac:dyDescent="0.35">
      <c r="B215" s="6" t="e">
        <f t="shared" si="19"/>
        <v>#VALUE!</v>
      </c>
      <c r="C215" s="7" t="e">
        <f t="shared" si="20"/>
        <v>#VALUE!</v>
      </c>
      <c r="D215" s="7" t="e">
        <f t="shared" si="21"/>
        <v>#VALUE!</v>
      </c>
      <c r="E215" s="7" t="e">
        <f>IF((C214-1)&lt;$E$19,0,C214*LeasingNOFam!$E$17)</f>
        <v>#VALUE!</v>
      </c>
      <c r="F215" s="8" t="e">
        <f>IF((C214-1)&lt;$E$19,"0",C214*Seguros_Oblig!$N$3)</f>
        <v>#VALUE!</v>
      </c>
      <c r="G215" s="8" t="e">
        <f>IF(LeasingHab!$C$10="TARIFA 1",(C214*(VLOOKUP(LeasingHab!$C$24,Seguros_Oblig!$A$3:$B$55,2,FALSE))),(C214*(VLOOKUP(LeasingHab!$C$24,Seguros_Oblig!$A$3:$D$55,4,FALSE))))</f>
        <v>#VALUE!</v>
      </c>
      <c r="H215" s="8" t="e">
        <f>IF(LeasingHab!$C$10="TARIFA 1",(C214*(VLOOKUP(LeasingHab!$C$25,Seguros_Oblig!$A$3:$B$55,2,FALSE))),(C214*(VLOOKUP(LeasingHab!$C$25,Seguros_Oblig!$A$3:$D$55,4,FALSE))))</f>
        <v>#VALUE!</v>
      </c>
      <c r="I215" s="8" t="e">
        <f>IF(LeasingHab!$C$10="TARIFA 1",(C214*(VLOOKUP(LeasingHab!$C$26,Seguros_Oblig!$A$3:$B$55,2,FALSE))),(C214*(VLOOKUP(LeasingHab!$C$26,Seguros_Oblig!$A$3:$D$55,4,FALSE))))</f>
        <v>#VALUE!</v>
      </c>
      <c r="J215" s="10">
        <f t="shared" ref="J215:J278" si="22">_xlfn.AGGREGATE(9,6,F215:I215)</f>
        <v>0</v>
      </c>
      <c r="K215" s="7" t="e">
        <f>IF((C214-1)&lt;$E$19,0,Seguros_Oblig!$N$4*(LeasingNOFam!$C$12*90%))</f>
        <v>#VALUE!</v>
      </c>
      <c r="L215" s="7" t="e">
        <f>IF(B215&gt;LeasingNOFam!$C$18,0,PMT(LeasingNOFam!$E$17,LeasingNOFam!$C$18,-LeasingNOFam!$C$15,,)-PMT(LeasingNOFam!$E$17,LeasingNOFam!$C$18,-LeasingNOFam!$C$22)+LeasingNOFam!$C$22*LeasingNOFam!$E$17)</f>
        <v>#VALUE!</v>
      </c>
      <c r="M215" s="9" t="e">
        <f t="shared" ref="M215:M278" si="23">K215+L215+J215</f>
        <v>#VALUE!</v>
      </c>
      <c r="N215" s="7" t="e">
        <f>IF(C214&lt;1,"0",LeasingHab!$C$39)</f>
        <v>#VALUE!</v>
      </c>
      <c r="O215" s="9" t="e">
        <f t="shared" ref="O215:O278" si="24">M215+N215</f>
        <v>#VALUE!</v>
      </c>
    </row>
    <row r="216" spans="2:15" ht="15.5" x14ac:dyDescent="0.35">
      <c r="B216" s="6" t="e">
        <f t="shared" si="19"/>
        <v>#VALUE!</v>
      </c>
      <c r="C216" s="7" t="e">
        <f t="shared" si="20"/>
        <v>#VALUE!</v>
      </c>
      <c r="D216" s="7" t="e">
        <f t="shared" si="21"/>
        <v>#VALUE!</v>
      </c>
      <c r="E216" s="7" t="e">
        <f>IF((C215-1)&lt;$E$19,0,C215*LeasingNOFam!$E$17)</f>
        <v>#VALUE!</v>
      </c>
      <c r="F216" s="8" t="e">
        <f>IF((C215-1)&lt;$E$19,"0",C215*Seguros_Oblig!$N$3)</f>
        <v>#VALUE!</v>
      </c>
      <c r="G216" s="8" t="e">
        <f>IF(LeasingHab!$C$10="TARIFA 1",(C215*(VLOOKUP(LeasingHab!$C$24,Seguros_Oblig!$A$3:$B$55,2,FALSE))),(C215*(VLOOKUP(LeasingHab!$C$24,Seguros_Oblig!$A$3:$D$55,4,FALSE))))</f>
        <v>#VALUE!</v>
      </c>
      <c r="H216" s="8" t="e">
        <f>IF(LeasingHab!$C$10="TARIFA 1",(C215*(VLOOKUP(LeasingHab!$C$25,Seguros_Oblig!$A$3:$B$55,2,FALSE))),(C215*(VLOOKUP(LeasingHab!$C$25,Seguros_Oblig!$A$3:$D$55,4,FALSE))))</f>
        <v>#VALUE!</v>
      </c>
      <c r="I216" s="8" t="e">
        <f>IF(LeasingHab!$C$10="TARIFA 1",(C215*(VLOOKUP(LeasingHab!$C$26,Seguros_Oblig!$A$3:$B$55,2,FALSE))),(C215*(VLOOKUP(LeasingHab!$C$26,Seguros_Oblig!$A$3:$D$55,4,FALSE))))</f>
        <v>#VALUE!</v>
      </c>
      <c r="J216" s="10">
        <f t="shared" si="22"/>
        <v>0</v>
      </c>
      <c r="K216" s="7" t="e">
        <f>IF((C215-1)&lt;$E$19,0,Seguros_Oblig!$N$4*(LeasingNOFam!$C$12*90%))</f>
        <v>#VALUE!</v>
      </c>
      <c r="L216" s="7" t="e">
        <f>IF(B216&gt;LeasingNOFam!$C$18,0,PMT(LeasingNOFam!$E$17,LeasingNOFam!$C$18,-LeasingNOFam!$C$15,,)-PMT(LeasingNOFam!$E$17,LeasingNOFam!$C$18,-LeasingNOFam!$C$22)+LeasingNOFam!$C$22*LeasingNOFam!$E$17)</f>
        <v>#VALUE!</v>
      </c>
      <c r="M216" s="9" t="e">
        <f t="shared" si="23"/>
        <v>#VALUE!</v>
      </c>
      <c r="N216" s="7" t="e">
        <f>IF(C215&lt;1,"0",LeasingHab!$C$39)</f>
        <v>#VALUE!</v>
      </c>
      <c r="O216" s="9" t="e">
        <f t="shared" si="24"/>
        <v>#VALUE!</v>
      </c>
    </row>
    <row r="217" spans="2:15" ht="15.5" x14ac:dyDescent="0.35">
      <c r="B217" s="6" t="e">
        <f t="shared" si="19"/>
        <v>#VALUE!</v>
      </c>
      <c r="C217" s="7" t="e">
        <f t="shared" si="20"/>
        <v>#VALUE!</v>
      </c>
      <c r="D217" s="7" t="e">
        <f t="shared" si="21"/>
        <v>#VALUE!</v>
      </c>
      <c r="E217" s="7" t="e">
        <f>IF((C216-1)&lt;$E$19,0,C216*LeasingNOFam!$E$17)</f>
        <v>#VALUE!</v>
      </c>
      <c r="F217" s="8" t="e">
        <f>IF((C216-1)&lt;$E$19,"0",C216*Seguros_Oblig!$N$3)</f>
        <v>#VALUE!</v>
      </c>
      <c r="G217" s="8" t="e">
        <f>IF(LeasingHab!$C$10="TARIFA 1",(C216*(VLOOKUP(LeasingHab!$C$24,Seguros_Oblig!$A$3:$B$55,2,FALSE))),(C216*(VLOOKUP(LeasingHab!$C$24,Seguros_Oblig!$A$3:$D$55,4,FALSE))))</f>
        <v>#VALUE!</v>
      </c>
      <c r="H217" s="8" t="e">
        <f>IF(LeasingHab!$C$10="TARIFA 1",(C216*(VLOOKUP(LeasingHab!$C$25,Seguros_Oblig!$A$3:$B$55,2,FALSE))),(C216*(VLOOKUP(LeasingHab!$C$25,Seguros_Oblig!$A$3:$D$55,4,FALSE))))</f>
        <v>#VALUE!</v>
      </c>
      <c r="I217" s="8" t="e">
        <f>IF(LeasingHab!$C$10="TARIFA 1",(C216*(VLOOKUP(LeasingHab!$C$26,Seguros_Oblig!$A$3:$B$55,2,FALSE))),(C216*(VLOOKUP(LeasingHab!$C$26,Seguros_Oblig!$A$3:$D$55,4,FALSE))))</f>
        <v>#VALUE!</v>
      </c>
      <c r="J217" s="10">
        <f t="shared" si="22"/>
        <v>0</v>
      </c>
      <c r="K217" s="7" t="e">
        <f>IF((C216-1)&lt;$E$19,0,Seguros_Oblig!$N$4*(LeasingNOFam!$C$12*90%))</f>
        <v>#VALUE!</v>
      </c>
      <c r="L217" s="7" t="e">
        <f>IF(B217&gt;LeasingNOFam!$C$18,0,PMT(LeasingNOFam!$E$17,LeasingNOFam!$C$18,-LeasingNOFam!$C$15,,)-PMT(LeasingNOFam!$E$17,LeasingNOFam!$C$18,-LeasingNOFam!$C$22)+LeasingNOFam!$C$22*LeasingNOFam!$E$17)</f>
        <v>#VALUE!</v>
      </c>
      <c r="M217" s="9" t="e">
        <f t="shared" si="23"/>
        <v>#VALUE!</v>
      </c>
      <c r="N217" s="7" t="e">
        <f>IF(C216&lt;1,"0",LeasingHab!$C$39)</f>
        <v>#VALUE!</v>
      </c>
      <c r="O217" s="9" t="e">
        <f t="shared" si="24"/>
        <v>#VALUE!</v>
      </c>
    </row>
    <row r="218" spans="2:15" ht="15.5" x14ac:dyDescent="0.35">
      <c r="B218" s="6" t="e">
        <f t="shared" si="19"/>
        <v>#VALUE!</v>
      </c>
      <c r="C218" s="7" t="e">
        <f t="shared" si="20"/>
        <v>#VALUE!</v>
      </c>
      <c r="D218" s="7" t="e">
        <f t="shared" si="21"/>
        <v>#VALUE!</v>
      </c>
      <c r="E218" s="7" t="e">
        <f>IF((C217-1)&lt;$E$19,0,C217*LeasingNOFam!$E$17)</f>
        <v>#VALUE!</v>
      </c>
      <c r="F218" s="8" t="e">
        <f>IF((C217-1)&lt;$E$19,"0",C217*Seguros_Oblig!$N$3)</f>
        <v>#VALUE!</v>
      </c>
      <c r="G218" s="8" t="e">
        <f>IF(LeasingHab!$C$10="TARIFA 1",(C217*(VLOOKUP(LeasingHab!$C$24,Seguros_Oblig!$A$3:$B$55,2,FALSE))),(C217*(VLOOKUP(LeasingHab!$C$24,Seguros_Oblig!$A$3:$D$55,4,FALSE))))</f>
        <v>#VALUE!</v>
      </c>
      <c r="H218" s="8" t="e">
        <f>IF(LeasingHab!$C$10="TARIFA 1",(C217*(VLOOKUP(LeasingHab!$C$25,Seguros_Oblig!$A$3:$B$55,2,FALSE))),(C217*(VLOOKUP(LeasingHab!$C$25,Seguros_Oblig!$A$3:$D$55,4,FALSE))))</f>
        <v>#VALUE!</v>
      </c>
      <c r="I218" s="8" t="e">
        <f>IF(LeasingHab!$C$10="TARIFA 1",(C217*(VLOOKUP(LeasingHab!$C$26,Seguros_Oblig!$A$3:$B$55,2,FALSE))),(C217*(VLOOKUP(LeasingHab!$C$26,Seguros_Oblig!$A$3:$D$55,4,FALSE))))</f>
        <v>#VALUE!</v>
      </c>
      <c r="J218" s="10">
        <f t="shared" si="22"/>
        <v>0</v>
      </c>
      <c r="K218" s="7" t="e">
        <f>IF((C217-1)&lt;$E$19,0,Seguros_Oblig!$N$4*(LeasingNOFam!$C$12*90%))</f>
        <v>#VALUE!</v>
      </c>
      <c r="L218" s="7" t="e">
        <f>IF(B218&gt;LeasingNOFam!$C$18,0,PMT(LeasingNOFam!$E$17,LeasingNOFam!$C$18,-LeasingNOFam!$C$15,,)-PMT(LeasingNOFam!$E$17,LeasingNOFam!$C$18,-LeasingNOFam!$C$22)+LeasingNOFam!$C$22*LeasingNOFam!$E$17)</f>
        <v>#VALUE!</v>
      </c>
      <c r="M218" s="9" t="e">
        <f t="shared" si="23"/>
        <v>#VALUE!</v>
      </c>
      <c r="N218" s="7" t="e">
        <f>IF(C217&lt;1,"0",LeasingHab!$C$39)</f>
        <v>#VALUE!</v>
      </c>
      <c r="O218" s="9" t="e">
        <f t="shared" si="24"/>
        <v>#VALUE!</v>
      </c>
    </row>
    <row r="219" spans="2:15" ht="15.5" x14ac:dyDescent="0.35">
      <c r="B219" s="6" t="e">
        <f t="shared" si="19"/>
        <v>#VALUE!</v>
      </c>
      <c r="C219" s="7" t="e">
        <f t="shared" si="20"/>
        <v>#VALUE!</v>
      </c>
      <c r="D219" s="7" t="e">
        <f t="shared" si="21"/>
        <v>#VALUE!</v>
      </c>
      <c r="E219" s="7" t="e">
        <f>IF((C218-1)&lt;$E$19,0,C218*LeasingNOFam!$E$17)</f>
        <v>#VALUE!</v>
      </c>
      <c r="F219" s="8" t="e">
        <f>IF((C218-1)&lt;$E$19,"0",C218*Seguros_Oblig!$N$3)</f>
        <v>#VALUE!</v>
      </c>
      <c r="G219" s="8" t="e">
        <f>IF(LeasingHab!$C$10="TARIFA 1",(C218*(VLOOKUP(LeasingHab!$C$24,Seguros_Oblig!$A$3:$B$55,2,FALSE))),(C218*(VLOOKUP(LeasingHab!$C$24,Seguros_Oblig!$A$3:$D$55,4,FALSE))))</f>
        <v>#VALUE!</v>
      </c>
      <c r="H219" s="8" t="e">
        <f>IF(LeasingHab!$C$10="TARIFA 1",(C218*(VLOOKUP(LeasingHab!$C$25,Seguros_Oblig!$A$3:$B$55,2,FALSE))),(C218*(VLOOKUP(LeasingHab!$C$25,Seguros_Oblig!$A$3:$D$55,4,FALSE))))</f>
        <v>#VALUE!</v>
      </c>
      <c r="I219" s="8" t="e">
        <f>IF(LeasingHab!$C$10="TARIFA 1",(C218*(VLOOKUP(LeasingHab!$C$26,Seguros_Oblig!$A$3:$B$55,2,FALSE))),(C218*(VLOOKUP(LeasingHab!$C$26,Seguros_Oblig!$A$3:$D$55,4,FALSE))))</f>
        <v>#VALUE!</v>
      </c>
      <c r="J219" s="10">
        <f t="shared" si="22"/>
        <v>0</v>
      </c>
      <c r="K219" s="7" t="e">
        <f>IF((C218-1)&lt;$E$19,0,Seguros_Oblig!$N$4*(LeasingNOFam!$C$12*90%))</f>
        <v>#VALUE!</v>
      </c>
      <c r="L219" s="7" t="e">
        <f>IF(B219&gt;LeasingNOFam!$C$18,0,PMT(LeasingNOFam!$E$17,LeasingNOFam!$C$18,-LeasingNOFam!$C$15,,)-PMT(LeasingNOFam!$E$17,LeasingNOFam!$C$18,-LeasingNOFam!$C$22)+LeasingNOFam!$C$22*LeasingNOFam!$E$17)</f>
        <v>#VALUE!</v>
      </c>
      <c r="M219" s="9" t="e">
        <f t="shared" si="23"/>
        <v>#VALUE!</v>
      </c>
      <c r="N219" s="7" t="e">
        <f>IF(C218&lt;1,"0",LeasingHab!$C$39)</f>
        <v>#VALUE!</v>
      </c>
      <c r="O219" s="9" t="e">
        <f t="shared" si="24"/>
        <v>#VALUE!</v>
      </c>
    </row>
    <row r="220" spans="2:15" ht="15.5" x14ac:dyDescent="0.35">
      <c r="B220" s="6" t="e">
        <f t="shared" ref="B220:B283" si="25">IF(C219&gt;1,B219+1," ")</f>
        <v>#VALUE!</v>
      </c>
      <c r="C220" s="7" t="e">
        <f t="shared" si="20"/>
        <v>#VALUE!</v>
      </c>
      <c r="D220" s="7" t="e">
        <f t="shared" si="21"/>
        <v>#VALUE!</v>
      </c>
      <c r="E220" s="7" t="e">
        <f>IF((C219-1)&lt;$E$19,0,C219*LeasingNOFam!$E$17)</f>
        <v>#VALUE!</v>
      </c>
      <c r="F220" s="8" t="e">
        <f>IF((C219-1)&lt;$E$19,"0",C219*Seguros_Oblig!$N$3)</f>
        <v>#VALUE!</v>
      </c>
      <c r="G220" s="8" t="e">
        <f>IF(LeasingHab!$C$10="TARIFA 1",(C219*(VLOOKUP(LeasingHab!$C$24,Seguros_Oblig!$A$3:$B$55,2,FALSE))),(C219*(VLOOKUP(LeasingHab!$C$24,Seguros_Oblig!$A$3:$D$55,4,FALSE))))</f>
        <v>#VALUE!</v>
      </c>
      <c r="H220" s="8" t="e">
        <f>IF(LeasingHab!$C$10="TARIFA 1",(C219*(VLOOKUP(LeasingHab!$C$25,Seguros_Oblig!$A$3:$B$55,2,FALSE))),(C219*(VLOOKUP(LeasingHab!$C$25,Seguros_Oblig!$A$3:$D$55,4,FALSE))))</f>
        <v>#VALUE!</v>
      </c>
      <c r="I220" s="8" t="e">
        <f>IF(LeasingHab!$C$10="TARIFA 1",(C219*(VLOOKUP(LeasingHab!$C$26,Seguros_Oblig!$A$3:$B$55,2,FALSE))),(C219*(VLOOKUP(LeasingHab!$C$26,Seguros_Oblig!$A$3:$D$55,4,FALSE))))</f>
        <v>#VALUE!</v>
      </c>
      <c r="J220" s="10">
        <f t="shared" si="22"/>
        <v>0</v>
      </c>
      <c r="K220" s="7" t="e">
        <f>IF((C219-1)&lt;$E$19,0,Seguros_Oblig!$N$4*(LeasingNOFam!$C$12*90%))</f>
        <v>#VALUE!</v>
      </c>
      <c r="L220" s="7" t="e">
        <f>IF(B220&gt;LeasingNOFam!$C$18,0,PMT(LeasingNOFam!$E$17,LeasingNOFam!$C$18,-LeasingNOFam!$C$15,,)-PMT(LeasingNOFam!$E$17,LeasingNOFam!$C$18,-LeasingNOFam!$C$22)+LeasingNOFam!$C$22*LeasingNOFam!$E$17)</f>
        <v>#VALUE!</v>
      </c>
      <c r="M220" s="9" t="e">
        <f t="shared" si="23"/>
        <v>#VALUE!</v>
      </c>
      <c r="N220" s="7" t="e">
        <f>IF(C219&lt;1,"0",LeasingHab!$C$39)</f>
        <v>#VALUE!</v>
      </c>
      <c r="O220" s="9" t="e">
        <f t="shared" si="24"/>
        <v>#VALUE!</v>
      </c>
    </row>
    <row r="221" spans="2:15" ht="15.5" x14ac:dyDescent="0.35">
      <c r="B221" s="6" t="e">
        <f t="shared" si="25"/>
        <v>#VALUE!</v>
      </c>
      <c r="C221" s="7" t="e">
        <f t="shared" si="20"/>
        <v>#VALUE!</v>
      </c>
      <c r="D221" s="7" t="e">
        <f t="shared" si="21"/>
        <v>#VALUE!</v>
      </c>
      <c r="E221" s="7" t="e">
        <f>IF((C220-1)&lt;$E$19,0,C220*LeasingNOFam!$E$17)</f>
        <v>#VALUE!</v>
      </c>
      <c r="F221" s="8" t="e">
        <f>IF((C220-1)&lt;$E$19,"0",C220*Seguros_Oblig!$N$3)</f>
        <v>#VALUE!</v>
      </c>
      <c r="G221" s="8" t="e">
        <f>IF(LeasingHab!$C$10="TARIFA 1",(C220*(VLOOKUP(LeasingHab!$C$24,Seguros_Oblig!$A$3:$B$55,2,FALSE))),(C220*(VLOOKUP(LeasingHab!$C$24,Seguros_Oblig!$A$3:$D$55,4,FALSE))))</f>
        <v>#VALUE!</v>
      </c>
      <c r="H221" s="8" t="e">
        <f>IF(LeasingHab!$C$10="TARIFA 1",(C220*(VLOOKUP(LeasingHab!$C$25,Seguros_Oblig!$A$3:$B$55,2,FALSE))),(C220*(VLOOKUP(LeasingHab!$C$25,Seguros_Oblig!$A$3:$D$55,4,FALSE))))</f>
        <v>#VALUE!</v>
      </c>
      <c r="I221" s="8" t="e">
        <f>IF(LeasingHab!$C$10="TARIFA 1",(C220*(VLOOKUP(LeasingHab!$C$26,Seguros_Oblig!$A$3:$B$55,2,FALSE))),(C220*(VLOOKUP(LeasingHab!$C$26,Seguros_Oblig!$A$3:$D$55,4,FALSE))))</f>
        <v>#VALUE!</v>
      </c>
      <c r="J221" s="10">
        <f t="shared" si="22"/>
        <v>0</v>
      </c>
      <c r="K221" s="7" t="e">
        <f>IF((C220-1)&lt;$E$19,0,Seguros_Oblig!$N$4*(LeasingNOFam!$C$12*90%))</f>
        <v>#VALUE!</v>
      </c>
      <c r="L221" s="7" t="e">
        <f>IF(B221&gt;LeasingNOFam!$C$18,0,PMT(LeasingNOFam!$E$17,LeasingNOFam!$C$18,-LeasingNOFam!$C$15,,)-PMT(LeasingNOFam!$E$17,LeasingNOFam!$C$18,-LeasingNOFam!$C$22)+LeasingNOFam!$C$22*LeasingNOFam!$E$17)</f>
        <v>#VALUE!</v>
      </c>
      <c r="M221" s="9" t="e">
        <f t="shared" si="23"/>
        <v>#VALUE!</v>
      </c>
      <c r="N221" s="7" t="e">
        <f>IF(C220&lt;1,"0",LeasingHab!$C$39)</f>
        <v>#VALUE!</v>
      </c>
      <c r="O221" s="9" t="e">
        <f t="shared" si="24"/>
        <v>#VALUE!</v>
      </c>
    </row>
    <row r="222" spans="2:15" ht="15.5" x14ac:dyDescent="0.35">
      <c r="B222" s="6" t="e">
        <f t="shared" si="25"/>
        <v>#VALUE!</v>
      </c>
      <c r="C222" s="7" t="e">
        <f t="shared" si="20"/>
        <v>#VALUE!</v>
      </c>
      <c r="D222" s="7" t="e">
        <f t="shared" si="21"/>
        <v>#VALUE!</v>
      </c>
      <c r="E222" s="7" t="e">
        <f>IF((C221-1)&lt;$E$19,0,C221*LeasingNOFam!$E$17)</f>
        <v>#VALUE!</v>
      </c>
      <c r="F222" s="8" t="e">
        <f>IF((C221-1)&lt;$E$19,"0",C221*Seguros_Oblig!$N$3)</f>
        <v>#VALUE!</v>
      </c>
      <c r="G222" s="8" t="e">
        <f>IF(LeasingHab!$C$10="TARIFA 1",(C221*(VLOOKUP(LeasingHab!$C$24,Seguros_Oblig!$A$3:$B$55,2,FALSE))),(C221*(VLOOKUP(LeasingHab!$C$24,Seguros_Oblig!$A$3:$D$55,4,FALSE))))</f>
        <v>#VALUE!</v>
      </c>
      <c r="H222" s="8" t="e">
        <f>IF(LeasingHab!$C$10="TARIFA 1",(C221*(VLOOKUP(LeasingHab!$C$25,Seguros_Oblig!$A$3:$B$55,2,FALSE))),(C221*(VLOOKUP(LeasingHab!$C$25,Seguros_Oblig!$A$3:$D$55,4,FALSE))))</f>
        <v>#VALUE!</v>
      </c>
      <c r="I222" s="8" t="e">
        <f>IF(LeasingHab!$C$10="TARIFA 1",(C221*(VLOOKUP(LeasingHab!$C$26,Seguros_Oblig!$A$3:$B$55,2,FALSE))),(C221*(VLOOKUP(LeasingHab!$C$26,Seguros_Oblig!$A$3:$D$55,4,FALSE))))</f>
        <v>#VALUE!</v>
      </c>
      <c r="J222" s="10">
        <f t="shared" si="22"/>
        <v>0</v>
      </c>
      <c r="K222" s="7" t="e">
        <f>IF((C221-1)&lt;$E$19,0,Seguros_Oblig!$N$4*(LeasingNOFam!$C$12*90%))</f>
        <v>#VALUE!</v>
      </c>
      <c r="L222" s="7" t="e">
        <f>IF(B222&gt;LeasingNOFam!$C$18,0,PMT(LeasingNOFam!$E$17,LeasingNOFam!$C$18,-LeasingNOFam!$C$15,,)-PMT(LeasingNOFam!$E$17,LeasingNOFam!$C$18,-LeasingNOFam!$C$22)+LeasingNOFam!$C$22*LeasingNOFam!$E$17)</f>
        <v>#VALUE!</v>
      </c>
      <c r="M222" s="9" t="e">
        <f t="shared" si="23"/>
        <v>#VALUE!</v>
      </c>
      <c r="N222" s="7" t="e">
        <f>IF(C221&lt;1,"0",LeasingHab!$C$39)</f>
        <v>#VALUE!</v>
      </c>
      <c r="O222" s="9" t="e">
        <f t="shared" si="24"/>
        <v>#VALUE!</v>
      </c>
    </row>
    <row r="223" spans="2:15" ht="15.5" x14ac:dyDescent="0.35">
      <c r="B223" s="6" t="e">
        <f t="shared" si="25"/>
        <v>#VALUE!</v>
      </c>
      <c r="C223" s="7" t="e">
        <f t="shared" si="20"/>
        <v>#VALUE!</v>
      </c>
      <c r="D223" s="7" t="e">
        <f t="shared" si="21"/>
        <v>#VALUE!</v>
      </c>
      <c r="E223" s="7" t="e">
        <f>IF((C222-1)&lt;$E$19,0,C222*LeasingNOFam!$E$17)</f>
        <v>#VALUE!</v>
      </c>
      <c r="F223" s="8" t="e">
        <f>IF((C222-1)&lt;$E$19,"0",C222*Seguros_Oblig!$N$3)</f>
        <v>#VALUE!</v>
      </c>
      <c r="G223" s="8" t="e">
        <f>IF(LeasingHab!$C$10="TARIFA 1",(C222*(VLOOKUP(LeasingHab!$C$24,Seguros_Oblig!$A$3:$B$55,2,FALSE))),(C222*(VLOOKUP(LeasingHab!$C$24,Seguros_Oblig!$A$3:$D$55,4,FALSE))))</f>
        <v>#VALUE!</v>
      </c>
      <c r="H223" s="8" t="e">
        <f>IF(LeasingHab!$C$10="TARIFA 1",(C222*(VLOOKUP(LeasingHab!$C$25,Seguros_Oblig!$A$3:$B$55,2,FALSE))),(C222*(VLOOKUP(LeasingHab!$C$25,Seguros_Oblig!$A$3:$D$55,4,FALSE))))</f>
        <v>#VALUE!</v>
      </c>
      <c r="I223" s="8" t="e">
        <f>IF(LeasingHab!$C$10="TARIFA 1",(C222*(VLOOKUP(LeasingHab!$C$26,Seguros_Oblig!$A$3:$B$55,2,FALSE))),(C222*(VLOOKUP(LeasingHab!$C$26,Seguros_Oblig!$A$3:$D$55,4,FALSE))))</f>
        <v>#VALUE!</v>
      </c>
      <c r="J223" s="10">
        <f t="shared" si="22"/>
        <v>0</v>
      </c>
      <c r="K223" s="7" t="e">
        <f>IF((C222-1)&lt;$E$19,0,Seguros_Oblig!$N$4*(LeasingNOFam!$C$12*90%))</f>
        <v>#VALUE!</v>
      </c>
      <c r="L223" s="7" t="e">
        <f>IF(B223&gt;LeasingNOFam!$C$18,0,PMT(LeasingNOFam!$E$17,LeasingNOFam!$C$18,-LeasingNOFam!$C$15,,)-PMT(LeasingNOFam!$E$17,LeasingNOFam!$C$18,-LeasingNOFam!$C$22)+LeasingNOFam!$C$22*LeasingNOFam!$E$17)</f>
        <v>#VALUE!</v>
      </c>
      <c r="M223" s="9" t="e">
        <f t="shared" si="23"/>
        <v>#VALUE!</v>
      </c>
      <c r="N223" s="7" t="e">
        <f>IF(C222&lt;1,"0",LeasingHab!$C$39)</f>
        <v>#VALUE!</v>
      </c>
      <c r="O223" s="9" t="e">
        <f t="shared" si="24"/>
        <v>#VALUE!</v>
      </c>
    </row>
    <row r="224" spans="2:15" ht="15.5" x14ac:dyDescent="0.35">
      <c r="B224" s="6" t="e">
        <f t="shared" si="25"/>
        <v>#VALUE!</v>
      </c>
      <c r="C224" s="7" t="e">
        <f t="shared" si="20"/>
        <v>#VALUE!</v>
      </c>
      <c r="D224" s="7" t="e">
        <f t="shared" si="21"/>
        <v>#VALUE!</v>
      </c>
      <c r="E224" s="7" t="e">
        <f>IF((C223-1)&lt;$E$19,0,C223*LeasingNOFam!$E$17)</f>
        <v>#VALUE!</v>
      </c>
      <c r="F224" s="8" t="e">
        <f>IF((C223-1)&lt;$E$19,"0",C223*Seguros_Oblig!$N$3)</f>
        <v>#VALUE!</v>
      </c>
      <c r="G224" s="8" t="e">
        <f>IF(LeasingHab!$C$10="TARIFA 1",(C223*(VLOOKUP(LeasingHab!$C$24,Seguros_Oblig!$A$3:$B$55,2,FALSE))),(C223*(VLOOKUP(LeasingHab!$C$24,Seguros_Oblig!$A$3:$D$55,4,FALSE))))</f>
        <v>#VALUE!</v>
      </c>
      <c r="H224" s="8" t="e">
        <f>IF(LeasingHab!$C$10="TARIFA 1",(C223*(VLOOKUP(LeasingHab!$C$25,Seguros_Oblig!$A$3:$B$55,2,FALSE))),(C223*(VLOOKUP(LeasingHab!$C$25,Seguros_Oblig!$A$3:$D$55,4,FALSE))))</f>
        <v>#VALUE!</v>
      </c>
      <c r="I224" s="8" t="e">
        <f>IF(LeasingHab!$C$10="TARIFA 1",(C223*(VLOOKUP(LeasingHab!$C$26,Seguros_Oblig!$A$3:$B$55,2,FALSE))),(C223*(VLOOKUP(LeasingHab!$C$26,Seguros_Oblig!$A$3:$D$55,4,FALSE))))</f>
        <v>#VALUE!</v>
      </c>
      <c r="J224" s="10">
        <f t="shared" si="22"/>
        <v>0</v>
      </c>
      <c r="K224" s="7" t="e">
        <f>IF((C223-1)&lt;$E$19,0,Seguros_Oblig!$N$4*(LeasingNOFam!$C$12*90%))</f>
        <v>#VALUE!</v>
      </c>
      <c r="L224" s="7" t="e">
        <f>IF(B224&gt;LeasingNOFam!$C$18,0,PMT(LeasingNOFam!$E$17,LeasingNOFam!$C$18,-LeasingNOFam!$C$15,,)-PMT(LeasingNOFam!$E$17,LeasingNOFam!$C$18,-LeasingNOFam!$C$22)+LeasingNOFam!$C$22*LeasingNOFam!$E$17)</f>
        <v>#VALUE!</v>
      </c>
      <c r="M224" s="9" t="e">
        <f t="shared" si="23"/>
        <v>#VALUE!</v>
      </c>
      <c r="N224" s="7" t="e">
        <f>IF(C223&lt;1,"0",LeasingHab!$C$39)</f>
        <v>#VALUE!</v>
      </c>
      <c r="O224" s="9" t="e">
        <f t="shared" si="24"/>
        <v>#VALUE!</v>
      </c>
    </row>
    <row r="225" spans="2:15" ht="15.5" x14ac:dyDescent="0.35">
      <c r="B225" s="6" t="e">
        <f t="shared" si="25"/>
        <v>#VALUE!</v>
      </c>
      <c r="C225" s="7" t="e">
        <f t="shared" si="20"/>
        <v>#VALUE!</v>
      </c>
      <c r="D225" s="7" t="e">
        <f t="shared" si="21"/>
        <v>#VALUE!</v>
      </c>
      <c r="E225" s="7" t="e">
        <f>IF((C224-1)&lt;$E$19,0,C224*LeasingNOFam!$E$17)</f>
        <v>#VALUE!</v>
      </c>
      <c r="F225" s="8" t="e">
        <f>IF((C224-1)&lt;$E$19,"0",C224*Seguros_Oblig!$N$3)</f>
        <v>#VALUE!</v>
      </c>
      <c r="G225" s="8" t="e">
        <f>IF(LeasingHab!$C$10="TARIFA 1",(C224*(VLOOKUP(LeasingHab!$C$24,Seguros_Oblig!$A$3:$B$55,2,FALSE))),(C224*(VLOOKUP(LeasingHab!$C$24,Seguros_Oblig!$A$3:$D$55,4,FALSE))))</f>
        <v>#VALUE!</v>
      </c>
      <c r="H225" s="8" t="e">
        <f>IF(LeasingHab!$C$10="TARIFA 1",(C224*(VLOOKUP(LeasingHab!$C$25,Seguros_Oblig!$A$3:$B$55,2,FALSE))),(C224*(VLOOKUP(LeasingHab!$C$25,Seguros_Oblig!$A$3:$D$55,4,FALSE))))</f>
        <v>#VALUE!</v>
      </c>
      <c r="I225" s="8" t="e">
        <f>IF(LeasingHab!$C$10="TARIFA 1",(C224*(VLOOKUP(LeasingHab!$C$26,Seguros_Oblig!$A$3:$B$55,2,FALSE))),(C224*(VLOOKUP(LeasingHab!$C$26,Seguros_Oblig!$A$3:$D$55,4,FALSE))))</f>
        <v>#VALUE!</v>
      </c>
      <c r="J225" s="10">
        <f t="shared" si="22"/>
        <v>0</v>
      </c>
      <c r="K225" s="7" t="e">
        <f>IF((C224-1)&lt;$E$19,0,Seguros_Oblig!$N$4*(LeasingNOFam!$C$12*90%))</f>
        <v>#VALUE!</v>
      </c>
      <c r="L225" s="7" t="e">
        <f>IF(B225&gt;LeasingNOFam!$C$18,0,PMT(LeasingNOFam!$E$17,LeasingNOFam!$C$18,-LeasingNOFam!$C$15,,)-PMT(LeasingNOFam!$E$17,LeasingNOFam!$C$18,-LeasingNOFam!$C$22)+LeasingNOFam!$C$22*LeasingNOFam!$E$17)</f>
        <v>#VALUE!</v>
      </c>
      <c r="M225" s="9" t="e">
        <f t="shared" si="23"/>
        <v>#VALUE!</v>
      </c>
      <c r="N225" s="7" t="e">
        <f>IF(C224&lt;1,"0",LeasingHab!$C$39)</f>
        <v>#VALUE!</v>
      </c>
      <c r="O225" s="9" t="e">
        <f t="shared" si="24"/>
        <v>#VALUE!</v>
      </c>
    </row>
    <row r="226" spans="2:15" ht="15.5" x14ac:dyDescent="0.35">
      <c r="B226" s="6" t="e">
        <f t="shared" si="25"/>
        <v>#VALUE!</v>
      </c>
      <c r="C226" s="7" t="e">
        <f t="shared" si="20"/>
        <v>#VALUE!</v>
      </c>
      <c r="D226" s="7" t="e">
        <f t="shared" si="21"/>
        <v>#VALUE!</v>
      </c>
      <c r="E226" s="7" t="e">
        <f>IF((C225-1)&lt;$E$19,0,C225*LeasingNOFam!$E$17)</f>
        <v>#VALUE!</v>
      </c>
      <c r="F226" s="8" t="e">
        <f>IF((C225-1)&lt;$E$19,"0",C225*Seguros_Oblig!$N$3)</f>
        <v>#VALUE!</v>
      </c>
      <c r="G226" s="8" t="e">
        <f>IF(LeasingHab!$C$10="TARIFA 1",(C225*(VLOOKUP(LeasingHab!$C$24,Seguros_Oblig!$A$3:$B$55,2,FALSE))),(C225*(VLOOKUP(LeasingHab!$C$24,Seguros_Oblig!$A$3:$D$55,4,FALSE))))</f>
        <v>#VALUE!</v>
      </c>
      <c r="H226" s="8" t="e">
        <f>IF(LeasingHab!$C$10="TARIFA 1",(C225*(VLOOKUP(LeasingHab!$C$25,Seguros_Oblig!$A$3:$B$55,2,FALSE))),(C225*(VLOOKUP(LeasingHab!$C$25,Seguros_Oblig!$A$3:$D$55,4,FALSE))))</f>
        <v>#VALUE!</v>
      </c>
      <c r="I226" s="8" t="e">
        <f>IF(LeasingHab!$C$10="TARIFA 1",(C225*(VLOOKUP(LeasingHab!$C$26,Seguros_Oblig!$A$3:$B$55,2,FALSE))),(C225*(VLOOKUP(LeasingHab!$C$26,Seguros_Oblig!$A$3:$D$55,4,FALSE))))</f>
        <v>#VALUE!</v>
      </c>
      <c r="J226" s="10">
        <f t="shared" si="22"/>
        <v>0</v>
      </c>
      <c r="K226" s="7" t="e">
        <f>IF((C225-1)&lt;$E$19,0,Seguros_Oblig!$N$4*(LeasingNOFam!$C$12*90%))</f>
        <v>#VALUE!</v>
      </c>
      <c r="L226" s="7" t="e">
        <f>IF(B226&gt;LeasingNOFam!$C$18,0,PMT(LeasingNOFam!$E$17,LeasingNOFam!$C$18,-LeasingNOFam!$C$15,,)-PMT(LeasingNOFam!$E$17,LeasingNOFam!$C$18,-LeasingNOFam!$C$22)+LeasingNOFam!$C$22*LeasingNOFam!$E$17)</f>
        <v>#VALUE!</v>
      </c>
      <c r="M226" s="9" t="e">
        <f t="shared" si="23"/>
        <v>#VALUE!</v>
      </c>
      <c r="N226" s="7" t="e">
        <f>IF(C225&lt;1,"0",LeasingHab!$C$39)</f>
        <v>#VALUE!</v>
      </c>
      <c r="O226" s="9" t="e">
        <f t="shared" si="24"/>
        <v>#VALUE!</v>
      </c>
    </row>
    <row r="227" spans="2:15" ht="15.5" x14ac:dyDescent="0.35">
      <c r="B227" s="6" t="e">
        <f t="shared" si="25"/>
        <v>#VALUE!</v>
      </c>
      <c r="C227" s="7" t="e">
        <f t="shared" si="20"/>
        <v>#VALUE!</v>
      </c>
      <c r="D227" s="7" t="e">
        <f t="shared" si="21"/>
        <v>#VALUE!</v>
      </c>
      <c r="E227" s="7" t="e">
        <f>IF((C226-1)&lt;$E$19,0,C226*LeasingNOFam!$E$17)</f>
        <v>#VALUE!</v>
      </c>
      <c r="F227" s="8" t="e">
        <f>IF((C226-1)&lt;$E$19,"0",C226*Seguros_Oblig!$N$3)</f>
        <v>#VALUE!</v>
      </c>
      <c r="G227" s="8" t="e">
        <f>IF(LeasingHab!$C$10="TARIFA 1",(C226*(VLOOKUP(LeasingHab!$C$24,Seguros_Oblig!$A$3:$B$55,2,FALSE))),(C226*(VLOOKUP(LeasingHab!$C$24,Seguros_Oblig!$A$3:$D$55,4,FALSE))))</f>
        <v>#VALUE!</v>
      </c>
      <c r="H227" s="8" t="e">
        <f>IF(LeasingHab!$C$10="TARIFA 1",(C226*(VLOOKUP(LeasingHab!$C$25,Seguros_Oblig!$A$3:$B$55,2,FALSE))),(C226*(VLOOKUP(LeasingHab!$C$25,Seguros_Oblig!$A$3:$D$55,4,FALSE))))</f>
        <v>#VALUE!</v>
      </c>
      <c r="I227" s="8" t="e">
        <f>IF(LeasingHab!$C$10="TARIFA 1",(C226*(VLOOKUP(LeasingHab!$C$26,Seguros_Oblig!$A$3:$B$55,2,FALSE))),(C226*(VLOOKUP(LeasingHab!$C$26,Seguros_Oblig!$A$3:$D$55,4,FALSE))))</f>
        <v>#VALUE!</v>
      </c>
      <c r="J227" s="10">
        <f t="shared" si="22"/>
        <v>0</v>
      </c>
      <c r="K227" s="7" t="e">
        <f>IF((C226-1)&lt;$E$19,0,Seguros_Oblig!$N$4*(LeasingNOFam!$C$12*90%))</f>
        <v>#VALUE!</v>
      </c>
      <c r="L227" s="7" t="e">
        <f>IF(B227&gt;LeasingNOFam!$C$18,0,PMT(LeasingNOFam!$E$17,LeasingNOFam!$C$18,-LeasingNOFam!$C$15,,)-PMT(LeasingNOFam!$E$17,LeasingNOFam!$C$18,-LeasingNOFam!$C$22)+LeasingNOFam!$C$22*LeasingNOFam!$E$17)</f>
        <v>#VALUE!</v>
      </c>
      <c r="M227" s="9" t="e">
        <f t="shared" si="23"/>
        <v>#VALUE!</v>
      </c>
      <c r="N227" s="7" t="e">
        <f>IF(C226&lt;1,"0",LeasingHab!$C$39)</f>
        <v>#VALUE!</v>
      </c>
      <c r="O227" s="9" t="e">
        <f t="shared" si="24"/>
        <v>#VALUE!</v>
      </c>
    </row>
    <row r="228" spans="2:15" ht="15.5" x14ac:dyDescent="0.35">
      <c r="B228" s="6" t="e">
        <f t="shared" si="25"/>
        <v>#VALUE!</v>
      </c>
      <c r="C228" s="7" t="e">
        <f t="shared" si="20"/>
        <v>#VALUE!</v>
      </c>
      <c r="D228" s="7" t="e">
        <f t="shared" si="21"/>
        <v>#VALUE!</v>
      </c>
      <c r="E228" s="7" t="e">
        <f>IF((C227-1)&lt;$E$19,0,C227*LeasingNOFam!$E$17)</f>
        <v>#VALUE!</v>
      </c>
      <c r="F228" s="8" t="e">
        <f>IF((C227-1)&lt;$E$19,"0",C227*Seguros_Oblig!$N$3)</f>
        <v>#VALUE!</v>
      </c>
      <c r="G228" s="8" t="e">
        <f>IF(LeasingHab!$C$10="TARIFA 1",(C227*(VLOOKUP(LeasingHab!$C$24,Seguros_Oblig!$A$3:$B$55,2,FALSE))),(C227*(VLOOKUP(LeasingHab!$C$24,Seguros_Oblig!$A$3:$D$55,4,FALSE))))</f>
        <v>#VALUE!</v>
      </c>
      <c r="H228" s="8" t="e">
        <f>IF(LeasingHab!$C$10="TARIFA 1",(C227*(VLOOKUP(LeasingHab!$C$25,Seguros_Oblig!$A$3:$B$55,2,FALSE))),(C227*(VLOOKUP(LeasingHab!$C$25,Seguros_Oblig!$A$3:$D$55,4,FALSE))))</f>
        <v>#VALUE!</v>
      </c>
      <c r="I228" s="8" t="e">
        <f>IF(LeasingHab!$C$10="TARIFA 1",(C227*(VLOOKUP(LeasingHab!$C$26,Seguros_Oblig!$A$3:$B$55,2,FALSE))),(C227*(VLOOKUP(LeasingHab!$C$26,Seguros_Oblig!$A$3:$D$55,4,FALSE))))</f>
        <v>#VALUE!</v>
      </c>
      <c r="J228" s="10">
        <f t="shared" si="22"/>
        <v>0</v>
      </c>
      <c r="K228" s="7" t="e">
        <f>IF((C227-1)&lt;$E$19,0,Seguros_Oblig!$N$4*(LeasingNOFam!$C$12*90%))</f>
        <v>#VALUE!</v>
      </c>
      <c r="L228" s="7" t="e">
        <f>IF(B228&gt;LeasingNOFam!$C$18,0,PMT(LeasingNOFam!$E$17,LeasingNOFam!$C$18,-LeasingNOFam!$C$15,,)-PMT(LeasingNOFam!$E$17,LeasingNOFam!$C$18,-LeasingNOFam!$C$22)+LeasingNOFam!$C$22*LeasingNOFam!$E$17)</f>
        <v>#VALUE!</v>
      </c>
      <c r="M228" s="9" t="e">
        <f t="shared" si="23"/>
        <v>#VALUE!</v>
      </c>
      <c r="N228" s="7" t="e">
        <f>IF(C227&lt;1,"0",LeasingHab!$C$39)</f>
        <v>#VALUE!</v>
      </c>
      <c r="O228" s="9" t="e">
        <f t="shared" si="24"/>
        <v>#VALUE!</v>
      </c>
    </row>
    <row r="229" spans="2:15" ht="15.5" x14ac:dyDescent="0.35">
      <c r="B229" s="6" t="e">
        <f t="shared" si="25"/>
        <v>#VALUE!</v>
      </c>
      <c r="C229" s="7" t="e">
        <f t="shared" si="20"/>
        <v>#VALUE!</v>
      </c>
      <c r="D229" s="7" t="e">
        <f t="shared" si="21"/>
        <v>#VALUE!</v>
      </c>
      <c r="E229" s="7" t="e">
        <f>IF((C228-1)&lt;$E$19,0,C228*LeasingNOFam!$E$17)</f>
        <v>#VALUE!</v>
      </c>
      <c r="F229" s="8" t="e">
        <f>IF((C228-1)&lt;$E$19,"0",C228*Seguros_Oblig!$N$3)</f>
        <v>#VALUE!</v>
      </c>
      <c r="G229" s="8" t="e">
        <f>IF(LeasingHab!$C$10="TARIFA 1",(C228*(VLOOKUP(LeasingHab!$C$24,Seguros_Oblig!$A$3:$B$55,2,FALSE))),(C228*(VLOOKUP(LeasingHab!$C$24,Seguros_Oblig!$A$3:$D$55,4,FALSE))))</f>
        <v>#VALUE!</v>
      </c>
      <c r="H229" s="8" t="e">
        <f>IF(LeasingHab!$C$10="TARIFA 1",(C228*(VLOOKUP(LeasingHab!$C$25,Seguros_Oblig!$A$3:$B$55,2,FALSE))),(C228*(VLOOKUP(LeasingHab!$C$25,Seguros_Oblig!$A$3:$D$55,4,FALSE))))</f>
        <v>#VALUE!</v>
      </c>
      <c r="I229" s="8" t="e">
        <f>IF(LeasingHab!$C$10="TARIFA 1",(C228*(VLOOKUP(LeasingHab!$C$26,Seguros_Oblig!$A$3:$B$55,2,FALSE))),(C228*(VLOOKUP(LeasingHab!$C$26,Seguros_Oblig!$A$3:$D$55,4,FALSE))))</f>
        <v>#VALUE!</v>
      </c>
      <c r="J229" s="10">
        <f t="shared" si="22"/>
        <v>0</v>
      </c>
      <c r="K229" s="7" t="e">
        <f>IF((C228-1)&lt;$E$19,0,Seguros_Oblig!$N$4*(LeasingNOFam!$C$12*90%))</f>
        <v>#VALUE!</v>
      </c>
      <c r="L229" s="7" t="e">
        <f>IF(B229&gt;LeasingNOFam!$C$18,0,PMT(LeasingNOFam!$E$17,LeasingNOFam!$C$18,-LeasingNOFam!$C$15,,)-PMT(LeasingNOFam!$E$17,LeasingNOFam!$C$18,-LeasingNOFam!$C$22)+LeasingNOFam!$C$22*LeasingNOFam!$E$17)</f>
        <v>#VALUE!</v>
      </c>
      <c r="M229" s="9" t="e">
        <f t="shared" si="23"/>
        <v>#VALUE!</v>
      </c>
      <c r="N229" s="7" t="e">
        <f>IF(C228&lt;1,"0",LeasingHab!$C$39)</f>
        <v>#VALUE!</v>
      </c>
      <c r="O229" s="9" t="e">
        <f t="shared" si="24"/>
        <v>#VALUE!</v>
      </c>
    </row>
    <row r="230" spans="2:15" ht="15.5" x14ac:dyDescent="0.35">
      <c r="B230" s="6" t="e">
        <f t="shared" si="25"/>
        <v>#VALUE!</v>
      </c>
      <c r="C230" s="7" t="e">
        <f t="shared" si="20"/>
        <v>#VALUE!</v>
      </c>
      <c r="D230" s="7" t="e">
        <f t="shared" si="21"/>
        <v>#VALUE!</v>
      </c>
      <c r="E230" s="7" t="e">
        <f>IF((C229-1)&lt;$E$19,0,C229*LeasingNOFam!$E$17)</f>
        <v>#VALUE!</v>
      </c>
      <c r="F230" s="8" t="e">
        <f>IF((C229-1)&lt;$E$19,"0",C229*Seguros_Oblig!$N$3)</f>
        <v>#VALUE!</v>
      </c>
      <c r="G230" s="8" t="e">
        <f>IF(LeasingHab!$C$10="TARIFA 1",(C229*(VLOOKUP(LeasingHab!$C$24,Seguros_Oblig!$A$3:$B$55,2,FALSE))),(C229*(VLOOKUP(LeasingHab!$C$24,Seguros_Oblig!$A$3:$D$55,4,FALSE))))</f>
        <v>#VALUE!</v>
      </c>
      <c r="H230" s="8" t="e">
        <f>IF(LeasingHab!$C$10="TARIFA 1",(C229*(VLOOKUP(LeasingHab!$C$25,Seguros_Oblig!$A$3:$B$55,2,FALSE))),(C229*(VLOOKUP(LeasingHab!$C$25,Seguros_Oblig!$A$3:$D$55,4,FALSE))))</f>
        <v>#VALUE!</v>
      </c>
      <c r="I230" s="8" t="e">
        <f>IF(LeasingHab!$C$10="TARIFA 1",(C229*(VLOOKUP(LeasingHab!$C$26,Seguros_Oblig!$A$3:$B$55,2,FALSE))),(C229*(VLOOKUP(LeasingHab!$C$26,Seguros_Oblig!$A$3:$D$55,4,FALSE))))</f>
        <v>#VALUE!</v>
      </c>
      <c r="J230" s="10">
        <f t="shared" si="22"/>
        <v>0</v>
      </c>
      <c r="K230" s="7" t="e">
        <f>IF((C229-1)&lt;$E$19,0,Seguros_Oblig!$N$4*(LeasingNOFam!$C$12*90%))</f>
        <v>#VALUE!</v>
      </c>
      <c r="L230" s="7" t="e">
        <f>IF(B230&gt;LeasingNOFam!$C$18,0,PMT(LeasingNOFam!$E$17,LeasingNOFam!$C$18,-LeasingNOFam!$C$15,,)-PMT(LeasingNOFam!$E$17,LeasingNOFam!$C$18,-LeasingNOFam!$C$22)+LeasingNOFam!$C$22*LeasingNOFam!$E$17)</f>
        <v>#VALUE!</v>
      </c>
      <c r="M230" s="9" t="e">
        <f t="shared" si="23"/>
        <v>#VALUE!</v>
      </c>
      <c r="N230" s="7" t="e">
        <f>IF(C229&lt;1,"0",LeasingHab!$C$39)</f>
        <v>#VALUE!</v>
      </c>
      <c r="O230" s="9" t="e">
        <f t="shared" si="24"/>
        <v>#VALUE!</v>
      </c>
    </row>
    <row r="231" spans="2:15" ht="15.5" x14ac:dyDescent="0.35">
      <c r="B231" s="6" t="e">
        <f t="shared" si="25"/>
        <v>#VALUE!</v>
      </c>
      <c r="C231" s="7" t="e">
        <f t="shared" si="20"/>
        <v>#VALUE!</v>
      </c>
      <c r="D231" s="7" t="e">
        <f t="shared" si="21"/>
        <v>#VALUE!</v>
      </c>
      <c r="E231" s="7" t="e">
        <f>IF((C230-1)&lt;$E$19,0,C230*LeasingNOFam!$E$17)</f>
        <v>#VALUE!</v>
      </c>
      <c r="F231" s="8" t="e">
        <f>IF((C230-1)&lt;$E$19,"0",C230*Seguros_Oblig!$N$3)</f>
        <v>#VALUE!</v>
      </c>
      <c r="G231" s="8" t="e">
        <f>IF(LeasingHab!$C$10="TARIFA 1",(C230*(VLOOKUP(LeasingHab!$C$24,Seguros_Oblig!$A$3:$B$55,2,FALSE))),(C230*(VLOOKUP(LeasingHab!$C$24,Seguros_Oblig!$A$3:$D$55,4,FALSE))))</f>
        <v>#VALUE!</v>
      </c>
      <c r="H231" s="8" t="e">
        <f>IF(LeasingHab!$C$10="TARIFA 1",(C230*(VLOOKUP(LeasingHab!$C$25,Seguros_Oblig!$A$3:$B$55,2,FALSE))),(C230*(VLOOKUP(LeasingHab!$C$25,Seguros_Oblig!$A$3:$D$55,4,FALSE))))</f>
        <v>#VALUE!</v>
      </c>
      <c r="I231" s="8" t="e">
        <f>IF(LeasingHab!$C$10="TARIFA 1",(C230*(VLOOKUP(LeasingHab!$C$26,Seguros_Oblig!$A$3:$B$55,2,FALSE))),(C230*(VLOOKUP(LeasingHab!$C$26,Seguros_Oblig!$A$3:$D$55,4,FALSE))))</f>
        <v>#VALUE!</v>
      </c>
      <c r="J231" s="10">
        <f t="shared" si="22"/>
        <v>0</v>
      </c>
      <c r="K231" s="7" t="e">
        <f>IF((C230-1)&lt;$E$19,0,Seguros_Oblig!$N$4*(LeasingNOFam!$C$12*90%))</f>
        <v>#VALUE!</v>
      </c>
      <c r="L231" s="7" t="e">
        <f>IF(B231&gt;LeasingNOFam!$C$18,0,PMT(LeasingNOFam!$E$17,LeasingNOFam!$C$18,-LeasingNOFam!$C$15,,)-PMT(LeasingNOFam!$E$17,LeasingNOFam!$C$18,-LeasingNOFam!$C$22)+LeasingNOFam!$C$22*LeasingNOFam!$E$17)</f>
        <v>#VALUE!</v>
      </c>
      <c r="M231" s="9" t="e">
        <f t="shared" si="23"/>
        <v>#VALUE!</v>
      </c>
      <c r="N231" s="7" t="e">
        <f>IF(C230&lt;1,"0",LeasingHab!$C$39)</f>
        <v>#VALUE!</v>
      </c>
      <c r="O231" s="9" t="e">
        <f t="shared" si="24"/>
        <v>#VALUE!</v>
      </c>
    </row>
    <row r="232" spans="2:15" ht="15.5" x14ac:dyDescent="0.35">
      <c r="B232" s="6" t="e">
        <f t="shared" si="25"/>
        <v>#VALUE!</v>
      </c>
      <c r="C232" s="7" t="e">
        <f t="shared" si="20"/>
        <v>#VALUE!</v>
      </c>
      <c r="D232" s="7" t="e">
        <f t="shared" si="21"/>
        <v>#VALUE!</v>
      </c>
      <c r="E232" s="7" t="e">
        <f>IF((C231-1)&lt;$E$19,0,C231*LeasingNOFam!$E$17)</f>
        <v>#VALUE!</v>
      </c>
      <c r="F232" s="8" t="e">
        <f>IF((C231-1)&lt;$E$19,"0",C231*Seguros_Oblig!$N$3)</f>
        <v>#VALUE!</v>
      </c>
      <c r="G232" s="8" t="e">
        <f>IF(LeasingHab!$C$10="TARIFA 1",(C231*(VLOOKUP(LeasingHab!$C$24,Seguros_Oblig!$A$3:$B$55,2,FALSE))),(C231*(VLOOKUP(LeasingHab!$C$24,Seguros_Oblig!$A$3:$D$55,4,FALSE))))</f>
        <v>#VALUE!</v>
      </c>
      <c r="H232" s="8" t="e">
        <f>IF(LeasingHab!$C$10="TARIFA 1",(C231*(VLOOKUP(LeasingHab!$C$25,Seguros_Oblig!$A$3:$B$55,2,FALSE))),(C231*(VLOOKUP(LeasingHab!$C$25,Seguros_Oblig!$A$3:$D$55,4,FALSE))))</f>
        <v>#VALUE!</v>
      </c>
      <c r="I232" s="8" t="e">
        <f>IF(LeasingHab!$C$10="TARIFA 1",(C231*(VLOOKUP(LeasingHab!$C$26,Seguros_Oblig!$A$3:$B$55,2,FALSE))),(C231*(VLOOKUP(LeasingHab!$C$26,Seguros_Oblig!$A$3:$D$55,4,FALSE))))</f>
        <v>#VALUE!</v>
      </c>
      <c r="J232" s="10">
        <f t="shared" si="22"/>
        <v>0</v>
      </c>
      <c r="K232" s="7" t="e">
        <f>IF((C231-1)&lt;$E$19,0,Seguros_Oblig!$N$4*(LeasingNOFam!$C$12*90%))</f>
        <v>#VALUE!</v>
      </c>
      <c r="L232" s="7" t="e">
        <f>IF(B232&gt;LeasingNOFam!$C$18,0,PMT(LeasingNOFam!$E$17,LeasingNOFam!$C$18,-LeasingNOFam!$C$15,,)-PMT(LeasingNOFam!$E$17,LeasingNOFam!$C$18,-LeasingNOFam!$C$22)+LeasingNOFam!$C$22*LeasingNOFam!$E$17)</f>
        <v>#VALUE!</v>
      </c>
      <c r="M232" s="9" t="e">
        <f t="shared" si="23"/>
        <v>#VALUE!</v>
      </c>
      <c r="N232" s="7" t="e">
        <f>IF(C231&lt;1,"0",LeasingHab!$C$39)</f>
        <v>#VALUE!</v>
      </c>
      <c r="O232" s="9" t="e">
        <f t="shared" si="24"/>
        <v>#VALUE!</v>
      </c>
    </row>
    <row r="233" spans="2:15" ht="15.5" x14ac:dyDescent="0.35">
      <c r="B233" s="6" t="e">
        <f t="shared" si="25"/>
        <v>#VALUE!</v>
      </c>
      <c r="C233" s="7" t="e">
        <f t="shared" si="20"/>
        <v>#VALUE!</v>
      </c>
      <c r="D233" s="7" t="e">
        <f t="shared" si="21"/>
        <v>#VALUE!</v>
      </c>
      <c r="E233" s="7" t="e">
        <f>IF((C232-1)&lt;$E$19,0,C232*LeasingNOFam!$E$17)</f>
        <v>#VALUE!</v>
      </c>
      <c r="F233" s="8" t="e">
        <f>IF((C232-1)&lt;$E$19,"0",C232*Seguros_Oblig!$N$3)</f>
        <v>#VALUE!</v>
      </c>
      <c r="G233" s="8" t="e">
        <f>IF(LeasingHab!$C$10="TARIFA 1",(C232*(VLOOKUP(LeasingHab!$C$24,Seguros_Oblig!$A$3:$B$55,2,FALSE))),(C232*(VLOOKUP(LeasingHab!$C$24,Seguros_Oblig!$A$3:$D$55,4,FALSE))))</f>
        <v>#VALUE!</v>
      </c>
      <c r="H233" s="8" t="e">
        <f>IF(LeasingHab!$C$10="TARIFA 1",(C232*(VLOOKUP(LeasingHab!$C$25,Seguros_Oblig!$A$3:$B$55,2,FALSE))),(C232*(VLOOKUP(LeasingHab!$C$25,Seguros_Oblig!$A$3:$D$55,4,FALSE))))</f>
        <v>#VALUE!</v>
      </c>
      <c r="I233" s="8" t="e">
        <f>IF(LeasingHab!$C$10="TARIFA 1",(C232*(VLOOKUP(LeasingHab!$C$26,Seguros_Oblig!$A$3:$B$55,2,FALSE))),(C232*(VLOOKUP(LeasingHab!$C$26,Seguros_Oblig!$A$3:$D$55,4,FALSE))))</f>
        <v>#VALUE!</v>
      </c>
      <c r="J233" s="10">
        <f t="shared" si="22"/>
        <v>0</v>
      </c>
      <c r="K233" s="7" t="e">
        <f>IF((C232-1)&lt;$E$19,0,Seguros_Oblig!$N$4*(LeasingNOFam!$C$12*90%))</f>
        <v>#VALUE!</v>
      </c>
      <c r="L233" s="7" t="e">
        <f>IF(B233&gt;LeasingNOFam!$C$18,0,PMT(LeasingNOFam!$E$17,LeasingNOFam!$C$18,-LeasingNOFam!$C$15,,)-PMT(LeasingNOFam!$E$17,LeasingNOFam!$C$18,-LeasingNOFam!$C$22)+LeasingNOFam!$C$22*LeasingNOFam!$E$17)</f>
        <v>#VALUE!</v>
      </c>
      <c r="M233" s="9" t="e">
        <f t="shared" si="23"/>
        <v>#VALUE!</v>
      </c>
      <c r="N233" s="7" t="e">
        <f>IF(C232&lt;1,"0",LeasingHab!$C$39)</f>
        <v>#VALUE!</v>
      </c>
      <c r="O233" s="9" t="e">
        <f t="shared" si="24"/>
        <v>#VALUE!</v>
      </c>
    </row>
    <row r="234" spans="2:15" ht="15.5" x14ac:dyDescent="0.35">
      <c r="B234" s="6" t="e">
        <f t="shared" si="25"/>
        <v>#VALUE!</v>
      </c>
      <c r="C234" s="7" t="e">
        <f t="shared" si="20"/>
        <v>#VALUE!</v>
      </c>
      <c r="D234" s="7" t="e">
        <f t="shared" si="21"/>
        <v>#VALUE!</v>
      </c>
      <c r="E234" s="7" t="e">
        <f>IF((C233-1)&lt;$E$19,0,C233*LeasingNOFam!$E$17)</f>
        <v>#VALUE!</v>
      </c>
      <c r="F234" s="8" t="e">
        <f>IF((C233-1)&lt;$E$19,"0",C233*Seguros_Oblig!$N$3)</f>
        <v>#VALUE!</v>
      </c>
      <c r="G234" s="8" t="e">
        <f>IF(LeasingHab!$C$10="TARIFA 1",(C233*(VLOOKUP(LeasingHab!$C$24,Seguros_Oblig!$A$3:$B$55,2,FALSE))),(C233*(VLOOKUP(LeasingHab!$C$24,Seguros_Oblig!$A$3:$D$55,4,FALSE))))</f>
        <v>#VALUE!</v>
      </c>
      <c r="H234" s="8" t="e">
        <f>IF(LeasingHab!$C$10="TARIFA 1",(C233*(VLOOKUP(LeasingHab!$C$25,Seguros_Oblig!$A$3:$B$55,2,FALSE))),(C233*(VLOOKUP(LeasingHab!$C$25,Seguros_Oblig!$A$3:$D$55,4,FALSE))))</f>
        <v>#VALUE!</v>
      </c>
      <c r="I234" s="8" t="e">
        <f>IF(LeasingHab!$C$10="TARIFA 1",(C233*(VLOOKUP(LeasingHab!$C$26,Seguros_Oblig!$A$3:$B$55,2,FALSE))),(C233*(VLOOKUP(LeasingHab!$C$26,Seguros_Oblig!$A$3:$D$55,4,FALSE))))</f>
        <v>#VALUE!</v>
      </c>
      <c r="J234" s="10">
        <f t="shared" si="22"/>
        <v>0</v>
      </c>
      <c r="K234" s="7" t="e">
        <f>IF((C233-1)&lt;$E$19,0,Seguros_Oblig!$N$4*(LeasingNOFam!$C$12*90%))</f>
        <v>#VALUE!</v>
      </c>
      <c r="L234" s="7" t="e">
        <f>IF(B234&gt;LeasingNOFam!$C$18,0,PMT(LeasingNOFam!$E$17,LeasingNOFam!$C$18,-LeasingNOFam!$C$15,,)-PMT(LeasingNOFam!$E$17,LeasingNOFam!$C$18,-LeasingNOFam!$C$22)+LeasingNOFam!$C$22*LeasingNOFam!$E$17)</f>
        <v>#VALUE!</v>
      </c>
      <c r="M234" s="9" t="e">
        <f t="shared" si="23"/>
        <v>#VALUE!</v>
      </c>
      <c r="N234" s="7" t="e">
        <f>IF(C233&lt;1,"0",LeasingHab!$C$39)</f>
        <v>#VALUE!</v>
      </c>
      <c r="O234" s="9" t="e">
        <f t="shared" si="24"/>
        <v>#VALUE!</v>
      </c>
    </row>
    <row r="235" spans="2:15" ht="15.5" x14ac:dyDescent="0.35">
      <c r="B235" s="6" t="e">
        <f t="shared" si="25"/>
        <v>#VALUE!</v>
      </c>
      <c r="C235" s="7" t="e">
        <f t="shared" si="20"/>
        <v>#VALUE!</v>
      </c>
      <c r="D235" s="7" t="e">
        <f t="shared" si="21"/>
        <v>#VALUE!</v>
      </c>
      <c r="E235" s="7" t="e">
        <f>IF((C234-1)&lt;$E$19,0,C234*LeasingNOFam!$E$17)</f>
        <v>#VALUE!</v>
      </c>
      <c r="F235" s="8" t="e">
        <f>IF((C234-1)&lt;$E$19,"0",C234*Seguros_Oblig!$N$3)</f>
        <v>#VALUE!</v>
      </c>
      <c r="G235" s="8" t="e">
        <f>IF(LeasingHab!$C$10="TARIFA 1",(C234*(VLOOKUP(LeasingHab!$C$24,Seguros_Oblig!$A$3:$B$55,2,FALSE))),(C234*(VLOOKUP(LeasingHab!$C$24,Seguros_Oblig!$A$3:$D$55,4,FALSE))))</f>
        <v>#VALUE!</v>
      </c>
      <c r="H235" s="8" t="e">
        <f>IF(LeasingHab!$C$10="TARIFA 1",(C234*(VLOOKUP(LeasingHab!$C$25,Seguros_Oblig!$A$3:$B$55,2,FALSE))),(C234*(VLOOKUP(LeasingHab!$C$25,Seguros_Oblig!$A$3:$D$55,4,FALSE))))</f>
        <v>#VALUE!</v>
      </c>
      <c r="I235" s="8" t="e">
        <f>IF(LeasingHab!$C$10="TARIFA 1",(C234*(VLOOKUP(LeasingHab!$C$26,Seguros_Oblig!$A$3:$B$55,2,FALSE))),(C234*(VLOOKUP(LeasingHab!$C$26,Seguros_Oblig!$A$3:$D$55,4,FALSE))))</f>
        <v>#VALUE!</v>
      </c>
      <c r="J235" s="10">
        <f t="shared" si="22"/>
        <v>0</v>
      </c>
      <c r="K235" s="7" t="e">
        <f>IF((C234-1)&lt;$E$19,0,Seguros_Oblig!$N$4*(LeasingNOFam!$C$12*90%))</f>
        <v>#VALUE!</v>
      </c>
      <c r="L235" s="7" t="e">
        <f>IF(B235&gt;LeasingNOFam!$C$18,0,PMT(LeasingNOFam!$E$17,LeasingNOFam!$C$18,-LeasingNOFam!$C$15,,)-PMT(LeasingNOFam!$E$17,LeasingNOFam!$C$18,-LeasingNOFam!$C$22)+LeasingNOFam!$C$22*LeasingNOFam!$E$17)</f>
        <v>#VALUE!</v>
      </c>
      <c r="M235" s="9" t="e">
        <f t="shared" si="23"/>
        <v>#VALUE!</v>
      </c>
      <c r="N235" s="7" t="e">
        <f>IF(C234&lt;1,"0",LeasingHab!$C$39)</f>
        <v>#VALUE!</v>
      </c>
      <c r="O235" s="9" t="e">
        <f t="shared" si="24"/>
        <v>#VALUE!</v>
      </c>
    </row>
    <row r="236" spans="2:15" ht="15.5" x14ac:dyDescent="0.35">
      <c r="B236" s="6" t="e">
        <f t="shared" si="25"/>
        <v>#VALUE!</v>
      </c>
      <c r="C236" s="7" t="e">
        <f t="shared" si="20"/>
        <v>#VALUE!</v>
      </c>
      <c r="D236" s="7" t="e">
        <f t="shared" si="21"/>
        <v>#VALUE!</v>
      </c>
      <c r="E236" s="7" t="e">
        <f>IF((C235-1)&lt;$E$19,0,C235*LeasingNOFam!$E$17)</f>
        <v>#VALUE!</v>
      </c>
      <c r="F236" s="8" t="e">
        <f>IF((C235-1)&lt;$E$19,"0",C235*Seguros_Oblig!$N$3)</f>
        <v>#VALUE!</v>
      </c>
      <c r="G236" s="8" t="e">
        <f>IF(LeasingHab!$C$10="TARIFA 1",(C235*(VLOOKUP(LeasingHab!$C$24,Seguros_Oblig!$A$3:$B$55,2,FALSE))),(C235*(VLOOKUP(LeasingHab!$C$24,Seguros_Oblig!$A$3:$D$55,4,FALSE))))</f>
        <v>#VALUE!</v>
      </c>
      <c r="H236" s="8" t="e">
        <f>IF(LeasingHab!$C$10="TARIFA 1",(C235*(VLOOKUP(LeasingHab!$C$25,Seguros_Oblig!$A$3:$B$55,2,FALSE))),(C235*(VLOOKUP(LeasingHab!$C$25,Seguros_Oblig!$A$3:$D$55,4,FALSE))))</f>
        <v>#VALUE!</v>
      </c>
      <c r="I236" s="8" t="e">
        <f>IF(LeasingHab!$C$10="TARIFA 1",(C235*(VLOOKUP(LeasingHab!$C$26,Seguros_Oblig!$A$3:$B$55,2,FALSE))),(C235*(VLOOKUP(LeasingHab!$C$26,Seguros_Oblig!$A$3:$D$55,4,FALSE))))</f>
        <v>#VALUE!</v>
      </c>
      <c r="J236" s="10">
        <f t="shared" si="22"/>
        <v>0</v>
      </c>
      <c r="K236" s="7" t="e">
        <f>IF((C235-1)&lt;$E$19,0,Seguros_Oblig!$N$4*(LeasingNOFam!$C$12*90%))</f>
        <v>#VALUE!</v>
      </c>
      <c r="L236" s="7" t="e">
        <f>IF(B236&gt;LeasingNOFam!$C$18,0,PMT(LeasingNOFam!$E$17,LeasingNOFam!$C$18,-LeasingNOFam!$C$15,,)-PMT(LeasingNOFam!$E$17,LeasingNOFam!$C$18,-LeasingNOFam!$C$22)+LeasingNOFam!$C$22*LeasingNOFam!$E$17)</f>
        <v>#VALUE!</v>
      </c>
      <c r="M236" s="9" t="e">
        <f t="shared" si="23"/>
        <v>#VALUE!</v>
      </c>
      <c r="N236" s="7" t="e">
        <f>IF(C235&lt;1,"0",LeasingHab!$C$39)</f>
        <v>#VALUE!</v>
      </c>
      <c r="O236" s="9" t="e">
        <f t="shared" si="24"/>
        <v>#VALUE!</v>
      </c>
    </row>
    <row r="237" spans="2:15" ht="15.5" x14ac:dyDescent="0.35">
      <c r="B237" s="6" t="e">
        <f t="shared" si="25"/>
        <v>#VALUE!</v>
      </c>
      <c r="C237" s="7" t="e">
        <f t="shared" si="20"/>
        <v>#VALUE!</v>
      </c>
      <c r="D237" s="7" t="e">
        <f t="shared" si="21"/>
        <v>#VALUE!</v>
      </c>
      <c r="E237" s="7" t="e">
        <f>IF((C236-1)&lt;$E$19,0,C236*LeasingNOFam!$E$17)</f>
        <v>#VALUE!</v>
      </c>
      <c r="F237" s="8" t="e">
        <f>IF((C236-1)&lt;$E$19,"0",C236*Seguros_Oblig!$N$3)</f>
        <v>#VALUE!</v>
      </c>
      <c r="G237" s="8" t="e">
        <f>IF(LeasingHab!$C$10="TARIFA 1",(C236*(VLOOKUP(LeasingHab!$C$24,Seguros_Oblig!$A$3:$B$55,2,FALSE))),(C236*(VLOOKUP(LeasingHab!$C$24,Seguros_Oblig!$A$3:$D$55,4,FALSE))))</f>
        <v>#VALUE!</v>
      </c>
      <c r="H237" s="8" t="e">
        <f>IF(LeasingHab!$C$10="TARIFA 1",(C236*(VLOOKUP(LeasingHab!$C$25,Seguros_Oblig!$A$3:$B$55,2,FALSE))),(C236*(VLOOKUP(LeasingHab!$C$25,Seguros_Oblig!$A$3:$D$55,4,FALSE))))</f>
        <v>#VALUE!</v>
      </c>
      <c r="I237" s="8" t="e">
        <f>IF(LeasingHab!$C$10="TARIFA 1",(C236*(VLOOKUP(LeasingHab!$C$26,Seguros_Oblig!$A$3:$B$55,2,FALSE))),(C236*(VLOOKUP(LeasingHab!$C$26,Seguros_Oblig!$A$3:$D$55,4,FALSE))))</f>
        <v>#VALUE!</v>
      </c>
      <c r="J237" s="10">
        <f t="shared" si="22"/>
        <v>0</v>
      </c>
      <c r="K237" s="7" t="e">
        <f>IF((C236-1)&lt;$E$19,0,Seguros_Oblig!$N$4*(LeasingNOFam!$C$12*90%))</f>
        <v>#VALUE!</v>
      </c>
      <c r="L237" s="7" t="e">
        <f>IF(B237&gt;LeasingNOFam!$C$18,0,PMT(LeasingNOFam!$E$17,LeasingNOFam!$C$18,-LeasingNOFam!$C$15,,)-PMT(LeasingNOFam!$E$17,LeasingNOFam!$C$18,-LeasingNOFam!$C$22)+LeasingNOFam!$C$22*LeasingNOFam!$E$17)</f>
        <v>#VALUE!</v>
      </c>
      <c r="M237" s="9" t="e">
        <f t="shared" si="23"/>
        <v>#VALUE!</v>
      </c>
      <c r="N237" s="7" t="e">
        <f>IF(C236&lt;1,"0",LeasingHab!$C$39)</f>
        <v>#VALUE!</v>
      </c>
      <c r="O237" s="9" t="e">
        <f t="shared" si="24"/>
        <v>#VALUE!</v>
      </c>
    </row>
    <row r="238" spans="2:15" ht="15.5" x14ac:dyDescent="0.35">
      <c r="B238" s="6" t="e">
        <f t="shared" si="25"/>
        <v>#VALUE!</v>
      </c>
      <c r="C238" s="7" t="e">
        <f t="shared" si="20"/>
        <v>#VALUE!</v>
      </c>
      <c r="D238" s="7" t="e">
        <f t="shared" si="21"/>
        <v>#VALUE!</v>
      </c>
      <c r="E238" s="7" t="e">
        <f>IF((C237-1)&lt;$E$19,0,C237*LeasingNOFam!$E$17)</f>
        <v>#VALUE!</v>
      </c>
      <c r="F238" s="8" t="e">
        <f>IF((C237-1)&lt;$E$19,"0",C237*Seguros_Oblig!$N$3)</f>
        <v>#VALUE!</v>
      </c>
      <c r="G238" s="8" t="e">
        <f>IF(LeasingHab!$C$10="TARIFA 1",(C237*(VLOOKUP(LeasingHab!$C$24,Seguros_Oblig!$A$3:$B$55,2,FALSE))),(C237*(VLOOKUP(LeasingHab!$C$24,Seguros_Oblig!$A$3:$D$55,4,FALSE))))</f>
        <v>#VALUE!</v>
      </c>
      <c r="H238" s="8" t="e">
        <f>IF(LeasingHab!$C$10="TARIFA 1",(C237*(VLOOKUP(LeasingHab!$C$25,Seguros_Oblig!$A$3:$B$55,2,FALSE))),(C237*(VLOOKUP(LeasingHab!$C$25,Seguros_Oblig!$A$3:$D$55,4,FALSE))))</f>
        <v>#VALUE!</v>
      </c>
      <c r="I238" s="8" t="e">
        <f>IF(LeasingHab!$C$10="TARIFA 1",(C237*(VLOOKUP(LeasingHab!$C$26,Seguros_Oblig!$A$3:$B$55,2,FALSE))),(C237*(VLOOKUP(LeasingHab!$C$26,Seguros_Oblig!$A$3:$D$55,4,FALSE))))</f>
        <v>#VALUE!</v>
      </c>
      <c r="J238" s="10">
        <f t="shared" si="22"/>
        <v>0</v>
      </c>
      <c r="K238" s="7" t="e">
        <f>IF((C237-1)&lt;$E$19,0,Seguros_Oblig!$N$4*(LeasingNOFam!$C$12*90%))</f>
        <v>#VALUE!</v>
      </c>
      <c r="L238" s="7" t="e">
        <f>IF(B238&gt;LeasingNOFam!$C$18,0,PMT(LeasingNOFam!$E$17,LeasingNOFam!$C$18,-LeasingNOFam!$C$15,,)-PMT(LeasingNOFam!$E$17,LeasingNOFam!$C$18,-LeasingNOFam!$C$22)+LeasingNOFam!$C$22*LeasingNOFam!$E$17)</f>
        <v>#VALUE!</v>
      </c>
      <c r="M238" s="9" t="e">
        <f t="shared" si="23"/>
        <v>#VALUE!</v>
      </c>
      <c r="N238" s="7" t="e">
        <f>IF(C237&lt;1,"0",LeasingHab!$C$39)</f>
        <v>#VALUE!</v>
      </c>
      <c r="O238" s="9" t="e">
        <f t="shared" si="24"/>
        <v>#VALUE!</v>
      </c>
    </row>
    <row r="239" spans="2:15" ht="15.5" x14ac:dyDescent="0.35">
      <c r="B239" s="6" t="e">
        <f t="shared" si="25"/>
        <v>#VALUE!</v>
      </c>
      <c r="C239" s="7" t="e">
        <f t="shared" si="20"/>
        <v>#VALUE!</v>
      </c>
      <c r="D239" s="7" t="e">
        <f t="shared" si="21"/>
        <v>#VALUE!</v>
      </c>
      <c r="E239" s="7" t="e">
        <f>IF((C238-1)&lt;$E$19,0,C238*LeasingNOFam!$E$17)</f>
        <v>#VALUE!</v>
      </c>
      <c r="F239" s="8" t="e">
        <f>IF((C238-1)&lt;$E$19,"0",C238*Seguros_Oblig!$N$3)</f>
        <v>#VALUE!</v>
      </c>
      <c r="G239" s="8" t="e">
        <f>IF(LeasingHab!$C$10="TARIFA 1",(C238*(VLOOKUP(LeasingHab!$C$24,Seguros_Oblig!$A$3:$B$55,2,FALSE))),(C238*(VLOOKUP(LeasingHab!$C$24,Seguros_Oblig!$A$3:$D$55,4,FALSE))))</f>
        <v>#VALUE!</v>
      </c>
      <c r="H239" s="8" t="e">
        <f>IF(LeasingHab!$C$10="TARIFA 1",(C238*(VLOOKUP(LeasingHab!$C$25,Seguros_Oblig!$A$3:$B$55,2,FALSE))),(C238*(VLOOKUP(LeasingHab!$C$25,Seguros_Oblig!$A$3:$D$55,4,FALSE))))</f>
        <v>#VALUE!</v>
      </c>
      <c r="I239" s="8" t="e">
        <f>IF(LeasingHab!$C$10="TARIFA 1",(C238*(VLOOKUP(LeasingHab!$C$26,Seguros_Oblig!$A$3:$B$55,2,FALSE))),(C238*(VLOOKUP(LeasingHab!$C$26,Seguros_Oblig!$A$3:$D$55,4,FALSE))))</f>
        <v>#VALUE!</v>
      </c>
      <c r="J239" s="10">
        <f t="shared" si="22"/>
        <v>0</v>
      </c>
      <c r="K239" s="7" t="e">
        <f>IF((C238-1)&lt;$E$19,0,Seguros_Oblig!$N$4*(LeasingNOFam!$C$12*90%))</f>
        <v>#VALUE!</v>
      </c>
      <c r="L239" s="7" t="e">
        <f>IF(B239&gt;LeasingNOFam!$C$18,0,PMT(LeasingNOFam!$E$17,LeasingNOFam!$C$18,-LeasingNOFam!$C$15,,)-PMT(LeasingNOFam!$E$17,LeasingNOFam!$C$18,-LeasingNOFam!$C$22)+LeasingNOFam!$C$22*LeasingNOFam!$E$17)</f>
        <v>#VALUE!</v>
      </c>
      <c r="M239" s="9" t="e">
        <f t="shared" si="23"/>
        <v>#VALUE!</v>
      </c>
      <c r="N239" s="7" t="e">
        <f>IF(C238&lt;1,"0",LeasingHab!$C$39)</f>
        <v>#VALUE!</v>
      </c>
      <c r="O239" s="9" t="e">
        <f t="shared" si="24"/>
        <v>#VALUE!</v>
      </c>
    </row>
    <row r="240" spans="2:15" ht="15.5" x14ac:dyDescent="0.35">
      <c r="B240" s="6" t="e">
        <f t="shared" si="25"/>
        <v>#VALUE!</v>
      </c>
      <c r="C240" s="7" t="e">
        <f t="shared" si="20"/>
        <v>#VALUE!</v>
      </c>
      <c r="D240" s="7" t="e">
        <f t="shared" si="21"/>
        <v>#VALUE!</v>
      </c>
      <c r="E240" s="7" t="e">
        <f>IF((C239-1)&lt;$E$19,0,C239*LeasingNOFam!$E$17)</f>
        <v>#VALUE!</v>
      </c>
      <c r="F240" s="8" t="e">
        <f>IF((C239-1)&lt;$E$19,"0",C239*Seguros_Oblig!$N$3)</f>
        <v>#VALUE!</v>
      </c>
      <c r="G240" s="8" t="e">
        <f>IF(LeasingHab!$C$10="TARIFA 1",(C239*(VLOOKUP(LeasingHab!$C$24,Seguros_Oblig!$A$3:$B$55,2,FALSE))),(C239*(VLOOKUP(LeasingHab!$C$24,Seguros_Oblig!$A$3:$D$55,4,FALSE))))</f>
        <v>#VALUE!</v>
      </c>
      <c r="H240" s="8" t="e">
        <f>IF(LeasingHab!$C$10="TARIFA 1",(C239*(VLOOKUP(LeasingHab!$C$25,Seguros_Oblig!$A$3:$B$55,2,FALSE))),(C239*(VLOOKUP(LeasingHab!$C$25,Seguros_Oblig!$A$3:$D$55,4,FALSE))))</f>
        <v>#VALUE!</v>
      </c>
      <c r="I240" s="8" t="e">
        <f>IF(LeasingHab!$C$10="TARIFA 1",(C239*(VLOOKUP(LeasingHab!$C$26,Seguros_Oblig!$A$3:$B$55,2,FALSE))),(C239*(VLOOKUP(LeasingHab!$C$26,Seguros_Oblig!$A$3:$D$55,4,FALSE))))</f>
        <v>#VALUE!</v>
      </c>
      <c r="J240" s="10">
        <f t="shared" si="22"/>
        <v>0</v>
      </c>
      <c r="K240" s="7" t="e">
        <f>IF((C239-1)&lt;$E$19,0,Seguros_Oblig!$N$4*(LeasingNOFam!$C$12*90%))</f>
        <v>#VALUE!</v>
      </c>
      <c r="L240" s="7" t="e">
        <f>IF(B240&gt;LeasingNOFam!$C$18,0,PMT(LeasingNOFam!$E$17,LeasingNOFam!$C$18,-LeasingNOFam!$C$15,,)-PMT(LeasingNOFam!$E$17,LeasingNOFam!$C$18,-LeasingNOFam!$C$22)+LeasingNOFam!$C$22*LeasingNOFam!$E$17)</f>
        <v>#VALUE!</v>
      </c>
      <c r="M240" s="9" t="e">
        <f t="shared" si="23"/>
        <v>#VALUE!</v>
      </c>
      <c r="N240" s="7" t="e">
        <f>IF(C239&lt;1,"0",LeasingHab!$C$39)</f>
        <v>#VALUE!</v>
      </c>
      <c r="O240" s="9" t="e">
        <f t="shared" si="24"/>
        <v>#VALUE!</v>
      </c>
    </row>
    <row r="241" spans="2:15" ht="15.5" x14ac:dyDescent="0.35">
      <c r="B241" s="6" t="e">
        <f t="shared" si="25"/>
        <v>#VALUE!</v>
      </c>
      <c r="C241" s="7" t="e">
        <f t="shared" si="20"/>
        <v>#VALUE!</v>
      </c>
      <c r="D241" s="7" t="e">
        <f t="shared" si="21"/>
        <v>#VALUE!</v>
      </c>
      <c r="E241" s="7" t="e">
        <f>IF((C240-1)&lt;$E$19,0,C240*LeasingNOFam!$E$17)</f>
        <v>#VALUE!</v>
      </c>
      <c r="F241" s="8" t="e">
        <f>IF((C240-1)&lt;$E$19,"0",C240*Seguros_Oblig!$N$3)</f>
        <v>#VALUE!</v>
      </c>
      <c r="G241" s="8" t="e">
        <f>IF(LeasingHab!$C$10="TARIFA 1",(C240*(VLOOKUP(LeasingHab!$C$24,Seguros_Oblig!$A$3:$B$55,2,FALSE))),(C240*(VLOOKUP(LeasingHab!$C$24,Seguros_Oblig!$A$3:$D$55,4,FALSE))))</f>
        <v>#VALUE!</v>
      </c>
      <c r="H241" s="8" t="e">
        <f>IF(LeasingHab!$C$10="TARIFA 1",(C240*(VLOOKUP(LeasingHab!$C$25,Seguros_Oblig!$A$3:$B$55,2,FALSE))),(C240*(VLOOKUP(LeasingHab!$C$25,Seguros_Oblig!$A$3:$D$55,4,FALSE))))</f>
        <v>#VALUE!</v>
      </c>
      <c r="I241" s="8" t="e">
        <f>IF(LeasingHab!$C$10="TARIFA 1",(C240*(VLOOKUP(LeasingHab!$C$26,Seguros_Oblig!$A$3:$B$55,2,FALSE))),(C240*(VLOOKUP(LeasingHab!$C$26,Seguros_Oblig!$A$3:$D$55,4,FALSE))))</f>
        <v>#VALUE!</v>
      </c>
      <c r="J241" s="10">
        <f t="shared" si="22"/>
        <v>0</v>
      </c>
      <c r="K241" s="7" t="e">
        <f>IF((C240-1)&lt;$E$19,0,Seguros_Oblig!$N$4*(LeasingNOFam!$C$12*90%))</f>
        <v>#VALUE!</v>
      </c>
      <c r="L241" s="7" t="e">
        <f>IF(B241&gt;LeasingNOFam!$C$18,0,PMT(LeasingNOFam!$E$17,LeasingNOFam!$C$18,-LeasingNOFam!$C$15,,)-PMT(LeasingNOFam!$E$17,LeasingNOFam!$C$18,-LeasingNOFam!$C$22)+LeasingNOFam!$C$22*LeasingNOFam!$E$17)</f>
        <v>#VALUE!</v>
      </c>
      <c r="M241" s="9" t="e">
        <f t="shared" si="23"/>
        <v>#VALUE!</v>
      </c>
      <c r="N241" s="7" t="e">
        <f>IF(C240&lt;1,"0",LeasingHab!$C$39)</f>
        <v>#VALUE!</v>
      </c>
      <c r="O241" s="9" t="e">
        <f t="shared" si="24"/>
        <v>#VALUE!</v>
      </c>
    </row>
    <row r="242" spans="2:15" ht="15.5" x14ac:dyDescent="0.35">
      <c r="B242" s="6" t="e">
        <f t="shared" si="25"/>
        <v>#VALUE!</v>
      </c>
      <c r="C242" s="7" t="e">
        <f t="shared" si="20"/>
        <v>#VALUE!</v>
      </c>
      <c r="D242" s="7" t="e">
        <f t="shared" si="21"/>
        <v>#VALUE!</v>
      </c>
      <c r="E242" s="7" t="e">
        <f>IF((C241-1)&lt;$E$19,0,C241*LeasingNOFam!$E$17)</f>
        <v>#VALUE!</v>
      </c>
      <c r="F242" s="8" t="e">
        <f>IF((C241-1)&lt;$E$19,"0",C241*Seguros_Oblig!$N$3)</f>
        <v>#VALUE!</v>
      </c>
      <c r="G242" s="8" t="e">
        <f>IF(LeasingHab!$C$10="TARIFA 1",(C241*(VLOOKUP(LeasingHab!$C$24,Seguros_Oblig!$A$3:$B$55,2,FALSE))),(C241*(VLOOKUP(LeasingHab!$C$24,Seguros_Oblig!$A$3:$D$55,4,FALSE))))</f>
        <v>#VALUE!</v>
      </c>
      <c r="H242" s="8" t="e">
        <f>IF(LeasingHab!$C$10="TARIFA 1",(C241*(VLOOKUP(LeasingHab!$C$25,Seguros_Oblig!$A$3:$B$55,2,FALSE))),(C241*(VLOOKUP(LeasingHab!$C$25,Seguros_Oblig!$A$3:$D$55,4,FALSE))))</f>
        <v>#VALUE!</v>
      </c>
      <c r="I242" s="8" t="e">
        <f>IF(LeasingHab!$C$10="TARIFA 1",(C241*(VLOOKUP(LeasingHab!$C$26,Seguros_Oblig!$A$3:$B$55,2,FALSE))),(C241*(VLOOKUP(LeasingHab!$C$26,Seguros_Oblig!$A$3:$D$55,4,FALSE))))</f>
        <v>#VALUE!</v>
      </c>
      <c r="J242" s="10">
        <f t="shared" si="22"/>
        <v>0</v>
      </c>
      <c r="K242" s="7" t="e">
        <f>IF((C241-1)&lt;$E$19,0,Seguros_Oblig!$N$4*(LeasingNOFam!$C$12*90%))</f>
        <v>#VALUE!</v>
      </c>
      <c r="L242" s="7" t="e">
        <f>IF(B242&gt;LeasingNOFam!$C$18,0,PMT(LeasingNOFam!$E$17,LeasingNOFam!$C$18,-LeasingNOFam!$C$15,,)-PMT(LeasingNOFam!$E$17,LeasingNOFam!$C$18,-LeasingNOFam!$C$22)+LeasingNOFam!$C$22*LeasingNOFam!$E$17)</f>
        <v>#VALUE!</v>
      </c>
      <c r="M242" s="9" t="e">
        <f t="shared" si="23"/>
        <v>#VALUE!</v>
      </c>
      <c r="N242" s="7" t="e">
        <f>IF(C241&lt;1,"0",LeasingHab!$C$39)</f>
        <v>#VALUE!</v>
      </c>
      <c r="O242" s="9" t="e">
        <f t="shared" si="24"/>
        <v>#VALUE!</v>
      </c>
    </row>
    <row r="243" spans="2:15" ht="15.5" x14ac:dyDescent="0.35">
      <c r="B243" s="6" t="e">
        <f t="shared" si="25"/>
        <v>#VALUE!</v>
      </c>
      <c r="C243" s="7" t="e">
        <f t="shared" si="20"/>
        <v>#VALUE!</v>
      </c>
      <c r="D243" s="7" t="e">
        <f t="shared" si="21"/>
        <v>#VALUE!</v>
      </c>
      <c r="E243" s="7" t="e">
        <f>IF((C242-1)&lt;$E$19,0,C242*LeasingNOFam!$E$17)</f>
        <v>#VALUE!</v>
      </c>
      <c r="F243" s="8" t="e">
        <f>IF((C242-1)&lt;$E$19,"0",C242*Seguros_Oblig!$N$3)</f>
        <v>#VALUE!</v>
      </c>
      <c r="G243" s="8" t="e">
        <f>IF(LeasingHab!$C$10="TARIFA 1",(C242*(VLOOKUP(LeasingHab!$C$24,Seguros_Oblig!$A$3:$B$55,2,FALSE))),(C242*(VLOOKUP(LeasingHab!$C$24,Seguros_Oblig!$A$3:$D$55,4,FALSE))))</f>
        <v>#VALUE!</v>
      </c>
      <c r="H243" s="8" t="e">
        <f>IF(LeasingHab!$C$10="TARIFA 1",(C242*(VLOOKUP(LeasingHab!$C$25,Seguros_Oblig!$A$3:$B$55,2,FALSE))),(C242*(VLOOKUP(LeasingHab!$C$25,Seguros_Oblig!$A$3:$D$55,4,FALSE))))</f>
        <v>#VALUE!</v>
      </c>
      <c r="I243" s="8" t="e">
        <f>IF(LeasingHab!$C$10="TARIFA 1",(C242*(VLOOKUP(LeasingHab!$C$26,Seguros_Oblig!$A$3:$B$55,2,FALSE))),(C242*(VLOOKUP(LeasingHab!$C$26,Seguros_Oblig!$A$3:$D$55,4,FALSE))))</f>
        <v>#VALUE!</v>
      </c>
      <c r="J243" s="10">
        <f t="shared" si="22"/>
        <v>0</v>
      </c>
      <c r="K243" s="7" t="e">
        <f>IF((C242-1)&lt;$E$19,0,Seguros_Oblig!$N$4*(LeasingNOFam!$C$12*90%))</f>
        <v>#VALUE!</v>
      </c>
      <c r="L243" s="7" t="e">
        <f>IF(B243&gt;LeasingNOFam!$C$18,0,PMT(LeasingNOFam!$E$17,LeasingNOFam!$C$18,-LeasingNOFam!$C$15,,)-PMT(LeasingNOFam!$E$17,LeasingNOFam!$C$18,-LeasingNOFam!$C$22)+LeasingNOFam!$C$22*LeasingNOFam!$E$17)</f>
        <v>#VALUE!</v>
      </c>
      <c r="M243" s="9" t="e">
        <f t="shared" si="23"/>
        <v>#VALUE!</v>
      </c>
      <c r="N243" s="7" t="e">
        <f>IF(C242&lt;1,"0",LeasingHab!$C$39)</f>
        <v>#VALUE!</v>
      </c>
      <c r="O243" s="9" t="e">
        <f t="shared" si="24"/>
        <v>#VALUE!</v>
      </c>
    </row>
    <row r="244" spans="2:15" ht="15.5" x14ac:dyDescent="0.35">
      <c r="B244" s="6" t="e">
        <f t="shared" si="25"/>
        <v>#VALUE!</v>
      </c>
      <c r="C244" s="7" t="e">
        <f t="shared" si="20"/>
        <v>#VALUE!</v>
      </c>
      <c r="D244" s="7" t="e">
        <f t="shared" si="21"/>
        <v>#VALUE!</v>
      </c>
      <c r="E244" s="7" t="e">
        <f>IF((C243-1)&lt;$E$19,0,C243*LeasingNOFam!$E$17)</f>
        <v>#VALUE!</v>
      </c>
      <c r="F244" s="8" t="e">
        <f>IF((C243-1)&lt;$E$19,"0",C243*Seguros_Oblig!$N$3)</f>
        <v>#VALUE!</v>
      </c>
      <c r="G244" s="8" t="e">
        <f>IF(LeasingHab!$C$10="TARIFA 1",(C243*(VLOOKUP(LeasingHab!$C$24,Seguros_Oblig!$A$3:$B$55,2,FALSE))),(C243*(VLOOKUP(LeasingHab!$C$24,Seguros_Oblig!$A$3:$D$55,4,FALSE))))</f>
        <v>#VALUE!</v>
      </c>
      <c r="H244" s="8" t="e">
        <f>IF(LeasingHab!$C$10="TARIFA 1",(C243*(VLOOKUP(LeasingHab!$C$25,Seguros_Oblig!$A$3:$B$55,2,FALSE))),(C243*(VLOOKUP(LeasingHab!$C$25,Seguros_Oblig!$A$3:$D$55,4,FALSE))))</f>
        <v>#VALUE!</v>
      </c>
      <c r="I244" s="8" t="e">
        <f>IF(LeasingHab!$C$10="TARIFA 1",(C243*(VLOOKUP(LeasingHab!$C$26,Seguros_Oblig!$A$3:$B$55,2,FALSE))),(C243*(VLOOKUP(LeasingHab!$C$26,Seguros_Oblig!$A$3:$D$55,4,FALSE))))</f>
        <v>#VALUE!</v>
      </c>
      <c r="J244" s="10">
        <f t="shared" si="22"/>
        <v>0</v>
      </c>
      <c r="K244" s="7" t="e">
        <f>IF((C243-1)&lt;$E$19,0,Seguros_Oblig!$N$4*(LeasingNOFam!$C$12*90%))</f>
        <v>#VALUE!</v>
      </c>
      <c r="L244" s="7" t="e">
        <f>IF(B244&gt;LeasingNOFam!$C$18,0,PMT(LeasingNOFam!$E$17,LeasingNOFam!$C$18,-LeasingNOFam!$C$15,,)-PMT(LeasingNOFam!$E$17,LeasingNOFam!$C$18,-LeasingNOFam!$C$22)+LeasingNOFam!$C$22*LeasingNOFam!$E$17)</f>
        <v>#VALUE!</v>
      </c>
      <c r="M244" s="9" t="e">
        <f t="shared" si="23"/>
        <v>#VALUE!</v>
      </c>
      <c r="N244" s="7" t="e">
        <f>IF(C243&lt;1,"0",LeasingHab!$C$39)</f>
        <v>#VALUE!</v>
      </c>
      <c r="O244" s="9" t="e">
        <f t="shared" si="24"/>
        <v>#VALUE!</v>
      </c>
    </row>
    <row r="245" spans="2:15" ht="15.5" x14ac:dyDescent="0.35">
      <c r="B245" s="6" t="e">
        <f t="shared" si="25"/>
        <v>#VALUE!</v>
      </c>
      <c r="C245" s="7" t="e">
        <f t="shared" si="20"/>
        <v>#VALUE!</v>
      </c>
      <c r="D245" s="7" t="e">
        <f t="shared" si="21"/>
        <v>#VALUE!</v>
      </c>
      <c r="E245" s="7" t="e">
        <f>IF((C244-1)&lt;$E$19,0,C244*LeasingNOFam!$E$17)</f>
        <v>#VALUE!</v>
      </c>
      <c r="F245" s="8" t="e">
        <f>IF((C244-1)&lt;$E$19,"0",C244*Seguros_Oblig!$N$3)</f>
        <v>#VALUE!</v>
      </c>
      <c r="G245" s="8" t="e">
        <f>IF(LeasingHab!$C$10="TARIFA 1",(C244*(VLOOKUP(LeasingHab!$C$24,Seguros_Oblig!$A$3:$B$55,2,FALSE))),(C244*(VLOOKUP(LeasingHab!$C$24,Seguros_Oblig!$A$3:$D$55,4,FALSE))))</f>
        <v>#VALUE!</v>
      </c>
      <c r="H245" s="8" t="e">
        <f>IF(LeasingHab!$C$10="TARIFA 1",(C244*(VLOOKUP(LeasingHab!$C$25,Seguros_Oblig!$A$3:$B$55,2,FALSE))),(C244*(VLOOKUP(LeasingHab!$C$25,Seguros_Oblig!$A$3:$D$55,4,FALSE))))</f>
        <v>#VALUE!</v>
      </c>
      <c r="I245" s="8" t="e">
        <f>IF(LeasingHab!$C$10="TARIFA 1",(C244*(VLOOKUP(LeasingHab!$C$26,Seguros_Oblig!$A$3:$B$55,2,FALSE))),(C244*(VLOOKUP(LeasingHab!$C$26,Seguros_Oblig!$A$3:$D$55,4,FALSE))))</f>
        <v>#VALUE!</v>
      </c>
      <c r="J245" s="10">
        <f t="shared" si="22"/>
        <v>0</v>
      </c>
      <c r="K245" s="7" t="e">
        <f>IF((C244-1)&lt;$E$19,0,Seguros_Oblig!$N$4*(LeasingNOFam!$C$12*90%))</f>
        <v>#VALUE!</v>
      </c>
      <c r="L245" s="7" t="e">
        <f>IF(B245&gt;LeasingNOFam!$C$18,0,PMT(LeasingNOFam!$E$17,LeasingNOFam!$C$18,-LeasingNOFam!$C$15,,)-PMT(LeasingNOFam!$E$17,LeasingNOFam!$C$18,-LeasingNOFam!$C$22)+LeasingNOFam!$C$22*LeasingNOFam!$E$17)</f>
        <v>#VALUE!</v>
      </c>
      <c r="M245" s="9" t="e">
        <f t="shared" si="23"/>
        <v>#VALUE!</v>
      </c>
      <c r="N245" s="7" t="e">
        <f>IF(C244&lt;1,"0",LeasingHab!$C$39)</f>
        <v>#VALUE!</v>
      </c>
      <c r="O245" s="9" t="e">
        <f t="shared" si="24"/>
        <v>#VALUE!</v>
      </c>
    </row>
    <row r="246" spans="2:15" ht="15.5" x14ac:dyDescent="0.35">
      <c r="B246" s="6" t="e">
        <f t="shared" si="25"/>
        <v>#VALUE!</v>
      </c>
      <c r="C246" s="7" t="e">
        <f t="shared" si="20"/>
        <v>#VALUE!</v>
      </c>
      <c r="D246" s="7" t="e">
        <f t="shared" si="21"/>
        <v>#VALUE!</v>
      </c>
      <c r="E246" s="7" t="e">
        <f>IF((C245-1)&lt;$E$19,0,C245*LeasingNOFam!$E$17)</f>
        <v>#VALUE!</v>
      </c>
      <c r="F246" s="8" t="e">
        <f>IF((C245-1)&lt;$E$19,"0",C245*Seguros_Oblig!$N$3)</f>
        <v>#VALUE!</v>
      </c>
      <c r="G246" s="8" t="e">
        <f>IF(LeasingHab!$C$10="TARIFA 1",(C245*(VLOOKUP(LeasingHab!$C$24,Seguros_Oblig!$A$3:$B$55,2,FALSE))),(C245*(VLOOKUP(LeasingHab!$C$24,Seguros_Oblig!$A$3:$D$55,4,FALSE))))</f>
        <v>#VALUE!</v>
      </c>
      <c r="H246" s="8" t="e">
        <f>IF(LeasingHab!$C$10="TARIFA 1",(C245*(VLOOKUP(LeasingHab!$C$25,Seguros_Oblig!$A$3:$B$55,2,FALSE))),(C245*(VLOOKUP(LeasingHab!$C$25,Seguros_Oblig!$A$3:$D$55,4,FALSE))))</f>
        <v>#VALUE!</v>
      </c>
      <c r="I246" s="8" t="e">
        <f>IF(LeasingHab!$C$10="TARIFA 1",(C245*(VLOOKUP(LeasingHab!$C$26,Seguros_Oblig!$A$3:$B$55,2,FALSE))),(C245*(VLOOKUP(LeasingHab!$C$26,Seguros_Oblig!$A$3:$D$55,4,FALSE))))</f>
        <v>#VALUE!</v>
      </c>
      <c r="J246" s="10">
        <f t="shared" si="22"/>
        <v>0</v>
      </c>
      <c r="K246" s="7" t="e">
        <f>IF((C245-1)&lt;$E$19,0,Seguros_Oblig!$N$4*(LeasingNOFam!$C$12*90%))</f>
        <v>#VALUE!</v>
      </c>
      <c r="L246" s="7" t="e">
        <f>IF(B246&gt;LeasingNOFam!$C$18,0,PMT(LeasingNOFam!$E$17,LeasingNOFam!$C$18,-LeasingNOFam!$C$15,,)-PMT(LeasingNOFam!$E$17,LeasingNOFam!$C$18,-LeasingNOFam!$C$22)+LeasingNOFam!$C$22*LeasingNOFam!$E$17)</f>
        <v>#VALUE!</v>
      </c>
      <c r="M246" s="9" t="e">
        <f t="shared" si="23"/>
        <v>#VALUE!</v>
      </c>
      <c r="N246" s="7" t="e">
        <f>IF(C245&lt;1,"0",LeasingHab!$C$39)</f>
        <v>#VALUE!</v>
      </c>
      <c r="O246" s="9" t="e">
        <f t="shared" si="24"/>
        <v>#VALUE!</v>
      </c>
    </row>
    <row r="247" spans="2:15" ht="15.5" x14ac:dyDescent="0.35">
      <c r="B247" s="6" t="e">
        <f t="shared" si="25"/>
        <v>#VALUE!</v>
      </c>
      <c r="C247" s="7" t="e">
        <f t="shared" si="20"/>
        <v>#VALUE!</v>
      </c>
      <c r="D247" s="7" t="e">
        <f t="shared" si="21"/>
        <v>#VALUE!</v>
      </c>
      <c r="E247" s="7" t="e">
        <f>IF((C246-1)&lt;$E$19,0,C246*LeasingNOFam!$E$17)</f>
        <v>#VALUE!</v>
      </c>
      <c r="F247" s="8" t="e">
        <f>IF((C246-1)&lt;$E$19,"0",C246*Seguros_Oblig!$N$3)</f>
        <v>#VALUE!</v>
      </c>
      <c r="G247" s="8" t="e">
        <f>IF(LeasingHab!$C$10="TARIFA 1",(C246*(VLOOKUP(LeasingHab!$C$24,Seguros_Oblig!$A$3:$B$55,2,FALSE))),(C246*(VLOOKUP(LeasingHab!$C$24,Seguros_Oblig!$A$3:$D$55,4,FALSE))))</f>
        <v>#VALUE!</v>
      </c>
      <c r="H247" s="8" t="e">
        <f>IF(LeasingHab!$C$10="TARIFA 1",(C246*(VLOOKUP(LeasingHab!$C$25,Seguros_Oblig!$A$3:$B$55,2,FALSE))),(C246*(VLOOKUP(LeasingHab!$C$25,Seguros_Oblig!$A$3:$D$55,4,FALSE))))</f>
        <v>#VALUE!</v>
      </c>
      <c r="I247" s="8" t="e">
        <f>IF(LeasingHab!$C$10="TARIFA 1",(C246*(VLOOKUP(LeasingHab!$C$26,Seguros_Oblig!$A$3:$B$55,2,FALSE))),(C246*(VLOOKUP(LeasingHab!$C$26,Seguros_Oblig!$A$3:$D$55,4,FALSE))))</f>
        <v>#VALUE!</v>
      </c>
      <c r="J247" s="10">
        <f t="shared" si="22"/>
        <v>0</v>
      </c>
      <c r="K247" s="7" t="e">
        <f>IF((C246-1)&lt;$E$19,0,Seguros_Oblig!$N$4*(LeasingNOFam!$C$12*90%))</f>
        <v>#VALUE!</v>
      </c>
      <c r="L247" s="7" t="e">
        <f>IF(B247&gt;LeasingNOFam!$C$18,0,PMT(LeasingNOFam!$E$17,LeasingNOFam!$C$18,-LeasingNOFam!$C$15,,)-PMT(LeasingNOFam!$E$17,LeasingNOFam!$C$18,-LeasingNOFam!$C$22)+LeasingNOFam!$C$22*LeasingNOFam!$E$17)</f>
        <v>#VALUE!</v>
      </c>
      <c r="M247" s="9" t="e">
        <f t="shared" si="23"/>
        <v>#VALUE!</v>
      </c>
      <c r="N247" s="7" t="e">
        <f>IF(C246&lt;1,"0",LeasingHab!$C$39)</f>
        <v>#VALUE!</v>
      </c>
      <c r="O247" s="9" t="e">
        <f t="shared" si="24"/>
        <v>#VALUE!</v>
      </c>
    </row>
    <row r="248" spans="2:15" ht="15.5" x14ac:dyDescent="0.35">
      <c r="B248" s="6" t="e">
        <f t="shared" si="25"/>
        <v>#VALUE!</v>
      </c>
      <c r="C248" s="7" t="e">
        <f t="shared" si="20"/>
        <v>#VALUE!</v>
      </c>
      <c r="D248" s="7" t="e">
        <f t="shared" si="21"/>
        <v>#VALUE!</v>
      </c>
      <c r="E248" s="7" t="e">
        <f>IF((C247-1)&lt;$E$19,0,C247*LeasingNOFam!$E$17)</f>
        <v>#VALUE!</v>
      </c>
      <c r="F248" s="8" t="e">
        <f>IF((C247-1)&lt;$E$19,"0",C247*Seguros_Oblig!$N$3)</f>
        <v>#VALUE!</v>
      </c>
      <c r="G248" s="8" t="e">
        <f>IF(LeasingHab!$C$10="TARIFA 1",(C247*(VLOOKUP(LeasingHab!$C$24,Seguros_Oblig!$A$3:$B$55,2,FALSE))),(C247*(VLOOKUP(LeasingHab!$C$24,Seguros_Oblig!$A$3:$D$55,4,FALSE))))</f>
        <v>#VALUE!</v>
      </c>
      <c r="H248" s="8" t="e">
        <f>IF(LeasingHab!$C$10="TARIFA 1",(C247*(VLOOKUP(LeasingHab!$C$25,Seguros_Oblig!$A$3:$B$55,2,FALSE))),(C247*(VLOOKUP(LeasingHab!$C$25,Seguros_Oblig!$A$3:$D$55,4,FALSE))))</f>
        <v>#VALUE!</v>
      </c>
      <c r="I248" s="8" t="e">
        <f>IF(LeasingHab!$C$10="TARIFA 1",(C247*(VLOOKUP(LeasingHab!$C$26,Seguros_Oblig!$A$3:$B$55,2,FALSE))),(C247*(VLOOKUP(LeasingHab!$C$26,Seguros_Oblig!$A$3:$D$55,4,FALSE))))</f>
        <v>#VALUE!</v>
      </c>
      <c r="J248" s="10">
        <f t="shared" si="22"/>
        <v>0</v>
      </c>
      <c r="K248" s="7" t="e">
        <f>IF((C247-1)&lt;$E$19,0,Seguros_Oblig!$N$4*(LeasingNOFam!$C$12*90%))</f>
        <v>#VALUE!</v>
      </c>
      <c r="L248" s="7" t="e">
        <f>IF(B248&gt;LeasingNOFam!$C$18,0,PMT(LeasingNOFam!$E$17,LeasingNOFam!$C$18,-LeasingNOFam!$C$15,,)-PMT(LeasingNOFam!$E$17,LeasingNOFam!$C$18,-LeasingNOFam!$C$22)+LeasingNOFam!$C$22*LeasingNOFam!$E$17)</f>
        <v>#VALUE!</v>
      </c>
      <c r="M248" s="9" t="e">
        <f t="shared" si="23"/>
        <v>#VALUE!</v>
      </c>
      <c r="N248" s="7" t="e">
        <f>IF(C247&lt;1,"0",LeasingHab!$C$39)</f>
        <v>#VALUE!</v>
      </c>
      <c r="O248" s="9" t="e">
        <f t="shared" si="24"/>
        <v>#VALUE!</v>
      </c>
    </row>
    <row r="249" spans="2:15" ht="15.5" x14ac:dyDescent="0.35">
      <c r="B249" s="6" t="e">
        <f t="shared" si="25"/>
        <v>#VALUE!</v>
      </c>
      <c r="C249" s="7" t="e">
        <f t="shared" si="20"/>
        <v>#VALUE!</v>
      </c>
      <c r="D249" s="7" t="e">
        <f t="shared" si="21"/>
        <v>#VALUE!</v>
      </c>
      <c r="E249" s="7" t="e">
        <f>IF((C248-1)&lt;$E$19,0,C248*LeasingNOFam!$E$17)</f>
        <v>#VALUE!</v>
      </c>
      <c r="F249" s="8" t="e">
        <f>IF((C248-1)&lt;$E$19,"0",C248*Seguros_Oblig!$N$3)</f>
        <v>#VALUE!</v>
      </c>
      <c r="G249" s="8" t="e">
        <f>IF(LeasingHab!$C$10="TARIFA 1",(C248*(VLOOKUP(LeasingHab!$C$24,Seguros_Oblig!$A$3:$B$55,2,FALSE))),(C248*(VLOOKUP(LeasingHab!$C$24,Seguros_Oblig!$A$3:$D$55,4,FALSE))))</f>
        <v>#VALUE!</v>
      </c>
      <c r="H249" s="8" t="e">
        <f>IF(LeasingHab!$C$10="TARIFA 1",(C248*(VLOOKUP(LeasingHab!$C$25,Seguros_Oblig!$A$3:$B$55,2,FALSE))),(C248*(VLOOKUP(LeasingHab!$C$25,Seguros_Oblig!$A$3:$D$55,4,FALSE))))</f>
        <v>#VALUE!</v>
      </c>
      <c r="I249" s="8" t="e">
        <f>IF(LeasingHab!$C$10="TARIFA 1",(C248*(VLOOKUP(LeasingHab!$C$26,Seguros_Oblig!$A$3:$B$55,2,FALSE))),(C248*(VLOOKUP(LeasingHab!$C$26,Seguros_Oblig!$A$3:$D$55,4,FALSE))))</f>
        <v>#VALUE!</v>
      </c>
      <c r="J249" s="10">
        <f t="shared" si="22"/>
        <v>0</v>
      </c>
      <c r="K249" s="7" t="e">
        <f>IF((C248-1)&lt;$E$19,0,Seguros_Oblig!$N$4*(LeasingNOFam!$C$12*90%))</f>
        <v>#VALUE!</v>
      </c>
      <c r="L249" s="7" t="e">
        <f>IF(B249&gt;LeasingNOFam!$C$18,0,PMT(LeasingNOFam!$E$17,LeasingNOFam!$C$18,-LeasingNOFam!$C$15,,)-PMT(LeasingNOFam!$E$17,LeasingNOFam!$C$18,-LeasingNOFam!$C$22)+LeasingNOFam!$C$22*LeasingNOFam!$E$17)</f>
        <v>#VALUE!</v>
      </c>
      <c r="M249" s="9" t="e">
        <f t="shared" si="23"/>
        <v>#VALUE!</v>
      </c>
      <c r="N249" s="7" t="e">
        <f>IF(C248&lt;1,"0",LeasingHab!$C$39)</f>
        <v>#VALUE!</v>
      </c>
      <c r="O249" s="9" t="e">
        <f t="shared" si="24"/>
        <v>#VALUE!</v>
      </c>
    </row>
    <row r="250" spans="2:15" ht="15.5" x14ac:dyDescent="0.35">
      <c r="B250" s="6" t="e">
        <f t="shared" si="25"/>
        <v>#VALUE!</v>
      </c>
      <c r="C250" s="7" t="e">
        <f t="shared" si="20"/>
        <v>#VALUE!</v>
      </c>
      <c r="D250" s="7" t="e">
        <f t="shared" si="21"/>
        <v>#VALUE!</v>
      </c>
      <c r="E250" s="7" t="e">
        <f>IF((C249-1)&lt;$E$19,0,C249*LeasingNOFam!$E$17)</f>
        <v>#VALUE!</v>
      </c>
      <c r="F250" s="8" t="e">
        <f>IF((C249-1)&lt;$E$19,"0",C249*Seguros_Oblig!$N$3)</f>
        <v>#VALUE!</v>
      </c>
      <c r="G250" s="8" t="e">
        <f>IF(LeasingHab!$C$10="TARIFA 1",(C249*(VLOOKUP(LeasingHab!$C$24,Seguros_Oblig!$A$3:$B$55,2,FALSE))),(C249*(VLOOKUP(LeasingHab!$C$24,Seguros_Oblig!$A$3:$D$55,4,FALSE))))</f>
        <v>#VALUE!</v>
      </c>
      <c r="H250" s="8" t="e">
        <f>IF(LeasingHab!$C$10="TARIFA 1",(C249*(VLOOKUP(LeasingHab!$C$25,Seguros_Oblig!$A$3:$B$55,2,FALSE))),(C249*(VLOOKUP(LeasingHab!$C$25,Seguros_Oblig!$A$3:$D$55,4,FALSE))))</f>
        <v>#VALUE!</v>
      </c>
      <c r="I250" s="8" t="e">
        <f>IF(LeasingHab!$C$10="TARIFA 1",(C249*(VLOOKUP(LeasingHab!$C$26,Seguros_Oblig!$A$3:$B$55,2,FALSE))),(C249*(VLOOKUP(LeasingHab!$C$26,Seguros_Oblig!$A$3:$D$55,4,FALSE))))</f>
        <v>#VALUE!</v>
      </c>
      <c r="J250" s="10">
        <f t="shared" si="22"/>
        <v>0</v>
      </c>
      <c r="K250" s="7" t="e">
        <f>IF((C249-1)&lt;$E$19,0,Seguros_Oblig!$N$4*(LeasingNOFam!$C$12*90%))</f>
        <v>#VALUE!</v>
      </c>
      <c r="L250" s="7" t="e">
        <f>IF(B250&gt;LeasingNOFam!$C$18,0,PMT(LeasingNOFam!$E$17,LeasingNOFam!$C$18,-LeasingNOFam!$C$15,,)-PMT(LeasingNOFam!$E$17,LeasingNOFam!$C$18,-LeasingNOFam!$C$22)+LeasingNOFam!$C$22*LeasingNOFam!$E$17)</f>
        <v>#VALUE!</v>
      </c>
      <c r="M250" s="9" t="e">
        <f t="shared" si="23"/>
        <v>#VALUE!</v>
      </c>
      <c r="N250" s="7" t="e">
        <f>IF(C249&lt;1,"0",LeasingHab!$C$39)</f>
        <v>#VALUE!</v>
      </c>
      <c r="O250" s="9" t="e">
        <f t="shared" si="24"/>
        <v>#VALUE!</v>
      </c>
    </row>
    <row r="251" spans="2:15" ht="15.5" x14ac:dyDescent="0.35">
      <c r="B251" s="6" t="e">
        <f t="shared" si="25"/>
        <v>#VALUE!</v>
      </c>
      <c r="C251" s="7" t="e">
        <f t="shared" si="20"/>
        <v>#VALUE!</v>
      </c>
      <c r="D251" s="7" t="e">
        <f t="shared" si="21"/>
        <v>#VALUE!</v>
      </c>
      <c r="E251" s="7" t="e">
        <f>IF((C250-1)&lt;$E$19,0,C250*LeasingNOFam!$E$17)</f>
        <v>#VALUE!</v>
      </c>
      <c r="F251" s="8" t="e">
        <f>IF((C250-1)&lt;$E$19,"0",C250*Seguros_Oblig!$N$3)</f>
        <v>#VALUE!</v>
      </c>
      <c r="G251" s="8" t="e">
        <f>IF(LeasingHab!$C$10="TARIFA 1",(C250*(VLOOKUP(LeasingHab!$C$24,Seguros_Oblig!$A$3:$B$55,2,FALSE))),(C250*(VLOOKUP(LeasingHab!$C$24,Seguros_Oblig!$A$3:$D$55,4,FALSE))))</f>
        <v>#VALUE!</v>
      </c>
      <c r="H251" s="8" t="e">
        <f>IF(LeasingHab!$C$10="TARIFA 1",(C250*(VLOOKUP(LeasingHab!$C$25,Seguros_Oblig!$A$3:$B$55,2,FALSE))),(C250*(VLOOKUP(LeasingHab!$C$25,Seguros_Oblig!$A$3:$D$55,4,FALSE))))</f>
        <v>#VALUE!</v>
      </c>
      <c r="I251" s="8" t="e">
        <f>IF(LeasingHab!$C$10="TARIFA 1",(C250*(VLOOKUP(LeasingHab!$C$26,Seguros_Oblig!$A$3:$B$55,2,FALSE))),(C250*(VLOOKUP(LeasingHab!$C$26,Seguros_Oblig!$A$3:$D$55,4,FALSE))))</f>
        <v>#VALUE!</v>
      </c>
      <c r="J251" s="10">
        <f t="shared" si="22"/>
        <v>0</v>
      </c>
      <c r="K251" s="7" t="e">
        <f>IF((C250-1)&lt;$E$19,0,Seguros_Oblig!$N$4*(LeasingNOFam!$C$12*90%))</f>
        <v>#VALUE!</v>
      </c>
      <c r="L251" s="7" t="e">
        <f>IF(B251&gt;LeasingNOFam!$C$18,0,PMT(LeasingNOFam!$E$17,LeasingNOFam!$C$18,-LeasingNOFam!$C$15,,)-PMT(LeasingNOFam!$E$17,LeasingNOFam!$C$18,-LeasingNOFam!$C$22)+LeasingNOFam!$C$22*LeasingNOFam!$E$17)</f>
        <v>#VALUE!</v>
      </c>
      <c r="M251" s="9" t="e">
        <f t="shared" si="23"/>
        <v>#VALUE!</v>
      </c>
      <c r="N251" s="7" t="e">
        <f>IF(C250&lt;1,"0",LeasingHab!$C$39)</f>
        <v>#VALUE!</v>
      </c>
      <c r="O251" s="9" t="e">
        <f t="shared" si="24"/>
        <v>#VALUE!</v>
      </c>
    </row>
    <row r="252" spans="2:15" ht="15.5" x14ac:dyDescent="0.35">
      <c r="B252" s="6" t="e">
        <f t="shared" si="25"/>
        <v>#VALUE!</v>
      </c>
      <c r="C252" s="7" t="e">
        <f t="shared" si="20"/>
        <v>#VALUE!</v>
      </c>
      <c r="D252" s="7" t="e">
        <f t="shared" si="21"/>
        <v>#VALUE!</v>
      </c>
      <c r="E252" s="7" t="e">
        <f>IF((C251-1)&lt;$E$19,0,C251*LeasingNOFam!$E$17)</f>
        <v>#VALUE!</v>
      </c>
      <c r="F252" s="8" t="e">
        <f>IF((C251-1)&lt;$E$19,"0",C251*Seguros_Oblig!$N$3)</f>
        <v>#VALUE!</v>
      </c>
      <c r="G252" s="8" t="e">
        <f>IF(LeasingHab!$C$10="TARIFA 1",(C251*(VLOOKUP(LeasingHab!$C$24,Seguros_Oblig!$A$3:$B$55,2,FALSE))),(C251*(VLOOKUP(LeasingHab!$C$24,Seguros_Oblig!$A$3:$D$55,4,FALSE))))</f>
        <v>#VALUE!</v>
      </c>
      <c r="H252" s="8" t="e">
        <f>IF(LeasingHab!$C$10="TARIFA 1",(C251*(VLOOKUP(LeasingHab!$C$25,Seguros_Oblig!$A$3:$B$55,2,FALSE))),(C251*(VLOOKUP(LeasingHab!$C$25,Seguros_Oblig!$A$3:$D$55,4,FALSE))))</f>
        <v>#VALUE!</v>
      </c>
      <c r="I252" s="8" t="e">
        <f>IF(LeasingHab!$C$10="TARIFA 1",(C251*(VLOOKUP(LeasingHab!$C$26,Seguros_Oblig!$A$3:$B$55,2,FALSE))),(C251*(VLOOKUP(LeasingHab!$C$26,Seguros_Oblig!$A$3:$D$55,4,FALSE))))</f>
        <v>#VALUE!</v>
      </c>
      <c r="J252" s="10">
        <f t="shared" si="22"/>
        <v>0</v>
      </c>
      <c r="K252" s="7" t="e">
        <f>IF((C251-1)&lt;$E$19,0,Seguros_Oblig!$N$4*(LeasingNOFam!$C$12*90%))</f>
        <v>#VALUE!</v>
      </c>
      <c r="L252" s="7" t="e">
        <f>IF(B252&gt;LeasingNOFam!$C$18,0,PMT(LeasingNOFam!$E$17,LeasingNOFam!$C$18,-LeasingNOFam!$C$15,,)-PMT(LeasingNOFam!$E$17,LeasingNOFam!$C$18,-LeasingNOFam!$C$22)+LeasingNOFam!$C$22*LeasingNOFam!$E$17)</f>
        <v>#VALUE!</v>
      </c>
      <c r="M252" s="9" t="e">
        <f t="shared" si="23"/>
        <v>#VALUE!</v>
      </c>
      <c r="N252" s="7" t="e">
        <f>IF(C251&lt;1,"0",LeasingHab!$C$39)</f>
        <v>#VALUE!</v>
      </c>
      <c r="O252" s="9" t="e">
        <f t="shared" si="24"/>
        <v>#VALUE!</v>
      </c>
    </row>
    <row r="253" spans="2:15" ht="15.5" x14ac:dyDescent="0.35">
      <c r="B253" s="6" t="e">
        <f t="shared" si="25"/>
        <v>#VALUE!</v>
      </c>
      <c r="C253" s="7" t="e">
        <f t="shared" si="20"/>
        <v>#VALUE!</v>
      </c>
      <c r="D253" s="7" t="e">
        <f t="shared" si="21"/>
        <v>#VALUE!</v>
      </c>
      <c r="E253" s="7" t="e">
        <f>IF((C252-1)&lt;$E$19,0,C252*LeasingNOFam!$E$17)</f>
        <v>#VALUE!</v>
      </c>
      <c r="F253" s="8" t="e">
        <f>IF((C252-1)&lt;$E$19,"0",C252*Seguros_Oblig!$N$3)</f>
        <v>#VALUE!</v>
      </c>
      <c r="G253" s="8" t="e">
        <f>IF(LeasingHab!$C$10="TARIFA 1",(C252*(VLOOKUP(LeasingHab!$C$24,Seguros_Oblig!$A$3:$B$55,2,FALSE))),(C252*(VLOOKUP(LeasingHab!$C$24,Seguros_Oblig!$A$3:$D$55,4,FALSE))))</f>
        <v>#VALUE!</v>
      </c>
      <c r="H253" s="8" t="e">
        <f>IF(LeasingHab!$C$10="TARIFA 1",(C252*(VLOOKUP(LeasingHab!$C$25,Seguros_Oblig!$A$3:$B$55,2,FALSE))),(C252*(VLOOKUP(LeasingHab!$C$25,Seguros_Oblig!$A$3:$D$55,4,FALSE))))</f>
        <v>#VALUE!</v>
      </c>
      <c r="I253" s="8" t="e">
        <f>IF(LeasingHab!$C$10="TARIFA 1",(C252*(VLOOKUP(LeasingHab!$C$26,Seguros_Oblig!$A$3:$B$55,2,FALSE))),(C252*(VLOOKUP(LeasingHab!$C$26,Seguros_Oblig!$A$3:$D$55,4,FALSE))))</f>
        <v>#VALUE!</v>
      </c>
      <c r="J253" s="10">
        <f t="shared" si="22"/>
        <v>0</v>
      </c>
      <c r="K253" s="7" t="e">
        <f>IF((C252-1)&lt;$E$19,0,Seguros_Oblig!$N$4*(LeasingNOFam!$C$12*90%))</f>
        <v>#VALUE!</v>
      </c>
      <c r="L253" s="7" t="e">
        <f>IF(B253&gt;LeasingNOFam!$C$18,0,PMT(LeasingNOFam!$E$17,LeasingNOFam!$C$18,-LeasingNOFam!$C$15,,)-PMT(LeasingNOFam!$E$17,LeasingNOFam!$C$18,-LeasingNOFam!$C$22)+LeasingNOFam!$C$22*LeasingNOFam!$E$17)</f>
        <v>#VALUE!</v>
      </c>
      <c r="M253" s="9" t="e">
        <f t="shared" si="23"/>
        <v>#VALUE!</v>
      </c>
      <c r="N253" s="7" t="e">
        <f>IF(C252&lt;1,"0",LeasingHab!$C$39)</f>
        <v>#VALUE!</v>
      </c>
      <c r="O253" s="9" t="e">
        <f t="shared" si="24"/>
        <v>#VALUE!</v>
      </c>
    </row>
    <row r="254" spans="2:15" ht="15.5" x14ac:dyDescent="0.35">
      <c r="B254" s="6" t="e">
        <f t="shared" si="25"/>
        <v>#VALUE!</v>
      </c>
      <c r="C254" s="7" t="e">
        <f t="shared" si="20"/>
        <v>#VALUE!</v>
      </c>
      <c r="D254" s="7" t="e">
        <f t="shared" si="21"/>
        <v>#VALUE!</v>
      </c>
      <c r="E254" s="7" t="e">
        <f>IF((C253-1)&lt;$E$19,0,C253*LeasingNOFam!$E$17)</f>
        <v>#VALUE!</v>
      </c>
      <c r="F254" s="8" t="e">
        <f>IF((C253-1)&lt;$E$19,"0",C253*Seguros_Oblig!$N$3)</f>
        <v>#VALUE!</v>
      </c>
      <c r="G254" s="8" t="e">
        <f>IF(LeasingHab!$C$10="TARIFA 1",(C253*(VLOOKUP(LeasingHab!$C$24,Seguros_Oblig!$A$3:$B$55,2,FALSE))),(C253*(VLOOKUP(LeasingHab!$C$24,Seguros_Oblig!$A$3:$D$55,4,FALSE))))</f>
        <v>#VALUE!</v>
      </c>
      <c r="H254" s="8" t="e">
        <f>IF(LeasingHab!$C$10="TARIFA 1",(C253*(VLOOKUP(LeasingHab!$C$25,Seguros_Oblig!$A$3:$B$55,2,FALSE))),(C253*(VLOOKUP(LeasingHab!$C$25,Seguros_Oblig!$A$3:$D$55,4,FALSE))))</f>
        <v>#VALUE!</v>
      </c>
      <c r="I254" s="8" t="e">
        <f>IF(LeasingHab!$C$10="TARIFA 1",(C253*(VLOOKUP(LeasingHab!$C$26,Seguros_Oblig!$A$3:$B$55,2,FALSE))),(C253*(VLOOKUP(LeasingHab!$C$26,Seguros_Oblig!$A$3:$D$55,4,FALSE))))</f>
        <v>#VALUE!</v>
      </c>
      <c r="J254" s="10">
        <f t="shared" si="22"/>
        <v>0</v>
      </c>
      <c r="K254" s="7" t="e">
        <f>IF((C253-1)&lt;$E$19,0,Seguros_Oblig!$N$4*(LeasingNOFam!$C$12*90%))</f>
        <v>#VALUE!</v>
      </c>
      <c r="L254" s="7" t="e">
        <f>IF(B254&gt;LeasingNOFam!$C$18,0,PMT(LeasingNOFam!$E$17,LeasingNOFam!$C$18,-LeasingNOFam!$C$15,,)-PMT(LeasingNOFam!$E$17,LeasingNOFam!$C$18,-LeasingNOFam!$C$22)+LeasingNOFam!$C$22*LeasingNOFam!$E$17)</f>
        <v>#VALUE!</v>
      </c>
      <c r="M254" s="9" t="e">
        <f t="shared" si="23"/>
        <v>#VALUE!</v>
      </c>
      <c r="N254" s="7" t="e">
        <f>IF(C253&lt;1,"0",LeasingHab!$C$39)</f>
        <v>#VALUE!</v>
      </c>
      <c r="O254" s="9" t="e">
        <f t="shared" si="24"/>
        <v>#VALUE!</v>
      </c>
    </row>
    <row r="255" spans="2:15" ht="15.5" x14ac:dyDescent="0.35">
      <c r="B255" s="6" t="e">
        <f t="shared" si="25"/>
        <v>#VALUE!</v>
      </c>
      <c r="C255" s="7" t="e">
        <f t="shared" si="20"/>
        <v>#VALUE!</v>
      </c>
      <c r="D255" s="7" t="e">
        <f t="shared" si="21"/>
        <v>#VALUE!</v>
      </c>
      <c r="E255" s="7" t="e">
        <f>IF((C254-1)&lt;$E$19,0,C254*LeasingNOFam!$E$17)</f>
        <v>#VALUE!</v>
      </c>
      <c r="F255" s="8" t="e">
        <f>IF((C254-1)&lt;$E$19,"0",C254*Seguros_Oblig!$N$3)</f>
        <v>#VALUE!</v>
      </c>
      <c r="G255" s="8" t="e">
        <f>IF(LeasingHab!$C$10="TARIFA 1",(C254*(VLOOKUP(LeasingHab!$C$24,Seguros_Oblig!$A$3:$B$55,2,FALSE))),(C254*(VLOOKUP(LeasingHab!$C$24,Seguros_Oblig!$A$3:$D$55,4,FALSE))))</f>
        <v>#VALUE!</v>
      </c>
      <c r="H255" s="8" t="e">
        <f>IF(LeasingHab!$C$10="TARIFA 1",(C254*(VLOOKUP(LeasingHab!$C$25,Seguros_Oblig!$A$3:$B$55,2,FALSE))),(C254*(VLOOKUP(LeasingHab!$C$25,Seguros_Oblig!$A$3:$D$55,4,FALSE))))</f>
        <v>#VALUE!</v>
      </c>
      <c r="I255" s="8" t="e">
        <f>IF(LeasingHab!$C$10="TARIFA 1",(C254*(VLOOKUP(LeasingHab!$C$26,Seguros_Oblig!$A$3:$B$55,2,FALSE))),(C254*(VLOOKUP(LeasingHab!$C$26,Seguros_Oblig!$A$3:$D$55,4,FALSE))))</f>
        <v>#VALUE!</v>
      </c>
      <c r="J255" s="10">
        <f t="shared" si="22"/>
        <v>0</v>
      </c>
      <c r="K255" s="7" t="e">
        <f>IF((C254-1)&lt;$E$19,0,Seguros_Oblig!$N$4*(LeasingNOFam!$C$12*90%))</f>
        <v>#VALUE!</v>
      </c>
      <c r="L255" s="7" t="e">
        <f>IF(B255&gt;LeasingNOFam!$C$18,0,PMT(LeasingNOFam!$E$17,LeasingNOFam!$C$18,-LeasingNOFam!$C$15,,)-PMT(LeasingNOFam!$E$17,LeasingNOFam!$C$18,-LeasingNOFam!$C$22)+LeasingNOFam!$C$22*LeasingNOFam!$E$17)</f>
        <v>#VALUE!</v>
      </c>
      <c r="M255" s="9" t="e">
        <f t="shared" si="23"/>
        <v>#VALUE!</v>
      </c>
      <c r="N255" s="7" t="e">
        <f>IF(C254&lt;1,"0",LeasingHab!$C$39)</f>
        <v>#VALUE!</v>
      </c>
      <c r="O255" s="9" t="e">
        <f t="shared" si="24"/>
        <v>#VALUE!</v>
      </c>
    </row>
    <row r="256" spans="2:15" ht="15.5" x14ac:dyDescent="0.35">
      <c r="B256" s="6" t="e">
        <f t="shared" si="25"/>
        <v>#VALUE!</v>
      </c>
      <c r="C256" s="7" t="e">
        <f t="shared" si="20"/>
        <v>#VALUE!</v>
      </c>
      <c r="D256" s="7" t="e">
        <f t="shared" si="21"/>
        <v>#VALUE!</v>
      </c>
      <c r="E256" s="7" t="e">
        <f>IF((C255-1)&lt;$E$19,0,C255*LeasingNOFam!$E$17)</f>
        <v>#VALUE!</v>
      </c>
      <c r="F256" s="8" t="e">
        <f>IF((C255-1)&lt;$E$19,"0",C255*Seguros_Oblig!$N$3)</f>
        <v>#VALUE!</v>
      </c>
      <c r="G256" s="8" t="e">
        <f>IF(LeasingHab!$C$10="TARIFA 1",(C255*(VLOOKUP(LeasingHab!$C$24,Seguros_Oblig!$A$3:$B$55,2,FALSE))),(C255*(VLOOKUP(LeasingHab!$C$24,Seguros_Oblig!$A$3:$D$55,4,FALSE))))</f>
        <v>#VALUE!</v>
      </c>
      <c r="H256" s="8" t="e">
        <f>IF(LeasingHab!$C$10="TARIFA 1",(C255*(VLOOKUP(LeasingHab!$C$25,Seguros_Oblig!$A$3:$B$55,2,FALSE))),(C255*(VLOOKUP(LeasingHab!$C$25,Seguros_Oblig!$A$3:$D$55,4,FALSE))))</f>
        <v>#VALUE!</v>
      </c>
      <c r="I256" s="8" t="e">
        <f>IF(LeasingHab!$C$10="TARIFA 1",(C255*(VLOOKUP(LeasingHab!$C$26,Seguros_Oblig!$A$3:$B$55,2,FALSE))),(C255*(VLOOKUP(LeasingHab!$C$26,Seguros_Oblig!$A$3:$D$55,4,FALSE))))</f>
        <v>#VALUE!</v>
      </c>
      <c r="J256" s="10">
        <f t="shared" si="22"/>
        <v>0</v>
      </c>
      <c r="K256" s="7" t="e">
        <f>IF((C255-1)&lt;$E$19,0,Seguros_Oblig!$N$4*(LeasingNOFam!$C$12*90%))</f>
        <v>#VALUE!</v>
      </c>
      <c r="L256" s="7" t="e">
        <f>IF(B256&gt;LeasingNOFam!$C$18,0,PMT(LeasingNOFam!$E$17,LeasingNOFam!$C$18,-LeasingNOFam!$C$15,,)-PMT(LeasingNOFam!$E$17,LeasingNOFam!$C$18,-LeasingNOFam!$C$22)+LeasingNOFam!$C$22*LeasingNOFam!$E$17)</f>
        <v>#VALUE!</v>
      </c>
      <c r="M256" s="9" t="e">
        <f t="shared" si="23"/>
        <v>#VALUE!</v>
      </c>
      <c r="N256" s="7" t="e">
        <f>IF(C255&lt;1,"0",LeasingHab!$C$39)</f>
        <v>#VALUE!</v>
      </c>
      <c r="O256" s="9" t="e">
        <f t="shared" si="24"/>
        <v>#VALUE!</v>
      </c>
    </row>
    <row r="257" spans="2:15" ht="15.5" x14ac:dyDescent="0.35">
      <c r="B257" s="6" t="e">
        <f t="shared" si="25"/>
        <v>#VALUE!</v>
      </c>
      <c r="C257" s="7" t="e">
        <f t="shared" si="20"/>
        <v>#VALUE!</v>
      </c>
      <c r="D257" s="7" t="e">
        <f t="shared" si="21"/>
        <v>#VALUE!</v>
      </c>
      <c r="E257" s="7" t="e">
        <f>IF((C256-1)&lt;$E$19,0,C256*LeasingNOFam!$E$17)</f>
        <v>#VALUE!</v>
      </c>
      <c r="F257" s="8" t="e">
        <f>IF((C256-1)&lt;$E$19,"0",C256*Seguros_Oblig!$N$3)</f>
        <v>#VALUE!</v>
      </c>
      <c r="G257" s="8" t="e">
        <f>IF(LeasingHab!$C$10="TARIFA 1",(C256*(VLOOKUP(LeasingHab!$C$24,Seguros_Oblig!$A$3:$B$55,2,FALSE))),(C256*(VLOOKUP(LeasingHab!$C$24,Seguros_Oblig!$A$3:$D$55,4,FALSE))))</f>
        <v>#VALUE!</v>
      </c>
      <c r="H257" s="8" t="e">
        <f>IF(LeasingHab!$C$10="TARIFA 1",(C256*(VLOOKUP(LeasingHab!$C$25,Seguros_Oblig!$A$3:$B$55,2,FALSE))),(C256*(VLOOKUP(LeasingHab!$C$25,Seguros_Oblig!$A$3:$D$55,4,FALSE))))</f>
        <v>#VALUE!</v>
      </c>
      <c r="I257" s="8" t="e">
        <f>IF(LeasingHab!$C$10="TARIFA 1",(C256*(VLOOKUP(LeasingHab!$C$26,Seguros_Oblig!$A$3:$B$55,2,FALSE))),(C256*(VLOOKUP(LeasingHab!$C$26,Seguros_Oblig!$A$3:$D$55,4,FALSE))))</f>
        <v>#VALUE!</v>
      </c>
      <c r="J257" s="10">
        <f t="shared" si="22"/>
        <v>0</v>
      </c>
      <c r="K257" s="7" t="e">
        <f>IF((C256-1)&lt;$E$19,0,Seguros_Oblig!$N$4*(LeasingNOFam!$C$12*90%))</f>
        <v>#VALUE!</v>
      </c>
      <c r="L257" s="7" t="e">
        <f>IF(B257&gt;LeasingNOFam!$C$18,0,PMT(LeasingNOFam!$E$17,LeasingNOFam!$C$18,-LeasingNOFam!$C$15,,)-PMT(LeasingNOFam!$E$17,LeasingNOFam!$C$18,-LeasingNOFam!$C$22)+LeasingNOFam!$C$22*LeasingNOFam!$E$17)</f>
        <v>#VALUE!</v>
      </c>
      <c r="M257" s="9" t="e">
        <f t="shared" si="23"/>
        <v>#VALUE!</v>
      </c>
      <c r="N257" s="7" t="e">
        <f>IF(C256&lt;1,"0",LeasingHab!$C$39)</f>
        <v>#VALUE!</v>
      </c>
      <c r="O257" s="9" t="e">
        <f t="shared" si="24"/>
        <v>#VALUE!</v>
      </c>
    </row>
    <row r="258" spans="2:15" ht="15.5" x14ac:dyDescent="0.35">
      <c r="B258" s="6" t="e">
        <f>IF(C257&gt;1,B257+1," ")</f>
        <v>#VALUE!</v>
      </c>
      <c r="C258" s="7" t="e">
        <f t="shared" si="20"/>
        <v>#VALUE!</v>
      </c>
      <c r="D258" s="7" t="e">
        <f t="shared" si="21"/>
        <v>#VALUE!</v>
      </c>
      <c r="E258" s="7" t="e">
        <f>IF((C257-1)&lt;$E$19,0,C257*LeasingNOFam!$E$17)</f>
        <v>#VALUE!</v>
      </c>
      <c r="F258" s="8" t="e">
        <f>IF((C257-1)&lt;$E$19,"0",C257*Seguros_Oblig!$N$3)</f>
        <v>#VALUE!</v>
      </c>
      <c r="G258" s="8" t="e">
        <f>IF(LeasingHab!$C$10="TARIFA 1",(C257*(VLOOKUP(LeasingHab!$C$24,Seguros_Oblig!$A$3:$B$55,2,FALSE))),(C257*(VLOOKUP(LeasingHab!$C$24,Seguros_Oblig!$A$3:$D$55,4,FALSE))))</f>
        <v>#VALUE!</v>
      </c>
      <c r="H258" s="8" t="e">
        <f>IF(LeasingHab!$C$10="TARIFA 1",(C257*(VLOOKUP(LeasingHab!$C$25,Seguros_Oblig!$A$3:$B$55,2,FALSE))),(C257*(VLOOKUP(LeasingHab!$C$25,Seguros_Oblig!$A$3:$D$55,4,FALSE))))</f>
        <v>#VALUE!</v>
      </c>
      <c r="I258" s="8" t="e">
        <f>IF(LeasingHab!$C$10="TARIFA 1",(C257*(VLOOKUP(LeasingHab!$C$26,Seguros_Oblig!$A$3:$B$55,2,FALSE))),(C257*(VLOOKUP(LeasingHab!$C$26,Seguros_Oblig!$A$3:$D$55,4,FALSE))))</f>
        <v>#VALUE!</v>
      </c>
      <c r="J258" s="10">
        <f t="shared" si="22"/>
        <v>0</v>
      </c>
      <c r="K258" s="7" t="e">
        <f>IF((C257-1)&lt;$E$19,0,Seguros_Oblig!$N$4*(LeasingNOFam!$C$12*90%))</f>
        <v>#VALUE!</v>
      </c>
      <c r="L258" s="7" t="e">
        <f>IF(B258&gt;LeasingNOFam!$C$18,0,PMT(LeasingNOFam!$E$17,LeasingNOFam!$C$18,-LeasingNOFam!$C$15,,)-PMT(LeasingNOFam!$E$17,LeasingNOFam!$C$18,-LeasingNOFam!$C$22)+LeasingNOFam!$C$22*LeasingNOFam!$E$17)</f>
        <v>#VALUE!</v>
      </c>
      <c r="M258" s="9" t="e">
        <f t="shared" si="23"/>
        <v>#VALUE!</v>
      </c>
      <c r="N258" s="7" t="e">
        <f>IF(C257&lt;1,"0",LeasingHab!$C$39)</f>
        <v>#VALUE!</v>
      </c>
      <c r="O258" s="9" t="e">
        <f t="shared" si="24"/>
        <v>#VALUE!</v>
      </c>
    </row>
    <row r="259" spans="2:15" ht="15.5" x14ac:dyDescent="0.35">
      <c r="B259" s="6" t="e">
        <f t="shared" si="25"/>
        <v>#VALUE!</v>
      </c>
      <c r="C259" s="7" t="e">
        <f t="shared" si="20"/>
        <v>#VALUE!</v>
      </c>
      <c r="D259" s="7" t="e">
        <f t="shared" si="21"/>
        <v>#VALUE!</v>
      </c>
      <c r="E259" s="7" t="e">
        <f>IF((C258-1)&lt;$E$19,0,C258*LeasingNOFam!$E$17)</f>
        <v>#VALUE!</v>
      </c>
      <c r="F259" s="8" t="e">
        <f>IF((C258-1)&lt;$E$19,"0",C258*Seguros_Oblig!$N$3)</f>
        <v>#VALUE!</v>
      </c>
      <c r="G259" s="8" t="e">
        <f>IF(LeasingHab!$C$10="TARIFA 1",(C258*(VLOOKUP(LeasingHab!$C$24,Seguros_Oblig!$A$3:$B$55,2,FALSE))),(C258*(VLOOKUP(LeasingHab!$C$24,Seguros_Oblig!$A$3:$D$55,4,FALSE))))</f>
        <v>#VALUE!</v>
      </c>
      <c r="H259" s="8" t="e">
        <f>IF(LeasingHab!$C$10="TARIFA 1",(C258*(VLOOKUP(LeasingHab!$C$25,Seguros_Oblig!$A$3:$B$55,2,FALSE))),(C258*(VLOOKUP(LeasingHab!$C$25,Seguros_Oblig!$A$3:$D$55,4,FALSE))))</f>
        <v>#VALUE!</v>
      </c>
      <c r="I259" s="8" t="e">
        <f>IF(LeasingHab!$C$10="TARIFA 1",(C258*(VLOOKUP(LeasingHab!$C$26,Seguros_Oblig!$A$3:$B$55,2,FALSE))),(C258*(VLOOKUP(LeasingHab!$C$26,Seguros_Oblig!$A$3:$D$55,4,FALSE))))</f>
        <v>#VALUE!</v>
      </c>
      <c r="J259" s="10">
        <f t="shared" si="22"/>
        <v>0</v>
      </c>
      <c r="K259" s="7" t="e">
        <f>IF((C258-1)&lt;$E$19,0,Seguros_Oblig!$N$4*(LeasingNOFam!$C$12*90%))</f>
        <v>#VALUE!</v>
      </c>
      <c r="L259" s="7" t="e">
        <f>IF(B259&gt;LeasingNOFam!$C$18,0,PMT(LeasingNOFam!$E$17,LeasingNOFam!$C$18,-LeasingNOFam!$C$15,,)-PMT(LeasingNOFam!$E$17,LeasingNOFam!$C$18,-LeasingNOFam!$C$22)+LeasingNOFam!$C$22*LeasingNOFam!$E$17)</f>
        <v>#VALUE!</v>
      </c>
      <c r="M259" s="9" t="e">
        <f t="shared" si="23"/>
        <v>#VALUE!</v>
      </c>
      <c r="N259" s="7" t="e">
        <f>IF(C258&lt;1,"0",LeasingHab!$C$39)</f>
        <v>#VALUE!</v>
      </c>
      <c r="O259" s="9" t="e">
        <f t="shared" si="24"/>
        <v>#VALUE!</v>
      </c>
    </row>
    <row r="260" spans="2:15" ht="15.5" x14ac:dyDescent="0.35">
      <c r="B260" s="6" t="e">
        <f t="shared" si="25"/>
        <v>#VALUE!</v>
      </c>
      <c r="C260" s="7" t="e">
        <f t="shared" si="20"/>
        <v>#VALUE!</v>
      </c>
      <c r="D260" s="7" t="e">
        <f t="shared" si="21"/>
        <v>#VALUE!</v>
      </c>
      <c r="E260" s="7" t="e">
        <f>IF((C259-1)&lt;$E$19,0,C259*LeasingNOFam!$E$17)</f>
        <v>#VALUE!</v>
      </c>
      <c r="F260" s="8" t="e">
        <f>IF((C259-1)&lt;$E$19,"0",C259*Seguros_Oblig!$N$3)</f>
        <v>#VALUE!</v>
      </c>
      <c r="G260" s="8" t="e">
        <f>IF(LeasingHab!$C$10="TARIFA 1",(C259*(VLOOKUP(LeasingHab!$C$24,Seguros_Oblig!$A$3:$B$55,2,FALSE))),(C259*(VLOOKUP(LeasingHab!$C$24,Seguros_Oblig!$A$3:$D$55,4,FALSE))))</f>
        <v>#VALUE!</v>
      </c>
      <c r="H260" s="8" t="e">
        <f>IF(LeasingHab!$C$10="TARIFA 1",(C259*(VLOOKUP(LeasingHab!$C$25,Seguros_Oblig!$A$3:$B$55,2,FALSE))),(C259*(VLOOKUP(LeasingHab!$C$25,Seguros_Oblig!$A$3:$D$55,4,FALSE))))</f>
        <v>#VALUE!</v>
      </c>
      <c r="I260" s="8" t="e">
        <f>IF(LeasingHab!$C$10="TARIFA 1",(C259*(VLOOKUP(LeasingHab!$C$26,Seguros_Oblig!$A$3:$B$55,2,FALSE))),(C259*(VLOOKUP(LeasingHab!$C$26,Seguros_Oblig!$A$3:$D$55,4,FALSE))))</f>
        <v>#VALUE!</v>
      </c>
      <c r="J260" s="10">
        <f t="shared" si="22"/>
        <v>0</v>
      </c>
      <c r="K260" s="7" t="e">
        <f>IF((C259-1)&lt;$E$19,0,Seguros_Oblig!$N$4*(LeasingNOFam!$C$12*90%))</f>
        <v>#VALUE!</v>
      </c>
      <c r="L260" s="7" t="e">
        <f>IF(B260&gt;LeasingNOFam!$C$18,0,PMT(LeasingNOFam!$E$17,LeasingNOFam!$C$18,-LeasingNOFam!$C$15,,)-PMT(LeasingNOFam!$E$17,LeasingNOFam!$C$18,-LeasingNOFam!$C$22)+LeasingNOFam!$C$22*LeasingNOFam!$E$17)</f>
        <v>#VALUE!</v>
      </c>
      <c r="M260" s="9" t="e">
        <f t="shared" si="23"/>
        <v>#VALUE!</v>
      </c>
      <c r="N260" s="7" t="e">
        <f>IF(C259&lt;1,"0",LeasingHab!$C$39)</f>
        <v>#VALUE!</v>
      </c>
      <c r="O260" s="9" t="e">
        <f t="shared" si="24"/>
        <v>#VALUE!</v>
      </c>
    </row>
    <row r="261" spans="2:15" ht="15.5" x14ac:dyDescent="0.35">
      <c r="B261" s="6" t="e">
        <f t="shared" si="25"/>
        <v>#VALUE!</v>
      </c>
      <c r="C261" s="7" t="e">
        <f t="shared" si="20"/>
        <v>#VALUE!</v>
      </c>
      <c r="D261" s="7" t="e">
        <f t="shared" si="21"/>
        <v>#VALUE!</v>
      </c>
      <c r="E261" s="7" t="e">
        <f>IF((C260-1)&lt;$E$19,0,C260*LeasingNOFam!$E$17)</f>
        <v>#VALUE!</v>
      </c>
      <c r="F261" s="8" t="e">
        <f>IF((C260-1)&lt;$E$19,"0",C260*Seguros_Oblig!$N$3)</f>
        <v>#VALUE!</v>
      </c>
      <c r="G261" s="8" t="e">
        <f>IF(LeasingHab!$C$10="TARIFA 1",(C260*(VLOOKUP(LeasingHab!$C$24,Seguros_Oblig!$A$3:$B$55,2,FALSE))),(C260*(VLOOKUP(LeasingHab!$C$24,Seguros_Oblig!$A$3:$D$55,4,FALSE))))</f>
        <v>#VALUE!</v>
      </c>
      <c r="H261" s="8" t="e">
        <f>IF(LeasingHab!$C$10="TARIFA 1",(C260*(VLOOKUP(LeasingHab!$C$25,Seguros_Oblig!$A$3:$B$55,2,FALSE))),(C260*(VLOOKUP(LeasingHab!$C$25,Seguros_Oblig!$A$3:$D$55,4,FALSE))))</f>
        <v>#VALUE!</v>
      </c>
      <c r="I261" s="8" t="e">
        <f>IF(LeasingHab!$C$10="TARIFA 1",(C260*(VLOOKUP(LeasingHab!$C$26,Seguros_Oblig!$A$3:$B$55,2,FALSE))),(C260*(VLOOKUP(LeasingHab!$C$26,Seguros_Oblig!$A$3:$D$55,4,FALSE))))</f>
        <v>#VALUE!</v>
      </c>
      <c r="J261" s="10">
        <f t="shared" si="22"/>
        <v>0</v>
      </c>
      <c r="K261" s="7" t="e">
        <f>IF((C260-1)&lt;$E$19,0,Seguros_Oblig!$N$4*(LeasingNOFam!$C$12*90%))</f>
        <v>#VALUE!</v>
      </c>
      <c r="L261" s="7" t="e">
        <f>IF(B261&gt;LeasingNOFam!$C$18,0,PMT(LeasingNOFam!$E$17,LeasingNOFam!$C$18,-LeasingNOFam!$C$15,,)-PMT(LeasingNOFam!$E$17,LeasingNOFam!$C$18,-LeasingNOFam!$C$22)+LeasingNOFam!$C$22*LeasingNOFam!$E$17)</f>
        <v>#VALUE!</v>
      </c>
      <c r="M261" s="9" t="e">
        <f t="shared" si="23"/>
        <v>#VALUE!</v>
      </c>
      <c r="N261" s="7" t="e">
        <f>IF(C260&lt;1,"0",LeasingHab!$C$39)</f>
        <v>#VALUE!</v>
      </c>
      <c r="O261" s="9" t="e">
        <f t="shared" si="24"/>
        <v>#VALUE!</v>
      </c>
    </row>
    <row r="262" spans="2:15" ht="15.5" x14ac:dyDescent="0.35">
      <c r="B262" s="6" t="e">
        <f t="shared" si="25"/>
        <v>#VALUE!</v>
      </c>
      <c r="C262" s="7" t="e">
        <f t="shared" si="20"/>
        <v>#VALUE!</v>
      </c>
      <c r="D262" s="7" t="e">
        <f t="shared" si="21"/>
        <v>#VALUE!</v>
      </c>
      <c r="E262" s="7" t="e">
        <f>IF((C261-1)&lt;$E$19,0,C261*LeasingNOFam!$E$17)</f>
        <v>#VALUE!</v>
      </c>
      <c r="F262" s="8" t="e">
        <f>IF((C261-1)&lt;$E$19,"0",C261*Seguros_Oblig!$N$3)</f>
        <v>#VALUE!</v>
      </c>
      <c r="G262" s="8" t="e">
        <f>IF(LeasingHab!$C$10="TARIFA 1",(C261*(VLOOKUP(LeasingHab!$C$24,Seguros_Oblig!$A$3:$B$55,2,FALSE))),(C261*(VLOOKUP(LeasingHab!$C$24,Seguros_Oblig!$A$3:$D$55,4,FALSE))))</f>
        <v>#VALUE!</v>
      </c>
      <c r="H262" s="8" t="e">
        <f>IF(LeasingHab!$C$10="TARIFA 1",(C261*(VLOOKUP(LeasingHab!$C$25,Seguros_Oblig!$A$3:$B$55,2,FALSE))),(C261*(VLOOKUP(LeasingHab!$C$25,Seguros_Oblig!$A$3:$D$55,4,FALSE))))</f>
        <v>#VALUE!</v>
      </c>
      <c r="I262" s="8" t="e">
        <f>IF(LeasingHab!$C$10="TARIFA 1",(C261*(VLOOKUP(LeasingHab!$C$26,Seguros_Oblig!$A$3:$B$55,2,FALSE))),(C261*(VLOOKUP(LeasingHab!$C$26,Seguros_Oblig!$A$3:$D$55,4,FALSE))))</f>
        <v>#VALUE!</v>
      </c>
      <c r="J262" s="10">
        <f t="shared" si="22"/>
        <v>0</v>
      </c>
      <c r="K262" s="7" t="e">
        <f>IF((C261-1)&lt;$E$19,0,Seguros_Oblig!$N$4*(LeasingNOFam!$C$12*90%))</f>
        <v>#VALUE!</v>
      </c>
      <c r="L262" s="7" t="e">
        <f>IF(B262&gt;LeasingNOFam!$C$18,0,PMT(LeasingNOFam!$E$17,LeasingNOFam!$C$18,-LeasingNOFam!$C$15,,)-PMT(LeasingNOFam!$E$17,LeasingNOFam!$C$18,-LeasingNOFam!$C$22)+LeasingNOFam!$C$22*LeasingNOFam!$E$17)</f>
        <v>#VALUE!</v>
      </c>
      <c r="M262" s="9" t="e">
        <f t="shared" si="23"/>
        <v>#VALUE!</v>
      </c>
      <c r="N262" s="7" t="e">
        <f>IF(C261&lt;1,"0",LeasingHab!$C$39)</f>
        <v>#VALUE!</v>
      </c>
      <c r="O262" s="9" t="e">
        <f t="shared" si="24"/>
        <v>#VALUE!</v>
      </c>
    </row>
    <row r="263" spans="2:15" ht="15.5" hidden="1" x14ac:dyDescent="0.35">
      <c r="B263" s="6" t="e">
        <f t="shared" si="25"/>
        <v>#VALUE!</v>
      </c>
      <c r="C263" s="7" t="e">
        <f t="shared" si="20"/>
        <v>#VALUE!</v>
      </c>
      <c r="D263" s="7" t="e">
        <f t="shared" si="21"/>
        <v>#VALUE!</v>
      </c>
      <c r="E263" s="7" t="e">
        <f>IF((C262-1)&lt;$E$19,0,C262*LeasingNOFam!$E$17)</f>
        <v>#VALUE!</v>
      </c>
      <c r="F263" s="8" t="e">
        <f>IF((C262-1)&lt;$E$19,"0",C262*Seguros_Oblig!$N$3)</f>
        <v>#VALUE!</v>
      </c>
      <c r="G263" s="8" t="e">
        <f>IF(LeasingHab!$C$10="TARIFA 1",(C262*(VLOOKUP(LeasingHab!$C$24,Seguros_Oblig!$A$3:$B$55,2,FALSE))),(C262*(VLOOKUP(LeasingHab!$C$24,Seguros_Oblig!$A$3:$D$55,4,FALSE))))</f>
        <v>#VALUE!</v>
      </c>
      <c r="H263" s="8" t="e">
        <f>IF(LeasingHab!$C$10="TARIFA 1",(C262*(VLOOKUP(LeasingHab!$C$25,Seguros_Oblig!$A$3:$B$55,2,FALSE))),(C262*(VLOOKUP(LeasingHab!$C$25,Seguros_Oblig!$A$3:$D$55,4,FALSE))))</f>
        <v>#VALUE!</v>
      </c>
      <c r="I263" s="8" t="e">
        <f>IF(LeasingHab!$C$10="TARIFA 1",(C262*(VLOOKUP(LeasingHab!$C$26,Seguros_Oblig!$A$3:$B$55,2,FALSE))),(C262*(VLOOKUP(LeasingHab!$C$26,Seguros_Oblig!$A$3:$D$55,4,FALSE))))</f>
        <v>#VALUE!</v>
      </c>
      <c r="J263" s="10">
        <f t="shared" si="22"/>
        <v>0</v>
      </c>
      <c r="K263" s="7" t="e">
        <f>IF((C262-1)&lt;$E$19,0,Seguros_Oblig!$N$4*(LeasingNOFam!$C$12*90%))</f>
        <v>#VALUE!</v>
      </c>
      <c r="L263" s="7" t="e">
        <f>IF(B263&gt;LeasingNOFam!$C$18,0,PMT(LeasingNOFam!$E$17,LeasingNOFam!$C$18,-LeasingNOFam!$C$15,,)-PMT(LeasingNOFam!$E$17,LeasingNOFam!$C$18,-LeasingNOFam!$C$22)+LeasingNOFam!$C$22*LeasingNOFam!$E$17)</f>
        <v>#VALUE!</v>
      </c>
      <c r="M263" s="9" t="e">
        <f t="shared" si="23"/>
        <v>#VALUE!</v>
      </c>
      <c r="N263" s="7" t="e">
        <f>IF(C262&lt;1,"0",LeasingHab!$C$39)</f>
        <v>#VALUE!</v>
      </c>
      <c r="O263" s="9" t="e">
        <f t="shared" si="24"/>
        <v>#VALUE!</v>
      </c>
    </row>
    <row r="264" spans="2:15" ht="15.5" hidden="1" x14ac:dyDescent="0.35">
      <c r="B264" s="6" t="e">
        <f t="shared" si="25"/>
        <v>#VALUE!</v>
      </c>
      <c r="C264" s="7" t="e">
        <f t="shared" si="20"/>
        <v>#VALUE!</v>
      </c>
      <c r="D264" s="7" t="e">
        <f t="shared" si="21"/>
        <v>#VALUE!</v>
      </c>
      <c r="E264" s="7" t="e">
        <f>IF((C263-1)&lt;$E$19,0,C263*LeasingNOFam!$E$17)</f>
        <v>#VALUE!</v>
      </c>
      <c r="F264" s="8" t="e">
        <f>IF((C263-1)&lt;$E$19,"0",C263*Seguros_Oblig!$N$3)</f>
        <v>#VALUE!</v>
      </c>
      <c r="G264" s="8" t="e">
        <f>IF(LeasingHab!$C$10="TARIFA 1",(C263*(VLOOKUP(LeasingHab!$C$24,Seguros_Oblig!$A$3:$B$55,2,FALSE))),(C263*(VLOOKUP(LeasingHab!$C$24,Seguros_Oblig!$A$3:$D$55,4,FALSE))))</f>
        <v>#VALUE!</v>
      </c>
      <c r="H264" s="8" t="e">
        <f>IF(LeasingHab!$C$10="TARIFA 1",(C263*(VLOOKUP(LeasingHab!$C$25,Seguros_Oblig!$A$3:$B$55,2,FALSE))),(C263*(VLOOKUP(LeasingHab!$C$25,Seguros_Oblig!$A$3:$D$55,4,FALSE))))</f>
        <v>#VALUE!</v>
      </c>
      <c r="I264" s="8" t="e">
        <f>IF(LeasingHab!$C$10="TARIFA 1",(C263*(VLOOKUP(LeasingHab!$C$26,Seguros_Oblig!$A$3:$B$55,2,FALSE))),(C263*(VLOOKUP(LeasingHab!$C$26,Seguros_Oblig!$A$3:$D$55,4,FALSE))))</f>
        <v>#VALUE!</v>
      </c>
      <c r="J264" s="10">
        <f t="shared" si="22"/>
        <v>0</v>
      </c>
      <c r="K264" s="7" t="e">
        <f>IF((C263-1)&lt;$E$19,0,Seguros_Oblig!$N$4*(LeasingNOFam!$C$12*90%))</f>
        <v>#VALUE!</v>
      </c>
      <c r="L264" s="7" t="e">
        <f>IF(B264&gt;LeasingNOFam!$C$18,0,PMT(LeasingNOFam!$E$17,LeasingNOFam!$C$18,-LeasingNOFam!$C$15,,)-PMT(LeasingNOFam!$E$17,LeasingNOFam!$C$18,-LeasingNOFam!$C$22)+LeasingNOFam!$C$22*LeasingNOFam!$E$17)</f>
        <v>#VALUE!</v>
      </c>
      <c r="M264" s="9" t="e">
        <f t="shared" si="23"/>
        <v>#VALUE!</v>
      </c>
      <c r="N264" s="7" t="e">
        <f>IF(C263&lt;1,"0",LeasingHab!$C$39)</f>
        <v>#VALUE!</v>
      </c>
      <c r="O264" s="9" t="e">
        <f t="shared" si="24"/>
        <v>#VALUE!</v>
      </c>
    </row>
    <row r="265" spans="2:15" ht="15.5" hidden="1" x14ac:dyDescent="0.35">
      <c r="B265" s="6" t="e">
        <f t="shared" si="25"/>
        <v>#VALUE!</v>
      </c>
      <c r="C265" s="7" t="e">
        <f t="shared" si="20"/>
        <v>#VALUE!</v>
      </c>
      <c r="D265" s="7" t="e">
        <f t="shared" si="21"/>
        <v>#VALUE!</v>
      </c>
      <c r="E265" s="7" t="e">
        <f>IF((C264-1)&lt;$E$19,0,C264*LeasingNOFam!$E$17)</f>
        <v>#VALUE!</v>
      </c>
      <c r="F265" s="8" t="e">
        <f>IF((C264-1)&lt;$E$19,"0",C264*Seguros_Oblig!$N$3)</f>
        <v>#VALUE!</v>
      </c>
      <c r="G265" s="8" t="e">
        <f>IF(LeasingHab!$C$10="TARIFA 1",(C264*(VLOOKUP(LeasingHab!$C$24,Seguros_Oblig!$A$3:$B$55,2,FALSE))),(C264*(VLOOKUP(LeasingHab!$C$24,Seguros_Oblig!$A$3:$D$55,4,FALSE))))</f>
        <v>#VALUE!</v>
      </c>
      <c r="H265" s="8" t="e">
        <f>IF(LeasingHab!$C$10="TARIFA 1",(C264*(VLOOKUP(LeasingHab!$C$25,Seguros_Oblig!$A$3:$B$55,2,FALSE))),(C264*(VLOOKUP(LeasingHab!$C$25,Seguros_Oblig!$A$3:$D$55,4,FALSE))))</f>
        <v>#VALUE!</v>
      </c>
      <c r="I265" s="8" t="e">
        <f>IF(LeasingHab!$C$10="TARIFA 1",(C264*(VLOOKUP(LeasingHab!$C$26,Seguros_Oblig!$A$3:$B$55,2,FALSE))),(C264*(VLOOKUP(LeasingHab!$C$26,Seguros_Oblig!$A$3:$D$55,4,FALSE))))</f>
        <v>#VALUE!</v>
      </c>
      <c r="J265" s="10">
        <f t="shared" si="22"/>
        <v>0</v>
      </c>
      <c r="K265" s="7" t="e">
        <f>IF((C264-1)&lt;$E$19,0,Seguros_Oblig!$N$4*(LeasingNOFam!$C$12*90%))</f>
        <v>#VALUE!</v>
      </c>
      <c r="L265" s="7" t="e">
        <f>IF(B265&gt;LeasingNOFam!$C$18,0,PMT(LeasingNOFam!$E$17,LeasingNOFam!$C$18,-LeasingNOFam!$C$15,,)-PMT(LeasingNOFam!$E$17,LeasingNOFam!$C$18,-LeasingNOFam!$C$22)+LeasingNOFam!$C$22*LeasingNOFam!$E$17)</f>
        <v>#VALUE!</v>
      </c>
      <c r="M265" s="9" t="e">
        <f t="shared" si="23"/>
        <v>#VALUE!</v>
      </c>
      <c r="N265" s="7" t="e">
        <f>IF(C264&lt;1,"0",LeasingHab!$C$39)</f>
        <v>#VALUE!</v>
      </c>
      <c r="O265" s="9" t="e">
        <f t="shared" si="24"/>
        <v>#VALUE!</v>
      </c>
    </row>
    <row r="266" spans="2:15" ht="15.5" hidden="1" x14ac:dyDescent="0.35">
      <c r="B266" s="6" t="e">
        <f t="shared" si="25"/>
        <v>#VALUE!</v>
      </c>
      <c r="C266" s="7" t="e">
        <f t="shared" si="20"/>
        <v>#VALUE!</v>
      </c>
      <c r="D266" s="7" t="e">
        <f t="shared" si="21"/>
        <v>#VALUE!</v>
      </c>
      <c r="E266" s="7" t="e">
        <f>IF((C265-1)&lt;$E$19,0,C265*LeasingNOFam!$E$17)</f>
        <v>#VALUE!</v>
      </c>
      <c r="F266" s="8" t="e">
        <f>IF((C265-1)&lt;$E$19,"0",C265*Seguros_Oblig!$N$3)</f>
        <v>#VALUE!</v>
      </c>
      <c r="G266" s="8" t="e">
        <f>IF(LeasingHab!$C$10="TARIFA 1",(C265*(VLOOKUP(LeasingHab!$C$24,Seguros_Oblig!$A$3:$B$55,2,FALSE))),(C265*(VLOOKUP(LeasingHab!$C$24,Seguros_Oblig!$A$3:$D$55,4,FALSE))))</f>
        <v>#VALUE!</v>
      </c>
      <c r="H266" s="8" t="e">
        <f>IF(LeasingHab!$C$10="TARIFA 1",(C265*(VLOOKUP(LeasingHab!$C$25,Seguros_Oblig!$A$3:$B$55,2,FALSE))),(C265*(VLOOKUP(LeasingHab!$C$25,Seguros_Oblig!$A$3:$D$55,4,FALSE))))</f>
        <v>#VALUE!</v>
      </c>
      <c r="I266" s="8" t="e">
        <f>IF(LeasingHab!$C$10="TARIFA 1",(C265*(VLOOKUP(LeasingHab!$C$26,Seguros_Oblig!$A$3:$B$55,2,FALSE))),(C265*(VLOOKUP(LeasingHab!$C$26,Seguros_Oblig!$A$3:$D$55,4,FALSE))))</f>
        <v>#VALUE!</v>
      </c>
      <c r="J266" s="10">
        <f t="shared" si="22"/>
        <v>0</v>
      </c>
      <c r="K266" s="7" t="e">
        <f>IF((C265-1)&lt;$E$19,0,Seguros_Oblig!$N$4*(LeasingNOFam!$C$12*90%))</f>
        <v>#VALUE!</v>
      </c>
      <c r="L266" s="7" t="e">
        <f>IF(B266&gt;LeasingNOFam!$C$18,0,PMT(LeasingNOFam!$E$17,LeasingNOFam!$C$18,-LeasingNOFam!$C$15,,)-PMT(LeasingNOFam!$E$17,LeasingNOFam!$C$18,-LeasingNOFam!$C$22)+LeasingNOFam!$C$22*LeasingNOFam!$E$17)</f>
        <v>#VALUE!</v>
      </c>
      <c r="M266" s="9" t="e">
        <f t="shared" si="23"/>
        <v>#VALUE!</v>
      </c>
      <c r="N266" s="7" t="e">
        <f>IF(C265&lt;1,"0",LeasingHab!$C$39)</f>
        <v>#VALUE!</v>
      </c>
      <c r="O266" s="9" t="e">
        <f t="shared" si="24"/>
        <v>#VALUE!</v>
      </c>
    </row>
    <row r="267" spans="2:15" ht="15.5" hidden="1" x14ac:dyDescent="0.35">
      <c r="B267" s="6" t="e">
        <f t="shared" si="25"/>
        <v>#VALUE!</v>
      </c>
      <c r="C267" s="7" t="e">
        <f t="shared" si="20"/>
        <v>#VALUE!</v>
      </c>
      <c r="D267" s="7" t="e">
        <f t="shared" si="21"/>
        <v>#VALUE!</v>
      </c>
      <c r="E267" s="7" t="e">
        <f>IF((C266-1)&lt;$E$19,0,C266*LeasingNOFam!$E$17)</f>
        <v>#VALUE!</v>
      </c>
      <c r="F267" s="8" t="e">
        <f>IF((C266-1)&lt;$E$19,"0",C266*Seguros_Oblig!$N$3)</f>
        <v>#VALUE!</v>
      </c>
      <c r="G267" s="8" t="e">
        <f>IF(LeasingHab!$C$10="TARIFA 1",(C266*(VLOOKUP(LeasingHab!$C$24,Seguros_Oblig!$A$3:$B$55,2,FALSE))),(C266*(VLOOKUP(LeasingHab!$C$24,Seguros_Oblig!$A$3:$D$55,4,FALSE))))</f>
        <v>#VALUE!</v>
      </c>
      <c r="H267" s="8" t="e">
        <f>IF(LeasingHab!$C$10="TARIFA 1",(C266*(VLOOKUP(LeasingHab!$C$25,Seguros_Oblig!$A$3:$B$55,2,FALSE))),(C266*(VLOOKUP(LeasingHab!$C$25,Seguros_Oblig!$A$3:$D$55,4,FALSE))))</f>
        <v>#VALUE!</v>
      </c>
      <c r="I267" s="8" t="e">
        <f>IF(LeasingHab!$C$10="TARIFA 1",(C266*(VLOOKUP(LeasingHab!$C$26,Seguros_Oblig!$A$3:$B$55,2,FALSE))),(C266*(VLOOKUP(LeasingHab!$C$26,Seguros_Oblig!$A$3:$D$55,4,FALSE))))</f>
        <v>#VALUE!</v>
      </c>
      <c r="J267" s="10">
        <f t="shared" si="22"/>
        <v>0</v>
      </c>
      <c r="K267" s="7" t="e">
        <f>IF((C266-1)&lt;$E$19,0,Seguros_Oblig!$N$4*(LeasingNOFam!$C$12*90%))</f>
        <v>#VALUE!</v>
      </c>
      <c r="L267" s="7" t="e">
        <f>IF(B267&gt;LeasingNOFam!$C$18,0,PMT(LeasingNOFam!$E$17,LeasingNOFam!$C$18,-LeasingNOFam!$C$15,,)-PMT(LeasingNOFam!$E$17,LeasingNOFam!$C$18,-LeasingNOFam!$C$22)+LeasingNOFam!$C$22*LeasingNOFam!$E$17)</f>
        <v>#VALUE!</v>
      </c>
      <c r="M267" s="9" t="e">
        <f t="shared" si="23"/>
        <v>#VALUE!</v>
      </c>
      <c r="N267" s="7" t="e">
        <f>IF(C266&lt;1,"0",LeasingHab!$C$39)</f>
        <v>#VALUE!</v>
      </c>
      <c r="O267" s="9" t="e">
        <f t="shared" si="24"/>
        <v>#VALUE!</v>
      </c>
    </row>
    <row r="268" spans="2:15" ht="15.5" hidden="1" x14ac:dyDescent="0.35">
      <c r="B268" s="6" t="e">
        <f t="shared" si="25"/>
        <v>#VALUE!</v>
      </c>
      <c r="C268" s="7" t="e">
        <f t="shared" si="20"/>
        <v>#VALUE!</v>
      </c>
      <c r="D268" s="7" t="e">
        <f t="shared" si="21"/>
        <v>#VALUE!</v>
      </c>
      <c r="E268" s="7" t="e">
        <f>IF((C267-1)&lt;$E$19,0,C267*LeasingNOFam!$E$17)</f>
        <v>#VALUE!</v>
      </c>
      <c r="F268" s="8" t="e">
        <f>IF((C267-1)&lt;$E$19,"0",C267*Seguros_Oblig!$N$3)</f>
        <v>#VALUE!</v>
      </c>
      <c r="G268" s="8" t="e">
        <f>IF(LeasingHab!$C$10="TARIFA 1",(C267*(VLOOKUP(LeasingHab!$C$24,Seguros_Oblig!$A$3:$B$55,2,FALSE))),(C267*(VLOOKUP(LeasingHab!$C$24,Seguros_Oblig!$A$3:$D$55,4,FALSE))))</f>
        <v>#VALUE!</v>
      </c>
      <c r="H268" s="8" t="e">
        <f>IF(LeasingHab!$C$10="TARIFA 1",(C267*(VLOOKUP(LeasingHab!$C$25,Seguros_Oblig!$A$3:$B$55,2,FALSE))),(C267*(VLOOKUP(LeasingHab!$C$25,Seguros_Oblig!$A$3:$D$55,4,FALSE))))</f>
        <v>#VALUE!</v>
      </c>
      <c r="I268" s="8" t="e">
        <f>IF(LeasingHab!$C$10="TARIFA 1",(C267*(VLOOKUP(LeasingHab!$C$26,Seguros_Oblig!$A$3:$B$55,2,FALSE))),(C267*(VLOOKUP(LeasingHab!$C$26,Seguros_Oblig!$A$3:$D$55,4,FALSE))))</f>
        <v>#VALUE!</v>
      </c>
      <c r="J268" s="10">
        <f t="shared" si="22"/>
        <v>0</v>
      </c>
      <c r="K268" s="7" t="e">
        <f>IF((C267-1)&lt;$E$19,0,Seguros_Oblig!$N$4*(LeasingNOFam!$C$12*90%))</f>
        <v>#VALUE!</v>
      </c>
      <c r="L268" s="7" t="e">
        <f>IF(B268&gt;LeasingNOFam!$C$18,0,PMT(LeasingNOFam!$E$17,LeasingNOFam!$C$18,-LeasingNOFam!$C$15,,)-PMT(LeasingNOFam!$E$17,LeasingNOFam!$C$18,-LeasingNOFam!$C$22)+LeasingNOFam!$C$22*LeasingNOFam!$E$17)</f>
        <v>#VALUE!</v>
      </c>
      <c r="M268" s="9" t="e">
        <f t="shared" si="23"/>
        <v>#VALUE!</v>
      </c>
      <c r="N268" s="7" t="e">
        <f>IF(C267&lt;1,"0",LeasingHab!$C$39)</f>
        <v>#VALUE!</v>
      </c>
      <c r="O268" s="9" t="e">
        <f t="shared" si="24"/>
        <v>#VALUE!</v>
      </c>
    </row>
    <row r="269" spans="2:15" ht="15.5" hidden="1" x14ac:dyDescent="0.35">
      <c r="B269" s="6" t="e">
        <f t="shared" si="25"/>
        <v>#VALUE!</v>
      </c>
      <c r="C269" s="7" t="e">
        <f t="shared" si="20"/>
        <v>#VALUE!</v>
      </c>
      <c r="D269" s="7" t="e">
        <f t="shared" si="21"/>
        <v>#VALUE!</v>
      </c>
      <c r="E269" s="7" t="e">
        <f>IF((C268-1)&lt;$E$19,0,C268*LeasingNOFam!$E$17)</f>
        <v>#VALUE!</v>
      </c>
      <c r="F269" s="8" t="e">
        <f>IF((C268-1)&lt;$E$19,"0",C268*Seguros_Oblig!$N$3)</f>
        <v>#VALUE!</v>
      </c>
      <c r="G269" s="8" t="e">
        <f>IF(LeasingHab!$C$10="TARIFA 1",(C268*(VLOOKUP(LeasingHab!$C$24,Seguros_Oblig!$A$3:$B$55,2,FALSE))),(C268*(VLOOKUP(LeasingHab!$C$24,Seguros_Oblig!$A$3:$D$55,4,FALSE))))</f>
        <v>#VALUE!</v>
      </c>
      <c r="H269" s="8" t="e">
        <f>IF(LeasingHab!$C$10="TARIFA 1",(C268*(VLOOKUP(LeasingHab!$C$25,Seguros_Oblig!$A$3:$B$55,2,FALSE))),(C268*(VLOOKUP(LeasingHab!$C$25,Seguros_Oblig!$A$3:$D$55,4,FALSE))))</f>
        <v>#VALUE!</v>
      </c>
      <c r="I269" s="8" t="e">
        <f>IF(LeasingHab!$C$10="TARIFA 1",(C268*(VLOOKUP(LeasingHab!$C$26,Seguros_Oblig!$A$3:$B$55,2,FALSE))),(C268*(VLOOKUP(LeasingHab!$C$26,Seguros_Oblig!$A$3:$D$55,4,FALSE))))</f>
        <v>#VALUE!</v>
      </c>
      <c r="J269" s="10">
        <f t="shared" si="22"/>
        <v>0</v>
      </c>
      <c r="K269" s="7" t="e">
        <f>IF((C268-1)&lt;$E$19,0,Seguros_Oblig!$N$4*(LeasingNOFam!$C$12*90%))</f>
        <v>#VALUE!</v>
      </c>
      <c r="L269" s="7" t="e">
        <f>IF(B269&gt;LeasingNOFam!$C$18,0,PMT(LeasingNOFam!$E$17,LeasingNOFam!$C$18,-LeasingNOFam!$C$15,,)-PMT(LeasingNOFam!$E$17,LeasingNOFam!$C$18,-LeasingNOFam!$C$22)+LeasingNOFam!$C$22*LeasingNOFam!$E$17)</f>
        <v>#VALUE!</v>
      </c>
      <c r="M269" s="9" t="e">
        <f t="shared" si="23"/>
        <v>#VALUE!</v>
      </c>
      <c r="N269" s="7" t="e">
        <f>IF(C268&lt;1,"0",LeasingHab!$C$39)</f>
        <v>#VALUE!</v>
      </c>
      <c r="O269" s="9" t="e">
        <f t="shared" si="24"/>
        <v>#VALUE!</v>
      </c>
    </row>
    <row r="270" spans="2:15" ht="15.5" hidden="1" x14ac:dyDescent="0.35">
      <c r="B270" s="6" t="e">
        <f t="shared" si="25"/>
        <v>#VALUE!</v>
      </c>
      <c r="C270" s="7" t="e">
        <f t="shared" si="20"/>
        <v>#VALUE!</v>
      </c>
      <c r="D270" s="7" t="e">
        <f t="shared" si="21"/>
        <v>#VALUE!</v>
      </c>
      <c r="E270" s="7" t="e">
        <f>IF((C269-1)&lt;$E$19,0,C269*LeasingNOFam!$E$17)</f>
        <v>#VALUE!</v>
      </c>
      <c r="F270" s="8" t="e">
        <f>IF((C269-1)&lt;$E$19,"0",C269*Seguros_Oblig!$N$3)</f>
        <v>#VALUE!</v>
      </c>
      <c r="G270" s="8" t="e">
        <f>IF(LeasingHab!$C$10="TARIFA 1",(C269*(VLOOKUP(LeasingHab!$C$24,Seguros_Oblig!$A$3:$B$55,2,FALSE))),(C269*(VLOOKUP(LeasingHab!$C$24,Seguros_Oblig!$A$3:$D$55,4,FALSE))))</f>
        <v>#VALUE!</v>
      </c>
      <c r="H270" s="8" t="e">
        <f>IF(LeasingHab!$C$10="TARIFA 1",(C269*(VLOOKUP(LeasingHab!$C$25,Seguros_Oblig!$A$3:$B$55,2,FALSE))),(C269*(VLOOKUP(LeasingHab!$C$25,Seguros_Oblig!$A$3:$D$55,4,FALSE))))</f>
        <v>#VALUE!</v>
      </c>
      <c r="I270" s="8" t="e">
        <f>IF(LeasingHab!$C$10="TARIFA 1",(C269*(VLOOKUP(LeasingHab!$C$26,Seguros_Oblig!$A$3:$B$55,2,FALSE))),(C269*(VLOOKUP(LeasingHab!$C$26,Seguros_Oblig!$A$3:$D$55,4,FALSE))))</f>
        <v>#VALUE!</v>
      </c>
      <c r="J270" s="10">
        <f t="shared" si="22"/>
        <v>0</v>
      </c>
      <c r="K270" s="7" t="e">
        <f>IF((C269-1)&lt;$E$19,0,Seguros_Oblig!$N$4*(LeasingNOFam!$C$12*90%))</f>
        <v>#VALUE!</v>
      </c>
      <c r="L270" s="7" t="e">
        <f>IF(B270&gt;LeasingNOFam!$C$18,0,PMT(LeasingNOFam!$E$17,LeasingNOFam!$C$18,-LeasingNOFam!$C$15,,)-PMT(LeasingNOFam!$E$17,LeasingNOFam!$C$18,-LeasingNOFam!$C$22)+LeasingNOFam!$C$22*LeasingNOFam!$E$17)</f>
        <v>#VALUE!</v>
      </c>
      <c r="M270" s="9" t="e">
        <f t="shared" si="23"/>
        <v>#VALUE!</v>
      </c>
      <c r="N270" s="7" t="e">
        <f>IF(C269&lt;1,"0",LeasingHab!$C$39)</f>
        <v>#VALUE!</v>
      </c>
      <c r="O270" s="9" t="e">
        <f t="shared" si="24"/>
        <v>#VALUE!</v>
      </c>
    </row>
    <row r="271" spans="2:15" ht="15.5" hidden="1" x14ac:dyDescent="0.35">
      <c r="B271" s="6" t="e">
        <f t="shared" si="25"/>
        <v>#VALUE!</v>
      </c>
      <c r="C271" s="7" t="e">
        <f t="shared" si="20"/>
        <v>#VALUE!</v>
      </c>
      <c r="D271" s="7" t="e">
        <f t="shared" si="21"/>
        <v>#VALUE!</v>
      </c>
      <c r="E271" s="7" t="e">
        <f>IF((C270-1)&lt;$E$19,0,C270*LeasingNOFam!$E$17)</f>
        <v>#VALUE!</v>
      </c>
      <c r="F271" s="8" t="e">
        <f>IF((C270-1)&lt;$E$19,"0",C270*Seguros_Oblig!$N$3)</f>
        <v>#VALUE!</v>
      </c>
      <c r="G271" s="8" t="e">
        <f>IF(LeasingHab!$C$10="TARIFA 1",(C270*(VLOOKUP(LeasingHab!$C$24,Seguros_Oblig!$A$3:$B$55,2,FALSE))),(C270*(VLOOKUP(LeasingHab!$C$24,Seguros_Oblig!$A$3:$D$55,4,FALSE))))</f>
        <v>#VALUE!</v>
      </c>
      <c r="H271" s="8" t="e">
        <f>IF(LeasingHab!$C$10="TARIFA 1",(C270*(VLOOKUP(LeasingHab!$C$25,Seguros_Oblig!$A$3:$B$55,2,FALSE))),(C270*(VLOOKUP(LeasingHab!$C$25,Seguros_Oblig!$A$3:$D$55,4,FALSE))))</f>
        <v>#VALUE!</v>
      </c>
      <c r="I271" s="8" t="e">
        <f>IF(LeasingHab!$C$10="TARIFA 1",(C270*(VLOOKUP(LeasingHab!$C$26,Seguros_Oblig!$A$3:$B$55,2,FALSE))),(C270*(VLOOKUP(LeasingHab!$C$26,Seguros_Oblig!$A$3:$D$55,4,FALSE))))</f>
        <v>#VALUE!</v>
      </c>
      <c r="J271" s="10">
        <f t="shared" si="22"/>
        <v>0</v>
      </c>
      <c r="K271" s="7" t="e">
        <f>IF((C270-1)&lt;$E$19,0,Seguros_Oblig!$N$4*(LeasingNOFam!$C$12*90%))</f>
        <v>#VALUE!</v>
      </c>
      <c r="L271" s="7" t="e">
        <f>IF(B271&gt;LeasingNOFam!$C$18,0,PMT(LeasingNOFam!$E$17,LeasingNOFam!$C$18,-LeasingNOFam!$C$15,,)-PMT(LeasingNOFam!$E$17,LeasingNOFam!$C$18,-LeasingNOFam!$C$22)+LeasingNOFam!$C$22*LeasingNOFam!$E$17)</f>
        <v>#VALUE!</v>
      </c>
      <c r="M271" s="9" t="e">
        <f t="shared" si="23"/>
        <v>#VALUE!</v>
      </c>
      <c r="N271" s="7" t="e">
        <f>IF(C270&lt;1,"0",LeasingHab!$C$39)</f>
        <v>#VALUE!</v>
      </c>
      <c r="O271" s="9" t="e">
        <f t="shared" si="24"/>
        <v>#VALUE!</v>
      </c>
    </row>
    <row r="272" spans="2:15" ht="15.5" hidden="1" x14ac:dyDescent="0.35">
      <c r="B272" s="6" t="e">
        <f t="shared" si="25"/>
        <v>#VALUE!</v>
      </c>
      <c r="C272" s="7" t="e">
        <f t="shared" si="20"/>
        <v>#VALUE!</v>
      </c>
      <c r="D272" s="7" t="e">
        <f t="shared" si="21"/>
        <v>#VALUE!</v>
      </c>
      <c r="E272" s="7" t="e">
        <f>IF((C271-1)&lt;$E$19,0,C271*LeasingNOFam!$E$17)</f>
        <v>#VALUE!</v>
      </c>
      <c r="F272" s="8" t="e">
        <f>IF((C271-1)&lt;$E$19,"0",C271*Seguros_Oblig!$N$3)</f>
        <v>#VALUE!</v>
      </c>
      <c r="G272" s="8" t="e">
        <f>IF(LeasingHab!$C$10="TARIFA 1",(C271*(VLOOKUP(LeasingHab!$C$24,Seguros_Oblig!$A$3:$B$55,2,FALSE))),(C271*(VLOOKUP(LeasingHab!$C$24,Seguros_Oblig!$A$3:$D$55,4,FALSE))))</f>
        <v>#VALUE!</v>
      </c>
      <c r="H272" s="8" t="e">
        <f>IF(LeasingHab!$C$10="TARIFA 1",(C271*(VLOOKUP(LeasingHab!$C$25,Seguros_Oblig!$A$3:$B$55,2,FALSE))),(C271*(VLOOKUP(LeasingHab!$C$25,Seguros_Oblig!$A$3:$D$55,4,FALSE))))</f>
        <v>#VALUE!</v>
      </c>
      <c r="I272" s="8" t="e">
        <f>IF(LeasingHab!$C$10="TARIFA 1",(C271*(VLOOKUP(LeasingHab!$C$26,Seguros_Oblig!$A$3:$B$55,2,FALSE))),(C271*(VLOOKUP(LeasingHab!$C$26,Seguros_Oblig!$A$3:$D$55,4,FALSE))))</f>
        <v>#VALUE!</v>
      </c>
      <c r="J272" s="10">
        <f t="shared" si="22"/>
        <v>0</v>
      </c>
      <c r="K272" s="7" t="e">
        <f>IF((C271-1)&lt;$E$19,0,Seguros_Oblig!$N$4*(LeasingNOFam!$C$12*90%))</f>
        <v>#VALUE!</v>
      </c>
      <c r="L272" s="7" t="e">
        <f>IF(B272&gt;LeasingNOFam!$C$18,0,PMT(LeasingNOFam!$E$17,LeasingNOFam!$C$18,-LeasingNOFam!$C$15,,)-PMT(LeasingNOFam!$E$17,LeasingNOFam!$C$18,-LeasingNOFam!$C$22)+LeasingNOFam!$C$22*LeasingNOFam!$E$17)</f>
        <v>#VALUE!</v>
      </c>
      <c r="M272" s="9" t="e">
        <f t="shared" si="23"/>
        <v>#VALUE!</v>
      </c>
      <c r="N272" s="7" t="e">
        <f>IF(C271&lt;1,"0",LeasingHab!$C$39)</f>
        <v>#VALUE!</v>
      </c>
      <c r="O272" s="9" t="e">
        <f t="shared" si="24"/>
        <v>#VALUE!</v>
      </c>
    </row>
    <row r="273" spans="2:15" ht="15.5" hidden="1" x14ac:dyDescent="0.35">
      <c r="B273" s="6" t="e">
        <f t="shared" si="25"/>
        <v>#VALUE!</v>
      </c>
      <c r="C273" s="7" t="e">
        <f t="shared" si="20"/>
        <v>#VALUE!</v>
      </c>
      <c r="D273" s="7" t="e">
        <f t="shared" si="21"/>
        <v>#VALUE!</v>
      </c>
      <c r="E273" s="7" t="e">
        <f>IF((C272-1)&lt;$E$19,0,C272*LeasingNOFam!$E$17)</f>
        <v>#VALUE!</v>
      </c>
      <c r="F273" s="8" t="e">
        <f>IF((C272-1)&lt;$E$19,"0",C272*Seguros_Oblig!$N$3)</f>
        <v>#VALUE!</v>
      </c>
      <c r="G273" s="8" t="e">
        <f>IF(LeasingHab!$C$10="TARIFA 1",(C272*(VLOOKUP(LeasingHab!$C$24,Seguros_Oblig!$A$3:$B$55,2,FALSE))),(C272*(VLOOKUP(LeasingHab!$C$24,Seguros_Oblig!$A$3:$D$55,4,FALSE))))</f>
        <v>#VALUE!</v>
      </c>
      <c r="H273" s="8" t="e">
        <f>IF(LeasingHab!$C$10="TARIFA 1",(C272*(VLOOKUP(LeasingHab!$C$25,Seguros_Oblig!$A$3:$B$55,2,FALSE))),(C272*(VLOOKUP(LeasingHab!$C$25,Seguros_Oblig!$A$3:$D$55,4,FALSE))))</f>
        <v>#VALUE!</v>
      </c>
      <c r="I273" s="8" t="e">
        <f>IF(LeasingHab!$C$10="TARIFA 1",(C272*(VLOOKUP(LeasingHab!$C$26,Seguros_Oblig!$A$3:$B$55,2,FALSE))),(C272*(VLOOKUP(LeasingHab!$C$26,Seguros_Oblig!$A$3:$D$55,4,FALSE))))</f>
        <v>#VALUE!</v>
      </c>
      <c r="J273" s="10">
        <f t="shared" si="22"/>
        <v>0</v>
      </c>
      <c r="K273" s="7" t="e">
        <f>IF((C272-1)&lt;$E$19,0,Seguros_Oblig!$N$4*(LeasingNOFam!$C$12*90%))</f>
        <v>#VALUE!</v>
      </c>
      <c r="L273" s="7" t="e">
        <f>IF(B273&gt;LeasingNOFam!$C$18,0,PMT(LeasingNOFam!$E$17,LeasingNOFam!$C$18,-LeasingNOFam!$C$15,,)-PMT(LeasingNOFam!$E$17,LeasingNOFam!$C$18,-LeasingNOFam!$C$22)+LeasingNOFam!$C$22*LeasingNOFam!$E$17)</f>
        <v>#VALUE!</v>
      </c>
      <c r="M273" s="9" t="e">
        <f t="shared" si="23"/>
        <v>#VALUE!</v>
      </c>
      <c r="N273" s="7" t="e">
        <f>IF(C272&lt;1,"0",LeasingHab!$C$39)</f>
        <v>#VALUE!</v>
      </c>
      <c r="O273" s="9" t="e">
        <f t="shared" si="24"/>
        <v>#VALUE!</v>
      </c>
    </row>
    <row r="274" spans="2:15" ht="15.5" hidden="1" x14ac:dyDescent="0.35">
      <c r="B274" s="6" t="e">
        <f t="shared" si="25"/>
        <v>#VALUE!</v>
      </c>
      <c r="C274" s="7" t="e">
        <f t="shared" si="20"/>
        <v>#VALUE!</v>
      </c>
      <c r="D274" s="7" t="e">
        <f t="shared" si="21"/>
        <v>#VALUE!</v>
      </c>
      <c r="E274" s="7" t="e">
        <f>IF((C273-1)&lt;$E$19,0,C273*LeasingNOFam!$E$17)</f>
        <v>#VALUE!</v>
      </c>
      <c r="F274" s="8" t="e">
        <f>IF((C273-1)&lt;$E$19,"0",C273*Seguros_Oblig!$N$3)</f>
        <v>#VALUE!</v>
      </c>
      <c r="G274" s="8" t="e">
        <f>IF(LeasingHab!$C$10="TARIFA 1",(C273*(VLOOKUP(LeasingHab!$C$24,Seguros_Oblig!$A$3:$B$55,2,FALSE))),(C273*(VLOOKUP(LeasingHab!$C$24,Seguros_Oblig!$A$3:$D$55,4,FALSE))))</f>
        <v>#VALUE!</v>
      </c>
      <c r="H274" s="8" t="e">
        <f>IF(LeasingHab!$C$10="TARIFA 1",(C273*(VLOOKUP(LeasingHab!$C$25,Seguros_Oblig!$A$3:$B$55,2,FALSE))),(C273*(VLOOKUP(LeasingHab!$C$25,Seguros_Oblig!$A$3:$D$55,4,FALSE))))</f>
        <v>#VALUE!</v>
      </c>
      <c r="I274" s="8" t="e">
        <f>IF(LeasingHab!$C$10="TARIFA 1",(C273*(VLOOKUP(LeasingHab!$C$26,Seguros_Oblig!$A$3:$B$55,2,FALSE))),(C273*(VLOOKUP(LeasingHab!$C$26,Seguros_Oblig!$A$3:$D$55,4,FALSE))))</f>
        <v>#VALUE!</v>
      </c>
      <c r="J274" s="10">
        <f t="shared" si="22"/>
        <v>0</v>
      </c>
      <c r="K274" s="7" t="e">
        <f>IF((C273-1)&lt;$E$19,0,Seguros_Oblig!$N$4*(LeasingNOFam!$C$12*90%))</f>
        <v>#VALUE!</v>
      </c>
      <c r="L274" s="7" t="e">
        <f>IF(B274&gt;LeasingNOFam!$C$18,0,PMT(LeasingNOFam!$E$17,LeasingNOFam!$C$18,-LeasingNOFam!$C$15,,)-PMT(LeasingNOFam!$E$17,LeasingNOFam!$C$18,-LeasingNOFam!$C$22)+LeasingNOFam!$C$22*LeasingNOFam!$E$17)</f>
        <v>#VALUE!</v>
      </c>
      <c r="M274" s="9" t="e">
        <f t="shared" si="23"/>
        <v>#VALUE!</v>
      </c>
      <c r="N274" s="7" t="e">
        <f>IF(C273&lt;1,"0",LeasingHab!$C$39)</f>
        <v>#VALUE!</v>
      </c>
      <c r="O274" s="9" t="e">
        <f t="shared" si="24"/>
        <v>#VALUE!</v>
      </c>
    </row>
    <row r="275" spans="2:15" ht="15.5" hidden="1" x14ac:dyDescent="0.35">
      <c r="B275" s="6" t="e">
        <f t="shared" si="25"/>
        <v>#VALUE!</v>
      </c>
      <c r="C275" s="7" t="e">
        <f t="shared" ref="C275:C338" si="26">IF(D274=0,0,C274-D275)</f>
        <v>#VALUE!</v>
      </c>
      <c r="D275" s="7" t="e">
        <f t="shared" ref="D275:D338" si="27">IF((C274-1)&lt;$E$19,0,L275-E275)</f>
        <v>#VALUE!</v>
      </c>
      <c r="E275" s="7" t="e">
        <f>IF((C274-1)&lt;$E$19,0,C274*LeasingNOFam!$E$17)</f>
        <v>#VALUE!</v>
      </c>
      <c r="F275" s="8" t="e">
        <f>IF((C274-1)&lt;$E$19,"0",C274*Seguros_Oblig!$N$3)</f>
        <v>#VALUE!</v>
      </c>
      <c r="G275" s="8" t="e">
        <f>IF(LeasingHab!$C$10="TARIFA 1",(C274*(VLOOKUP(LeasingHab!$C$24,Seguros_Oblig!$A$3:$B$55,2,FALSE))),(C274*(VLOOKUP(LeasingHab!$C$24,Seguros_Oblig!$A$3:$D$55,4,FALSE))))</f>
        <v>#VALUE!</v>
      </c>
      <c r="H275" s="8" t="e">
        <f>IF(LeasingHab!$C$10="TARIFA 1",(C274*(VLOOKUP(LeasingHab!$C$25,Seguros_Oblig!$A$3:$B$55,2,FALSE))),(C274*(VLOOKUP(LeasingHab!$C$25,Seguros_Oblig!$A$3:$D$55,4,FALSE))))</f>
        <v>#VALUE!</v>
      </c>
      <c r="I275" s="8" t="e">
        <f>IF(LeasingHab!$C$10="TARIFA 1",(C274*(VLOOKUP(LeasingHab!$C$26,Seguros_Oblig!$A$3:$B$55,2,FALSE))),(C274*(VLOOKUP(LeasingHab!$C$26,Seguros_Oblig!$A$3:$D$55,4,FALSE))))</f>
        <v>#VALUE!</v>
      </c>
      <c r="J275" s="10">
        <f t="shared" si="22"/>
        <v>0</v>
      </c>
      <c r="K275" s="7" t="e">
        <f>IF((C274-1)&lt;$E$19,0,Seguros_Oblig!$N$4*(LeasingNOFam!$C$12*90%))</f>
        <v>#VALUE!</v>
      </c>
      <c r="L275" s="7" t="e">
        <f>IF(B275&gt;LeasingNOFam!$C$18,0,PMT(LeasingNOFam!$E$17,LeasingNOFam!$C$18,-LeasingNOFam!$C$15,,)-PMT(LeasingNOFam!$E$17,LeasingNOFam!$C$18,-LeasingNOFam!$C$22)+LeasingNOFam!$C$22*LeasingNOFam!$E$17)</f>
        <v>#VALUE!</v>
      </c>
      <c r="M275" s="9" t="e">
        <f t="shared" si="23"/>
        <v>#VALUE!</v>
      </c>
      <c r="N275" s="7" t="e">
        <f>IF(C274&lt;1,"0",LeasingHab!$C$39)</f>
        <v>#VALUE!</v>
      </c>
      <c r="O275" s="9" t="e">
        <f t="shared" si="24"/>
        <v>#VALUE!</v>
      </c>
    </row>
    <row r="276" spans="2:15" ht="15.5" hidden="1" x14ac:dyDescent="0.35">
      <c r="B276" s="6" t="e">
        <f t="shared" si="25"/>
        <v>#VALUE!</v>
      </c>
      <c r="C276" s="7" t="e">
        <f t="shared" si="26"/>
        <v>#VALUE!</v>
      </c>
      <c r="D276" s="7" t="e">
        <f t="shared" si="27"/>
        <v>#VALUE!</v>
      </c>
      <c r="E276" s="7" t="e">
        <f>IF((C275-1)&lt;$E$19,0,C275*LeasingNOFam!$E$17)</f>
        <v>#VALUE!</v>
      </c>
      <c r="F276" s="8" t="e">
        <f>IF((C275-1)&lt;$E$19,"0",C275*Seguros_Oblig!$N$3)</f>
        <v>#VALUE!</v>
      </c>
      <c r="G276" s="8" t="e">
        <f>IF(LeasingHab!$C$10="TARIFA 1",(C275*(VLOOKUP(LeasingHab!$C$24,Seguros_Oblig!$A$3:$B$55,2,FALSE))),(C275*(VLOOKUP(LeasingHab!$C$24,Seguros_Oblig!$A$3:$D$55,4,FALSE))))</f>
        <v>#VALUE!</v>
      </c>
      <c r="H276" s="8" t="e">
        <f>IF(LeasingHab!$C$10="TARIFA 1",(C275*(VLOOKUP(LeasingHab!$C$25,Seguros_Oblig!$A$3:$B$55,2,FALSE))),(C275*(VLOOKUP(LeasingHab!$C$25,Seguros_Oblig!$A$3:$D$55,4,FALSE))))</f>
        <v>#VALUE!</v>
      </c>
      <c r="I276" s="8" t="e">
        <f>IF(LeasingHab!$C$10="TARIFA 1",(C275*(VLOOKUP(LeasingHab!$C$26,Seguros_Oblig!$A$3:$B$55,2,FALSE))),(C275*(VLOOKUP(LeasingHab!$C$26,Seguros_Oblig!$A$3:$D$55,4,FALSE))))</f>
        <v>#VALUE!</v>
      </c>
      <c r="J276" s="10">
        <f t="shared" si="22"/>
        <v>0</v>
      </c>
      <c r="K276" s="7" t="e">
        <f>IF((C275-1)&lt;$E$19,0,Seguros_Oblig!$N$4*(LeasingNOFam!$C$12*90%))</f>
        <v>#VALUE!</v>
      </c>
      <c r="L276" s="7" t="e">
        <f>IF(B276&gt;LeasingNOFam!$C$18,0,PMT(LeasingNOFam!$E$17,LeasingNOFam!$C$18,-LeasingNOFam!$C$15,,)-PMT(LeasingNOFam!$E$17,LeasingNOFam!$C$18,-LeasingNOFam!$C$22)+LeasingNOFam!$C$22*LeasingNOFam!$E$17)</f>
        <v>#VALUE!</v>
      </c>
      <c r="M276" s="9" t="e">
        <f t="shared" si="23"/>
        <v>#VALUE!</v>
      </c>
      <c r="N276" s="7" t="e">
        <f>IF(C275&lt;1,"0",LeasingHab!$C$39)</f>
        <v>#VALUE!</v>
      </c>
      <c r="O276" s="9" t="e">
        <f t="shared" si="24"/>
        <v>#VALUE!</v>
      </c>
    </row>
    <row r="277" spans="2:15" ht="15.5" hidden="1" x14ac:dyDescent="0.35">
      <c r="B277" s="6" t="e">
        <f t="shared" si="25"/>
        <v>#VALUE!</v>
      </c>
      <c r="C277" s="7" t="e">
        <f t="shared" si="26"/>
        <v>#VALUE!</v>
      </c>
      <c r="D277" s="7" t="e">
        <f t="shared" si="27"/>
        <v>#VALUE!</v>
      </c>
      <c r="E277" s="7" t="e">
        <f>IF((C276-1)&lt;$E$19,0,C276*LeasingNOFam!$E$17)</f>
        <v>#VALUE!</v>
      </c>
      <c r="F277" s="8" t="e">
        <f>IF((C276-1)&lt;$E$19,"0",C276*Seguros_Oblig!$N$3)</f>
        <v>#VALUE!</v>
      </c>
      <c r="G277" s="8" t="e">
        <f>IF(LeasingHab!$C$10="TARIFA 1",(C276*(VLOOKUP(LeasingHab!$C$24,Seguros_Oblig!$A$3:$B$55,2,FALSE))),(C276*(VLOOKUP(LeasingHab!$C$24,Seguros_Oblig!$A$3:$D$55,4,FALSE))))</f>
        <v>#VALUE!</v>
      </c>
      <c r="H277" s="8" t="e">
        <f>IF(LeasingHab!$C$10="TARIFA 1",(C276*(VLOOKUP(LeasingHab!$C$25,Seguros_Oblig!$A$3:$B$55,2,FALSE))),(C276*(VLOOKUP(LeasingHab!$C$25,Seguros_Oblig!$A$3:$D$55,4,FALSE))))</f>
        <v>#VALUE!</v>
      </c>
      <c r="I277" s="8" t="e">
        <f>IF(LeasingHab!$C$10="TARIFA 1",(C276*(VLOOKUP(LeasingHab!$C$26,Seguros_Oblig!$A$3:$B$55,2,FALSE))),(C276*(VLOOKUP(LeasingHab!$C$26,Seguros_Oblig!$A$3:$D$55,4,FALSE))))</f>
        <v>#VALUE!</v>
      </c>
      <c r="J277" s="10">
        <f t="shared" si="22"/>
        <v>0</v>
      </c>
      <c r="K277" s="7" t="e">
        <f>IF((C276-1)&lt;$E$19,0,Seguros_Oblig!$N$4*(LeasingNOFam!$C$12*90%))</f>
        <v>#VALUE!</v>
      </c>
      <c r="L277" s="7" t="e">
        <f>IF(B277&gt;LeasingNOFam!$C$18,0,PMT(LeasingNOFam!$E$17,LeasingNOFam!$C$18,-LeasingNOFam!$C$15,,)-PMT(LeasingNOFam!$E$17,LeasingNOFam!$C$18,-LeasingNOFam!$C$22)+LeasingNOFam!$C$22*LeasingNOFam!$E$17)</f>
        <v>#VALUE!</v>
      </c>
      <c r="M277" s="9" t="e">
        <f t="shared" si="23"/>
        <v>#VALUE!</v>
      </c>
      <c r="N277" s="7" t="e">
        <f>IF(C276&lt;1,"0",LeasingHab!$C$39)</f>
        <v>#VALUE!</v>
      </c>
      <c r="O277" s="9" t="e">
        <f t="shared" si="24"/>
        <v>#VALUE!</v>
      </c>
    </row>
    <row r="278" spans="2:15" ht="15.5" hidden="1" x14ac:dyDescent="0.35">
      <c r="B278" s="6" t="e">
        <f t="shared" si="25"/>
        <v>#VALUE!</v>
      </c>
      <c r="C278" s="7" t="e">
        <f t="shared" si="26"/>
        <v>#VALUE!</v>
      </c>
      <c r="D278" s="7" t="e">
        <f t="shared" si="27"/>
        <v>#VALUE!</v>
      </c>
      <c r="E278" s="7" t="e">
        <f>IF((C277-1)&lt;$E$19,0,C277*LeasingNOFam!$E$17)</f>
        <v>#VALUE!</v>
      </c>
      <c r="F278" s="8" t="e">
        <f>IF((C277-1)&lt;$E$19,"0",C277*Seguros_Oblig!$N$3)</f>
        <v>#VALUE!</v>
      </c>
      <c r="G278" s="8" t="e">
        <f>IF(LeasingHab!$C$10="TARIFA 1",(C277*(VLOOKUP(LeasingHab!$C$24,Seguros_Oblig!$A$3:$B$55,2,FALSE))),(C277*(VLOOKUP(LeasingHab!$C$24,Seguros_Oblig!$A$3:$D$55,4,FALSE))))</f>
        <v>#VALUE!</v>
      </c>
      <c r="H278" s="8" t="e">
        <f>IF(LeasingHab!$C$10="TARIFA 1",(C277*(VLOOKUP(LeasingHab!$C$25,Seguros_Oblig!$A$3:$B$55,2,FALSE))),(C277*(VLOOKUP(LeasingHab!$C$25,Seguros_Oblig!$A$3:$D$55,4,FALSE))))</f>
        <v>#VALUE!</v>
      </c>
      <c r="I278" s="8" t="e">
        <f>IF(LeasingHab!$C$10="TARIFA 1",(C277*(VLOOKUP(LeasingHab!$C$26,Seguros_Oblig!$A$3:$B$55,2,FALSE))),(C277*(VLOOKUP(LeasingHab!$C$26,Seguros_Oblig!$A$3:$D$55,4,FALSE))))</f>
        <v>#VALUE!</v>
      </c>
      <c r="J278" s="10">
        <f t="shared" si="22"/>
        <v>0</v>
      </c>
      <c r="K278" s="7" t="e">
        <f>IF((C277-1)&lt;$E$19,0,Seguros_Oblig!$N$4*(LeasingNOFam!$C$12*90%))</f>
        <v>#VALUE!</v>
      </c>
      <c r="L278" s="7" t="e">
        <f>IF(B278&gt;LeasingNOFam!$C$18,0,PMT(LeasingNOFam!$E$17,LeasingNOFam!$C$18,-LeasingNOFam!$C$15,,)-PMT(LeasingNOFam!$E$17,LeasingNOFam!$C$18,-LeasingNOFam!$C$22)+LeasingNOFam!$C$22*LeasingNOFam!$E$17)</f>
        <v>#VALUE!</v>
      </c>
      <c r="M278" s="9" t="e">
        <f t="shared" si="23"/>
        <v>#VALUE!</v>
      </c>
      <c r="N278" s="7" t="e">
        <f>IF(C277&lt;1,"0",LeasingHab!$C$39)</f>
        <v>#VALUE!</v>
      </c>
      <c r="O278" s="9" t="e">
        <f t="shared" si="24"/>
        <v>#VALUE!</v>
      </c>
    </row>
    <row r="279" spans="2:15" ht="15.5" hidden="1" x14ac:dyDescent="0.35">
      <c r="B279" s="6" t="e">
        <f t="shared" si="25"/>
        <v>#VALUE!</v>
      </c>
      <c r="C279" s="7" t="e">
        <f t="shared" si="26"/>
        <v>#VALUE!</v>
      </c>
      <c r="D279" s="7" t="e">
        <f t="shared" si="27"/>
        <v>#VALUE!</v>
      </c>
      <c r="E279" s="7" t="e">
        <f>IF((C278-1)&lt;$E$19,0,C278*LeasingNOFam!$E$17)</f>
        <v>#VALUE!</v>
      </c>
      <c r="F279" s="8" t="e">
        <f>IF((C278-1)&lt;$E$19,"0",C278*Seguros_Oblig!$N$3)</f>
        <v>#VALUE!</v>
      </c>
      <c r="G279" s="8" t="e">
        <f>IF(LeasingHab!$C$10="TARIFA 1",(C278*(VLOOKUP(LeasingHab!$C$24,Seguros_Oblig!$A$3:$B$55,2,FALSE))),(C278*(VLOOKUP(LeasingHab!$C$24,Seguros_Oblig!$A$3:$D$55,4,FALSE))))</f>
        <v>#VALUE!</v>
      </c>
      <c r="H279" s="8" t="e">
        <f>IF(LeasingHab!$C$10="TARIFA 1",(C278*(VLOOKUP(LeasingHab!$C$25,Seguros_Oblig!$A$3:$B$55,2,FALSE))),(C278*(VLOOKUP(LeasingHab!$C$25,Seguros_Oblig!$A$3:$D$55,4,FALSE))))</f>
        <v>#VALUE!</v>
      </c>
      <c r="I279" s="8" t="e">
        <f>IF(LeasingHab!$C$10="TARIFA 1",(C278*(VLOOKUP(LeasingHab!$C$26,Seguros_Oblig!$A$3:$B$55,2,FALSE))),(C278*(VLOOKUP(LeasingHab!$C$26,Seguros_Oblig!$A$3:$D$55,4,FALSE))))</f>
        <v>#VALUE!</v>
      </c>
      <c r="J279" s="10">
        <f t="shared" ref="J279:J342" si="28">_xlfn.AGGREGATE(9,6,F279:I279)</f>
        <v>0</v>
      </c>
      <c r="K279" s="7" t="e">
        <f>IF((C278-1)&lt;$E$19,0,Seguros_Oblig!$N$4*(LeasingNOFam!$C$12*90%))</f>
        <v>#VALUE!</v>
      </c>
      <c r="L279" s="7" t="e">
        <f>IF(B279&gt;LeasingNOFam!$C$18,0,PMT(LeasingNOFam!$E$17,LeasingNOFam!$C$18,-LeasingNOFam!$C$15,,)-PMT(LeasingNOFam!$E$17,LeasingNOFam!$C$18,-LeasingNOFam!$C$22)+LeasingNOFam!$C$22*LeasingNOFam!$E$17)</f>
        <v>#VALUE!</v>
      </c>
      <c r="M279" s="9" t="e">
        <f t="shared" ref="M279:M342" si="29">K279+L279+J279</f>
        <v>#VALUE!</v>
      </c>
      <c r="N279" s="7" t="e">
        <f>IF(C278&lt;1,"0",LeasingHab!$C$39)</f>
        <v>#VALUE!</v>
      </c>
      <c r="O279" s="9" t="e">
        <f t="shared" ref="O279:O342" si="30">M279+N279</f>
        <v>#VALUE!</v>
      </c>
    </row>
    <row r="280" spans="2:15" ht="15.5" hidden="1" x14ac:dyDescent="0.35">
      <c r="B280" s="6" t="e">
        <f t="shared" si="25"/>
        <v>#VALUE!</v>
      </c>
      <c r="C280" s="7" t="e">
        <f t="shared" si="26"/>
        <v>#VALUE!</v>
      </c>
      <c r="D280" s="7" t="e">
        <f t="shared" si="27"/>
        <v>#VALUE!</v>
      </c>
      <c r="E280" s="7" t="e">
        <f>IF((C279-1)&lt;$E$19,0,C279*LeasingNOFam!$E$17)</f>
        <v>#VALUE!</v>
      </c>
      <c r="F280" s="8" t="e">
        <f>IF((C279-1)&lt;$E$19,"0",C279*Seguros_Oblig!$N$3)</f>
        <v>#VALUE!</v>
      </c>
      <c r="G280" s="8" t="e">
        <f>IF(LeasingHab!$C$10="TARIFA 1",(C279*(VLOOKUP(LeasingHab!$C$24,Seguros_Oblig!$A$3:$B$55,2,FALSE))),(C279*(VLOOKUP(LeasingHab!$C$24,Seguros_Oblig!$A$3:$D$55,4,FALSE))))</f>
        <v>#VALUE!</v>
      </c>
      <c r="H280" s="8" t="e">
        <f>IF(LeasingHab!$C$10="TARIFA 1",(C279*(VLOOKUP(LeasingHab!$C$25,Seguros_Oblig!$A$3:$B$55,2,FALSE))),(C279*(VLOOKUP(LeasingHab!$C$25,Seguros_Oblig!$A$3:$D$55,4,FALSE))))</f>
        <v>#VALUE!</v>
      </c>
      <c r="I280" s="8" t="e">
        <f>IF(LeasingHab!$C$10="TARIFA 1",(C279*(VLOOKUP(LeasingHab!$C$26,Seguros_Oblig!$A$3:$B$55,2,FALSE))),(C279*(VLOOKUP(LeasingHab!$C$26,Seguros_Oblig!$A$3:$D$55,4,FALSE))))</f>
        <v>#VALUE!</v>
      </c>
      <c r="J280" s="10">
        <f t="shared" si="28"/>
        <v>0</v>
      </c>
      <c r="K280" s="7" t="e">
        <f>IF((C279-1)&lt;$E$19,0,Seguros_Oblig!$N$4*(LeasingNOFam!$C$12*90%))</f>
        <v>#VALUE!</v>
      </c>
      <c r="L280" s="7" t="e">
        <f>IF(B280&gt;LeasingNOFam!$C$18,0,PMT(LeasingNOFam!$E$17,LeasingNOFam!$C$18,-LeasingNOFam!$C$15,,)-PMT(LeasingNOFam!$E$17,LeasingNOFam!$C$18,-LeasingNOFam!$C$22)+LeasingNOFam!$C$22*LeasingNOFam!$E$17)</f>
        <v>#VALUE!</v>
      </c>
      <c r="M280" s="9" t="e">
        <f t="shared" si="29"/>
        <v>#VALUE!</v>
      </c>
      <c r="N280" s="7" t="e">
        <f>IF(C279&lt;1,"0",LeasingHab!$C$39)</f>
        <v>#VALUE!</v>
      </c>
      <c r="O280" s="9" t="e">
        <f t="shared" si="30"/>
        <v>#VALUE!</v>
      </c>
    </row>
    <row r="281" spans="2:15" ht="15.5" hidden="1" x14ac:dyDescent="0.35">
      <c r="B281" s="6" t="e">
        <f t="shared" si="25"/>
        <v>#VALUE!</v>
      </c>
      <c r="C281" s="7" t="e">
        <f t="shared" si="26"/>
        <v>#VALUE!</v>
      </c>
      <c r="D281" s="7" t="e">
        <f t="shared" si="27"/>
        <v>#VALUE!</v>
      </c>
      <c r="E281" s="7" t="e">
        <f>IF((C280-1)&lt;$E$19,0,C280*LeasingNOFam!$E$17)</f>
        <v>#VALUE!</v>
      </c>
      <c r="F281" s="8" t="e">
        <f>IF((C280-1)&lt;$E$19,"0",C280*Seguros_Oblig!$N$3)</f>
        <v>#VALUE!</v>
      </c>
      <c r="G281" s="8" t="e">
        <f>IF(LeasingHab!$C$10="TARIFA 1",(C280*(VLOOKUP(LeasingHab!$C$24,Seguros_Oblig!$A$3:$B$55,2,FALSE))),(C280*(VLOOKUP(LeasingHab!$C$24,Seguros_Oblig!$A$3:$D$55,4,FALSE))))</f>
        <v>#VALUE!</v>
      </c>
      <c r="H281" s="8" t="e">
        <f>IF(LeasingHab!$C$10="TARIFA 1",(C280*(VLOOKUP(LeasingHab!$C$25,Seguros_Oblig!$A$3:$B$55,2,FALSE))),(C280*(VLOOKUP(LeasingHab!$C$25,Seguros_Oblig!$A$3:$D$55,4,FALSE))))</f>
        <v>#VALUE!</v>
      </c>
      <c r="I281" s="8" t="e">
        <f>IF(LeasingHab!$C$10="TARIFA 1",(C280*(VLOOKUP(LeasingHab!$C$26,Seguros_Oblig!$A$3:$B$55,2,FALSE))),(C280*(VLOOKUP(LeasingHab!$C$26,Seguros_Oblig!$A$3:$D$55,4,FALSE))))</f>
        <v>#VALUE!</v>
      </c>
      <c r="J281" s="10">
        <f t="shared" si="28"/>
        <v>0</v>
      </c>
      <c r="K281" s="7" t="e">
        <f>IF((C280-1)&lt;$E$19,0,Seguros_Oblig!$N$4*(LeasingNOFam!$C$12*90%))</f>
        <v>#VALUE!</v>
      </c>
      <c r="L281" s="7" t="e">
        <f>IF(B281&gt;LeasingNOFam!$C$18,0,PMT(LeasingNOFam!$E$17,LeasingNOFam!$C$18,-LeasingNOFam!$C$15,,)-PMT(LeasingNOFam!$E$17,LeasingNOFam!$C$18,-LeasingNOFam!$C$22)+LeasingNOFam!$C$22*LeasingNOFam!$E$17)</f>
        <v>#VALUE!</v>
      </c>
      <c r="M281" s="9" t="e">
        <f t="shared" si="29"/>
        <v>#VALUE!</v>
      </c>
      <c r="N281" s="7" t="e">
        <f>IF(C280&lt;1,"0",LeasingHab!$C$39)</f>
        <v>#VALUE!</v>
      </c>
      <c r="O281" s="9" t="e">
        <f t="shared" si="30"/>
        <v>#VALUE!</v>
      </c>
    </row>
    <row r="282" spans="2:15" ht="15.5" hidden="1" x14ac:dyDescent="0.35">
      <c r="B282" s="6" t="e">
        <f t="shared" si="25"/>
        <v>#VALUE!</v>
      </c>
      <c r="C282" s="7" t="e">
        <f t="shared" si="26"/>
        <v>#VALUE!</v>
      </c>
      <c r="D282" s="7" t="e">
        <f t="shared" si="27"/>
        <v>#VALUE!</v>
      </c>
      <c r="E282" s="7" t="e">
        <f>IF((C281-1)&lt;$E$19,0,C281*LeasingNOFam!$E$17)</f>
        <v>#VALUE!</v>
      </c>
      <c r="F282" s="8" t="e">
        <f>IF((C281-1)&lt;$E$19,"0",C281*Seguros_Oblig!$N$3)</f>
        <v>#VALUE!</v>
      </c>
      <c r="G282" s="8" t="e">
        <f>IF(LeasingHab!$C$10="TARIFA 1",(C281*(VLOOKUP(LeasingHab!$C$24,Seguros_Oblig!$A$3:$B$55,2,FALSE))),(C281*(VLOOKUP(LeasingHab!$C$24,Seguros_Oblig!$A$3:$D$55,4,FALSE))))</f>
        <v>#VALUE!</v>
      </c>
      <c r="H282" s="8" t="e">
        <f>IF(LeasingHab!$C$10="TARIFA 1",(C281*(VLOOKUP(LeasingHab!$C$25,Seguros_Oblig!$A$3:$B$55,2,FALSE))),(C281*(VLOOKUP(LeasingHab!$C$25,Seguros_Oblig!$A$3:$D$55,4,FALSE))))</f>
        <v>#VALUE!</v>
      </c>
      <c r="I282" s="8" t="e">
        <f>IF(LeasingHab!$C$10="TARIFA 1",(C281*(VLOOKUP(LeasingHab!$C$26,Seguros_Oblig!$A$3:$B$55,2,FALSE))),(C281*(VLOOKUP(LeasingHab!$C$26,Seguros_Oblig!$A$3:$D$55,4,FALSE))))</f>
        <v>#VALUE!</v>
      </c>
      <c r="J282" s="10">
        <f t="shared" si="28"/>
        <v>0</v>
      </c>
      <c r="K282" s="7" t="e">
        <f>IF((C281-1)&lt;$E$19,0,Seguros_Oblig!$N$4*(LeasingNOFam!$C$12*90%))</f>
        <v>#VALUE!</v>
      </c>
      <c r="L282" s="7" t="e">
        <f>IF(B282&gt;LeasingNOFam!$C$18,0,PMT(LeasingNOFam!$E$17,LeasingNOFam!$C$18,-LeasingNOFam!$C$15,,)-PMT(LeasingNOFam!$E$17,LeasingNOFam!$C$18,-LeasingNOFam!$C$22)+LeasingNOFam!$C$22*LeasingNOFam!$E$17)</f>
        <v>#VALUE!</v>
      </c>
      <c r="M282" s="9" t="e">
        <f t="shared" si="29"/>
        <v>#VALUE!</v>
      </c>
      <c r="N282" s="7" t="e">
        <f>IF(C281&lt;1,"0",LeasingHab!$C$39)</f>
        <v>#VALUE!</v>
      </c>
      <c r="O282" s="9" t="e">
        <f t="shared" si="30"/>
        <v>#VALUE!</v>
      </c>
    </row>
    <row r="283" spans="2:15" ht="15.5" hidden="1" x14ac:dyDescent="0.35">
      <c r="B283" s="6" t="e">
        <f t="shared" si="25"/>
        <v>#VALUE!</v>
      </c>
      <c r="C283" s="7" t="e">
        <f t="shared" si="26"/>
        <v>#VALUE!</v>
      </c>
      <c r="D283" s="7" t="e">
        <f t="shared" si="27"/>
        <v>#VALUE!</v>
      </c>
      <c r="E283" s="7" t="e">
        <f>IF((C282-1)&lt;$E$19,0,C282*LeasingNOFam!$E$17)</f>
        <v>#VALUE!</v>
      </c>
      <c r="F283" s="8" t="e">
        <f>IF((C282-1)&lt;$E$19,"0",C282*Seguros_Oblig!$N$3)</f>
        <v>#VALUE!</v>
      </c>
      <c r="G283" s="8" t="e">
        <f>IF(LeasingHab!$C$10="TARIFA 1",(C282*(VLOOKUP(LeasingHab!$C$24,Seguros_Oblig!$A$3:$B$55,2,FALSE))),(C282*(VLOOKUP(LeasingHab!$C$24,Seguros_Oblig!$A$3:$D$55,4,FALSE))))</f>
        <v>#VALUE!</v>
      </c>
      <c r="H283" s="8" t="e">
        <f>IF(LeasingHab!$C$10="TARIFA 1",(C282*(VLOOKUP(LeasingHab!$C$25,Seguros_Oblig!$A$3:$B$55,2,FALSE))),(C282*(VLOOKUP(LeasingHab!$C$25,Seguros_Oblig!$A$3:$D$55,4,FALSE))))</f>
        <v>#VALUE!</v>
      </c>
      <c r="I283" s="8" t="e">
        <f>IF(LeasingHab!$C$10="TARIFA 1",(C282*(VLOOKUP(LeasingHab!$C$26,Seguros_Oblig!$A$3:$B$55,2,FALSE))),(C282*(VLOOKUP(LeasingHab!$C$26,Seguros_Oblig!$A$3:$D$55,4,FALSE))))</f>
        <v>#VALUE!</v>
      </c>
      <c r="J283" s="10">
        <f t="shared" si="28"/>
        <v>0</v>
      </c>
      <c r="K283" s="7" t="e">
        <f>IF((C282-1)&lt;$E$19,0,Seguros_Oblig!$N$4*(LeasingNOFam!$C$12*90%))</f>
        <v>#VALUE!</v>
      </c>
      <c r="L283" s="7" t="e">
        <f>IF(B283&gt;LeasingNOFam!$C$18,0,PMT(LeasingNOFam!$E$17,LeasingNOFam!$C$18,-LeasingNOFam!$C$15,,)-PMT(LeasingNOFam!$E$17,LeasingNOFam!$C$18,-LeasingNOFam!$C$22)+LeasingNOFam!$C$22*LeasingNOFam!$E$17)</f>
        <v>#VALUE!</v>
      </c>
      <c r="M283" s="9" t="e">
        <f t="shared" si="29"/>
        <v>#VALUE!</v>
      </c>
      <c r="N283" s="7" t="e">
        <f>IF(C282&lt;1,"0",LeasingHab!$C$39)</f>
        <v>#VALUE!</v>
      </c>
      <c r="O283" s="9" t="e">
        <f t="shared" si="30"/>
        <v>#VALUE!</v>
      </c>
    </row>
    <row r="284" spans="2:15" ht="15.5" hidden="1" x14ac:dyDescent="0.35">
      <c r="B284" s="6" t="e">
        <f t="shared" ref="B284:B347" si="31">IF(C283&gt;1,B283+1," ")</f>
        <v>#VALUE!</v>
      </c>
      <c r="C284" s="7" t="e">
        <f t="shared" si="26"/>
        <v>#VALUE!</v>
      </c>
      <c r="D284" s="7" t="e">
        <f t="shared" si="27"/>
        <v>#VALUE!</v>
      </c>
      <c r="E284" s="7" t="e">
        <f>IF((C283-1)&lt;$E$19,0,C283*LeasingNOFam!$E$17)</f>
        <v>#VALUE!</v>
      </c>
      <c r="F284" s="8" t="e">
        <f>IF((C283-1)&lt;$E$19,"0",C283*Seguros_Oblig!$N$3)</f>
        <v>#VALUE!</v>
      </c>
      <c r="G284" s="8" t="e">
        <f>IF(LeasingHab!$C$10="TARIFA 1",(C283*(VLOOKUP(LeasingHab!$C$24,Seguros_Oblig!$A$3:$B$55,2,FALSE))),(C283*(VLOOKUP(LeasingHab!$C$24,Seguros_Oblig!$A$3:$D$55,4,FALSE))))</f>
        <v>#VALUE!</v>
      </c>
      <c r="H284" s="8" t="e">
        <f>IF(LeasingHab!$C$10="TARIFA 1",(C283*(VLOOKUP(LeasingHab!$C$25,Seguros_Oblig!$A$3:$B$55,2,FALSE))),(C283*(VLOOKUP(LeasingHab!$C$25,Seguros_Oblig!$A$3:$D$55,4,FALSE))))</f>
        <v>#VALUE!</v>
      </c>
      <c r="I284" s="8" t="e">
        <f>IF(LeasingHab!$C$10="TARIFA 1",(C283*(VLOOKUP(LeasingHab!$C$26,Seguros_Oblig!$A$3:$B$55,2,FALSE))),(C283*(VLOOKUP(LeasingHab!$C$26,Seguros_Oblig!$A$3:$D$55,4,FALSE))))</f>
        <v>#VALUE!</v>
      </c>
      <c r="J284" s="10">
        <f t="shared" si="28"/>
        <v>0</v>
      </c>
      <c r="K284" s="7" t="e">
        <f>IF((C283-1)&lt;$E$19,0,Seguros_Oblig!$N$4*(LeasingNOFam!$C$12*90%))</f>
        <v>#VALUE!</v>
      </c>
      <c r="L284" s="7" t="e">
        <f>IF(B284&gt;LeasingNOFam!$C$18,0,PMT(LeasingNOFam!$E$17,LeasingNOFam!$C$18,-LeasingNOFam!$C$15,,)-PMT(LeasingNOFam!$E$17,LeasingNOFam!$C$18,-LeasingNOFam!$C$22)+LeasingNOFam!$C$22*LeasingNOFam!$E$17)</f>
        <v>#VALUE!</v>
      </c>
      <c r="M284" s="9" t="e">
        <f t="shared" si="29"/>
        <v>#VALUE!</v>
      </c>
      <c r="N284" s="7" t="e">
        <f>IF(C283&lt;1,"0",LeasingHab!$C$39)</f>
        <v>#VALUE!</v>
      </c>
      <c r="O284" s="9" t="e">
        <f t="shared" si="30"/>
        <v>#VALUE!</v>
      </c>
    </row>
    <row r="285" spans="2:15" ht="15.5" hidden="1" x14ac:dyDescent="0.35">
      <c r="B285" s="6" t="e">
        <f t="shared" si="31"/>
        <v>#VALUE!</v>
      </c>
      <c r="C285" s="7" t="e">
        <f t="shared" si="26"/>
        <v>#VALUE!</v>
      </c>
      <c r="D285" s="7" t="e">
        <f t="shared" si="27"/>
        <v>#VALUE!</v>
      </c>
      <c r="E285" s="7" t="e">
        <f>IF((C284-1)&lt;$E$19,0,C284*LeasingNOFam!$E$17)</f>
        <v>#VALUE!</v>
      </c>
      <c r="F285" s="8" t="e">
        <f>IF((C284-1)&lt;$E$19,"0",C284*Seguros_Oblig!$N$3)</f>
        <v>#VALUE!</v>
      </c>
      <c r="G285" s="8" t="e">
        <f>IF(LeasingHab!$C$10="TARIFA 1",(C284*(VLOOKUP(LeasingHab!$C$24,Seguros_Oblig!$A$3:$B$55,2,FALSE))),(C284*(VLOOKUP(LeasingHab!$C$24,Seguros_Oblig!$A$3:$D$55,4,FALSE))))</f>
        <v>#VALUE!</v>
      </c>
      <c r="H285" s="8" t="e">
        <f>IF(LeasingHab!$C$10="TARIFA 1",(C284*(VLOOKUP(LeasingHab!$C$25,Seguros_Oblig!$A$3:$B$55,2,FALSE))),(C284*(VLOOKUP(LeasingHab!$C$25,Seguros_Oblig!$A$3:$D$55,4,FALSE))))</f>
        <v>#VALUE!</v>
      </c>
      <c r="I285" s="8" t="e">
        <f>IF(LeasingHab!$C$10="TARIFA 1",(C284*(VLOOKUP(LeasingHab!$C$26,Seguros_Oblig!$A$3:$B$55,2,FALSE))),(C284*(VLOOKUP(LeasingHab!$C$26,Seguros_Oblig!$A$3:$D$55,4,FALSE))))</f>
        <v>#VALUE!</v>
      </c>
      <c r="J285" s="10">
        <f t="shared" si="28"/>
        <v>0</v>
      </c>
      <c r="K285" s="7" t="e">
        <f>IF((C284-1)&lt;$E$19,0,Seguros_Oblig!$N$4*(LeasingNOFam!$C$12*90%))</f>
        <v>#VALUE!</v>
      </c>
      <c r="L285" s="7" t="e">
        <f>IF(B285&gt;LeasingNOFam!$C$18,0,PMT(LeasingNOFam!$E$17,LeasingNOFam!$C$18,-LeasingNOFam!$C$15,,)-PMT(LeasingNOFam!$E$17,LeasingNOFam!$C$18,-LeasingNOFam!$C$22)+LeasingNOFam!$C$22*LeasingNOFam!$E$17)</f>
        <v>#VALUE!</v>
      </c>
      <c r="M285" s="9" t="e">
        <f t="shared" si="29"/>
        <v>#VALUE!</v>
      </c>
      <c r="N285" s="7" t="e">
        <f>IF(C284&lt;1,"0",LeasingHab!$C$39)</f>
        <v>#VALUE!</v>
      </c>
      <c r="O285" s="9" t="e">
        <f t="shared" si="30"/>
        <v>#VALUE!</v>
      </c>
    </row>
    <row r="286" spans="2:15" ht="15.5" hidden="1" x14ac:dyDescent="0.35">
      <c r="B286" s="6" t="e">
        <f t="shared" si="31"/>
        <v>#VALUE!</v>
      </c>
      <c r="C286" s="7" t="e">
        <f t="shared" si="26"/>
        <v>#VALUE!</v>
      </c>
      <c r="D286" s="7" t="e">
        <f t="shared" si="27"/>
        <v>#VALUE!</v>
      </c>
      <c r="E286" s="7" t="e">
        <f>IF((C285-1)&lt;$E$19,0,C285*LeasingNOFam!$E$17)</f>
        <v>#VALUE!</v>
      </c>
      <c r="F286" s="8" t="e">
        <f>IF((C285-1)&lt;$E$19,"0",C285*Seguros_Oblig!$N$3)</f>
        <v>#VALUE!</v>
      </c>
      <c r="G286" s="8" t="e">
        <f>IF(LeasingHab!$C$10="TARIFA 1",(C285*(VLOOKUP(LeasingHab!$C$24,Seguros_Oblig!$A$3:$B$55,2,FALSE))),(C285*(VLOOKUP(LeasingHab!$C$24,Seguros_Oblig!$A$3:$D$55,4,FALSE))))</f>
        <v>#VALUE!</v>
      </c>
      <c r="H286" s="8" t="e">
        <f>IF(LeasingHab!$C$10="TARIFA 1",(C285*(VLOOKUP(LeasingHab!$C$25,Seguros_Oblig!$A$3:$B$55,2,FALSE))),(C285*(VLOOKUP(LeasingHab!$C$25,Seguros_Oblig!$A$3:$D$55,4,FALSE))))</f>
        <v>#VALUE!</v>
      </c>
      <c r="I286" s="8" t="e">
        <f>IF(LeasingHab!$C$10="TARIFA 1",(C285*(VLOOKUP(LeasingHab!$C$26,Seguros_Oblig!$A$3:$B$55,2,FALSE))),(C285*(VLOOKUP(LeasingHab!$C$26,Seguros_Oblig!$A$3:$D$55,4,FALSE))))</f>
        <v>#VALUE!</v>
      </c>
      <c r="J286" s="10">
        <f t="shared" si="28"/>
        <v>0</v>
      </c>
      <c r="K286" s="7" t="e">
        <f>IF((C285-1)&lt;$E$19,0,Seguros_Oblig!$N$4*(LeasingNOFam!$C$12*90%))</f>
        <v>#VALUE!</v>
      </c>
      <c r="L286" s="7" t="e">
        <f>IF(B286&gt;LeasingNOFam!$C$18,0,PMT(LeasingNOFam!$E$17,LeasingNOFam!$C$18,-LeasingNOFam!$C$15,,)-PMT(LeasingNOFam!$E$17,LeasingNOFam!$C$18,-LeasingNOFam!$C$22)+LeasingNOFam!$C$22*LeasingNOFam!$E$17)</f>
        <v>#VALUE!</v>
      </c>
      <c r="M286" s="9" t="e">
        <f t="shared" si="29"/>
        <v>#VALUE!</v>
      </c>
      <c r="N286" s="7" t="e">
        <f>IF(C285&lt;1,"0",LeasingHab!$C$39)</f>
        <v>#VALUE!</v>
      </c>
      <c r="O286" s="9" t="e">
        <f t="shared" si="30"/>
        <v>#VALUE!</v>
      </c>
    </row>
    <row r="287" spans="2:15" ht="15.5" hidden="1" x14ac:dyDescent="0.35">
      <c r="B287" s="6" t="e">
        <f t="shared" si="31"/>
        <v>#VALUE!</v>
      </c>
      <c r="C287" s="7" t="e">
        <f t="shared" si="26"/>
        <v>#VALUE!</v>
      </c>
      <c r="D287" s="7" t="e">
        <f t="shared" si="27"/>
        <v>#VALUE!</v>
      </c>
      <c r="E287" s="7" t="e">
        <f>IF((C286-1)&lt;$E$19,0,C286*LeasingNOFam!$E$17)</f>
        <v>#VALUE!</v>
      </c>
      <c r="F287" s="8" t="e">
        <f>IF((C286-1)&lt;$E$19,"0",C286*Seguros_Oblig!$N$3)</f>
        <v>#VALUE!</v>
      </c>
      <c r="G287" s="8" t="e">
        <f>IF(LeasingHab!$C$10="TARIFA 1",(C286*(VLOOKUP(LeasingHab!$C$24,Seguros_Oblig!$A$3:$B$55,2,FALSE))),(C286*(VLOOKUP(LeasingHab!$C$24,Seguros_Oblig!$A$3:$D$55,4,FALSE))))</f>
        <v>#VALUE!</v>
      </c>
      <c r="H287" s="8" t="e">
        <f>IF(LeasingHab!$C$10="TARIFA 1",(C286*(VLOOKUP(LeasingHab!$C$25,Seguros_Oblig!$A$3:$B$55,2,FALSE))),(C286*(VLOOKUP(LeasingHab!$C$25,Seguros_Oblig!$A$3:$D$55,4,FALSE))))</f>
        <v>#VALUE!</v>
      </c>
      <c r="I287" s="8" t="e">
        <f>IF(LeasingHab!$C$10="TARIFA 1",(C286*(VLOOKUP(LeasingHab!$C$26,Seguros_Oblig!$A$3:$B$55,2,FALSE))),(C286*(VLOOKUP(LeasingHab!$C$26,Seguros_Oblig!$A$3:$D$55,4,FALSE))))</f>
        <v>#VALUE!</v>
      </c>
      <c r="J287" s="10">
        <f t="shared" si="28"/>
        <v>0</v>
      </c>
      <c r="K287" s="7" t="e">
        <f>IF((C286-1)&lt;$E$19,0,Seguros_Oblig!$N$4*(LeasingNOFam!$C$12*90%))</f>
        <v>#VALUE!</v>
      </c>
      <c r="L287" s="7" t="e">
        <f>IF(B287&gt;LeasingNOFam!$C$18,0,PMT(LeasingNOFam!$E$17,LeasingNOFam!$C$18,-LeasingNOFam!$C$15,,)-PMT(LeasingNOFam!$E$17,LeasingNOFam!$C$18,-LeasingNOFam!$C$22)+LeasingNOFam!$C$22*LeasingNOFam!$E$17)</f>
        <v>#VALUE!</v>
      </c>
      <c r="M287" s="9" t="e">
        <f t="shared" si="29"/>
        <v>#VALUE!</v>
      </c>
      <c r="N287" s="7" t="e">
        <f>IF(C286&lt;1,"0",LeasingHab!$C$39)</f>
        <v>#VALUE!</v>
      </c>
      <c r="O287" s="9" t="e">
        <f t="shared" si="30"/>
        <v>#VALUE!</v>
      </c>
    </row>
    <row r="288" spans="2:15" ht="15.5" hidden="1" x14ac:dyDescent="0.35">
      <c r="B288" s="6" t="e">
        <f t="shared" si="31"/>
        <v>#VALUE!</v>
      </c>
      <c r="C288" s="7" t="e">
        <f t="shared" si="26"/>
        <v>#VALUE!</v>
      </c>
      <c r="D288" s="7" t="e">
        <f t="shared" si="27"/>
        <v>#VALUE!</v>
      </c>
      <c r="E288" s="7" t="e">
        <f>IF((C287-1)&lt;$E$19,0,C287*LeasingNOFam!$E$17)</f>
        <v>#VALUE!</v>
      </c>
      <c r="F288" s="8" t="e">
        <f>IF((C287-1)&lt;$E$19,"0",C287*Seguros_Oblig!$N$3)</f>
        <v>#VALUE!</v>
      </c>
      <c r="G288" s="8" t="e">
        <f>IF(LeasingHab!$C$10="TARIFA 1",(C287*(VLOOKUP(LeasingHab!$C$24,Seguros_Oblig!$A$3:$B$55,2,FALSE))),(C287*(VLOOKUP(LeasingHab!$C$24,Seguros_Oblig!$A$3:$D$55,4,FALSE))))</f>
        <v>#VALUE!</v>
      </c>
      <c r="H288" s="8" t="e">
        <f>IF(LeasingHab!$C$10="TARIFA 1",(C287*(VLOOKUP(LeasingHab!$C$25,Seguros_Oblig!$A$3:$B$55,2,FALSE))),(C287*(VLOOKUP(LeasingHab!$C$25,Seguros_Oblig!$A$3:$D$55,4,FALSE))))</f>
        <v>#VALUE!</v>
      </c>
      <c r="I288" s="8" t="e">
        <f>IF(LeasingHab!$C$10="TARIFA 1",(C287*(VLOOKUP(LeasingHab!$C$26,Seguros_Oblig!$A$3:$B$55,2,FALSE))),(C287*(VLOOKUP(LeasingHab!$C$26,Seguros_Oblig!$A$3:$D$55,4,FALSE))))</f>
        <v>#VALUE!</v>
      </c>
      <c r="J288" s="10">
        <f t="shared" si="28"/>
        <v>0</v>
      </c>
      <c r="K288" s="7" t="e">
        <f>IF((C287-1)&lt;$E$19,0,Seguros_Oblig!$N$4*(LeasingNOFam!$C$12*90%))</f>
        <v>#VALUE!</v>
      </c>
      <c r="L288" s="7" t="e">
        <f>IF(B288&gt;LeasingNOFam!$C$18,0,PMT(LeasingNOFam!$E$17,LeasingNOFam!$C$18,-LeasingNOFam!$C$15,,)-PMT(LeasingNOFam!$E$17,LeasingNOFam!$C$18,-LeasingNOFam!$C$22)+LeasingNOFam!$C$22*LeasingNOFam!$E$17)</f>
        <v>#VALUE!</v>
      </c>
      <c r="M288" s="9" t="e">
        <f t="shared" si="29"/>
        <v>#VALUE!</v>
      </c>
      <c r="N288" s="7" t="e">
        <f>IF(C287&lt;1,"0",LeasingHab!$C$39)</f>
        <v>#VALUE!</v>
      </c>
      <c r="O288" s="9" t="e">
        <f t="shared" si="30"/>
        <v>#VALUE!</v>
      </c>
    </row>
    <row r="289" spans="2:15" ht="15.5" hidden="1" x14ac:dyDescent="0.35">
      <c r="B289" s="6" t="e">
        <f t="shared" si="31"/>
        <v>#VALUE!</v>
      </c>
      <c r="C289" s="7" t="e">
        <f t="shared" si="26"/>
        <v>#VALUE!</v>
      </c>
      <c r="D289" s="7" t="e">
        <f t="shared" si="27"/>
        <v>#VALUE!</v>
      </c>
      <c r="E289" s="7" t="e">
        <f>IF((C288-1)&lt;$E$19,0,C288*LeasingNOFam!$E$17)</f>
        <v>#VALUE!</v>
      </c>
      <c r="F289" s="8" t="e">
        <f>IF((C288-1)&lt;$E$19,"0",C288*Seguros_Oblig!$N$3)</f>
        <v>#VALUE!</v>
      </c>
      <c r="G289" s="8" t="e">
        <f>IF(LeasingHab!$C$10="TARIFA 1",(C288*(VLOOKUP(LeasingHab!$C$24,Seguros_Oblig!$A$3:$B$55,2,FALSE))),(C288*(VLOOKUP(LeasingHab!$C$24,Seguros_Oblig!$A$3:$D$55,4,FALSE))))</f>
        <v>#VALUE!</v>
      </c>
      <c r="H289" s="8" t="e">
        <f>IF(LeasingHab!$C$10="TARIFA 1",(C288*(VLOOKUP(LeasingHab!$C$25,Seguros_Oblig!$A$3:$B$55,2,FALSE))),(C288*(VLOOKUP(LeasingHab!$C$25,Seguros_Oblig!$A$3:$D$55,4,FALSE))))</f>
        <v>#VALUE!</v>
      </c>
      <c r="I289" s="8" t="e">
        <f>IF(LeasingHab!$C$10="TARIFA 1",(C288*(VLOOKUP(LeasingHab!$C$26,Seguros_Oblig!$A$3:$B$55,2,FALSE))),(C288*(VLOOKUP(LeasingHab!$C$26,Seguros_Oblig!$A$3:$D$55,4,FALSE))))</f>
        <v>#VALUE!</v>
      </c>
      <c r="J289" s="10">
        <f t="shared" si="28"/>
        <v>0</v>
      </c>
      <c r="K289" s="7" t="e">
        <f>IF((C288-1)&lt;$E$19,0,Seguros_Oblig!$N$4*(LeasingNOFam!$C$12*90%))</f>
        <v>#VALUE!</v>
      </c>
      <c r="L289" s="7" t="e">
        <f>IF(B289&gt;LeasingNOFam!$C$18,0,PMT(LeasingNOFam!$E$17,LeasingNOFam!$C$18,-LeasingNOFam!$C$15,,)-PMT(LeasingNOFam!$E$17,LeasingNOFam!$C$18,-LeasingNOFam!$C$22)+LeasingNOFam!$C$22*LeasingNOFam!$E$17)</f>
        <v>#VALUE!</v>
      </c>
      <c r="M289" s="9" t="e">
        <f t="shared" si="29"/>
        <v>#VALUE!</v>
      </c>
      <c r="N289" s="7" t="e">
        <f>IF(C288&lt;1,"0",LeasingHab!$C$39)</f>
        <v>#VALUE!</v>
      </c>
      <c r="O289" s="9" t="e">
        <f t="shared" si="30"/>
        <v>#VALUE!</v>
      </c>
    </row>
    <row r="290" spans="2:15" ht="15.5" hidden="1" x14ac:dyDescent="0.35">
      <c r="B290" s="6" t="e">
        <f t="shared" si="31"/>
        <v>#VALUE!</v>
      </c>
      <c r="C290" s="7" t="e">
        <f t="shared" si="26"/>
        <v>#VALUE!</v>
      </c>
      <c r="D290" s="7" t="e">
        <f t="shared" si="27"/>
        <v>#VALUE!</v>
      </c>
      <c r="E290" s="7" t="e">
        <f>IF((C289-1)&lt;$E$19,0,C289*LeasingNOFam!$E$17)</f>
        <v>#VALUE!</v>
      </c>
      <c r="F290" s="8" t="e">
        <f>IF((C289-1)&lt;$E$19,"0",C289*Seguros_Oblig!$N$3)</f>
        <v>#VALUE!</v>
      </c>
      <c r="G290" s="8" t="e">
        <f>IF(LeasingHab!$C$10="TARIFA 1",(C289*(VLOOKUP(LeasingHab!$C$24,Seguros_Oblig!$A$3:$B$55,2,FALSE))),(C289*(VLOOKUP(LeasingHab!$C$24,Seguros_Oblig!$A$3:$D$55,4,FALSE))))</f>
        <v>#VALUE!</v>
      </c>
      <c r="H290" s="8" t="e">
        <f>IF(LeasingHab!$C$10="TARIFA 1",(C289*(VLOOKUP(LeasingHab!$C$25,Seguros_Oblig!$A$3:$B$55,2,FALSE))),(C289*(VLOOKUP(LeasingHab!$C$25,Seguros_Oblig!$A$3:$D$55,4,FALSE))))</f>
        <v>#VALUE!</v>
      </c>
      <c r="I290" s="8" t="e">
        <f>IF(LeasingHab!$C$10="TARIFA 1",(C289*(VLOOKUP(LeasingHab!$C$26,Seguros_Oblig!$A$3:$B$55,2,FALSE))),(C289*(VLOOKUP(LeasingHab!$C$26,Seguros_Oblig!$A$3:$D$55,4,FALSE))))</f>
        <v>#VALUE!</v>
      </c>
      <c r="J290" s="10">
        <f t="shared" si="28"/>
        <v>0</v>
      </c>
      <c r="K290" s="7" t="e">
        <f>IF((C289-1)&lt;$E$19,0,Seguros_Oblig!$N$4*(LeasingNOFam!$C$12*90%))</f>
        <v>#VALUE!</v>
      </c>
      <c r="L290" s="7" t="e">
        <f>IF(B290&gt;LeasingNOFam!$C$18,0,PMT(LeasingNOFam!$E$17,LeasingNOFam!$C$18,-LeasingNOFam!$C$15,,)-PMT(LeasingNOFam!$E$17,LeasingNOFam!$C$18,-LeasingNOFam!$C$22)+LeasingNOFam!$C$22*LeasingNOFam!$E$17)</f>
        <v>#VALUE!</v>
      </c>
      <c r="M290" s="9" t="e">
        <f t="shared" si="29"/>
        <v>#VALUE!</v>
      </c>
      <c r="N290" s="7" t="e">
        <f>IF(C289&lt;1,"0",LeasingHab!$C$39)</f>
        <v>#VALUE!</v>
      </c>
      <c r="O290" s="9" t="e">
        <f t="shared" si="30"/>
        <v>#VALUE!</v>
      </c>
    </row>
    <row r="291" spans="2:15" ht="15.5" hidden="1" x14ac:dyDescent="0.35">
      <c r="B291" s="6" t="e">
        <f t="shared" si="31"/>
        <v>#VALUE!</v>
      </c>
      <c r="C291" s="7" t="e">
        <f t="shared" si="26"/>
        <v>#VALUE!</v>
      </c>
      <c r="D291" s="7" t="e">
        <f t="shared" si="27"/>
        <v>#VALUE!</v>
      </c>
      <c r="E291" s="7" t="e">
        <f>IF((C290-1)&lt;$E$19,0,C290*LeasingNOFam!$E$17)</f>
        <v>#VALUE!</v>
      </c>
      <c r="F291" s="8" t="e">
        <f>IF((C290-1)&lt;$E$19,"0",C290*Seguros_Oblig!$N$3)</f>
        <v>#VALUE!</v>
      </c>
      <c r="G291" s="8" t="e">
        <f>IF(LeasingHab!$C$10="TARIFA 1",(C290*(VLOOKUP(LeasingHab!$C$24,Seguros_Oblig!$A$3:$B$55,2,FALSE))),(C290*(VLOOKUP(LeasingHab!$C$24,Seguros_Oblig!$A$3:$D$55,4,FALSE))))</f>
        <v>#VALUE!</v>
      </c>
      <c r="H291" s="8" t="e">
        <f>IF(LeasingHab!$C$10="TARIFA 1",(C290*(VLOOKUP(LeasingHab!$C$25,Seguros_Oblig!$A$3:$B$55,2,FALSE))),(C290*(VLOOKUP(LeasingHab!$C$25,Seguros_Oblig!$A$3:$D$55,4,FALSE))))</f>
        <v>#VALUE!</v>
      </c>
      <c r="I291" s="8" t="e">
        <f>IF(LeasingHab!$C$10="TARIFA 1",(C290*(VLOOKUP(LeasingHab!$C$26,Seguros_Oblig!$A$3:$B$55,2,FALSE))),(C290*(VLOOKUP(LeasingHab!$C$26,Seguros_Oblig!$A$3:$D$55,4,FALSE))))</f>
        <v>#VALUE!</v>
      </c>
      <c r="J291" s="10">
        <f t="shared" si="28"/>
        <v>0</v>
      </c>
      <c r="K291" s="7" t="e">
        <f>IF((C290-1)&lt;$E$19,0,Seguros_Oblig!$N$4*(LeasingNOFam!$C$12*90%))</f>
        <v>#VALUE!</v>
      </c>
      <c r="L291" s="7" t="e">
        <f>IF(B291&gt;LeasingNOFam!$C$18,0,PMT(LeasingNOFam!$E$17,LeasingNOFam!$C$18,-LeasingNOFam!$C$15,,)-PMT(LeasingNOFam!$E$17,LeasingNOFam!$C$18,-LeasingNOFam!$C$22)+LeasingNOFam!$C$22*LeasingNOFam!$E$17)</f>
        <v>#VALUE!</v>
      </c>
      <c r="M291" s="9" t="e">
        <f t="shared" si="29"/>
        <v>#VALUE!</v>
      </c>
      <c r="N291" s="7" t="e">
        <f>IF(C290&lt;1,"0",LeasingHab!$C$39)</f>
        <v>#VALUE!</v>
      </c>
      <c r="O291" s="9" t="e">
        <f t="shared" si="30"/>
        <v>#VALUE!</v>
      </c>
    </row>
    <row r="292" spans="2:15" ht="15.5" hidden="1" x14ac:dyDescent="0.35">
      <c r="B292" s="6" t="e">
        <f t="shared" si="31"/>
        <v>#VALUE!</v>
      </c>
      <c r="C292" s="7" t="e">
        <f t="shared" si="26"/>
        <v>#VALUE!</v>
      </c>
      <c r="D292" s="7" t="e">
        <f t="shared" si="27"/>
        <v>#VALUE!</v>
      </c>
      <c r="E292" s="7" t="e">
        <f>IF((C291-1)&lt;$E$19,0,C291*LeasingNOFam!$E$17)</f>
        <v>#VALUE!</v>
      </c>
      <c r="F292" s="8" t="e">
        <f>IF((C291-1)&lt;$E$19,"0",C291*Seguros_Oblig!$N$3)</f>
        <v>#VALUE!</v>
      </c>
      <c r="G292" s="8" t="e">
        <f>IF(LeasingHab!$C$10="TARIFA 1",(C291*(VLOOKUP(LeasingHab!$C$24,Seguros_Oblig!$A$3:$B$55,2,FALSE))),(C291*(VLOOKUP(LeasingHab!$C$24,Seguros_Oblig!$A$3:$D$55,4,FALSE))))</f>
        <v>#VALUE!</v>
      </c>
      <c r="H292" s="8" t="e">
        <f>IF(LeasingHab!$C$10="TARIFA 1",(C291*(VLOOKUP(LeasingHab!$C$25,Seguros_Oblig!$A$3:$B$55,2,FALSE))),(C291*(VLOOKUP(LeasingHab!$C$25,Seguros_Oblig!$A$3:$D$55,4,FALSE))))</f>
        <v>#VALUE!</v>
      </c>
      <c r="I292" s="8" t="e">
        <f>IF(LeasingHab!$C$10="TARIFA 1",(C291*(VLOOKUP(LeasingHab!$C$26,Seguros_Oblig!$A$3:$B$55,2,FALSE))),(C291*(VLOOKUP(LeasingHab!$C$26,Seguros_Oblig!$A$3:$D$55,4,FALSE))))</f>
        <v>#VALUE!</v>
      </c>
      <c r="J292" s="10">
        <f t="shared" si="28"/>
        <v>0</v>
      </c>
      <c r="K292" s="7" t="e">
        <f>IF((C291-1)&lt;$E$19,0,Seguros_Oblig!$N$4*(LeasingNOFam!$C$12*90%))</f>
        <v>#VALUE!</v>
      </c>
      <c r="L292" s="7" t="e">
        <f>IF(B292&gt;LeasingNOFam!$C$18,0,PMT(LeasingNOFam!$E$17,LeasingNOFam!$C$18,-LeasingNOFam!$C$15,,)-PMT(LeasingNOFam!$E$17,LeasingNOFam!$C$18,-LeasingNOFam!$C$22)+LeasingNOFam!$C$22*LeasingNOFam!$E$17)</f>
        <v>#VALUE!</v>
      </c>
      <c r="M292" s="9" t="e">
        <f t="shared" si="29"/>
        <v>#VALUE!</v>
      </c>
      <c r="N292" s="7" t="e">
        <f>IF(C291&lt;1,"0",LeasingHab!$C$39)</f>
        <v>#VALUE!</v>
      </c>
      <c r="O292" s="9" t="e">
        <f t="shared" si="30"/>
        <v>#VALUE!</v>
      </c>
    </row>
    <row r="293" spans="2:15" ht="15.5" hidden="1" x14ac:dyDescent="0.35">
      <c r="B293" s="6" t="e">
        <f t="shared" si="31"/>
        <v>#VALUE!</v>
      </c>
      <c r="C293" s="7" t="e">
        <f t="shared" si="26"/>
        <v>#VALUE!</v>
      </c>
      <c r="D293" s="7" t="e">
        <f t="shared" si="27"/>
        <v>#VALUE!</v>
      </c>
      <c r="E293" s="7" t="e">
        <f>IF((C292-1)&lt;$E$19,0,C292*LeasingNOFam!$E$17)</f>
        <v>#VALUE!</v>
      </c>
      <c r="F293" s="8" t="e">
        <f>IF((C292-1)&lt;$E$19,"0",C292*Seguros_Oblig!$N$3)</f>
        <v>#VALUE!</v>
      </c>
      <c r="G293" s="8" t="e">
        <f>IF(LeasingHab!$C$10="TARIFA 1",(C292*(VLOOKUP(LeasingHab!$C$24,Seguros_Oblig!$A$3:$B$55,2,FALSE))),(C292*(VLOOKUP(LeasingHab!$C$24,Seguros_Oblig!$A$3:$D$55,4,FALSE))))</f>
        <v>#VALUE!</v>
      </c>
      <c r="H293" s="8" t="e">
        <f>IF(LeasingHab!$C$10="TARIFA 1",(C292*(VLOOKUP(LeasingHab!$C$25,Seguros_Oblig!$A$3:$B$55,2,FALSE))),(C292*(VLOOKUP(LeasingHab!$C$25,Seguros_Oblig!$A$3:$D$55,4,FALSE))))</f>
        <v>#VALUE!</v>
      </c>
      <c r="I293" s="8" t="e">
        <f>IF(LeasingHab!$C$10="TARIFA 1",(C292*(VLOOKUP(LeasingHab!$C$26,Seguros_Oblig!$A$3:$B$55,2,FALSE))),(C292*(VLOOKUP(LeasingHab!$C$26,Seguros_Oblig!$A$3:$D$55,4,FALSE))))</f>
        <v>#VALUE!</v>
      </c>
      <c r="J293" s="10">
        <f t="shared" si="28"/>
        <v>0</v>
      </c>
      <c r="K293" s="7" t="e">
        <f>IF((C292-1)&lt;$E$19,0,Seguros_Oblig!$N$4*(LeasingNOFam!$C$12*90%))</f>
        <v>#VALUE!</v>
      </c>
      <c r="L293" s="7" t="e">
        <f>IF(B293&gt;LeasingNOFam!$C$18,0,PMT(LeasingNOFam!$E$17,LeasingNOFam!$C$18,-LeasingNOFam!$C$15,,)-PMT(LeasingNOFam!$E$17,LeasingNOFam!$C$18,-LeasingNOFam!$C$22)+LeasingNOFam!$C$22*LeasingNOFam!$E$17)</f>
        <v>#VALUE!</v>
      </c>
      <c r="M293" s="9" t="e">
        <f t="shared" si="29"/>
        <v>#VALUE!</v>
      </c>
      <c r="N293" s="7" t="e">
        <f>IF(C292&lt;1,"0",LeasingHab!$C$39)</f>
        <v>#VALUE!</v>
      </c>
      <c r="O293" s="9" t="e">
        <f t="shared" si="30"/>
        <v>#VALUE!</v>
      </c>
    </row>
    <row r="294" spans="2:15" ht="15.5" hidden="1" x14ac:dyDescent="0.35">
      <c r="B294" s="6" t="e">
        <f t="shared" si="31"/>
        <v>#VALUE!</v>
      </c>
      <c r="C294" s="7" t="e">
        <f t="shared" si="26"/>
        <v>#VALUE!</v>
      </c>
      <c r="D294" s="7" t="e">
        <f t="shared" si="27"/>
        <v>#VALUE!</v>
      </c>
      <c r="E294" s="7" t="e">
        <f>IF((C293-1)&lt;$E$19,0,C293*LeasingNOFam!$E$17)</f>
        <v>#VALUE!</v>
      </c>
      <c r="F294" s="8" t="e">
        <f>IF((C293-1)&lt;$E$19,"0",C293*Seguros_Oblig!$N$3)</f>
        <v>#VALUE!</v>
      </c>
      <c r="G294" s="8" t="e">
        <f>IF(LeasingHab!$C$10="TARIFA 1",(C293*(VLOOKUP(LeasingHab!$C$24,Seguros_Oblig!$A$3:$B$55,2,FALSE))),(C293*(VLOOKUP(LeasingHab!$C$24,Seguros_Oblig!$A$3:$D$55,4,FALSE))))</f>
        <v>#VALUE!</v>
      </c>
      <c r="H294" s="8" t="e">
        <f>IF(LeasingHab!$C$10="TARIFA 1",(C293*(VLOOKUP(LeasingHab!$C$25,Seguros_Oblig!$A$3:$B$55,2,FALSE))),(C293*(VLOOKUP(LeasingHab!$C$25,Seguros_Oblig!$A$3:$D$55,4,FALSE))))</f>
        <v>#VALUE!</v>
      </c>
      <c r="I294" s="8" t="e">
        <f>IF(LeasingHab!$C$10="TARIFA 1",(C293*(VLOOKUP(LeasingHab!$C$26,Seguros_Oblig!$A$3:$B$55,2,FALSE))),(C293*(VLOOKUP(LeasingHab!$C$26,Seguros_Oblig!$A$3:$D$55,4,FALSE))))</f>
        <v>#VALUE!</v>
      </c>
      <c r="J294" s="10">
        <f t="shared" si="28"/>
        <v>0</v>
      </c>
      <c r="K294" s="7" t="e">
        <f>IF((C293-1)&lt;$E$19,0,Seguros_Oblig!$N$4*(LeasingNOFam!$C$12*90%))</f>
        <v>#VALUE!</v>
      </c>
      <c r="L294" s="7" t="e">
        <f>IF(B294&gt;LeasingNOFam!$C$18,0,PMT(LeasingNOFam!$E$17,LeasingNOFam!$C$18,-LeasingNOFam!$C$15,,)-PMT(LeasingNOFam!$E$17,LeasingNOFam!$C$18,-LeasingNOFam!$C$22)+LeasingNOFam!$C$22*LeasingNOFam!$E$17)</f>
        <v>#VALUE!</v>
      </c>
      <c r="M294" s="9" t="e">
        <f t="shared" si="29"/>
        <v>#VALUE!</v>
      </c>
      <c r="N294" s="7" t="e">
        <f>IF(C293&lt;1,"0",LeasingHab!$C$39)</f>
        <v>#VALUE!</v>
      </c>
      <c r="O294" s="9" t="e">
        <f t="shared" si="30"/>
        <v>#VALUE!</v>
      </c>
    </row>
    <row r="295" spans="2:15" ht="15.5" hidden="1" x14ac:dyDescent="0.35">
      <c r="B295" s="6" t="e">
        <f t="shared" si="31"/>
        <v>#VALUE!</v>
      </c>
      <c r="C295" s="7" t="e">
        <f t="shared" si="26"/>
        <v>#VALUE!</v>
      </c>
      <c r="D295" s="7" t="e">
        <f t="shared" si="27"/>
        <v>#VALUE!</v>
      </c>
      <c r="E295" s="7" t="e">
        <f>IF((C294-1)&lt;$E$19,0,C294*LeasingNOFam!$E$17)</f>
        <v>#VALUE!</v>
      </c>
      <c r="F295" s="8" t="e">
        <f>IF((C294-1)&lt;$E$19,"0",C294*Seguros_Oblig!$N$3)</f>
        <v>#VALUE!</v>
      </c>
      <c r="G295" s="8" t="e">
        <f>IF(LeasingHab!$C$10="TARIFA 1",(C294*(VLOOKUP(LeasingHab!$C$24,Seguros_Oblig!$A$3:$B$55,2,FALSE))),(C294*(VLOOKUP(LeasingHab!$C$24,Seguros_Oblig!$A$3:$D$55,4,FALSE))))</f>
        <v>#VALUE!</v>
      </c>
      <c r="H295" s="8" t="e">
        <f>IF(LeasingHab!$C$10="TARIFA 1",(C294*(VLOOKUP(LeasingHab!$C$25,Seguros_Oblig!$A$3:$B$55,2,FALSE))),(C294*(VLOOKUP(LeasingHab!$C$25,Seguros_Oblig!$A$3:$D$55,4,FALSE))))</f>
        <v>#VALUE!</v>
      </c>
      <c r="I295" s="8" t="e">
        <f>IF(LeasingHab!$C$10="TARIFA 1",(C294*(VLOOKUP(LeasingHab!$C$26,Seguros_Oblig!$A$3:$B$55,2,FALSE))),(C294*(VLOOKUP(LeasingHab!$C$26,Seguros_Oblig!$A$3:$D$55,4,FALSE))))</f>
        <v>#VALUE!</v>
      </c>
      <c r="J295" s="10">
        <f t="shared" si="28"/>
        <v>0</v>
      </c>
      <c r="K295" s="7" t="e">
        <f>IF((C294-1)&lt;$E$19,0,Seguros_Oblig!$N$4*(LeasingNOFam!$C$12*90%))</f>
        <v>#VALUE!</v>
      </c>
      <c r="L295" s="7" t="e">
        <f>IF(B295&gt;LeasingNOFam!$C$18,0,PMT(LeasingNOFam!$E$17,LeasingNOFam!$C$18,-LeasingNOFam!$C$15,,)-PMT(LeasingNOFam!$E$17,LeasingNOFam!$C$18,-LeasingNOFam!$C$22)+LeasingNOFam!$C$22*LeasingNOFam!$E$17)</f>
        <v>#VALUE!</v>
      </c>
      <c r="M295" s="9" t="e">
        <f t="shared" si="29"/>
        <v>#VALUE!</v>
      </c>
      <c r="N295" s="7" t="e">
        <f>IF(C294&lt;1,"0",LeasingHab!$C$39)</f>
        <v>#VALUE!</v>
      </c>
      <c r="O295" s="9" t="e">
        <f t="shared" si="30"/>
        <v>#VALUE!</v>
      </c>
    </row>
    <row r="296" spans="2:15" ht="15.5" hidden="1" x14ac:dyDescent="0.35">
      <c r="B296" s="6" t="e">
        <f t="shared" si="31"/>
        <v>#VALUE!</v>
      </c>
      <c r="C296" s="7" t="e">
        <f t="shared" si="26"/>
        <v>#VALUE!</v>
      </c>
      <c r="D296" s="7" t="e">
        <f t="shared" si="27"/>
        <v>#VALUE!</v>
      </c>
      <c r="E296" s="7" t="e">
        <f>IF((C295-1)&lt;$E$19,0,C295*LeasingNOFam!$E$17)</f>
        <v>#VALUE!</v>
      </c>
      <c r="F296" s="8" t="e">
        <f>IF((C295-1)&lt;$E$19,"0",C295*Seguros_Oblig!$N$3)</f>
        <v>#VALUE!</v>
      </c>
      <c r="G296" s="8" t="e">
        <f>IF(LeasingHab!$C$10="TARIFA 1",(C295*(VLOOKUP(LeasingHab!$C$24,Seguros_Oblig!$A$3:$B$55,2,FALSE))),(C295*(VLOOKUP(LeasingHab!$C$24,Seguros_Oblig!$A$3:$D$55,4,FALSE))))</f>
        <v>#VALUE!</v>
      </c>
      <c r="H296" s="8" t="e">
        <f>IF(LeasingHab!$C$10="TARIFA 1",(C295*(VLOOKUP(LeasingHab!$C$25,Seguros_Oblig!$A$3:$B$55,2,FALSE))),(C295*(VLOOKUP(LeasingHab!$C$25,Seguros_Oblig!$A$3:$D$55,4,FALSE))))</f>
        <v>#VALUE!</v>
      </c>
      <c r="I296" s="8" t="e">
        <f>IF(LeasingHab!$C$10="TARIFA 1",(C295*(VLOOKUP(LeasingHab!$C$26,Seguros_Oblig!$A$3:$B$55,2,FALSE))),(C295*(VLOOKUP(LeasingHab!$C$26,Seguros_Oblig!$A$3:$D$55,4,FALSE))))</f>
        <v>#VALUE!</v>
      </c>
      <c r="J296" s="10">
        <f t="shared" si="28"/>
        <v>0</v>
      </c>
      <c r="K296" s="7" t="e">
        <f>IF((C295-1)&lt;$E$19,0,Seguros_Oblig!$N$4*(LeasingNOFam!$C$12*90%))</f>
        <v>#VALUE!</v>
      </c>
      <c r="L296" s="7" t="e">
        <f>IF(B296&gt;LeasingNOFam!$C$18,0,PMT(LeasingNOFam!$E$17,LeasingNOFam!$C$18,-LeasingNOFam!$C$15,,)-PMT(LeasingNOFam!$E$17,LeasingNOFam!$C$18,-LeasingNOFam!$C$22)+LeasingNOFam!$C$22*LeasingNOFam!$E$17)</f>
        <v>#VALUE!</v>
      </c>
      <c r="M296" s="9" t="e">
        <f t="shared" si="29"/>
        <v>#VALUE!</v>
      </c>
      <c r="N296" s="7" t="e">
        <f>IF(C295&lt;1,"0",LeasingHab!$C$39)</f>
        <v>#VALUE!</v>
      </c>
      <c r="O296" s="9" t="e">
        <f t="shared" si="30"/>
        <v>#VALUE!</v>
      </c>
    </row>
    <row r="297" spans="2:15" ht="15.5" hidden="1" x14ac:dyDescent="0.35">
      <c r="B297" s="6" t="e">
        <f t="shared" si="31"/>
        <v>#VALUE!</v>
      </c>
      <c r="C297" s="7" t="e">
        <f t="shared" si="26"/>
        <v>#VALUE!</v>
      </c>
      <c r="D297" s="7" t="e">
        <f t="shared" si="27"/>
        <v>#VALUE!</v>
      </c>
      <c r="E297" s="7" t="e">
        <f>IF((C296-1)&lt;$E$19,0,C296*LeasingNOFam!$E$17)</f>
        <v>#VALUE!</v>
      </c>
      <c r="F297" s="8" t="e">
        <f>IF((C296-1)&lt;$E$19,"0",C296*Seguros_Oblig!$N$3)</f>
        <v>#VALUE!</v>
      </c>
      <c r="G297" s="8" t="e">
        <f>IF(LeasingHab!$C$10="TARIFA 1",(C296*(VLOOKUP(LeasingHab!$C$24,Seguros_Oblig!$A$3:$B$55,2,FALSE))),(C296*(VLOOKUP(LeasingHab!$C$24,Seguros_Oblig!$A$3:$D$55,4,FALSE))))</f>
        <v>#VALUE!</v>
      </c>
      <c r="H297" s="8" t="e">
        <f>IF(LeasingHab!$C$10="TARIFA 1",(C296*(VLOOKUP(LeasingHab!$C$25,Seguros_Oblig!$A$3:$B$55,2,FALSE))),(C296*(VLOOKUP(LeasingHab!$C$25,Seguros_Oblig!$A$3:$D$55,4,FALSE))))</f>
        <v>#VALUE!</v>
      </c>
      <c r="I297" s="8" t="e">
        <f>IF(LeasingHab!$C$10="TARIFA 1",(C296*(VLOOKUP(LeasingHab!$C$26,Seguros_Oblig!$A$3:$B$55,2,FALSE))),(C296*(VLOOKUP(LeasingHab!$C$26,Seguros_Oblig!$A$3:$D$55,4,FALSE))))</f>
        <v>#VALUE!</v>
      </c>
      <c r="J297" s="10">
        <f t="shared" si="28"/>
        <v>0</v>
      </c>
      <c r="K297" s="7" t="e">
        <f>IF((C296-1)&lt;$E$19,0,Seguros_Oblig!$N$4*(LeasingNOFam!$C$12*90%))</f>
        <v>#VALUE!</v>
      </c>
      <c r="L297" s="7" t="e">
        <f>IF(B297&gt;LeasingNOFam!$C$18,0,PMT(LeasingNOFam!$E$17,LeasingNOFam!$C$18,-LeasingNOFam!$C$15,,)-PMT(LeasingNOFam!$E$17,LeasingNOFam!$C$18,-LeasingNOFam!$C$22)+LeasingNOFam!$C$22*LeasingNOFam!$E$17)</f>
        <v>#VALUE!</v>
      </c>
      <c r="M297" s="9" t="e">
        <f t="shared" si="29"/>
        <v>#VALUE!</v>
      </c>
      <c r="N297" s="7" t="e">
        <f>IF(C296&lt;1,"0",LeasingHab!$C$39)</f>
        <v>#VALUE!</v>
      </c>
      <c r="O297" s="9" t="e">
        <f t="shared" si="30"/>
        <v>#VALUE!</v>
      </c>
    </row>
    <row r="298" spans="2:15" ht="15.5" hidden="1" x14ac:dyDescent="0.35">
      <c r="B298" s="6" t="e">
        <f t="shared" si="31"/>
        <v>#VALUE!</v>
      </c>
      <c r="C298" s="7" t="e">
        <f t="shared" si="26"/>
        <v>#VALUE!</v>
      </c>
      <c r="D298" s="7" t="e">
        <f t="shared" si="27"/>
        <v>#VALUE!</v>
      </c>
      <c r="E298" s="7" t="e">
        <f>IF((C297-1)&lt;$E$19,0,C297*LeasingNOFam!$E$17)</f>
        <v>#VALUE!</v>
      </c>
      <c r="F298" s="8" t="e">
        <f>IF((C297-1)&lt;$E$19,"0",C297*Seguros_Oblig!$N$3)</f>
        <v>#VALUE!</v>
      </c>
      <c r="G298" s="8" t="e">
        <f>IF(LeasingHab!$C$10="TARIFA 1",(C297*(VLOOKUP(LeasingHab!$C$24,Seguros_Oblig!$A$3:$B$55,2,FALSE))),(C297*(VLOOKUP(LeasingHab!$C$24,Seguros_Oblig!$A$3:$D$55,4,FALSE))))</f>
        <v>#VALUE!</v>
      </c>
      <c r="H298" s="8" t="e">
        <f>IF(LeasingHab!$C$10="TARIFA 1",(C297*(VLOOKUP(LeasingHab!$C$25,Seguros_Oblig!$A$3:$B$55,2,FALSE))),(C297*(VLOOKUP(LeasingHab!$C$25,Seguros_Oblig!$A$3:$D$55,4,FALSE))))</f>
        <v>#VALUE!</v>
      </c>
      <c r="I298" s="8" t="e">
        <f>IF(LeasingHab!$C$10="TARIFA 1",(C297*(VLOOKUP(LeasingHab!$C$26,Seguros_Oblig!$A$3:$B$55,2,FALSE))),(C297*(VLOOKUP(LeasingHab!$C$26,Seguros_Oblig!$A$3:$D$55,4,FALSE))))</f>
        <v>#VALUE!</v>
      </c>
      <c r="J298" s="10">
        <f t="shared" si="28"/>
        <v>0</v>
      </c>
      <c r="K298" s="7" t="e">
        <f>IF((C297-1)&lt;$E$19,0,Seguros_Oblig!$N$4*(LeasingNOFam!$C$12*90%))</f>
        <v>#VALUE!</v>
      </c>
      <c r="L298" s="7" t="e">
        <f>IF(B298&gt;LeasingNOFam!$C$18,0,PMT(LeasingNOFam!$E$17,LeasingNOFam!$C$18,-LeasingNOFam!$C$15,,)-PMT(LeasingNOFam!$E$17,LeasingNOFam!$C$18,-LeasingNOFam!$C$22)+LeasingNOFam!$C$22*LeasingNOFam!$E$17)</f>
        <v>#VALUE!</v>
      </c>
      <c r="M298" s="9" t="e">
        <f t="shared" si="29"/>
        <v>#VALUE!</v>
      </c>
      <c r="N298" s="7" t="e">
        <f>IF(C297&lt;1,"0",LeasingHab!$C$39)</f>
        <v>#VALUE!</v>
      </c>
      <c r="O298" s="9" t="e">
        <f t="shared" si="30"/>
        <v>#VALUE!</v>
      </c>
    </row>
    <row r="299" spans="2:15" ht="15.5" hidden="1" x14ac:dyDescent="0.35">
      <c r="B299" s="6" t="e">
        <f t="shared" si="31"/>
        <v>#VALUE!</v>
      </c>
      <c r="C299" s="7" t="e">
        <f t="shared" si="26"/>
        <v>#VALUE!</v>
      </c>
      <c r="D299" s="7" t="e">
        <f t="shared" si="27"/>
        <v>#VALUE!</v>
      </c>
      <c r="E299" s="7" t="e">
        <f>IF((C298-1)&lt;$E$19,0,C298*LeasingNOFam!$E$17)</f>
        <v>#VALUE!</v>
      </c>
      <c r="F299" s="8" t="e">
        <f>IF((C298-1)&lt;$E$19,"0",C298*Seguros_Oblig!$N$3)</f>
        <v>#VALUE!</v>
      </c>
      <c r="G299" s="8" t="e">
        <f>IF(LeasingHab!$C$10="TARIFA 1",(C298*(VLOOKUP(LeasingHab!$C$24,Seguros_Oblig!$A$3:$B$55,2,FALSE))),(C298*(VLOOKUP(LeasingHab!$C$24,Seguros_Oblig!$A$3:$D$55,4,FALSE))))</f>
        <v>#VALUE!</v>
      </c>
      <c r="H299" s="8" t="e">
        <f>IF(LeasingHab!$C$10="TARIFA 1",(C298*(VLOOKUP(LeasingHab!$C$25,Seguros_Oblig!$A$3:$B$55,2,FALSE))),(C298*(VLOOKUP(LeasingHab!$C$25,Seguros_Oblig!$A$3:$D$55,4,FALSE))))</f>
        <v>#VALUE!</v>
      </c>
      <c r="I299" s="8" t="e">
        <f>IF(LeasingHab!$C$10="TARIFA 1",(C298*(VLOOKUP(LeasingHab!$C$26,Seguros_Oblig!$A$3:$B$55,2,FALSE))),(C298*(VLOOKUP(LeasingHab!$C$26,Seguros_Oblig!$A$3:$D$55,4,FALSE))))</f>
        <v>#VALUE!</v>
      </c>
      <c r="J299" s="10">
        <f t="shared" si="28"/>
        <v>0</v>
      </c>
      <c r="K299" s="7" t="e">
        <f>IF((C298-1)&lt;$E$19,0,Seguros_Oblig!$N$4*(LeasingNOFam!$C$12*90%))</f>
        <v>#VALUE!</v>
      </c>
      <c r="L299" s="7" t="e">
        <f>IF(B299&gt;LeasingNOFam!$C$18,0,PMT(LeasingNOFam!$E$17,LeasingNOFam!$C$18,-LeasingNOFam!$C$15,,)-PMT(LeasingNOFam!$E$17,LeasingNOFam!$C$18,-LeasingNOFam!$C$22)+LeasingNOFam!$C$22*LeasingNOFam!$E$17)</f>
        <v>#VALUE!</v>
      </c>
      <c r="M299" s="9" t="e">
        <f t="shared" si="29"/>
        <v>#VALUE!</v>
      </c>
      <c r="N299" s="7" t="e">
        <f>IF(C298&lt;1,"0",LeasingHab!$C$39)</f>
        <v>#VALUE!</v>
      </c>
      <c r="O299" s="9" t="e">
        <f t="shared" si="30"/>
        <v>#VALUE!</v>
      </c>
    </row>
    <row r="300" spans="2:15" ht="15.5" hidden="1" x14ac:dyDescent="0.35">
      <c r="B300" s="6" t="e">
        <f t="shared" si="31"/>
        <v>#VALUE!</v>
      </c>
      <c r="C300" s="7" t="e">
        <f t="shared" si="26"/>
        <v>#VALUE!</v>
      </c>
      <c r="D300" s="7" t="e">
        <f t="shared" si="27"/>
        <v>#VALUE!</v>
      </c>
      <c r="E300" s="7" t="e">
        <f>IF((C299-1)&lt;$E$19,0,C299*LeasingNOFam!$E$17)</f>
        <v>#VALUE!</v>
      </c>
      <c r="F300" s="8" t="e">
        <f>IF((C299-1)&lt;$E$19,"0",C299*Seguros_Oblig!$N$3)</f>
        <v>#VALUE!</v>
      </c>
      <c r="G300" s="8" t="e">
        <f>IF(LeasingHab!$C$10="TARIFA 1",(C299*(VLOOKUP(LeasingHab!$C$24,Seguros_Oblig!$A$3:$B$55,2,FALSE))),(C299*(VLOOKUP(LeasingHab!$C$24,Seguros_Oblig!$A$3:$D$55,4,FALSE))))</f>
        <v>#VALUE!</v>
      </c>
      <c r="H300" s="8" t="e">
        <f>IF(LeasingHab!$C$10="TARIFA 1",(C299*(VLOOKUP(LeasingHab!$C$25,Seguros_Oblig!$A$3:$B$55,2,FALSE))),(C299*(VLOOKUP(LeasingHab!$C$25,Seguros_Oblig!$A$3:$D$55,4,FALSE))))</f>
        <v>#VALUE!</v>
      </c>
      <c r="I300" s="8" t="e">
        <f>IF(LeasingHab!$C$10="TARIFA 1",(C299*(VLOOKUP(LeasingHab!$C$26,Seguros_Oblig!$A$3:$B$55,2,FALSE))),(C299*(VLOOKUP(LeasingHab!$C$26,Seguros_Oblig!$A$3:$D$55,4,FALSE))))</f>
        <v>#VALUE!</v>
      </c>
      <c r="J300" s="10">
        <f t="shared" si="28"/>
        <v>0</v>
      </c>
      <c r="K300" s="7" t="e">
        <f>IF((C299-1)&lt;$E$19,0,Seguros_Oblig!$N$4*(LeasingNOFam!$C$12*90%))</f>
        <v>#VALUE!</v>
      </c>
      <c r="L300" s="7" t="e">
        <f>IF(B300&gt;LeasingNOFam!$C$18,0,PMT(LeasingNOFam!$E$17,LeasingNOFam!$C$18,-LeasingNOFam!$C$15,,)-PMT(LeasingNOFam!$E$17,LeasingNOFam!$C$18,-LeasingNOFam!$C$22)+LeasingNOFam!$C$22*LeasingNOFam!$E$17)</f>
        <v>#VALUE!</v>
      </c>
      <c r="M300" s="9" t="e">
        <f t="shared" si="29"/>
        <v>#VALUE!</v>
      </c>
      <c r="N300" s="7" t="e">
        <f>IF(C299&lt;1,"0",LeasingHab!$C$39)</f>
        <v>#VALUE!</v>
      </c>
      <c r="O300" s="9" t="e">
        <f t="shared" si="30"/>
        <v>#VALUE!</v>
      </c>
    </row>
    <row r="301" spans="2:15" ht="15.5" hidden="1" x14ac:dyDescent="0.35">
      <c r="B301" s="6" t="e">
        <f t="shared" si="31"/>
        <v>#VALUE!</v>
      </c>
      <c r="C301" s="7" t="e">
        <f t="shared" si="26"/>
        <v>#VALUE!</v>
      </c>
      <c r="D301" s="7" t="e">
        <f t="shared" si="27"/>
        <v>#VALUE!</v>
      </c>
      <c r="E301" s="7" t="e">
        <f>IF((C300-1)&lt;$E$19,0,C300*LeasingNOFam!$E$17)</f>
        <v>#VALUE!</v>
      </c>
      <c r="F301" s="8" t="e">
        <f>IF((C300-1)&lt;$E$19,"0",C300*Seguros_Oblig!$N$3)</f>
        <v>#VALUE!</v>
      </c>
      <c r="G301" s="8" t="e">
        <f>IF(LeasingHab!$C$10="TARIFA 1",(C300*(VLOOKUP(LeasingHab!$C$24,Seguros_Oblig!$A$3:$B$55,2,FALSE))),(C300*(VLOOKUP(LeasingHab!$C$24,Seguros_Oblig!$A$3:$D$55,4,FALSE))))</f>
        <v>#VALUE!</v>
      </c>
      <c r="H301" s="8" t="e">
        <f>IF(LeasingHab!$C$10="TARIFA 1",(C300*(VLOOKUP(LeasingHab!$C$25,Seguros_Oblig!$A$3:$B$55,2,FALSE))),(C300*(VLOOKUP(LeasingHab!$C$25,Seguros_Oblig!$A$3:$D$55,4,FALSE))))</f>
        <v>#VALUE!</v>
      </c>
      <c r="I301" s="8" t="e">
        <f>IF(LeasingHab!$C$10="TARIFA 1",(C300*(VLOOKUP(LeasingHab!$C$26,Seguros_Oblig!$A$3:$B$55,2,FALSE))),(C300*(VLOOKUP(LeasingHab!$C$26,Seguros_Oblig!$A$3:$D$55,4,FALSE))))</f>
        <v>#VALUE!</v>
      </c>
      <c r="J301" s="10">
        <f t="shared" si="28"/>
        <v>0</v>
      </c>
      <c r="K301" s="7" t="e">
        <f>IF((C300-1)&lt;$E$19,0,Seguros_Oblig!$N$4*(LeasingNOFam!$C$12*90%))</f>
        <v>#VALUE!</v>
      </c>
      <c r="L301" s="7" t="e">
        <f>IF(B301&gt;LeasingNOFam!$C$18,0,PMT(LeasingNOFam!$E$17,LeasingNOFam!$C$18,-LeasingNOFam!$C$15,,)-PMT(LeasingNOFam!$E$17,LeasingNOFam!$C$18,-LeasingNOFam!$C$22)+LeasingNOFam!$C$22*LeasingNOFam!$E$17)</f>
        <v>#VALUE!</v>
      </c>
      <c r="M301" s="9" t="e">
        <f t="shared" si="29"/>
        <v>#VALUE!</v>
      </c>
      <c r="N301" s="7" t="e">
        <f>IF(C300&lt;1,"0",LeasingHab!$C$39)</f>
        <v>#VALUE!</v>
      </c>
      <c r="O301" s="9" t="e">
        <f t="shared" si="30"/>
        <v>#VALUE!</v>
      </c>
    </row>
    <row r="302" spans="2:15" ht="15.5" hidden="1" x14ac:dyDescent="0.35">
      <c r="B302" s="6" t="e">
        <f t="shared" si="31"/>
        <v>#VALUE!</v>
      </c>
      <c r="C302" s="7" t="e">
        <f t="shared" si="26"/>
        <v>#VALUE!</v>
      </c>
      <c r="D302" s="7" t="e">
        <f t="shared" si="27"/>
        <v>#VALUE!</v>
      </c>
      <c r="E302" s="7" t="e">
        <f>IF((C301-1)&lt;$E$19,0,C301*LeasingNOFam!$E$17)</f>
        <v>#VALUE!</v>
      </c>
      <c r="F302" s="8" t="e">
        <f>IF((C301-1)&lt;$E$19,"0",C301*Seguros_Oblig!$N$3)</f>
        <v>#VALUE!</v>
      </c>
      <c r="G302" s="8" t="e">
        <f>IF(LeasingHab!$C$10="TARIFA 1",(C301*(VLOOKUP(LeasingHab!$C$24,Seguros_Oblig!$A$3:$B$55,2,FALSE))),(C301*(VLOOKUP(LeasingHab!$C$24,Seguros_Oblig!$A$3:$D$55,4,FALSE))))</f>
        <v>#VALUE!</v>
      </c>
      <c r="H302" s="8" t="e">
        <f>IF(LeasingHab!$C$10="TARIFA 1",(C301*(VLOOKUP(LeasingHab!$C$25,Seguros_Oblig!$A$3:$B$55,2,FALSE))),(C301*(VLOOKUP(LeasingHab!$C$25,Seguros_Oblig!$A$3:$D$55,4,FALSE))))</f>
        <v>#VALUE!</v>
      </c>
      <c r="I302" s="8" t="e">
        <f>IF(LeasingHab!$C$10="TARIFA 1",(C301*(VLOOKUP(LeasingHab!$C$26,Seguros_Oblig!$A$3:$B$55,2,FALSE))),(C301*(VLOOKUP(LeasingHab!$C$26,Seguros_Oblig!$A$3:$D$55,4,FALSE))))</f>
        <v>#VALUE!</v>
      </c>
      <c r="J302" s="10">
        <f t="shared" si="28"/>
        <v>0</v>
      </c>
      <c r="K302" s="7" t="e">
        <f>IF((C301-1)&lt;$E$19,0,Seguros_Oblig!$N$4*(LeasingNOFam!$C$12*90%))</f>
        <v>#VALUE!</v>
      </c>
      <c r="L302" s="7" t="e">
        <f>IF(B302&gt;LeasingNOFam!$C$18,0,PMT(LeasingNOFam!$E$17,LeasingNOFam!$C$18,-LeasingNOFam!$C$15,,)-PMT(LeasingNOFam!$E$17,LeasingNOFam!$C$18,-LeasingNOFam!$C$22)+LeasingNOFam!$C$22*LeasingNOFam!$E$17)</f>
        <v>#VALUE!</v>
      </c>
      <c r="M302" s="9" t="e">
        <f t="shared" si="29"/>
        <v>#VALUE!</v>
      </c>
      <c r="N302" s="7" t="e">
        <f>IF(C301&lt;1,"0",LeasingHab!$C$39)</f>
        <v>#VALUE!</v>
      </c>
      <c r="O302" s="9" t="e">
        <f t="shared" si="30"/>
        <v>#VALUE!</v>
      </c>
    </row>
    <row r="303" spans="2:15" ht="15.5" hidden="1" x14ac:dyDescent="0.35">
      <c r="B303" s="6" t="e">
        <f t="shared" si="31"/>
        <v>#VALUE!</v>
      </c>
      <c r="C303" s="7" t="e">
        <f t="shared" si="26"/>
        <v>#VALUE!</v>
      </c>
      <c r="D303" s="7" t="e">
        <f t="shared" si="27"/>
        <v>#VALUE!</v>
      </c>
      <c r="E303" s="7" t="e">
        <f>IF((C302-1)&lt;$E$19,0,C302*LeasingNOFam!$E$17)</f>
        <v>#VALUE!</v>
      </c>
      <c r="F303" s="8" t="e">
        <f>IF((C302-1)&lt;$E$19,"0",C302*Seguros_Oblig!$N$3)</f>
        <v>#VALUE!</v>
      </c>
      <c r="G303" s="8" t="e">
        <f>IF(LeasingHab!$C$10="TARIFA 1",(C302*(VLOOKUP(LeasingHab!$C$24,Seguros_Oblig!$A$3:$B$55,2,FALSE))),(C302*(VLOOKUP(LeasingHab!$C$24,Seguros_Oblig!$A$3:$D$55,4,FALSE))))</f>
        <v>#VALUE!</v>
      </c>
      <c r="H303" s="8" t="e">
        <f>IF(LeasingHab!$C$10="TARIFA 1",(C302*(VLOOKUP(LeasingHab!$C$25,Seguros_Oblig!$A$3:$B$55,2,FALSE))),(C302*(VLOOKUP(LeasingHab!$C$25,Seguros_Oblig!$A$3:$D$55,4,FALSE))))</f>
        <v>#VALUE!</v>
      </c>
      <c r="I303" s="8" t="e">
        <f>IF(LeasingHab!$C$10="TARIFA 1",(C302*(VLOOKUP(LeasingHab!$C$26,Seguros_Oblig!$A$3:$B$55,2,FALSE))),(C302*(VLOOKUP(LeasingHab!$C$26,Seguros_Oblig!$A$3:$D$55,4,FALSE))))</f>
        <v>#VALUE!</v>
      </c>
      <c r="J303" s="10">
        <f t="shared" si="28"/>
        <v>0</v>
      </c>
      <c r="K303" s="7" t="e">
        <f>IF((C302-1)&lt;$E$19,0,Seguros_Oblig!$N$4*(LeasingNOFam!$C$12*90%))</f>
        <v>#VALUE!</v>
      </c>
      <c r="L303" s="7" t="e">
        <f>IF(B303&gt;LeasingNOFam!$C$18,0,PMT(LeasingNOFam!$E$17,LeasingNOFam!$C$18,-LeasingNOFam!$C$15,,)-PMT(LeasingNOFam!$E$17,LeasingNOFam!$C$18,-LeasingNOFam!$C$22)+LeasingNOFam!$C$22*LeasingNOFam!$E$17)</f>
        <v>#VALUE!</v>
      </c>
      <c r="M303" s="9" t="e">
        <f t="shared" si="29"/>
        <v>#VALUE!</v>
      </c>
      <c r="N303" s="7" t="e">
        <f>IF(C302&lt;1,"0",LeasingHab!$C$39)</f>
        <v>#VALUE!</v>
      </c>
      <c r="O303" s="9" t="e">
        <f t="shared" si="30"/>
        <v>#VALUE!</v>
      </c>
    </row>
    <row r="304" spans="2:15" ht="15.5" hidden="1" x14ac:dyDescent="0.35">
      <c r="B304" s="6" t="e">
        <f t="shared" si="31"/>
        <v>#VALUE!</v>
      </c>
      <c r="C304" s="7" t="e">
        <f t="shared" si="26"/>
        <v>#VALUE!</v>
      </c>
      <c r="D304" s="7" t="e">
        <f t="shared" si="27"/>
        <v>#VALUE!</v>
      </c>
      <c r="E304" s="7" t="e">
        <f>IF((C303-1)&lt;$E$19,0,C303*LeasingNOFam!$E$17)</f>
        <v>#VALUE!</v>
      </c>
      <c r="F304" s="8" t="e">
        <f>IF((C303-1)&lt;$E$19,"0",C303*Seguros_Oblig!$N$3)</f>
        <v>#VALUE!</v>
      </c>
      <c r="G304" s="8" t="e">
        <f>IF(LeasingHab!$C$10="TARIFA 1",(C303*(VLOOKUP(LeasingHab!$C$24,Seguros_Oblig!$A$3:$B$55,2,FALSE))),(C303*(VLOOKUP(LeasingHab!$C$24,Seguros_Oblig!$A$3:$D$55,4,FALSE))))</f>
        <v>#VALUE!</v>
      </c>
      <c r="H304" s="8" t="e">
        <f>IF(LeasingHab!$C$10="TARIFA 1",(C303*(VLOOKUP(LeasingHab!$C$25,Seguros_Oblig!$A$3:$B$55,2,FALSE))),(C303*(VLOOKUP(LeasingHab!$C$25,Seguros_Oblig!$A$3:$D$55,4,FALSE))))</f>
        <v>#VALUE!</v>
      </c>
      <c r="I304" s="8" t="e">
        <f>IF(LeasingHab!$C$10="TARIFA 1",(C303*(VLOOKUP(LeasingHab!$C$26,Seguros_Oblig!$A$3:$B$55,2,FALSE))),(C303*(VLOOKUP(LeasingHab!$C$26,Seguros_Oblig!$A$3:$D$55,4,FALSE))))</f>
        <v>#VALUE!</v>
      </c>
      <c r="J304" s="10">
        <f t="shared" si="28"/>
        <v>0</v>
      </c>
      <c r="K304" s="7" t="e">
        <f>IF((C303-1)&lt;$E$19,0,Seguros_Oblig!$N$4*(LeasingNOFam!$C$12*90%))</f>
        <v>#VALUE!</v>
      </c>
      <c r="L304" s="7" t="e">
        <f>IF(B304&gt;LeasingNOFam!$C$18,0,PMT(LeasingNOFam!$E$17,LeasingNOFam!$C$18,-LeasingNOFam!$C$15,,)-PMT(LeasingNOFam!$E$17,LeasingNOFam!$C$18,-LeasingNOFam!$C$22)+LeasingNOFam!$C$22*LeasingNOFam!$E$17)</f>
        <v>#VALUE!</v>
      </c>
      <c r="M304" s="9" t="e">
        <f t="shared" si="29"/>
        <v>#VALUE!</v>
      </c>
      <c r="N304" s="7" t="e">
        <f>IF(C303&lt;1,"0",LeasingHab!$C$39)</f>
        <v>#VALUE!</v>
      </c>
      <c r="O304" s="9" t="e">
        <f t="shared" si="30"/>
        <v>#VALUE!</v>
      </c>
    </row>
    <row r="305" spans="2:15" ht="15.5" hidden="1" x14ac:dyDescent="0.35">
      <c r="B305" s="6" t="e">
        <f t="shared" si="31"/>
        <v>#VALUE!</v>
      </c>
      <c r="C305" s="7" t="e">
        <f t="shared" si="26"/>
        <v>#VALUE!</v>
      </c>
      <c r="D305" s="7" t="e">
        <f t="shared" si="27"/>
        <v>#VALUE!</v>
      </c>
      <c r="E305" s="7" t="e">
        <f>IF((C304-1)&lt;$E$19,0,C304*LeasingNOFam!$E$17)</f>
        <v>#VALUE!</v>
      </c>
      <c r="F305" s="8" t="e">
        <f>IF((C304-1)&lt;$E$19,"0",C304*Seguros_Oblig!$N$3)</f>
        <v>#VALUE!</v>
      </c>
      <c r="G305" s="8" t="e">
        <f>IF(LeasingHab!$C$10="TARIFA 1",(C304*(VLOOKUP(LeasingHab!$C$24,Seguros_Oblig!$A$3:$B$55,2,FALSE))),(C304*(VLOOKUP(LeasingHab!$C$24,Seguros_Oblig!$A$3:$D$55,4,FALSE))))</f>
        <v>#VALUE!</v>
      </c>
      <c r="H305" s="8" t="e">
        <f>IF(LeasingHab!$C$10="TARIFA 1",(C304*(VLOOKUP(LeasingHab!$C$25,Seguros_Oblig!$A$3:$B$55,2,FALSE))),(C304*(VLOOKUP(LeasingHab!$C$25,Seguros_Oblig!$A$3:$D$55,4,FALSE))))</f>
        <v>#VALUE!</v>
      </c>
      <c r="I305" s="8" t="e">
        <f>IF(LeasingHab!$C$10="TARIFA 1",(C304*(VLOOKUP(LeasingHab!$C$26,Seguros_Oblig!$A$3:$B$55,2,FALSE))),(C304*(VLOOKUP(LeasingHab!$C$26,Seguros_Oblig!$A$3:$D$55,4,FALSE))))</f>
        <v>#VALUE!</v>
      </c>
      <c r="J305" s="10">
        <f t="shared" si="28"/>
        <v>0</v>
      </c>
      <c r="K305" s="7" t="e">
        <f>IF((C304-1)&lt;$E$19,0,Seguros_Oblig!$N$4*(LeasingNOFam!$C$12*90%))</f>
        <v>#VALUE!</v>
      </c>
      <c r="L305" s="7" t="e">
        <f>IF(B305&gt;LeasingNOFam!$C$18,0,PMT(LeasingNOFam!$E$17,LeasingNOFam!$C$18,-LeasingNOFam!$C$15,,)-PMT(LeasingNOFam!$E$17,LeasingNOFam!$C$18,-LeasingNOFam!$C$22)+LeasingNOFam!$C$22*LeasingNOFam!$E$17)</f>
        <v>#VALUE!</v>
      </c>
      <c r="M305" s="9" t="e">
        <f t="shared" si="29"/>
        <v>#VALUE!</v>
      </c>
      <c r="N305" s="7" t="e">
        <f>IF(C304&lt;1,"0",LeasingHab!$C$39)</f>
        <v>#VALUE!</v>
      </c>
      <c r="O305" s="9" t="e">
        <f t="shared" si="30"/>
        <v>#VALUE!</v>
      </c>
    </row>
    <row r="306" spans="2:15" ht="15.5" hidden="1" x14ac:dyDescent="0.35">
      <c r="B306" s="6" t="e">
        <f t="shared" si="31"/>
        <v>#VALUE!</v>
      </c>
      <c r="C306" s="7" t="e">
        <f t="shared" si="26"/>
        <v>#VALUE!</v>
      </c>
      <c r="D306" s="7" t="e">
        <f t="shared" si="27"/>
        <v>#VALUE!</v>
      </c>
      <c r="E306" s="7" t="e">
        <f>IF((C305-1)&lt;$E$19,0,C305*LeasingNOFam!$E$17)</f>
        <v>#VALUE!</v>
      </c>
      <c r="F306" s="8" t="e">
        <f>IF((C305-1)&lt;$E$19,"0",C305*Seguros_Oblig!$N$3)</f>
        <v>#VALUE!</v>
      </c>
      <c r="G306" s="8" t="e">
        <f>IF(LeasingHab!$C$10="TARIFA 1",(C305*(VLOOKUP(LeasingHab!$C$24,Seguros_Oblig!$A$3:$B$55,2,FALSE))),(C305*(VLOOKUP(LeasingHab!$C$24,Seguros_Oblig!$A$3:$D$55,4,FALSE))))</f>
        <v>#VALUE!</v>
      </c>
      <c r="H306" s="8" t="e">
        <f>IF(LeasingHab!$C$10="TARIFA 1",(C305*(VLOOKUP(LeasingHab!$C$25,Seguros_Oblig!$A$3:$B$55,2,FALSE))),(C305*(VLOOKUP(LeasingHab!$C$25,Seguros_Oblig!$A$3:$D$55,4,FALSE))))</f>
        <v>#VALUE!</v>
      </c>
      <c r="I306" s="8" t="e">
        <f>IF(LeasingHab!$C$10="TARIFA 1",(C305*(VLOOKUP(LeasingHab!$C$26,Seguros_Oblig!$A$3:$B$55,2,FALSE))),(C305*(VLOOKUP(LeasingHab!$C$26,Seguros_Oblig!$A$3:$D$55,4,FALSE))))</f>
        <v>#VALUE!</v>
      </c>
      <c r="J306" s="10">
        <f t="shared" si="28"/>
        <v>0</v>
      </c>
      <c r="K306" s="7" t="e">
        <f>IF((C305-1)&lt;$E$19,0,Seguros_Oblig!$N$4*(LeasingNOFam!$C$12*90%))</f>
        <v>#VALUE!</v>
      </c>
      <c r="L306" s="7" t="e">
        <f>IF(B306&gt;LeasingNOFam!$C$18,0,PMT(LeasingNOFam!$E$17,LeasingNOFam!$C$18,-LeasingNOFam!$C$15,,)-PMT(LeasingNOFam!$E$17,LeasingNOFam!$C$18,-LeasingNOFam!$C$22)+LeasingNOFam!$C$22*LeasingNOFam!$E$17)</f>
        <v>#VALUE!</v>
      </c>
      <c r="M306" s="9" t="e">
        <f t="shared" si="29"/>
        <v>#VALUE!</v>
      </c>
      <c r="N306" s="7" t="e">
        <f>IF(C305&lt;1,"0",LeasingHab!$C$39)</f>
        <v>#VALUE!</v>
      </c>
      <c r="O306" s="9" t="e">
        <f t="shared" si="30"/>
        <v>#VALUE!</v>
      </c>
    </row>
    <row r="307" spans="2:15" ht="15.5" hidden="1" x14ac:dyDescent="0.35">
      <c r="B307" s="6" t="e">
        <f t="shared" si="31"/>
        <v>#VALUE!</v>
      </c>
      <c r="C307" s="7" t="e">
        <f t="shared" si="26"/>
        <v>#VALUE!</v>
      </c>
      <c r="D307" s="7" t="e">
        <f t="shared" si="27"/>
        <v>#VALUE!</v>
      </c>
      <c r="E307" s="7" t="e">
        <f>IF((C306-1)&lt;$E$19,0,C306*LeasingNOFam!$E$17)</f>
        <v>#VALUE!</v>
      </c>
      <c r="F307" s="8" t="e">
        <f>IF((C306-1)&lt;$E$19,"0",C306*Seguros_Oblig!$N$3)</f>
        <v>#VALUE!</v>
      </c>
      <c r="G307" s="8" t="e">
        <f>IF(LeasingHab!$C$10="TARIFA 1",(C306*(VLOOKUP(LeasingHab!$C$24,Seguros_Oblig!$A$3:$B$55,2,FALSE))),(C306*(VLOOKUP(LeasingHab!$C$24,Seguros_Oblig!$A$3:$D$55,4,FALSE))))</f>
        <v>#VALUE!</v>
      </c>
      <c r="H307" s="8" t="e">
        <f>IF(LeasingHab!$C$10="TARIFA 1",(C306*(VLOOKUP(LeasingHab!$C$25,Seguros_Oblig!$A$3:$B$55,2,FALSE))),(C306*(VLOOKUP(LeasingHab!$C$25,Seguros_Oblig!$A$3:$D$55,4,FALSE))))</f>
        <v>#VALUE!</v>
      </c>
      <c r="I307" s="8" t="e">
        <f>IF(LeasingHab!$C$10="TARIFA 1",(C306*(VLOOKUP(LeasingHab!$C$26,Seguros_Oblig!$A$3:$B$55,2,FALSE))),(C306*(VLOOKUP(LeasingHab!$C$26,Seguros_Oblig!$A$3:$D$55,4,FALSE))))</f>
        <v>#VALUE!</v>
      </c>
      <c r="J307" s="10">
        <f t="shared" si="28"/>
        <v>0</v>
      </c>
      <c r="K307" s="7" t="e">
        <f>IF((C306-1)&lt;$E$19,0,Seguros_Oblig!$N$4*(LeasingNOFam!$C$12*90%))</f>
        <v>#VALUE!</v>
      </c>
      <c r="L307" s="7" t="e">
        <f>IF(B307&gt;LeasingNOFam!$C$18,0,PMT(LeasingNOFam!$E$17,LeasingNOFam!$C$18,-LeasingNOFam!$C$15,,)-PMT(LeasingNOFam!$E$17,LeasingNOFam!$C$18,-LeasingNOFam!$C$22)+LeasingNOFam!$C$22*LeasingNOFam!$E$17)</f>
        <v>#VALUE!</v>
      </c>
      <c r="M307" s="9" t="e">
        <f t="shared" si="29"/>
        <v>#VALUE!</v>
      </c>
      <c r="N307" s="7" t="e">
        <f>IF(C306&lt;1,"0",LeasingHab!$C$39)</f>
        <v>#VALUE!</v>
      </c>
      <c r="O307" s="9" t="e">
        <f t="shared" si="30"/>
        <v>#VALUE!</v>
      </c>
    </row>
    <row r="308" spans="2:15" ht="15.5" hidden="1" x14ac:dyDescent="0.35">
      <c r="B308" s="6" t="e">
        <f t="shared" si="31"/>
        <v>#VALUE!</v>
      </c>
      <c r="C308" s="7" t="e">
        <f t="shared" si="26"/>
        <v>#VALUE!</v>
      </c>
      <c r="D308" s="7" t="e">
        <f t="shared" si="27"/>
        <v>#VALUE!</v>
      </c>
      <c r="E308" s="7" t="e">
        <f>IF((C307-1)&lt;$E$19,0,C307*LeasingNOFam!$E$17)</f>
        <v>#VALUE!</v>
      </c>
      <c r="F308" s="8" t="e">
        <f>IF((C307-1)&lt;$E$19,"0",C307*Seguros_Oblig!$N$3)</f>
        <v>#VALUE!</v>
      </c>
      <c r="G308" s="8" t="e">
        <f>IF(LeasingHab!$C$10="TARIFA 1",(C307*(VLOOKUP(LeasingHab!$C$24,Seguros_Oblig!$A$3:$B$55,2,FALSE))),(C307*(VLOOKUP(LeasingHab!$C$24,Seguros_Oblig!$A$3:$D$55,4,FALSE))))</f>
        <v>#VALUE!</v>
      </c>
      <c r="H308" s="8" t="e">
        <f>IF(LeasingHab!$C$10="TARIFA 1",(C307*(VLOOKUP(LeasingHab!$C$25,Seguros_Oblig!$A$3:$B$55,2,FALSE))),(C307*(VLOOKUP(LeasingHab!$C$25,Seguros_Oblig!$A$3:$D$55,4,FALSE))))</f>
        <v>#VALUE!</v>
      </c>
      <c r="I308" s="8" t="e">
        <f>IF(LeasingHab!$C$10="TARIFA 1",(C307*(VLOOKUP(LeasingHab!$C$26,Seguros_Oblig!$A$3:$B$55,2,FALSE))),(C307*(VLOOKUP(LeasingHab!$C$26,Seguros_Oblig!$A$3:$D$55,4,FALSE))))</f>
        <v>#VALUE!</v>
      </c>
      <c r="J308" s="10">
        <f t="shared" si="28"/>
        <v>0</v>
      </c>
      <c r="K308" s="7" t="e">
        <f>IF((C307-1)&lt;$E$19,0,Seguros_Oblig!$N$4*(LeasingNOFam!$C$12*90%))</f>
        <v>#VALUE!</v>
      </c>
      <c r="L308" s="7" t="e">
        <f>IF(B308&gt;LeasingNOFam!$C$18,0,PMT(LeasingNOFam!$E$17,LeasingNOFam!$C$18,-LeasingNOFam!$C$15,,)-PMT(LeasingNOFam!$E$17,LeasingNOFam!$C$18,-LeasingNOFam!$C$22)+LeasingNOFam!$C$22*LeasingNOFam!$E$17)</f>
        <v>#VALUE!</v>
      </c>
      <c r="M308" s="9" t="e">
        <f t="shared" si="29"/>
        <v>#VALUE!</v>
      </c>
      <c r="N308" s="7" t="e">
        <f>IF(C307&lt;1,"0",LeasingHab!$C$39)</f>
        <v>#VALUE!</v>
      </c>
      <c r="O308" s="9" t="e">
        <f t="shared" si="30"/>
        <v>#VALUE!</v>
      </c>
    </row>
    <row r="309" spans="2:15" ht="15.5" hidden="1" x14ac:dyDescent="0.35">
      <c r="B309" s="6" t="e">
        <f t="shared" si="31"/>
        <v>#VALUE!</v>
      </c>
      <c r="C309" s="7" t="e">
        <f t="shared" si="26"/>
        <v>#VALUE!</v>
      </c>
      <c r="D309" s="7" t="e">
        <f t="shared" si="27"/>
        <v>#VALUE!</v>
      </c>
      <c r="E309" s="7" t="e">
        <f>IF((C308-1)&lt;$E$19,0,C308*LeasingNOFam!$E$17)</f>
        <v>#VALUE!</v>
      </c>
      <c r="F309" s="8" t="e">
        <f>IF((C308-1)&lt;$E$19,"0",C308*Seguros_Oblig!$N$3)</f>
        <v>#VALUE!</v>
      </c>
      <c r="G309" s="8" t="e">
        <f>IF(LeasingHab!$C$10="TARIFA 1",(C308*(VLOOKUP(LeasingHab!$C$24,Seguros_Oblig!$A$3:$B$55,2,FALSE))),(C308*(VLOOKUP(LeasingHab!$C$24,Seguros_Oblig!$A$3:$D$55,4,FALSE))))</f>
        <v>#VALUE!</v>
      </c>
      <c r="H309" s="8" t="e">
        <f>IF(LeasingHab!$C$10="TARIFA 1",(C308*(VLOOKUP(LeasingHab!$C$25,Seguros_Oblig!$A$3:$B$55,2,FALSE))),(C308*(VLOOKUP(LeasingHab!$C$25,Seguros_Oblig!$A$3:$D$55,4,FALSE))))</f>
        <v>#VALUE!</v>
      </c>
      <c r="I309" s="8" t="e">
        <f>IF(LeasingHab!$C$10="TARIFA 1",(C308*(VLOOKUP(LeasingHab!$C$26,Seguros_Oblig!$A$3:$B$55,2,FALSE))),(C308*(VLOOKUP(LeasingHab!$C$26,Seguros_Oblig!$A$3:$D$55,4,FALSE))))</f>
        <v>#VALUE!</v>
      </c>
      <c r="J309" s="10">
        <f t="shared" si="28"/>
        <v>0</v>
      </c>
      <c r="K309" s="7" t="e">
        <f>IF((C308-1)&lt;$E$19,0,Seguros_Oblig!$N$4*(LeasingNOFam!$C$12*90%))</f>
        <v>#VALUE!</v>
      </c>
      <c r="L309" s="7" t="e">
        <f>IF(B309&gt;LeasingNOFam!$C$18,0,PMT(LeasingNOFam!$E$17,LeasingNOFam!$C$18,-LeasingNOFam!$C$15,,)-PMT(LeasingNOFam!$E$17,LeasingNOFam!$C$18,-LeasingNOFam!$C$22)+LeasingNOFam!$C$22*LeasingNOFam!$E$17)</f>
        <v>#VALUE!</v>
      </c>
      <c r="M309" s="9" t="e">
        <f t="shared" si="29"/>
        <v>#VALUE!</v>
      </c>
      <c r="N309" s="7" t="e">
        <f>IF(C308&lt;1,"0",LeasingHab!$C$39)</f>
        <v>#VALUE!</v>
      </c>
      <c r="O309" s="9" t="e">
        <f t="shared" si="30"/>
        <v>#VALUE!</v>
      </c>
    </row>
    <row r="310" spans="2:15" ht="15.5" hidden="1" x14ac:dyDescent="0.35">
      <c r="B310" s="6" t="e">
        <f t="shared" si="31"/>
        <v>#VALUE!</v>
      </c>
      <c r="C310" s="7" t="e">
        <f t="shared" si="26"/>
        <v>#VALUE!</v>
      </c>
      <c r="D310" s="7" t="e">
        <f t="shared" si="27"/>
        <v>#VALUE!</v>
      </c>
      <c r="E310" s="7" t="e">
        <f>IF((C309-1)&lt;$E$19,0,C309*LeasingNOFam!$E$17)</f>
        <v>#VALUE!</v>
      </c>
      <c r="F310" s="8" t="e">
        <f>IF((C309-1)&lt;$E$19,"0",C309*Seguros_Oblig!$N$3)</f>
        <v>#VALUE!</v>
      </c>
      <c r="G310" s="8" t="e">
        <f>IF(LeasingHab!$C$10="TARIFA 1",(C309*(VLOOKUP(LeasingHab!$C$24,Seguros_Oblig!$A$3:$B$55,2,FALSE))),(C309*(VLOOKUP(LeasingHab!$C$24,Seguros_Oblig!$A$3:$D$55,4,FALSE))))</f>
        <v>#VALUE!</v>
      </c>
      <c r="H310" s="8" t="e">
        <f>IF(LeasingHab!$C$10="TARIFA 1",(C309*(VLOOKUP(LeasingHab!$C$25,Seguros_Oblig!$A$3:$B$55,2,FALSE))),(C309*(VLOOKUP(LeasingHab!$C$25,Seguros_Oblig!$A$3:$D$55,4,FALSE))))</f>
        <v>#VALUE!</v>
      </c>
      <c r="I310" s="8" t="e">
        <f>IF(LeasingHab!$C$10="TARIFA 1",(C309*(VLOOKUP(LeasingHab!$C$26,Seguros_Oblig!$A$3:$B$55,2,FALSE))),(C309*(VLOOKUP(LeasingHab!$C$26,Seguros_Oblig!$A$3:$D$55,4,FALSE))))</f>
        <v>#VALUE!</v>
      </c>
      <c r="J310" s="10">
        <f t="shared" si="28"/>
        <v>0</v>
      </c>
      <c r="K310" s="7" t="e">
        <f>IF((C309-1)&lt;$E$19,0,Seguros_Oblig!$N$4*(LeasingNOFam!$C$12*90%))</f>
        <v>#VALUE!</v>
      </c>
      <c r="L310" s="7" t="e">
        <f>IF(B310&gt;LeasingNOFam!$C$18,0,PMT(LeasingNOFam!$E$17,LeasingNOFam!$C$18,-LeasingNOFam!$C$15,,)-PMT(LeasingNOFam!$E$17,LeasingNOFam!$C$18,-LeasingNOFam!$C$22)+LeasingNOFam!$C$22*LeasingNOFam!$E$17)</f>
        <v>#VALUE!</v>
      </c>
      <c r="M310" s="9" t="e">
        <f t="shared" si="29"/>
        <v>#VALUE!</v>
      </c>
      <c r="N310" s="7" t="e">
        <f>IF(C309&lt;1,"0",LeasingHab!$C$39)</f>
        <v>#VALUE!</v>
      </c>
      <c r="O310" s="9" t="e">
        <f t="shared" si="30"/>
        <v>#VALUE!</v>
      </c>
    </row>
    <row r="311" spans="2:15" ht="15.5" hidden="1" x14ac:dyDescent="0.35">
      <c r="B311" s="6" t="e">
        <f t="shared" si="31"/>
        <v>#VALUE!</v>
      </c>
      <c r="C311" s="7" t="e">
        <f t="shared" si="26"/>
        <v>#VALUE!</v>
      </c>
      <c r="D311" s="7" t="e">
        <f t="shared" si="27"/>
        <v>#VALUE!</v>
      </c>
      <c r="E311" s="7" t="e">
        <f>IF((C310-1)&lt;$E$19,0,C310*LeasingNOFam!$E$17)</f>
        <v>#VALUE!</v>
      </c>
      <c r="F311" s="8" t="e">
        <f>IF((C310-1)&lt;$E$19,"0",C310*Seguros_Oblig!$N$3)</f>
        <v>#VALUE!</v>
      </c>
      <c r="G311" s="8" t="e">
        <f>IF(LeasingHab!$C$10="TARIFA 1",(C310*(VLOOKUP(LeasingHab!$C$24,Seguros_Oblig!$A$3:$B$55,2,FALSE))),(C310*(VLOOKUP(LeasingHab!$C$24,Seguros_Oblig!$A$3:$D$55,4,FALSE))))</f>
        <v>#VALUE!</v>
      </c>
      <c r="H311" s="8" t="e">
        <f>IF(LeasingHab!$C$10="TARIFA 1",(C310*(VLOOKUP(LeasingHab!$C$25,Seguros_Oblig!$A$3:$B$55,2,FALSE))),(C310*(VLOOKUP(LeasingHab!$C$25,Seguros_Oblig!$A$3:$D$55,4,FALSE))))</f>
        <v>#VALUE!</v>
      </c>
      <c r="I311" s="8" t="e">
        <f>IF(LeasingHab!$C$10="TARIFA 1",(C310*(VLOOKUP(LeasingHab!$C$26,Seguros_Oblig!$A$3:$B$55,2,FALSE))),(C310*(VLOOKUP(LeasingHab!$C$26,Seguros_Oblig!$A$3:$D$55,4,FALSE))))</f>
        <v>#VALUE!</v>
      </c>
      <c r="J311" s="10">
        <f t="shared" si="28"/>
        <v>0</v>
      </c>
      <c r="K311" s="7" t="e">
        <f>IF((C310-1)&lt;$E$19,0,Seguros_Oblig!$N$4*(LeasingNOFam!$C$12*90%))</f>
        <v>#VALUE!</v>
      </c>
      <c r="L311" s="7" t="e">
        <f>IF(B311&gt;LeasingNOFam!$C$18,0,PMT(LeasingNOFam!$E$17,LeasingNOFam!$C$18,-LeasingNOFam!$C$15,,)-PMT(LeasingNOFam!$E$17,LeasingNOFam!$C$18,-LeasingNOFam!$C$22)+LeasingNOFam!$C$22*LeasingNOFam!$E$17)</f>
        <v>#VALUE!</v>
      </c>
      <c r="M311" s="9" t="e">
        <f t="shared" si="29"/>
        <v>#VALUE!</v>
      </c>
      <c r="N311" s="7" t="e">
        <f>IF(C310&lt;1,"0",LeasingHab!$C$39)</f>
        <v>#VALUE!</v>
      </c>
      <c r="O311" s="9" t="e">
        <f t="shared" si="30"/>
        <v>#VALUE!</v>
      </c>
    </row>
    <row r="312" spans="2:15" ht="15.5" hidden="1" x14ac:dyDescent="0.35">
      <c r="B312" s="6" t="e">
        <f t="shared" si="31"/>
        <v>#VALUE!</v>
      </c>
      <c r="C312" s="7" t="e">
        <f t="shared" si="26"/>
        <v>#VALUE!</v>
      </c>
      <c r="D312" s="7" t="e">
        <f t="shared" si="27"/>
        <v>#VALUE!</v>
      </c>
      <c r="E312" s="7" t="e">
        <f>IF((C311-1)&lt;$E$19,0,C311*LeasingNOFam!$E$17)</f>
        <v>#VALUE!</v>
      </c>
      <c r="F312" s="8" t="e">
        <f>IF((C311-1)&lt;$E$19,"0",C311*Seguros_Oblig!$N$3)</f>
        <v>#VALUE!</v>
      </c>
      <c r="G312" s="8" t="e">
        <f>IF(LeasingHab!$C$10="TARIFA 1",(C311*(VLOOKUP(LeasingHab!$C$24,Seguros_Oblig!$A$3:$B$55,2,FALSE))),(C311*(VLOOKUP(LeasingHab!$C$24,Seguros_Oblig!$A$3:$D$55,4,FALSE))))</f>
        <v>#VALUE!</v>
      </c>
      <c r="H312" s="8" t="e">
        <f>IF(LeasingHab!$C$10="TARIFA 1",(C311*(VLOOKUP(LeasingHab!$C$25,Seguros_Oblig!$A$3:$B$55,2,FALSE))),(C311*(VLOOKUP(LeasingHab!$C$25,Seguros_Oblig!$A$3:$D$55,4,FALSE))))</f>
        <v>#VALUE!</v>
      </c>
      <c r="I312" s="8" t="e">
        <f>IF(LeasingHab!$C$10="TARIFA 1",(C311*(VLOOKUP(LeasingHab!$C$26,Seguros_Oblig!$A$3:$B$55,2,FALSE))),(C311*(VLOOKUP(LeasingHab!$C$26,Seguros_Oblig!$A$3:$D$55,4,FALSE))))</f>
        <v>#VALUE!</v>
      </c>
      <c r="J312" s="10">
        <f t="shared" si="28"/>
        <v>0</v>
      </c>
      <c r="K312" s="7" t="e">
        <f>IF((C311-1)&lt;$E$19,0,Seguros_Oblig!$N$4*(LeasingNOFam!$C$12*90%))</f>
        <v>#VALUE!</v>
      </c>
      <c r="L312" s="7" t="e">
        <f>IF(B312&gt;LeasingNOFam!$C$18,0,PMT(LeasingNOFam!$E$17,LeasingNOFam!$C$18,-LeasingNOFam!$C$15,,)-PMT(LeasingNOFam!$E$17,LeasingNOFam!$C$18,-LeasingNOFam!$C$22)+LeasingNOFam!$C$22*LeasingNOFam!$E$17)</f>
        <v>#VALUE!</v>
      </c>
      <c r="M312" s="9" t="e">
        <f t="shared" si="29"/>
        <v>#VALUE!</v>
      </c>
      <c r="N312" s="7" t="e">
        <f>IF(C311&lt;1,"0",LeasingHab!$C$39)</f>
        <v>#VALUE!</v>
      </c>
      <c r="O312" s="9" t="e">
        <f t="shared" si="30"/>
        <v>#VALUE!</v>
      </c>
    </row>
    <row r="313" spans="2:15" ht="15.5" hidden="1" x14ac:dyDescent="0.35">
      <c r="B313" s="6" t="e">
        <f t="shared" si="31"/>
        <v>#VALUE!</v>
      </c>
      <c r="C313" s="7" t="e">
        <f t="shared" si="26"/>
        <v>#VALUE!</v>
      </c>
      <c r="D313" s="7" t="e">
        <f t="shared" si="27"/>
        <v>#VALUE!</v>
      </c>
      <c r="E313" s="7" t="e">
        <f>IF((C312-1)&lt;$E$19,0,C312*LeasingNOFam!$E$17)</f>
        <v>#VALUE!</v>
      </c>
      <c r="F313" s="8" t="e">
        <f>IF((C312-1)&lt;$E$19,"0",C312*Seguros_Oblig!$N$3)</f>
        <v>#VALUE!</v>
      </c>
      <c r="G313" s="8" t="e">
        <f>IF(LeasingHab!$C$10="TARIFA 1",(C312*(VLOOKUP(LeasingHab!$C$24,Seguros_Oblig!$A$3:$B$55,2,FALSE))),(C312*(VLOOKUP(LeasingHab!$C$24,Seguros_Oblig!$A$3:$D$55,4,FALSE))))</f>
        <v>#VALUE!</v>
      </c>
      <c r="H313" s="8" t="e">
        <f>IF(LeasingHab!$C$10="TARIFA 1",(C312*(VLOOKUP(LeasingHab!$C$25,Seguros_Oblig!$A$3:$B$55,2,FALSE))),(C312*(VLOOKUP(LeasingHab!$C$25,Seguros_Oblig!$A$3:$D$55,4,FALSE))))</f>
        <v>#VALUE!</v>
      </c>
      <c r="I313" s="8" t="e">
        <f>IF(LeasingHab!$C$10="TARIFA 1",(C312*(VLOOKUP(LeasingHab!$C$26,Seguros_Oblig!$A$3:$B$55,2,FALSE))),(C312*(VLOOKUP(LeasingHab!$C$26,Seguros_Oblig!$A$3:$D$55,4,FALSE))))</f>
        <v>#VALUE!</v>
      </c>
      <c r="J313" s="10">
        <f t="shared" si="28"/>
        <v>0</v>
      </c>
      <c r="K313" s="7" t="e">
        <f>IF((C312-1)&lt;$E$19,0,Seguros_Oblig!$N$4*(LeasingNOFam!$C$12*90%))</f>
        <v>#VALUE!</v>
      </c>
      <c r="L313" s="7" t="e">
        <f>IF(B313&gt;LeasingNOFam!$C$18,0,PMT(LeasingNOFam!$E$17,LeasingNOFam!$C$18,-LeasingNOFam!$C$15,,)-PMT(LeasingNOFam!$E$17,LeasingNOFam!$C$18,-LeasingNOFam!$C$22)+LeasingNOFam!$C$22*LeasingNOFam!$E$17)</f>
        <v>#VALUE!</v>
      </c>
      <c r="M313" s="9" t="e">
        <f t="shared" si="29"/>
        <v>#VALUE!</v>
      </c>
      <c r="N313" s="7" t="e">
        <f>IF(C312&lt;1,"0",LeasingHab!$C$39)</f>
        <v>#VALUE!</v>
      </c>
      <c r="O313" s="9" t="e">
        <f t="shared" si="30"/>
        <v>#VALUE!</v>
      </c>
    </row>
    <row r="314" spans="2:15" ht="15.5" hidden="1" x14ac:dyDescent="0.35">
      <c r="B314" s="6" t="e">
        <f t="shared" si="31"/>
        <v>#VALUE!</v>
      </c>
      <c r="C314" s="7" t="e">
        <f t="shared" si="26"/>
        <v>#VALUE!</v>
      </c>
      <c r="D314" s="7" t="e">
        <f t="shared" si="27"/>
        <v>#VALUE!</v>
      </c>
      <c r="E314" s="7" t="e">
        <f>IF((C313-1)&lt;$E$19,0,C313*LeasingNOFam!$E$17)</f>
        <v>#VALUE!</v>
      </c>
      <c r="F314" s="8" t="e">
        <f>IF((C313-1)&lt;$E$19,"0",C313*Seguros_Oblig!$N$3)</f>
        <v>#VALUE!</v>
      </c>
      <c r="G314" s="8" t="e">
        <f>IF(LeasingHab!$C$10="TARIFA 1",(C313*(VLOOKUP(LeasingHab!$C$24,Seguros_Oblig!$A$3:$B$55,2,FALSE))),(C313*(VLOOKUP(LeasingHab!$C$24,Seguros_Oblig!$A$3:$D$55,4,FALSE))))</f>
        <v>#VALUE!</v>
      </c>
      <c r="H314" s="8" t="e">
        <f>IF(LeasingHab!$C$10="TARIFA 1",(C313*(VLOOKUP(LeasingHab!$C$25,Seguros_Oblig!$A$3:$B$55,2,FALSE))),(C313*(VLOOKUP(LeasingHab!$C$25,Seguros_Oblig!$A$3:$D$55,4,FALSE))))</f>
        <v>#VALUE!</v>
      </c>
      <c r="I314" s="8" t="e">
        <f>IF(LeasingHab!$C$10="TARIFA 1",(C313*(VLOOKUP(LeasingHab!$C$26,Seguros_Oblig!$A$3:$B$55,2,FALSE))),(C313*(VLOOKUP(LeasingHab!$C$26,Seguros_Oblig!$A$3:$D$55,4,FALSE))))</f>
        <v>#VALUE!</v>
      </c>
      <c r="J314" s="10">
        <f t="shared" si="28"/>
        <v>0</v>
      </c>
      <c r="K314" s="7" t="e">
        <f>IF((C313-1)&lt;$E$19,0,Seguros_Oblig!$N$4*(LeasingNOFam!$C$12*90%))</f>
        <v>#VALUE!</v>
      </c>
      <c r="L314" s="7" t="e">
        <f>IF(B314&gt;LeasingNOFam!$C$18,0,PMT(LeasingNOFam!$E$17,LeasingNOFam!$C$18,-LeasingNOFam!$C$15,,)-PMT(LeasingNOFam!$E$17,LeasingNOFam!$C$18,-LeasingNOFam!$C$22)+LeasingNOFam!$C$22*LeasingNOFam!$E$17)</f>
        <v>#VALUE!</v>
      </c>
      <c r="M314" s="9" t="e">
        <f t="shared" si="29"/>
        <v>#VALUE!</v>
      </c>
      <c r="N314" s="7" t="e">
        <f>IF(C313&lt;1,"0",LeasingHab!$C$39)</f>
        <v>#VALUE!</v>
      </c>
      <c r="O314" s="9" t="e">
        <f t="shared" si="30"/>
        <v>#VALUE!</v>
      </c>
    </row>
    <row r="315" spans="2:15" ht="15.5" hidden="1" x14ac:dyDescent="0.35">
      <c r="B315" s="6" t="e">
        <f t="shared" si="31"/>
        <v>#VALUE!</v>
      </c>
      <c r="C315" s="7" t="e">
        <f t="shared" si="26"/>
        <v>#VALUE!</v>
      </c>
      <c r="D315" s="7" t="e">
        <f t="shared" si="27"/>
        <v>#VALUE!</v>
      </c>
      <c r="E315" s="7" t="e">
        <f>IF((C314-1)&lt;$E$19,0,C314*LeasingNOFam!$E$17)</f>
        <v>#VALUE!</v>
      </c>
      <c r="F315" s="8" t="e">
        <f>IF((C314-1)&lt;$E$19,"0",C314*Seguros_Oblig!$N$3)</f>
        <v>#VALUE!</v>
      </c>
      <c r="G315" s="8" t="e">
        <f>IF(LeasingHab!$C$10="TARIFA 1",(C314*(VLOOKUP(LeasingHab!$C$24,Seguros_Oblig!$A$3:$B$55,2,FALSE))),(C314*(VLOOKUP(LeasingHab!$C$24,Seguros_Oblig!$A$3:$D$55,4,FALSE))))</f>
        <v>#VALUE!</v>
      </c>
      <c r="H315" s="8" t="e">
        <f>IF(LeasingHab!$C$10="TARIFA 1",(C314*(VLOOKUP(LeasingHab!$C$25,Seguros_Oblig!$A$3:$B$55,2,FALSE))),(C314*(VLOOKUP(LeasingHab!$C$25,Seguros_Oblig!$A$3:$D$55,4,FALSE))))</f>
        <v>#VALUE!</v>
      </c>
      <c r="I315" s="8" t="e">
        <f>IF(LeasingHab!$C$10="TARIFA 1",(C314*(VLOOKUP(LeasingHab!$C$26,Seguros_Oblig!$A$3:$B$55,2,FALSE))),(C314*(VLOOKUP(LeasingHab!$C$26,Seguros_Oblig!$A$3:$D$55,4,FALSE))))</f>
        <v>#VALUE!</v>
      </c>
      <c r="J315" s="10">
        <f t="shared" si="28"/>
        <v>0</v>
      </c>
      <c r="K315" s="7" t="e">
        <f>IF((C314-1)&lt;$E$19,0,Seguros_Oblig!$N$4*(LeasingNOFam!$C$12*90%))</f>
        <v>#VALUE!</v>
      </c>
      <c r="L315" s="7" t="e">
        <f>IF(B315&gt;LeasingNOFam!$C$18,0,PMT(LeasingNOFam!$E$17,LeasingNOFam!$C$18,-LeasingNOFam!$C$15,,)-PMT(LeasingNOFam!$E$17,LeasingNOFam!$C$18,-LeasingNOFam!$C$22)+LeasingNOFam!$C$22*LeasingNOFam!$E$17)</f>
        <v>#VALUE!</v>
      </c>
      <c r="M315" s="9" t="e">
        <f t="shared" si="29"/>
        <v>#VALUE!</v>
      </c>
      <c r="N315" s="7" t="e">
        <f>IF(C314&lt;1,"0",LeasingHab!$C$39)</f>
        <v>#VALUE!</v>
      </c>
      <c r="O315" s="9" t="e">
        <f t="shared" si="30"/>
        <v>#VALUE!</v>
      </c>
    </row>
    <row r="316" spans="2:15" ht="15.5" hidden="1" x14ac:dyDescent="0.35">
      <c r="B316" s="6" t="e">
        <f t="shared" si="31"/>
        <v>#VALUE!</v>
      </c>
      <c r="C316" s="7" t="e">
        <f t="shared" si="26"/>
        <v>#VALUE!</v>
      </c>
      <c r="D316" s="7" t="e">
        <f t="shared" si="27"/>
        <v>#VALUE!</v>
      </c>
      <c r="E316" s="7" t="e">
        <f>IF((C315-1)&lt;$E$19,0,C315*LeasingNOFam!$E$17)</f>
        <v>#VALUE!</v>
      </c>
      <c r="F316" s="8" t="e">
        <f>IF((C315-1)&lt;$E$19,"0",C315*Seguros_Oblig!$N$3)</f>
        <v>#VALUE!</v>
      </c>
      <c r="G316" s="8" t="e">
        <f>IF(LeasingHab!$C$10="TARIFA 1",(C315*(VLOOKUP(LeasingHab!$C$24,Seguros_Oblig!$A$3:$B$55,2,FALSE))),(C315*(VLOOKUP(LeasingHab!$C$24,Seguros_Oblig!$A$3:$D$55,4,FALSE))))</f>
        <v>#VALUE!</v>
      </c>
      <c r="H316" s="8" t="e">
        <f>IF(LeasingHab!$C$10="TARIFA 1",(C315*(VLOOKUP(LeasingHab!$C$25,Seguros_Oblig!$A$3:$B$55,2,FALSE))),(C315*(VLOOKUP(LeasingHab!$C$25,Seguros_Oblig!$A$3:$D$55,4,FALSE))))</f>
        <v>#VALUE!</v>
      </c>
      <c r="I316" s="8" t="e">
        <f>IF(LeasingHab!$C$10="TARIFA 1",(C315*(VLOOKUP(LeasingHab!$C$26,Seguros_Oblig!$A$3:$B$55,2,FALSE))),(C315*(VLOOKUP(LeasingHab!$C$26,Seguros_Oblig!$A$3:$D$55,4,FALSE))))</f>
        <v>#VALUE!</v>
      </c>
      <c r="J316" s="10">
        <f t="shared" si="28"/>
        <v>0</v>
      </c>
      <c r="K316" s="7" t="e">
        <f>IF((C315-1)&lt;$E$19,0,Seguros_Oblig!$N$4*(LeasingNOFam!$C$12*90%))</f>
        <v>#VALUE!</v>
      </c>
      <c r="L316" s="7" t="e">
        <f>IF(B316&gt;LeasingNOFam!$C$18,0,PMT(LeasingNOFam!$E$17,LeasingNOFam!$C$18,-LeasingNOFam!$C$15,,)-PMT(LeasingNOFam!$E$17,LeasingNOFam!$C$18,-LeasingNOFam!$C$22)+LeasingNOFam!$C$22*LeasingNOFam!$E$17)</f>
        <v>#VALUE!</v>
      </c>
      <c r="M316" s="9" t="e">
        <f t="shared" si="29"/>
        <v>#VALUE!</v>
      </c>
      <c r="N316" s="7" t="e">
        <f>IF(C315&lt;1,"0",LeasingHab!$C$39)</f>
        <v>#VALUE!</v>
      </c>
      <c r="O316" s="9" t="e">
        <f t="shared" si="30"/>
        <v>#VALUE!</v>
      </c>
    </row>
    <row r="317" spans="2:15" ht="15.5" hidden="1" x14ac:dyDescent="0.35">
      <c r="B317" s="6" t="e">
        <f t="shared" si="31"/>
        <v>#VALUE!</v>
      </c>
      <c r="C317" s="7" t="e">
        <f t="shared" si="26"/>
        <v>#VALUE!</v>
      </c>
      <c r="D317" s="7" t="e">
        <f t="shared" si="27"/>
        <v>#VALUE!</v>
      </c>
      <c r="E317" s="7" t="e">
        <f>IF((C316-1)&lt;$E$19,0,C316*LeasingNOFam!$E$17)</f>
        <v>#VALUE!</v>
      </c>
      <c r="F317" s="8" t="e">
        <f>IF((C316-1)&lt;$E$19,"0",C316*Seguros_Oblig!$N$3)</f>
        <v>#VALUE!</v>
      </c>
      <c r="G317" s="8" t="e">
        <f>IF(LeasingHab!$C$10="TARIFA 1",(C316*(VLOOKUP(LeasingHab!$C$24,Seguros_Oblig!$A$3:$B$55,2,FALSE))),(C316*(VLOOKUP(LeasingHab!$C$24,Seguros_Oblig!$A$3:$D$55,4,FALSE))))</f>
        <v>#VALUE!</v>
      </c>
      <c r="H317" s="8" t="e">
        <f>IF(LeasingHab!$C$10="TARIFA 1",(C316*(VLOOKUP(LeasingHab!$C$25,Seguros_Oblig!$A$3:$B$55,2,FALSE))),(C316*(VLOOKUP(LeasingHab!$C$25,Seguros_Oblig!$A$3:$D$55,4,FALSE))))</f>
        <v>#VALUE!</v>
      </c>
      <c r="I317" s="8" t="e">
        <f>IF(LeasingHab!$C$10="TARIFA 1",(C316*(VLOOKUP(LeasingHab!$C$26,Seguros_Oblig!$A$3:$B$55,2,FALSE))),(C316*(VLOOKUP(LeasingHab!$C$26,Seguros_Oblig!$A$3:$D$55,4,FALSE))))</f>
        <v>#VALUE!</v>
      </c>
      <c r="J317" s="10">
        <f t="shared" si="28"/>
        <v>0</v>
      </c>
      <c r="K317" s="7" t="e">
        <f>IF((C316-1)&lt;$E$19,0,Seguros_Oblig!$N$4*(LeasingNOFam!$C$12*90%))</f>
        <v>#VALUE!</v>
      </c>
      <c r="L317" s="7" t="e">
        <f>IF(B317&gt;LeasingNOFam!$C$18,0,PMT(LeasingNOFam!$E$17,LeasingNOFam!$C$18,-LeasingNOFam!$C$15,,)-PMT(LeasingNOFam!$E$17,LeasingNOFam!$C$18,-LeasingNOFam!$C$22)+LeasingNOFam!$C$22*LeasingNOFam!$E$17)</f>
        <v>#VALUE!</v>
      </c>
      <c r="M317" s="9" t="e">
        <f t="shared" si="29"/>
        <v>#VALUE!</v>
      </c>
      <c r="N317" s="7" t="e">
        <f>IF(C316&lt;1,"0",LeasingHab!$C$39)</f>
        <v>#VALUE!</v>
      </c>
      <c r="O317" s="9" t="e">
        <f t="shared" si="30"/>
        <v>#VALUE!</v>
      </c>
    </row>
    <row r="318" spans="2:15" ht="15.5" hidden="1" x14ac:dyDescent="0.35">
      <c r="B318" s="6" t="e">
        <f t="shared" si="31"/>
        <v>#VALUE!</v>
      </c>
      <c r="C318" s="7" t="e">
        <f t="shared" si="26"/>
        <v>#VALUE!</v>
      </c>
      <c r="D318" s="7" t="e">
        <f t="shared" si="27"/>
        <v>#VALUE!</v>
      </c>
      <c r="E318" s="7" t="e">
        <f>IF((C317-1)&lt;$E$19,0,C317*LeasingNOFam!$E$17)</f>
        <v>#VALUE!</v>
      </c>
      <c r="F318" s="8" t="e">
        <f>IF((C317-1)&lt;$E$19,"0",C317*Seguros_Oblig!$N$3)</f>
        <v>#VALUE!</v>
      </c>
      <c r="G318" s="8" t="e">
        <f>IF(LeasingHab!$C$10="TARIFA 1",(C317*(VLOOKUP(LeasingHab!$C$24,Seguros_Oblig!$A$3:$B$55,2,FALSE))),(C317*(VLOOKUP(LeasingHab!$C$24,Seguros_Oblig!$A$3:$D$55,4,FALSE))))</f>
        <v>#VALUE!</v>
      </c>
      <c r="H318" s="8" t="e">
        <f>IF(LeasingHab!$C$10="TARIFA 1",(C317*(VLOOKUP(LeasingHab!$C$25,Seguros_Oblig!$A$3:$B$55,2,FALSE))),(C317*(VLOOKUP(LeasingHab!$C$25,Seguros_Oblig!$A$3:$D$55,4,FALSE))))</f>
        <v>#VALUE!</v>
      </c>
      <c r="I318" s="8" t="e">
        <f>IF(LeasingHab!$C$10="TARIFA 1",(C317*(VLOOKUP(LeasingHab!$C$26,Seguros_Oblig!$A$3:$B$55,2,FALSE))),(C317*(VLOOKUP(LeasingHab!$C$26,Seguros_Oblig!$A$3:$D$55,4,FALSE))))</f>
        <v>#VALUE!</v>
      </c>
      <c r="J318" s="10">
        <f t="shared" si="28"/>
        <v>0</v>
      </c>
      <c r="K318" s="7" t="e">
        <f>IF((C317-1)&lt;$E$19,0,Seguros_Oblig!$N$4*(LeasingNOFam!$C$12*90%))</f>
        <v>#VALUE!</v>
      </c>
      <c r="L318" s="7" t="e">
        <f>IF(B318&gt;LeasingNOFam!$C$18,0,PMT(LeasingNOFam!$E$17,LeasingNOFam!$C$18,-LeasingNOFam!$C$15,,)-PMT(LeasingNOFam!$E$17,LeasingNOFam!$C$18,-LeasingNOFam!$C$22)+LeasingNOFam!$C$22*LeasingNOFam!$E$17)</f>
        <v>#VALUE!</v>
      </c>
      <c r="M318" s="9" t="e">
        <f t="shared" si="29"/>
        <v>#VALUE!</v>
      </c>
      <c r="N318" s="7" t="e">
        <f>IF(C317&lt;1,"0",LeasingHab!$C$39)</f>
        <v>#VALUE!</v>
      </c>
      <c r="O318" s="9" t="e">
        <f t="shared" si="30"/>
        <v>#VALUE!</v>
      </c>
    </row>
    <row r="319" spans="2:15" ht="15.5" hidden="1" x14ac:dyDescent="0.35">
      <c r="B319" s="6" t="e">
        <f t="shared" si="31"/>
        <v>#VALUE!</v>
      </c>
      <c r="C319" s="7" t="e">
        <f t="shared" si="26"/>
        <v>#VALUE!</v>
      </c>
      <c r="D319" s="7" t="e">
        <f t="shared" si="27"/>
        <v>#VALUE!</v>
      </c>
      <c r="E319" s="7" t="e">
        <f>IF((C318-1)&lt;$E$19,0,C318*LeasingNOFam!$E$17)</f>
        <v>#VALUE!</v>
      </c>
      <c r="F319" s="8" t="e">
        <f>IF((C318-1)&lt;$E$19,"0",C318*Seguros_Oblig!$N$3)</f>
        <v>#VALUE!</v>
      </c>
      <c r="G319" s="8" t="e">
        <f>IF(LeasingHab!$C$10="TARIFA 1",(C318*(VLOOKUP(LeasingHab!$C$24,Seguros_Oblig!$A$3:$B$55,2,FALSE))),(C318*(VLOOKUP(LeasingHab!$C$24,Seguros_Oblig!$A$3:$D$55,4,FALSE))))</f>
        <v>#VALUE!</v>
      </c>
      <c r="H319" s="8" t="e">
        <f>IF(LeasingHab!$C$10="TARIFA 1",(C318*(VLOOKUP(LeasingHab!$C$25,Seguros_Oblig!$A$3:$B$55,2,FALSE))),(C318*(VLOOKUP(LeasingHab!$C$25,Seguros_Oblig!$A$3:$D$55,4,FALSE))))</f>
        <v>#VALUE!</v>
      </c>
      <c r="I319" s="8" t="e">
        <f>IF(LeasingHab!$C$10="TARIFA 1",(C318*(VLOOKUP(LeasingHab!$C$26,Seguros_Oblig!$A$3:$B$55,2,FALSE))),(C318*(VLOOKUP(LeasingHab!$C$26,Seguros_Oblig!$A$3:$D$55,4,FALSE))))</f>
        <v>#VALUE!</v>
      </c>
      <c r="J319" s="10">
        <f t="shared" si="28"/>
        <v>0</v>
      </c>
      <c r="K319" s="7" t="e">
        <f>IF((C318-1)&lt;$E$19,0,Seguros_Oblig!$N$4*(LeasingNOFam!$C$12*90%))</f>
        <v>#VALUE!</v>
      </c>
      <c r="L319" s="7" t="e">
        <f>IF(B319&gt;LeasingNOFam!$C$18,0,PMT(LeasingNOFam!$E$17,LeasingNOFam!$C$18,-LeasingNOFam!$C$15,,)-PMT(LeasingNOFam!$E$17,LeasingNOFam!$C$18,-LeasingNOFam!$C$22)+LeasingNOFam!$C$22*LeasingNOFam!$E$17)</f>
        <v>#VALUE!</v>
      </c>
      <c r="M319" s="9" t="e">
        <f t="shared" si="29"/>
        <v>#VALUE!</v>
      </c>
      <c r="N319" s="7" t="e">
        <f>IF(C318&lt;1,"0",LeasingHab!$C$39)</f>
        <v>#VALUE!</v>
      </c>
      <c r="O319" s="9" t="e">
        <f t="shared" si="30"/>
        <v>#VALUE!</v>
      </c>
    </row>
    <row r="320" spans="2:15" ht="15.5" hidden="1" x14ac:dyDescent="0.35">
      <c r="B320" s="6" t="e">
        <f t="shared" si="31"/>
        <v>#VALUE!</v>
      </c>
      <c r="C320" s="7" t="e">
        <f t="shared" si="26"/>
        <v>#VALUE!</v>
      </c>
      <c r="D320" s="7" t="e">
        <f t="shared" si="27"/>
        <v>#VALUE!</v>
      </c>
      <c r="E320" s="7" t="e">
        <f>IF((C319-1)&lt;$E$19,0,C319*LeasingNOFam!$E$17)</f>
        <v>#VALUE!</v>
      </c>
      <c r="F320" s="8" t="e">
        <f>IF((C319-1)&lt;$E$19,"0",C319*Seguros_Oblig!$N$3)</f>
        <v>#VALUE!</v>
      </c>
      <c r="G320" s="8" t="e">
        <f>IF(LeasingHab!$C$10="TARIFA 1",(C319*(VLOOKUP(LeasingHab!$C$24,Seguros_Oblig!$A$3:$B$55,2,FALSE))),(C319*(VLOOKUP(LeasingHab!$C$24,Seguros_Oblig!$A$3:$D$55,4,FALSE))))</f>
        <v>#VALUE!</v>
      </c>
      <c r="H320" s="8" t="e">
        <f>IF(LeasingHab!$C$10="TARIFA 1",(C319*(VLOOKUP(LeasingHab!$C$25,Seguros_Oblig!$A$3:$B$55,2,FALSE))),(C319*(VLOOKUP(LeasingHab!$C$25,Seguros_Oblig!$A$3:$D$55,4,FALSE))))</f>
        <v>#VALUE!</v>
      </c>
      <c r="I320" s="8" t="e">
        <f>IF(LeasingHab!$C$10="TARIFA 1",(C319*(VLOOKUP(LeasingHab!$C$26,Seguros_Oblig!$A$3:$B$55,2,FALSE))),(C319*(VLOOKUP(LeasingHab!$C$26,Seguros_Oblig!$A$3:$D$55,4,FALSE))))</f>
        <v>#VALUE!</v>
      </c>
      <c r="J320" s="10">
        <f t="shared" si="28"/>
        <v>0</v>
      </c>
      <c r="K320" s="7" t="e">
        <f>IF((C319-1)&lt;$E$19,0,Seguros_Oblig!$N$4*(LeasingNOFam!$C$12*90%))</f>
        <v>#VALUE!</v>
      </c>
      <c r="L320" s="7" t="e">
        <f>IF(B320&gt;LeasingNOFam!$C$18,0,PMT(LeasingNOFam!$E$17,LeasingNOFam!$C$18,-LeasingNOFam!$C$15,,)-PMT(LeasingNOFam!$E$17,LeasingNOFam!$C$18,-LeasingNOFam!$C$22)+LeasingNOFam!$C$22*LeasingNOFam!$E$17)</f>
        <v>#VALUE!</v>
      </c>
      <c r="M320" s="9" t="e">
        <f t="shared" si="29"/>
        <v>#VALUE!</v>
      </c>
      <c r="N320" s="7" t="e">
        <f>IF(C319&lt;1,"0",LeasingHab!$C$39)</f>
        <v>#VALUE!</v>
      </c>
      <c r="O320" s="9" t="e">
        <f t="shared" si="30"/>
        <v>#VALUE!</v>
      </c>
    </row>
    <row r="321" spans="2:15" ht="15.5" hidden="1" x14ac:dyDescent="0.35">
      <c r="B321" s="6" t="e">
        <f t="shared" si="31"/>
        <v>#VALUE!</v>
      </c>
      <c r="C321" s="7" t="e">
        <f t="shared" si="26"/>
        <v>#VALUE!</v>
      </c>
      <c r="D321" s="7" t="e">
        <f t="shared" si="27"/>
        <v>#VALUE!</v>
      </c>
      <c r="E321" s="7" t="e">
        <f>IF((C320-1)&lt;$E$19,0,C320*LeasingNOFam!$E$17)</f>
        <v>#VALUE!</v>
      </c>
      <c r="F321" s="8" t="e">
        <f>IF((C320-1)&lt;$E$19,"0",C320*Seguros_Oblig!$N$3)</f>
        <v>#VALUE!</v>
      </c>
      <c r="G321" s="8" t="e">
        <f>IF(LeasingHab!$C$10="TARIFA 1",(C320*(VLOOKUP(LeasingHab!$C$24,Seguros_Oblig!$A$3:$B$55,2,FALSE))),(C320*(VLOOKUP(LeasingHab!$C$24,Seguros_Oblig!$A$3:$D$55,4,FALSE))))</f>
        <v>#VALUE!</v>
      </c>
      <c r="H321" s="8" t="e">
        <f>IF(LeasingHab!$C$10="TARIFA 1",(C320*(VLOOKUP(LeasingHab!$C$25,Seguros_Oblig!$A$3:$B$55,2,FALSE))),(C320*(VLOOKUP(LeasingHab!$C$25,Seguros_Oblig!$A$3:$D$55,4,FALSE))))</f>
        <v>#VALUE!</v>
      </c>
      <c r="I321" s="8" t="e">
        <f>IF(LeasingHab!$C$10="TARIFA 1",(C320*(VLOOKUP(LeasingHab!$C$26,Seguros_Oblig!$A$3:$B$55,2,FALSE))),(C320*(VLOOKUP(LeasingHab!$C$26,Seguros_Oblig!$A$3:$D$55,4,FALSE))))</f>
        <v>#VALUE!</v>
      </c>
      <c r="J321" s="10">
        <f t="shared" si="28"/>
        <v>0</v>
      </c>
      <c r="K321" s="7" t="e">
        <f>IF((C320-1)&lt;$E$19,0,Seguros_Oblig!$N$4*(LeasingNOFam!$C$12*90%))</f>
        <v>#VALUE!</v>
      </c>
      <c r="L321" s="7" t="e">
        <f>IF(B321&gt;LeasingNOFam!$C$18,0,PMT(LeasingNOFam!$E$17,LeasingNOFam!$C$18,-LeasingNOFam!$C$15,,)-PMT(LeasingNOFam!$E$17,LeasingNOFam!$C$18,-LeasingNOFam!$C$22)+LeasingNOFam!$C$22*LeasingNOFam!$E$17)</f>
        <v>#VALUE!</v>
      </c>
      <c r="M321" s="9" t="e">
        <f t="shared" si="29"/>
        <v>#VALUE!</v>
      </c>
      <c r="N321" s="7" t="e">
        <f>IF(C320&lt;1,"0",LeasingHab!$C$39)</f>
        <v>#VALUE!</v>
      </c>
      <c r="O321" s="9" t="e">
        <f t="shared" si="30"/>
        <v>#VALUE!</v>
      </c>
    </row>
    <row r="322" spans="2:15" ht="15.5" hidden="1" x14ac:dyDescent="0.35">
      <c r="B322" s="6" t="e">
        <f t="shared" si="31"/>
        <v>#VALUE!</v>
      </c>
      <c r="C322" s="7" t="e">
        <f t="shared" si="26"/>
        <v>#VALUE!</v>
      </c>
      <c r="D322" s="7" t="e">
        <f t="shared" si="27"/>
        <v>#VALUE!</v>
      </c>
      <c r="E322" s="7" t="e">
        <f>IF((C321-1)&lt;$E$19,0,C321*LeasingNOFam!$E$17)</f>
        <v>#VALUE!</v>
      </c>
      <c r="F322" s="8" t="e">
        <f>IF((C321-1)&lt;$E$19,"0",C321*Seguros_Oblig!$N$3)</f>
        <v>#VALUE!</v>
      </c>
      <c r="G322" s="8" t="e">
        <f>IF(LeasingHab!$C$10="TARIFA 1",(C321*(VLOOKUP(LeasingHab!$C$24,Seguros_Oblig!$A$3:$B$55,2,FALSE))),(C321*(VLOOKUP(LeasingHab!$C$24,Seguros_Oblig!$A$3:$D$55,4,FALSE))))</f>
        <v>#VALUE!</v>
      </c>
      <c r="H322" s="8" t="e">
        <f>IF(LeasingHab!$C$10="TARIFA 1",(C321*(VLOOKUP(LeasingHab!$C$25,Seguros_Oblig!$A$3:$B$55,2,FALSE))),(C321*(VLOOKUP(LeasingHab!$C$25,Seguros_Oblig!$A$3:$D$55,4,FALSE))))</f>
        <v>#VALUE!</v>
      </c>
      <c r="I322" s="8" t="e">
        <f>IF(LeasingHab!$C$10="TARIFA 1",(C321*(VLOOKUP(LeasingHab!$C$26,Seguros_Oblig!$A$3:$B$55,2,FALSE))),(C321*(VLOOKUP(LeasingHab!$C$26,Seguros_Oblig!$A$3:$D$55,4,FALSE))))</f>
        <v>#VALUE!</v>
      </c>
      <c r="J322" s="10">
        <f t="shared" si="28"/>
        <v>0</v>
      </c>
      <c r="K322" s="7" t="e">
        <f>IF((C321-1)&lt;$E$19,0,Seguros_Oblig!$N$4*(LeasingNOFam!$C$12*90%))</f>
        <v>#VALUE!</v>
      </c>
      <c r="L322" s="7" t="e">
        <f>IF(B322&gt;LeasingNOFam!$C$18,0,PMT(LeasingNOFam!$E$17,LeasingNOFam!$C$18,-LeasingNOFam!$C$15,,)-PMT(LeasingNOFam!$E$17,LeasingNOFam!$C$18,-LeasingNOFam!$C$22)+LeasingNOFam!$C$22*LeasingNOFam!$E$17)</f>
        <v>#VALUE!</v>
      </c>
      <c r="M322" s="9" t="e">
        <f t="shared" si="29"/>
        <v>#VALUE!</v>
      </c>
      <c r="N322" s="7" t="e">
        <f>IF(C321&lt;1,"0",LeasingHab!$C$39)</f>
        <v>#VALUE!</v>
      </c>
      <c r="O322" s="9" t="e">
        <f t="shared" si="30"/>
        <v>#VALUE!</v>
      </c>
    </row>
    <row r="323" spans="2:15" ht="15.5" hidden="1" x14ac:dyDescent="0.35">
      <c r="B323" s="6" t="e">
        <f t="shared" si="31"/>
        <v>#VALUE!</v>
      </c>
      <c r="C323" s="7" t="e">
        <f t="shared" si="26"/>
        <v>#VALUE!</v>
      </c>
      <c r="D323" s="7" t="e">
        <f t="shared" si="27"/>
        <v>#VALUE!</v>
      </c>
      <c r="E323" s="7" t="e">
        <f>IF((C322-1)&lt;$E$19,0,C322*LeasingNOFam!$E$17)</f>
        <v>#VALUE!</v>
      </c>
      <c r="F323" s="8" t="e">
        <f>IF((C322-1)&lt;$E$19,"0",C322*Seguros_Oblig!$N$3)</f>
        <v>#VALUE!</v>
      </c>
      <c r="G323" s="8" t="e">
        <f>IF(LeasingHab!$C$10="TARIFA 1",(C322*(VLOOKUP(LeasingHab!$C$24,Seguros_Oblig!$A$3:$B$55,2,FALSE))),(C322*(VLOOKUP(LeasingHab!$C$24,Seguros_Oblig!$A$3:$D$55,4,FALSE))))</f>
        <v>#VALUE!</v>
      </c>
      <c r="H323" s="8" t="e">
        <f>IF(LeasingHab!$C$10="TARIFA 1",(C322*(VLOOKUP(LeasingHab!$C$25,Seguros_Oblig!$A$3:$B$55,2,FALSE))),(C322*(VLOOKUP(LeasingHab!$C$25,Seguros_Oblig!$A$3:$D$55,4,FALSE))))</f>
        <v>#VALUE!</v>
      </c>
      <c r="I323" s="8" t="e">
        <f>IF(LeasingHab!$C$10="TARIFA 1",(C322*(VLOOKUP(LeasingHab!$C$26,Seguros_Oblig!$A$3:$B$55,2,FALSE))),(C322*(VLOOKUP(LeasingHab!$C$26,Seguros_Oblig!$A$3:$D$55,4,FALSE))))</f>
        <v>#VALUE!</v>
      </c>
      <c r="J323" s="10">
        <f t="shared" si="28"/>
        <v>0</v>
      </c>
      <c r="K323" s="7" t="e">
        <f>IF((C322-1)&lt;$E$19,0,Seguros_Oblig!$N$4*(LeasingNOFam!$C$12*90%))</f>
        <v>#VALUE!</v>
      </c>
      <c r="L323" s="7" t="e">
        <f>IF(B323&gt;LeasingNOFam!$C$18,0,PMT(LeasingNOFam!$E$17,LeasingNOFam!$C$18,-LeasingNOFam!$C$15,,)-PMT(LeasingNOFam!$E$17,LeasingNOFam!$C$18,-LeasingNOFam!$C$22)+LeasingNOFam!$C$22*LeasingNOFam!$E$17)</f>
        <v>#VALUE!</v>
      </c>
      <c r="M323" s="9" t="e">
        <f t="shared" si="29"/>
        <v>#VALUE!</v>
      </c>
      <c r="N323" s="7" t="e">
        <f>IF(C322&lt;1,"0",LeasingHab!$C$39)</f>
        <v>#VALUE!</v>
      </c>
      <c r="O323" s="9" t="e">
        <f t="shared" si="30"/>
        <v>#VALUE!</v>
      </c>
    </row>
    <row r="324" spans="2:15" ht="15.5" hidden="1" x14ac:dyDescent="0.35">
      <c r="B324" s="6" t="e">
        <f t="shared" si="31"/>
        <v>#VALUE!</v>
      </c>
      <c r="C324" s="7" t="e">
        <f t="shared" si="26"/>
        <v>#VALUE!</v>
      </c>
      <c r="D324" s="7" t="e">
        <f t="shared" si="27"/>
        <v>#VALUE!</v>
      </c>
      <c r="E324" s="7" t="e">
        <f>IF((C323-1)&lt;$E$19,0,C323*LeasingNOFam!$E$17)</f>
        <v>#VALUE!</v>
      </c>
      <c r="F324" s="8" t="e">
        <f>IF((C323-1)&lt;$E$19,"0",C323*Seguros_Oblig!$N$3)</f>
        <v>#VALUE!</v>
      </c>
      <c r="G324" s="8" t="e">
        <f>IF(LeasingHab!$C$10="TARIFA 1",(C323*(VLOOKUP(LeasingHab!$C$24,Seguros_Oblig!$A$3:$B$55,2,FALSE))),(C323*(VLOOKUP(LeasingHab!$C$24,Seguros_Oblig!$A$3:$D$55,4,FALSE))))</f>
        <v>#VALUE!</v>
      </c>
      <c r="H324" s="8" t="e">
        <f>IF(LeasingHab!$C$10="TARIFA 1",(C323*(VLOOKUP(LeasingHab!$C$25,Seguros_Oblig!$A$3:$B$55,2,FALSE))),(C323*(VLOOKUP(LeasingHab!$C$25,Seguros_Oblig!$A$3:$D$55,4,FALSE))))</f>
        <v>#VALUE!</v>
      </c>
      <c r="I324" s="8" t="e">
        <f>IF(LeasingHab!$C$10="TARIFA 1",(C323*(VLOOKUP(LeasingHab!$C$26,Seguros_Oblig!$A$3:$B$55,2,FALSE))),(C323*(VLOOKUP(LeasingHab!$C$26,Seguros_Oblig!$A$3:$D$55,4,FALSE))))</f>
        <v>#VALUE!</v>
      </c>
      <c r="J324" s="10">
        <f t="shared" si="28"/>
        <v>0</v>
      </c>
      <c r="K324" s="7" t="e">
        <f>IF((C323-1)&lt;$E$19,0,Seguros_Oblig!$N$4*(LeasingNOFam!$C$12*90%))</f>
        <v>#VALUE!</v>
      </c>
      <c r="L324" s="7" t="e">
        <f>IF(B324&gt;LeasingNOFam!$C$18,0,PMT(LeasingNOFam!$E$17,LeasingNOFam!$C$18,-LeasingNOFam!$C$15,,)-PMT(LeasingNOFam!$E$17,LeasingNOFam!$C$18,-LeasingNOFam!$C$22)+LeasingNOFam!$C$22*LeasingNOFam!$E$17)</f>
        <v>#VALUE!</v>
      </c>
      <c r="M324" s="9" t="e">
        <f t="shared" si="29"/>
        <v>#VALUE!</v>
      </c>
      <c r="N324" s="7" t="e">
        <f>IF(C323&lt;1,"0",LeasingHab!$C$39)</f>
        <v>#VALUE!</v>
      </c>
      <c r="O324" s="9" t="e">
        <f t="shared" si="30"/>
        <v>#VALUE!</v>
      </c>
    </row>
    <row r="325" spans="2:15" ht="15.5" hidden="1" x14ac:dyDescent="0.35">
      <c r="B325" s="6" t="e">
        <f t="shared" si="31"/>
        <v>#VALUE!</v>
      </c>
      <c r="C325" s="7" t="e">
        <f t="shared" si="26"/>
        <v>#VALUE!</v>
      </c>
      <c r="D325" s="7" t="e">
        <f t="shared" si="27"/>
        <v>#VALUE!</v>
      </c>
      <c r="E325" s="7" t="e">
        <f>IF((C324-1)&lt;$E$19,0,C324*LeasingNOFam!$E$17)</f>
        <v>#VALUE!</v>
      </c>
      <c r="F325" s="8" t="e">
        <f>IF((C324-1)&lt;$E$19,"0",C324*Seguros_Oblig!$N$3)</f>
        <v>#VALUE!</v>
      </c>
      <c r="G325" s="8" t="e">
        <f>IF(LeasingHab!$C$10="TARIFA 1",(C324*(VLOOKUP(LeasingHab!$C$24,Seguros_Oblig!$A$3:$B$55,2,FALSE))),(C324*(VLOOKUP(LeasingHab!$C$24,Seguros_Oblig!$A$3:$D$55,4,FALSE))))</f>
        <v>#VALUE!</v>
      </c>
      <c r="H325" s="8" t="e">
        <f>IF(LeasingHab!$C$10="TARIFA 1",(C324*(VLOOKUP(LeasingHab!$C$25,Seguros_Oblig!$A$3:$B$55,2,FALSE))),(C324*(VLOOKUP(LeasingHab!$C$25,Seguros_Oblig!$A$3:$D$55,4,FALSE))))</f>
        <v>#VALUE!</v>
      </c>
      <c r="I325" s="8" t="e">
        <f>IF(LeasingHab!$C$10="TARIFA 1",(C324*(VLOOKUP(LeasingHab!$C$26,Seguros_Oblig!$A$3:$B$55,2,FALSE))),(C324*(VLOOKUP(LeasingHab!$C$26,Seguros_Oblig!$A$3:$D$55,4,FALSE))))</f>
        <v>#VALUE!</v>
      </c>
      <c r="J325" s="10">
        <f t="shared" si="28"/>
        <v>0</v>
      </c>
      <c r="K325" s="7" t="e">
        <f>IF((C324-1)&lt;$E$19,0,Seguros_Oblig!$N$4*(LeasingNOFam!$C$12*90%))</f>
        <v>#VALUE!</v>
      </c>
      <c r="L325" s="7" t="e">
        <f>IF(B325&gt;LeasingNOFam!$C$18,0,PMT(LeasingNOFam!$E$17,LeasingNOFam!$C$18,-LeasingNOFam!$C$15,,)-PMT(LeasingNOFam!$E$17,LeasingNOFam!$C$18,-LeasingNOFam!$C$22)+LeasingNOFam!$C$22*LeasingNOFam!$E$17)</f>
        <v>#VALUE!</v>
      </c>
      <c r="M325" s="9" t="e">
        <f t="shared" si="29"/>
        <v>#VALUE!</v>
      </c>
      <c r="N325" s="7" t="e">
        <f>IF(C324&lt;1,"0",LeasingHab!$C$39)</f>
        <v>#VALUE!</v>
      </c>
      <c r="O325" s="9" t="e">
        <f t="shared" si="30"/>
        <v>#VALUE!</v>
      </c>
    </row>
    <row r="326" spans="2:15" ht="15.5" hidden="1" x14ac:dyDescent="0.35">
      <c r="B326" s="6" t="e">
        <f t="shared" si="31"/>
        <v>#VALUE!</v>
      </c>
      <c r="C326" s="7" t="e">
        <f t="shared" si="26"/>
        <v>#VALUE!</v>
      </c>
      <c r="D326" s="7" t="e">
        <f t="shared" si="27"/>
        <v>#VALUE!</v>
      </c>
      <c r="E326" s="7" t="e">
        <f>IF((C325-1)&lt;$E$19,0,C325*LeasingNOFam!$E$17)</f>
        <v>#VALUE!</v>
      </c>
      <c r="F326" s="8" t="e">
        <f>IF((C325-1)&lt;$E$19,"0",C325*Seguros_Oblig!$N$3)</f>
        <v>#VALUE!</v>
      </c>
      <c r="G326" s="8" t="e">
        <f>IF(LeasingHab!$C$10="TARIFA 1",(C325*(VLOOKUP(LeasingHab!$C$24,Seguros_Oblig!$A$3:$B$55,2,FALSE))),(C325*(VLOOKUP(LeasingHab!$C$24,Seguros_Oblig!$A$3:$D$55,4,FALSE))))</f>
        <v>#VALUE!</v>
      </c>
      <c r="H326" s="8" t="e">
        <f>IF(LeasingHab!$C$10="TARIFA 1",(C325*(VLOOKUP(LeasingHab!$C$25,Seguros_Oblig!$A$3:$B$55,2,FALSE))),(C325*(VLOOKUP(LeasingHab!$C$25,Seguros_Oblig!$A$3:$D$55,4,FALSE))))</f>
        <v>#VALUE!</v>
      </c>
      <c r="I326" s="8" t="e">
        <f>IF(LeasingHab!$C$10="TARIFA 1",(C325*(VLOOKUP(LeasingHab!$C$26,Seguros_Oblig!$A$3:$B$55,2,FALSE))),(C325*(VLOOKUP(LeasingHab!$C$26,Seguros_Oblig!$A$3:$D$55,4,FALSE))))</f>
        <v>#VALUE!</v>
      </c>
      <c r="J326" s="10">
        <f t="shared" si="28"/>
        <v>0</v>
      </c>
      <c r="K326" s="7" t="e">
        <f>IF((C325-1)&lt;$E$19,0,Seguros_Oblig!$N$4*(LeasingNOFam!$C$12*90%))</f>
        <v>#VALUE!</v>
      </c>
      <c r="L326" s="7" t="e">
        <f>IF(B326&gt;LeasingNOFam!$C$18,0,PMT(LeasingNOFam!$E$17,LeasingNOFam!$C$18,-LeasingNOFam!$C$15,,)-PMT(LeasingNOFam!$E$17,LeasingNOFam!$C$18,-LeasingNOFam!$C$22)+LeasingNOFam!$C$22*LeasingNOFam!$E$17)</f>
        <v>#VALUE!</v>
      </c>
      <c r="M326" s="9" t="e">
        <f t="shared" si="29"/>
        <v>#VALUE!</v>
      </c>
      <c r="N326" s="7" t="e">
        <f>IF(C325&lt;1,"0",LeasingHab!$C$39)</f>
        <v>#VALUE!</v>
      </c>
      <c r="O326" s="9" t="e">
        <f t="shared" si="30"/>
        <v>#VALUE!</v>
      </c>
    </row>
    <row r="327" spans="2:15" ht="15.5" hidden="1" x14ac:dyDescent="0.35">
      <c r="B327" s="6" t="e">
        <f t="shared" si="31"/>
        <v>#VALUE!</v>
      </c>
      <c r="C327" s="7" t="e">
        <f t="shared" si="26"/>
        <v>#VALUE!</v>
      </c>
      <c r="D327" s="7" t="e">
        <f t="shared" si="27"/>
        <v>#VALUE!</v>
      </c>
      <c r="E327" s="7" t="e">
        <f>IF((C326-1)&lt;$E$19,0,C326*LeasingNOFam!$E$17)</f>
        <v>#VALUE!</v>
      </c>
      <c r="F327" s="8" t="e">
        <f>IF((C326-1)&lt;$E$19,"0",C326*Seguros_Oblig!$N$3)</f>
        <v>#VALUE!</v>
      </c>
      <c r="G327" s="8" t="e">
        <f>IF(LeasingHab!$C$10="TARIFA 1",(C326*(VLOOKUP(LeasingHab!$C$24,Seguros_Oblig!$A$3:$B$55,2,FALSE))),(C326*(VLOOKUP(LeasingHab!$C$24,Seguros_Oblig!$A$3:$D$55,4,FALSE))))</f>
        <v>#VALUE!</v>
      </c>
      <c r="H327" s="8" t="e">
        <f>IF(LeasingHab!$C$10="TARIFA 1",(C326*(VLOOKUP(LeasingHab!$C$25,Seguros_Oblig!$A$3:$B$55,2,FALSE))),(C326*(VLOOKUP(LeasingHab!$C$25,Seguros_Oblig!$A$3:$D$55,4,FALSE))))</f>
        <v>#VALUE!</v>
      </c>
      <c r="I327" s="8" t="e">
        <f>IF(LeasingHab!$C$10="TARIFA 1",(C326*(VLOOKUP(LeasingHab!$C$26,Seguros_Oblig!$A$3:$B$55,2,FALSE))),(C326*(VLOOKUP(LeasingHab!$C$26,Seguros_Oblig!$A$3:$D$55,4,FALSE))))</f>
        <v>#VALUE!</v>
      </c>
      <c r="J327" s="10">
        <f t="shared" si="28"/>
        <v>0</v>
      </c>
      <c r="K327" s="7" t="e">
        <f>IF((C326-1)&lt;$E$19,0,Seguros_Oblig!$N$4*(LeasingNOFam!$C$12*90%))</f>
        <v>#VALUE!</v>
      </c>
      <c r="L327" s="7" t="e">
        <f>IF(B327&gt;LeasingNOFam!$C$18,0,PMT(LeasingNOFam!$E$17,LeasingNOFam!$C$18,-LeasingNOFam!$C$15,,)-PMT(LeasingNOFam!$E$17,LeasingNOFam!$C$18,-LeasingNOFam!$C$22)+LeasingNOFam!$C$22*LeasingNOFam!$E$17)</f>
        <v>#VALUE!</v>
      </c>
      <c r="M327" s="9" t="e">
        <f t="shared" si="29"/>
        <v>#VALUE!</v>
      </c>
      <c r="N327" s="7" t="e">
        <f>IF(C326&lt;1,"0",LeasingHab!$C$39)</f>
        <v>#VALUE!</v>
      </c>
      <c r="O327" s="9" t="e">
        <f t="shared" si="30"/>
        <v>#VALUE!</v>
      </c>
    </row>
    <row r="328" spans="2:15" ht="15.5" hidden="1" x14ac:dyDescent="0.35">
      <c r="B328" s="6" t="e">
        <f t="shared" si="31"/>
        <v>#VALUE!</v>
      </c>
      <c r="C328" s="7" t="e">
        <f t="shared" si="26"/>
        <v>#VALUE!</v>
      </c>
      <c r="D328" s="7" t="e">
        <f t="shared" si="27"/>
        <v>#VALUE!</v>
      </c>
      <c r="E328" s="7" t="e">
        <f>IF((C327-1)&lt;$E$19,0,C327*LeasingNOFam!$E$17)</f>
        <v>#VALUE!</v>
      </c>
      <c r="F328" s="8" t="e">
        <f>IF((C327-1)&lt;$E$19,"0",C327*Seguros_Oblig!$N$3)</f>
        <v>#VALUE!</v>
      </c>
      <c r="G328" s="8" t="e">
        <f>IF(LeasingHab!$C$10="TARIFA 1",(C327*(VLOOKUP(LeasingHab!$C$24,Seguros_Oblig!$A$3:$B$55,2,FALSE))),(C327*(VLOOKUP(LeasingHab!$C$24,Seguros_Oblig!$A$3:$D$55,4,FALSE))))</f>
        <v>#VALUE!</v>
      </c>
      <c r="H328" s="8" t="e">
        <f>IF(LeasingHab!$C$10="TARIFA 1",(C327*(VLOOKUP(LeasingHab!$C$25,Seguros_Oblig!$A$3:$B$55,2,FALSE))),(C327*(VLOOKUP(LeasingHab!$C$25,Seguros_Oblig!$A$3:$D$55,4,FALSE))))</f>
        <v>#VALUE!</v>
      </c>
      <c r="I328" s="8" t="e">
        <f>IF(LeasingHab!$C$10="TARIFA 1",(C327*(VLOOKUP(LeasingHab!$C$26,Seguros_Oblig!$A$3:$B$55,2,FALSE))),(C327*(VLOOKUP(LeasingHab!$C$26,Seguros_Oblig!$A$3:$D$55,4,FALSE))))</f>
        <v>#VALUE!</v>
      </c>
      <c r="J328" s="10">
        <f t="shared" si="28"/>
        <v>0</v>
      </c>
      <c r="K328" s="7" t="e">
        <f>IF((C327-1)&lt;$E$19,0,Seguros_Oblig!$N$4*(LeasingNOFam!$C$12*90%))</f>
        <v>#VALUE!</v>
      </c>
      <c r="L328" s="7" t="e">
        <f>IF(B328&gt;LeasingNOFam!$C$18,0,PMT(LeasingNOFam!$E$17,LeasingNOFam!$C$18,-LeasingNOFam!$C$15,,)-PMT(LeasingNOFam!$E$17,LeasingNOFam!$C$18,-LeasingNOFam!$C$22)+LeasingNOFam!$C$22*LeasingNOFam!$E$17)</f>
        <v>#VALUE!</v>
      </c>
      <c r="M328" s="9" t="e">
        <f t="shared" si="29"/>
        <v>#VALUE!</v>
      </c>
      <c r="N328" s="7" t="e">
        <f>IF(C327&lt;1,"0",LeasingHab!$C$39)</f>
        <v>#VALUE!</v>
      </c>
      <c r="O328" s="9" t="e">
        <f t="shared" si="30"/>
        <v>#VALUE!</v>
      </c>
    </row>
    <row r="329" spans="2:15" ht="15.5" hidden="1" x14ac:dyDescent="0.35">
      <c r="B329" s="6" t="e">
        <f t="shared" si="31"/>
        <v>#VALUE!</v>
      </c>
      <c r="C329" s="7" t="e">
        <f t="shared" si="26"/>
        <v>#VALUE!</v>
      </c>
      <c r="D329" s="7" t="e">
        <f t="shared" si="27"/>
        <v>#VALUE!</v>
      </c>
      <c r="E329" s="7" t="e">
        <f>IF((C328-1)&lt;$E$19,0,C328*LeasingNOFam!$E$17)</f>
        <v>#VALUE!</v>
      </c>
      <c r="F329" s="8" t="e">
        <f>IF((C328-1)&lt;$E$19,"0",C328*Seguros_Oblig!$N$3)</f>
        <v>#VALUE!</v>
      </c>
      <c r="G329" s="8" t="e">
        <f>IF(LeasingHab!$C$10="TARIFA 1",(C328*(VLOOKUP(LeasingHab!$C$24,Seguros_Oblig!$A$3:$B$55,2,FALSE))),(C328*(VLOOKUP(LeasingHab!$C$24,Seguros_Oblig!$A$3:$D$55,4,FALSE))))</f>
        <v>#VALUE!</v>
      </c>
      <c r="H329" s="8" t="e">
        <f>IF(LeasingHab!$C$10="TARIFA 1",(C328*(VLOOKUP(LeasingHab!$C$25,Seguros_Oblig!$A$3:$B$55,2,FALSE))),(C328*(VLOOKUP(LeasingHab!$C$25,Seguros_Oblig!$A$3:$D$55,4,FALSE))))</f>
        <v>#VALUE!</v>
      </c>
      <c r="I329" s="8" t="e">
        <f>IF(LeasingHab!$C$10="TARIFA 1",(C328*(VLOOKUP(LeasingHab!$C$26,Seguros_Oblig!$A$3:$B$55,2,FALSE))),(C328*(VLOOKUP(LeasingHab!$C$26,Seguros_Oblig!$A$3:$D$55,4,FALSE))))</f>
        <v>#VALUE!</v>
      </c>
      <c r="J329" s="10">
        <f t="shared" si="28"/>
        <v>0</v>
      </c>
      <c r="K329" s="7" t="e">
        <f>IF((C328-1)&lt;$E$19,0,Seguros_Oblig!$N$4*(LeasingNOFam!$C$12*90%))</f>
        <v>#VALUE!</v>
      </c>
      <c r="L329" s="7" t="e">
        <f>IF(B329&gt;LeasingNOFam!$C$18,0,PMT(LeasingNOFam!$E$17,LeasingNOFam!$C$18,-LeasingNOFam!$C$15,,)-PMT(LeasingNOFam!$E$17,LeasingNOFam!$C$18,-LeasingNOFam!$C$22)+LeasingNOFam!$C$22*LeasingNOFam!$E$17)</f>
        <v>#VALUE!</v>
      </c>
      <c r="M329" s="9" t="e">
        <f t="shared" si="29"/>
        <v>#VALUE!</v>
      </c>
      <c r="N329" s="7" t="e">
        <f>IF(C328&lt;1,"0",LeasingHab!$C$39)</f>
        <v>#VALUE!</v>
      </c>
      <c r="O329" s="9" t="e">
        <f t="shared" si="30"/>
        <v>#VALUE!</v>
      </c>
    </row>
    <row r="330" spans="2:15" ht="15.5" hidden="1" x14ac:dyDescent="0.35">
      <c r="B330" s="6" t="e">
        <f t="shared" si="31"/>
        <v>#VALUE!</v>
      </c>
      <c r="C330" s="7" t="e">
        <f t="shared" si="26"/>
        <v>#VALUE!</v>
      </c>
      <c r="D330" s="7" t="e">
        <f t="shared" si="27"/>
        <v>#VALUE!</v>
      </c>
      <c r="E330" s="7" t="e">
        <f>IF((C329-1)&lt;$E$19,0,C329*LeasingNOFam!$E$17)</f>
        <v>#VALUE!</v>
      </c>
      <c r="F330" s="8" t="e">
        <f>IF((C329-1)&lt;$E$19,"0",C329*Seguros_Oblig!$N$3)</f>
        <v>#VALUE!</v>
      </c>
      <c r="G330" s="8" t="e">
        <f>IF(LeasingHab!$C$10="TARIFA 1",(C329*(VLOOKUP(LeasingHab!$C$24,Seguros_Oblig!$A$3:$B$55,2,FALSE))),(C329*(VLOOKUP(LeasingHab!$C$24,Seguros_Oblig!$A$3:$D$55,4,FALSE))))</f>
        <v>#VALUE!</v>
      </c>
      <c r="H330" s="8" t="e">
        <f>IF(LeasingHab!$C$10="TARIFA 1",(C329*(VLOOKUP(LeasingHab!$C$25,Seguros_Oblig!$A$3:$B$55,2,FALSE))),(C329*(VLOOKUP(LeasingHab!$C$25,Seguros_Oblig!$A$3:$D$55,4,FALSE))))</f>
        <v>#VALUE!</v>
      </c>
      <c r="I330" s="8" t="e">
        <f>IF(LeasingHab!$C$10="TARIFA 1",(C329*(VLOOKUP(LeasingHab!$C$26,Seguros_Oblig!$A$3:$B$55,2,FALSE))),(C329*(VLOOKUP(LeasingHab!$C$26,Seguros_Oblig!$A$3:$D$55,4,FALSE))))</f>
        <v>#VALUE!</v>
      </c>
      <c r="J330" s="10">
        <f t="shared" si="28"/>
        <v>0</v>
      </c>
      <c r="K330" s="7" t="e">
        <f>IF((C329-1)&lt;$E$19,0,Seguros_Oblig!$N$4*(LeasingNOFam!$C$12*90%))</f>
        <v>#VALUE!</v>
      </c>
      <c r="L330" s="7" t="e">
        <f>IF(B330&gt;LeasingNOFam!$C$18,0,PMT(LeasingNOFam!$E$17,LeasingNOFam!$C$18,-LeasingNOFam!$C$15,,)-PMT(LeasingNOFam!$E$17,LeasingNOFam!$C$18,-LeasingNOFam!$C$22)+LeasingNOFam!$C$22*LeasingNOFam!$E$17)</f>
        <v>#VALUE!</v>
      </c>
      <c r="M330" s="9" t="e">
        <f t="shared" si="29"/>
        <v>#VALUE!</v>
      </c>
      <c r="N330" s="7" t="e">
        <f>IF(C329&lt;1,"0",LeasingHab!$C$39)</f>
        <v>#VALUE!</v>
      </c>
      <c r="O330" s="9" t="e">
        <f t="shared" si="30"/>
        <v>#VALUE!</v>
      </c>
    </row>
    <row r="331" spans="2:15" ht="15.5" hidden="1" x14ac:dyDescent="0.35">
      <c r="B331" s="6" t="e">
        <f t="shared" si="31"/>
        <v>#VALUE!</v>
      </c>
      <c r="C331" s="7" t="e">
        <f t="shared" si="26"/>
        <v>#VALUE!</v>
      </c>
      <c r="D331" s="7" t="e">
        <f t="shared" si="27"/>
        <v>#VALUE!</v>
      </c>
      <c r="E331" s="7" t="e">
        <f>IF((C330-1)&lt;$E$19,0,C330*LeasingNOFam!$E$17)</f>
        <v>#VALUE!</v>
      </c>
      <c r="F331" s="8" t="e">
        <f>IF((C330-1)&lt;$E$19,"0",C330*Seguros_Oblig!$N$3)</f>
        <v>#VALUE!</v>
      </c>
      <c r="G331" s="8" t="e">
        <f>IF(LeasingHab!$C$10="TARIFA 1",(C330*(VLOOKUP(LeasingHab!$C$24,Seguros_Oblig!$A$3:$B$55,2,FALSE))),(C330*(VLOOKUP(LeasingHab!$C$24,Seguros_Oblig!$A$3:$D$55,4,FALSE))))</f>
        <v>#VALUE!</v>
      </c>
      <c r="H331" s="8" t="e">
        <f>IF(LeasingHab!$C$10="TARIFA 1",(C330*(VLOOKUP(LeasingHab!$C$25,Seguros_Oblig!$A$3:$B$55,2,FALSE))),(C330*(VLOOKUP(LeasingHab!$C$25,Seguros_Oblig!$A$3:$D$55,4,FALSE))))</f>
        <v>#VALUE!</v>
      </c>
      <c r="I331" s="8" t="e">
        <f>IF(LeasingHab!$C$10="TARIFA 1",(C330*(VLOOKUP(LeasingHab!$C$26,Seguros_Oblig!$A$3:$B$55,2,FALSE))),(C330*(VLOOKUP(LeasingHab!$C$26,Seguros_Oblig!$A$3:$D$55,4,FALSE))))</f>
        <v>#VALUE!</v>
      </c>
      <c r="J331" s="10">
        <f t="shared" si="28"/>
        <v>0</v>
      </c>
      <c r="K331" s="7" t="e">
        <f>IF((C330-1)&lt;$E$19,0,Seguros_Oblig!$N$4*(LeasingNOFam!$C$12*90%))</f>
        <v>#VALUE!</v>
      </c>
      <c r="L331" s="7" t="e">
        <f>IF(B331&gt;LeasingNOFam!$C$18,0,PMT(LeasingNOFam!$E$17,LeasingNOFam!$C$18,-LeasingNOFam!$C$15,,)-PMT(LeasingNOFam!$E$17,LeasingNOFam!$C$18,-LeasingNOFam!$C$22)+LeasingNOFam!$C$22*LeasingNOFam!$E$17)</f>
        <v>#VALUE!</v>
      </c>
      <c r="M331" s="9" t="e">
        <f t="shared" si="29"/>
        <v>#VALUE!</v>
      </c>
      <c r="N331" s="7" t="e">
        <f>IF(C330&lt;1,"0",LeasingHab!$C$39)</f>
        <v>#VALUE!</v>
      </c>
      <c r="O331" s="9" t="e">
        <f t="shared" si="30"/>
        <v>#VALUE!</v>
      </c>
    </row>
    <row r="332" spans="2:15" ht="15.5" hidden="1" x14ac:dyDescent="0.35">
      <c r="B332" s="6" t="e">
        <f t="shared" si="31"/>
        <v>#VALUE!</v>
      </c>
      <c r="C332" s="7" t="e">
        <f t="shared" si="26"/>
        <v>#VALUE!</v>
      </c>
      <c r="D332" s="7" t="e">
        <f t="shared" si="27"/>
        <v>#VALUE!</v>
      </c>
      <c r="E332" s="7" t="e">
        <f>IF((C331-1)&lt;$E$19,0,C331*LeasingNOFam!$E$17)</f>
        <v>#VALUE!</v>
      </c>
      <c r="F332" s="8" t="e">
        <f>IF((C331-1)&lt;$E$19,"0",C331*Seguros_Oblig!$N$3)</f>
        <v>#VALUE!</v>
      </c>
      <c r="G332" s="8" t="e">
        <f>IF(LeasingHab!$C$10="TARIFA 1",(C331*(VLOOKUP(LeasingHab!$C$24,Seguros_Oblig!$A$3:$B$55,2,FALSE))),(C331*(VLOOKUP(LeasingHab!$C$24,Seguros_Oblig!$A$3:$D$55,4,FALSE))))</f>
        <v>#VALUE!</v>
      </c>
      <c r="H332" s="8" t="e">
        <f>IF(LeasingHab!$C$10="TARIFA 1",(C331*(VLOOKUP(LeasingHab!$C$25,Seguros_Oblig!$A$3:$B$55,2,FALSE))),(C331*(VLOOKUP(LeasingHab!$C$25,Seguros_Oblig!$A$3:$D$55,4,FALSE))))</f>
        <v>#VALUE!</v>
      </c>
      <c r="I332" s="8" t="e">
        <f>IF(LeasingHab!$C$10="TARIFA 1",(C331*(VLOOKUP(LeasingHab!$C$26,Seguros_Oblig!$A$3:$B$55,2,FALSE))),(C331*(VLOOKUP(LeasingHab!$C$26,Seguros_Oblig!$A$3:$D$55,4,FALSE))))</f>
        <v>#VALUE!</v>
      </c>
      <c r="J332" s="10">
        <f t="shared" si="28"/>
        <v>0</v>
      </c>
      <c r="K332" s="7" t="e">
        <f>IF((C331-1)&lt;$E$19,0,Seguros_Oblig!$N$4*(LeasingNOFam!$C$12*90%))</f>
        <v>#VALUE!</v>
      </c>
      <c r="L332" s="7" t="e">
        <f>IF(B332&gt;LeasingNOFam!$C$18,0,PMT(LeasingNOFam!$E$17,LeasingNOFam!$C$18,-LeasingNOFam!$C$15,,)-PMT(LeasingNOFam!$E$17,LeasingNOFam!$C$18,-LeasingNOFam!$C$22)+LeasingNOFam!$C$22*LeasingNOFam!$E$17)</f>
        <v>#VALUE!</v>
      </c>
      <c r="M332" s="9" t="e">
        <f t="shared" si="29"/>
        <v>#VALUE!</v>
      </c>
      <c r="N332" s="7" t="e">
        <f>IF(C331&lt;1,"0",LeasingHab!$C$39)</f>
        <v>#VALUE!</v>
      </c>
      <c r="O332" s="9" t="e">
        <f t="shared" si="30"/>
        <v>#VALUE!</v>
      </c>
    </row>
    <row r="333" spans="2:15" ht="15.5" hidden="1" x14ac:dyDescent="0.35">
      <c r="B333" s="6" t="e">
        <f t="shared" si="31"/>
        <v>#VALUE!</v>
      </c>
      <c r="C333" s="7" t="e">
        <f t="shared" si="26"/>
        <v>#VALUE!</v>
      </c>
      <c r="D333" s="7" t="e">
        <f t="shared" si="27"/>
        <v>#VALUE!</v>
      </c>
      <c r="E333" s="7" t="e">
        <f>IF((C332-1)&lt;$E$19,0,C332*LeasingNOFam!$E$17)</f>
        <v>#VALUE!</v>
      </c>
      <c r="F333" s="8" t="e">
        <f>IF((C332-1)&lt;$E$19,"0",C332*Seguros_Oblig!$N$3)</f>
        <v>#VALUE!</v>
      </c>
      <c r="G333" s="8" t="e">
        <f>IF(LeasingHab!$C$10="TARIFA 1",(C332*(VLOOKUP(LeasingHab!$C$24,Seguros_Oblig!$A$3:$B$55,2,FALSE))),(C332*(VLOOKUP(LeasingHab!$C$24,Seguros_Oblig!$A$3:$D$55,4,FALSE))))</f>
        <v>#VALUE!</v>
      </c>
      <c r="H333" s="8" t="e">
        <f>IF(LeasingHab!$C$10="TARIFA 1",(C332*(VLOOKUP(LeasingHab!$C$25,Seguros_Oblig!$A$3:$B$55,2,FALSE))),(C332*(VLOOKUP(LeasingHab!$C$25,Seguros_Oblig!$A$3:$D$55,4,FALSE))))</f>
        <v>#VALUE!</v>
      </c>
      <c r="I333" s="8" t="e">
        <f>IF(LeasingHab!$C$10="TARIFA 1",(C332*(VLOOKUP(LeasingHab!$C$26,Seguros_Oblig!$A$3:$B$55,2,FALSE))),(C332*(VLOOKUP(LeasingHab!$C$26,Seguros_Oblig!$A$3:$D$55,4,FALSE))))</f>
        <v>#VALUE!</v>
      </c>
      <c r="J333" s="10">
        <f t="shared" si="28"/>
        <v>0</v>
      </c>
      <c r="K333" s="7" t="e">
        <f>IF((C332-1)&lt;$E$19,0,Seguros_Oblig!$N$4*(LeasingNOFam!$C$12*90%))</f>
        <v>#VALUE!</v>
      </c>
      <c r="L333" s="7" t="e">
        <f>IF(B333&gt;LeasingNOFam!$C$18,0,PMT(LeasingNOFam!$E$17,LeasingNOFam!$C$18,-LeasingNOFam!$C$15,,)-PMT(LeasingNOFam!$E$17,LeasingNOFam!$C$18,-LeasingNOFam!$C$22)+LeasingNOFam!$C$22*LeasingNOFam!$E$17)</f>
        <v>#VALUE!</v>
      </c>
      <c r="M333" s="9" t="e">
        <f t="shared" si="29"/>
        <v>#VALUE!</v>
      </c>
      <c r="N333" s="7" t="e">
        <f>IF(C332&lt;1,"0",LeasingHab!$C$39)</f>
        <v>#VALUE!</v>
      </c>
      <c r="O333" s="9" t="e">
        <f t="shared" si="30"/>
        <v>#VALUE!</v>
      </c>
    </row>
    <row r="334" spans="2:15" ht="15.5" hidden="1" x14ac:dyDescent="0.35">
      <c r="B334" s="6" t="e">
        <f t="shared" si="31"/>
        <v>#VALUE!</v>
      </c>
      <c r="C334" s="7" t="e">
        <f t="shared" si="26"/>
        <v>#VALUE!</v>
      </c>
      <c r="D334" s="7" t="e">
        <f t="shared" si="27"/>
        <v>#VALUE!</v>
      </c>
      <c r="E334" s="7" t="e">
        <f>IF((C333-1)&lt;$E$19,0,C333*LeasingNOFam!$E$17)</f>
        <v>#VALUE!</v>
      </c>
      <c r="F334" s="8" t="e">
        <f>IF((C333-1)&lt;$E$19,"0",C333*Seguros_Oblig!$N$3)</f>
        <v>#VALUE!</v>
      </c>
      <c r="G334" s="8" t="e">
        <f>IF(LeasingHab!$C$10="TARIFA 1",(C333*(VLOOKUP(LeasingHab!$C$24,Seguros_Oblig!$A$3:$B$55,2,FALSE))),(C333*(VLOOKUP(LeasingHab!$C$24,Seguros_Oblig!$A$3:$D$55,4,FALSE))))</f>
        <v>#VALUE!</v>
      </c>
      <c r="H334" s="8" t="e">
        <f>IF(LeasingHab!$C$10="TARIFA 1",(C333*(VLOOKUP(LeasingHab!$C$25,Seguros_Oblig!$A$3:$B$55,2,FALSE))),(C333*(VLOOKUP(LeasingHab!$C$25,Seguros_Oblig!$A$3:$D$55,4,FALSE))))</f>
        <v>#VALUE!</v>
      </c>
      <c r="I334" s="8" t="e">
        <f>IF(LeasingHab!$C$10="TARIFA 1",(C333*(VLOOKUP(LeasingHab!$C$26,Seguros_Oblig!$A$3:$B$55,2,FALSE))),(C333*(VLOOKUP(LeasingHab!$C$26,Seguros_Oblig!$A$3:$D$55,4,FALSE))))</f>
        <v>#VALUE!</v>
      </c>
      <c r="J334" s="10">
        <f t="shared" si="28"/>
        <v>0</v>
      </c>
      <c r="K334" s="7" t="e">
        <f>IF((C333-1)&lt;$E$19,0,Seguros_Oblig!$N$4*(LeasingNOFam!$C$12*90%))</f>
        <v>#VALUE!</v>
      </c>
      <c r="L334" s="7" t="e">
        <f>IF(B334&gt;LeasingNOFam!$C$18,0,PMT(LeasingNOFam!$E$17,LeasingNOFam!$C$18,-LeasingNOFam!$C$15,,)-PMT(LeasingNOFam!$E$17,LeasingNOFam!$C$18,-LeasingNOFam!$C$22)+LeasingNOFam!$C$22*LeasingNOFam!$E$17)</f>
        <v>#VALUE!</v>
      </c>
      <c r="M334" s="9" t="e">
        <f t="shared" si="29"/>
        <v>#VALUE!</v>
      </c>
      <c r="N334" s="7" t="e">
        <f>IF(C333&lt;1,"0",LeasingHab!$C$39)</f>
        <v>#VALUE!</v>
      </c>
      <c r="O334" s="9" t="e">
        <f t="shared" si="30"/>
        <v>#VALUE!</v>
      </c>
    </row>
    <row r="335" spans="2:15" ht="15.5" hidden="1" x14ac:dyDescent="0.35">
      <c r="B335" s="6" t="e">
        <f t="shared" si="31"/>
        <v>#VALUE!</v>
      </c>
      <c r="C335" s="7" t="e">
        <f t="shared" si="26"/>
        <v>#VALUE!</v>
      </c>
      <c r="D335" s="7" t="e">
        <f t="shared" si="27"/>
        <v>#VALUE!</v>
      </c>
      <c r="E335" s="7" t="e">
        <f>IF((C334-1)&lt;$E$19,0,C334*LeasingNOFam!$E$17)</f>
        <v>#VALUE!</v>
      </c>
      <c r="F335" s="8" t="e">
        <f>IF((C334-1)&lt;$E$19,"0",C334*Seguros_Oblig!$N$3)</f>
        <v>#VALUE!</v>
      </c>
      <c r="G335" s="8" t="e">
        <f>IF(LeasingHab!$C$10="TARIFA 1",(C334*(VLOOKUP(LeasingHab!$C$24,Seguros_Oblig!$A$3:$B$55,2,FALSE))),(C334*(VLOOKUP(LeasingHab!$C$24,Seguros_Oblig!$A$3:$D$55,4,FALSE))))</f>
        <v>#VALUE!</v>
      </c>
      <c r="H335" s="8" t="e">
        <f>IF(LeasingHab!$C$10="TARIFA 1",(C334*(VLOOKUP(LeasingHab!$C$25,Seguros_Oblig!$A$3:$B$55,2,FALSE))),(C334*(VLOOKUP(LeasingHab!$C$25,Seguros_Oblig!$A$3:$D$55,4,FALSE))))</f>
        <v>#VALUE!</v>
      </c>
      <c r="I335" s="8" t="e">
        <f>IF(LeasingHab!$C$10="TARIFA 1",(C334*(VLOOKUP(LeasingHab!$C$26,Seguros_Oblig!$A$3:$B$55,2,FALSE))),(C334*(VLOOKUP(LeasingHab!$C$26,Seguros_Oblig!$A$3:$D$55,4,FALSE))))</f>
        <v>#VALUE!</v>
      </c>
      <c r="J335" s="10">
        <f t="shared" si="28"/>
        <v>0</v>
      </c>
      <c r="K335" s="7" t="e">
        <f>IF((C334-1)&lt;$E$19,0,Seguros_Oblig!$N$4*(LeasingNOFam!$C$12*90%))</f>
        <v>#VALUE!</v>
      </c>
      <c r="L335" s="7" t="e">
        <f>IF(B335&gt;LeasingNOFam!$C$18,0,PMT(LeasingNOFam!$E$17,LeasingNOFam!$C$18,-LeasingNOFam!$C$15,,)-PMT(LeasingNOFam!$E$17,LeasingNOFam!$C$18,-LeasingNOFam!$C$22)+LeasingNOFam!$C$22*LeasingNOFam!$E$17)</f>
        <v>#VALUE!</v>
      </c>
      <c r="M335" s="9" t="e">
        <f t="shared" si="29"/>
        <v>#VALUE!</v>
      </c>
      <c r="N335" s="7" t="e">
        <f>IF(C334&lt;1,"0",LeasingHab!$C$39)</f>
        <v>#VALUE!</v>
      </c>
      <c r="O335" s="9" t="e">
        <f t="shared" si="30"/>
        <v>#VALUE!</v>
      </c>
    </row>
    <row r="336" spans="2:15" ht="15.5" hidden="1" x14ac:dyDescent="0.35">
      <c r="B336" s="6" t="e">
        <f t="shared" si="31"/>
        <v>#VALUE!</v>
      </c>
      <c r="C336" s="7" t="e">
        <f t="shared" si="26"/>
        <v>#VALUE!</v>
      </c>
      <c r="D336" s="7" t="e">
        <f t="shared" si="27"/>
        <v>#VALUE!</v>
      </c>
      <c r="E336" s="7" t="e">
        <f>IF((C335-1)&lt;$E$19,0,C335*LeasingNOFam!$E$17)</f>
        <v>#VALUE!</v>
      </c>
      <c r="F336" s="8" t="e">
        <f>IF((C335-1)&lt;$E$19,"0",C335*Seguros_Oblig!$N$3)</f>
        <v>#VALUE!</v>
      </c>
      <c r="G336" s="8" t="e">
        <f>IF(LeasingHab!$C$10="TARIFA 1",(C335*(VLOOKUP(LeasingHab!$C$24,Seguros_Oblig!$A$3:$B$55,2,FALSE))),(C335*(VLOOKUP(LeasingHab!$C$24,Seguros_Oblig!$A$3:$D$55,4,FALSE))))</f>
        <v>#VALUE!</v>
      </c>
      <c r="H336" s="8" t="e">
        <f>IF(LeasingHab!$C$10="TARIFA 1",(C335*(VLOOKUP(LeasingHab!$C$25,Seguros_Oblig!$A$3:$B$55,2,FALSE))),(C335*(VLOOKUP(LeasingHab!$C$25,Seguros_Oblig!$A$3:$D$55,4,FALSE))))</f>
        <v>#VALUE!</v>
      </c>
      <c r="I336" s="8" t="e">
        <f>IF(LeasingHab!$C$10="TARIFA 1",(C335*(VLOOKUP(LeasingHab!$C$26,Seguros_Oblig!$A$3:$B$55,2,FALSE))),(C335*(VLOOKUP(LeasingHab!$C$26,Seguros_Oblig!$A$3:$D$55,4,FALSE))))</f>
        <v>#VALUE!</v>
      </c>
      <c r="J336" s="10">
        <f t="shared" si="28"/>
        <v>0</v>
      </c>
      <c r="K336" s="7" t="e">
        <f>IF((C335-1)&lt;$E$19,0,Seguros_Oblig!$N$4*(LeasingNOFam!$C$12*90%))</f>
        <v>#VALUE!</v>
      </c>
      <c r="L336" s="7" t="e">
        <f>IF(B336&gt;LeasingNOFam!$C$18,0,PMT(LeasingNOFam!$E$17,LeasingNOFam!$C$18,-LeasingNOFam!$C$15,,)-PMT(LeasingNOFam!$E$17,LeasingNOFam!$C$18,-LeasingNOFam!$C$22)+LeasingNOFam!$C$22*LeasingNOFam!$E$17)</f>
        <v>#VALUE!</v>
      </c>
      <c r="M336" s="9" t="e">
        <f t="shared" si="29"/>
        <v>#VALUE!</v>
      </c>
      <c r="N336" s="7" t="e">
        <f>IF(C335&lt;1,"0",LeasingHab!$C$39)</f>
        <v>#VALUE!</v>
      </c>
      <c r="O336" s="9" t="e">
        <f t="shared" si="30"/>
        <v>#VALUE!</v>
      </c>
    </row>
    <row r="337" spans="2:15" ht="15.5" hidden="1" x14ac:dyDescent="0.35">
      <c r="B337" s="6" t="e">
        <f t="shared" si="31"/>
        <v>#VALUE!</v>
      </c>
      <c r="C337" s="7" t="e">
        <f t="shared" si="26"/>
        <v>#VALUE!</v>
      </c>
      <c r="D337" s="7" t="e">
        <f t="shared" si="27"/>
        <v>#VALUE!</v>
      </c>
      <c r="E337" s="7" t="e">
        <f>IF((C336-1)&lt;$E$19,0,C336*LeasingNOFam!$E$17)</f>
        <v>#VALUE!</v>
      </c>
      <c r="F337" s="8" t="e">
        <f>IF((C336-1)&lt;$E$19,"0",C336*Seguros_Oblig!$N$3)</f>
        <v>#VALUE!</v>
      </c>
      <c r="G337" s="8" t="e">
        <f>IF(LeasingHab!$C$10="TARIFA 1",(C336*(VLOOKUP(LeasingHab!$C$24,Seguros_Oblig!$A$3:$B$55,2,FALSE))),(C336*(VLOOKUP(LeasingHab!$C$24,Seguros_Oblig!$A$3:$D$55,4,FALSE))))</f>
        <v>#VALUE!</v>
      </c>
      <c r="H337" s="8" t="e">
        <f>IF(LeasingHab!$C$10="TARIFA 1",(C336*(VLOOKUP(LeasingHab!$C$25,Seguros_Oblig!$A$3:$B$55,2,FALSE))),(C336*(VLOOKUP(LeasingHab!$C$25,Seguros_Oblig!$A$3:$D$55,4,FALSE))))</f>
        <v>#VALUE!</v>
      </c>
      <c r="I337" s="8" t="e">
        <f>IF(LeasingHab!$C$10="TARIFA 1",(C336*(VLOOKUP(LeasingHab!$C$26,Seguros_Oblig!$A$3:$B$55,2,FALSE))),(C336*(VLOOKUP(LeasingHab!$C$26,Seguros_Oblig!$A$3:$D$55,4,FALSE))))</f>
        <v>#VALUE!</v>
      </c>
      <c r="J337" s="10">
        <f t="shared" si="28"/>
        <v>0</v>
      </c>
      <c r="K337" s="7" t="e">
        <f>IF((C336-1)&lt;$E$19,0,Seguros_Oblig!$N$4*(LeasingNOFam!$C$12*90%))</f>
        <v>#VALUE!</v>
      </c>
      <c r="L337" s="7" t="e">
        <f>IF(B337&gt;LeasingNOFam!$C$18,0,PMT(LeasingNOFam!$E$17,LeasingNOFam!$C$18,-LeasingNOFam!$C$15,,)-PMT(LeasingNOFam!$E$17,LeasingNOFam!$C$18,-LeasingNOFam!$C$22)+LeasingNOFam!$C$22*LeasingNOFam!$E$17)</f>
        <v>#VALUE!</v>
      </c>
      <c r="M337" s="9" t="e">
        <f t="shared" si="29"/>
        <v>#VALUE!</v>
      </c>
      <c r="N337" s="7" t="e">
        <f>IF(C336&lt;1,"0",LeasingHab!$C$39)</f>
        <v>#VALUE!</v>
      </c>
      <c r="O337" s="9" t="e">
        <f t="shared" si="30"/>
        <v>#VALUE!</v>
      </c>
    </row>
    <row r="338" spans="2:15" ht="15.5" hidden="1" x14ac:dyDescent="0.35">
      <c r="B338" s="6" t="e">
        <f t="shared" si="31"/>
        <v>#VALUE!</v>
      </c>
      <c r="C338" s="7" t="e">
        <f t="shared" si="26"/>
        <v>#VALUE!</v>
      </c>
      <c r="D338" s="7" t="e">
        <f t="shared" si="27"/>
        <v>#VALUE!</v>
      </c>
      <c r="E338" s="7" t="e">
        <f>IF((C337-1)&lt;$E$19,0,C337*LeasingNOFam!$E$17)</f>
        <v>#VALUE!</v>
      </c>
      <c r="F338" s="8" t="e">
        <f>IF((C337-1)&lt;$E$19,"0",C337*Seguros_Oblig!$N$3)</f>
        <v>#VALUE!</v>
      </c>
      <c r="G338" s="8" t="e">
        <f>IF(LeasingHab!$C$10="TARIFA 1",(C337*(VLOOKUP(LeasingHab!$C$24,Seguros_Oblig!$A$3:$B$55,2,FALSE))),(C337*(VLOOKUP(LeasingHab!$C$24,Seguros_Oblig!$A$3:$D$55,4,FALSE))))</f>
        <v>#VALUE!</v>
      </c>
      <c r="H338" s="8" t="e">
        <f>IF(LeasingHab!$C$10="TARIFA 1",(C337*(VLOOKUP(LeasingHab!$C$25,Seguros_Oblig!$A$3:$B$55,2,FALSE))),(C337*(VLOOKUP(LeasingHab!$C$25,Seguros_Oblig!$A$3:$D$55,4,FALSE))))</f>
        <v>#VALUE!</v>
      </c>
      <c r="I338" s="8" t="e">
        <f>IF(LeasingHab!$C$10="TARIFA 1",(C337*(VLOOKUP(LeasingHab!$C$26,Seguros_Oblig!$A$3:$B$55,2,FALSE))),(C337*(VLOOKUP(LeasingHab!$C$26,Seguros_Oblig!$A$3:$D$55,4,FALSE))))</f>
        <v>#VALUE!</v>
      </c>
      <c r="J338" s="10">
        <f t="shared" si="28"/>
        <v>0</v>
      </c>
      <c r="K338" s="7" t="e">
        <f>IF((C337-1)&lt;$E$19,0,Seguros_Oblig!$N$4*(LeasingNOFam!$C$12*90%))</f>
        <v>#VALUE!</v>
      </c>
      <c r="L338" s="7" t="e">
        <f>IF(B338&gt;LeasingNOFam!$C$18,0,PMT(LeasingNOFam!$E$17,LeasingNOFam!$C$18,-LeasingNOFam!$C$15,,)-PMT(LeasingNOFam!$E$17,LeasingNOFam!$C$18,-LeasingNOFam!$C$22)+LeasingNOFam!$C$22*LeasingNOFam!$E$17)</f>
        <v>#VALUE!</v>
      </c>
      <c r="M338" s="9" t="e">
        <f t="shared" si="29"/>
        <v>#VALUE!</v>
      </c>
      <c r="N338" s="7" t="e">
        <f>IF(C337&lt;1,"0",LeasingHab!$C$39)</f>
        <v>#VALUE!</v>
      </c>
      <c r="O338" s="9" t="e">
        <f t="shared" si="30"/>
        <v>#VALUE!</v>
      </c>
    </row>
    <row r="339" spans="2:15" ht="15.5" hidden="1" x14ac:dyDescent="0.35">
      <c r="B339" s="6" t="e">
        <f t="shared" si="31"/>
        <v>#VALUE!</v>
      </c>
      <c r="C339" s="7" t="e">
        <f t="shared" ref="C339:C381" si="32">IF(D338=0,0,C338-D339)</f>
        <v>#VALUE!</v>
      </c>
      <c r="D339" s="7" t="e">
        <f t="shared" ref="D339:D381" si="33">IF((C338-1)&lt;$E$19,0,L339-E339)</f>
        <v>#VALUE!</v>
      </c>
      <c r="E339" s="7" t="e">
        <f>IF((C338-1)&lt;$E$19,0,C338*LeasingNOFam!$E$17)</f>
        <v>#VALUE!</v>
      </c>
      <c r="F339" s="8" t="e">
        <f>IF((C338-1)&lt;$E$19,"0",C338*Seguros_Oblig!$N$3)</f>
        <v>#VALUE!</v>
      </c>
      <c r="G339" s="8" t="e">
        <f>IF(LeasingHab!$C$10="TARIFA 1",(C338*(VLOOKUP(LeasingHab!$C$24,Seguros_Oblig!$A$3:$B$55,2,FALSE))),(C338*(VLOOKUP(LeasingHab!$C$24,Seguros_Oblig!$A$3:$D$55,4,FALSE))))</f>
        <v>#VALUE!</v>
      </c>
      <c r="H339" s="8" t="e">
        <f>IF(LeasingHab!$C$10="TARIFA 1",(C338*(VLOOKUP(LeasingHab!$C$25,Seguros_Oblig!$A$3:$B$55,2,FALSE))),(C338*(VLOOKUP(LeasingHab!$C$25,Seguros_Oblig!$A$3:$D$55,4,FALSE))))</f>
        <v>#VALUE!</v>
      </c>
      <c r="I339" s="8" t="e">
        <f>IF(LeasingHab!$C$10="TARIFA 1",(C338*(VLOOKUP(LeasingHab!$C$26,Seguros_Oblig!$A$3:$B$55,2,FALSE))),(C338*(VLOOKUP(LeasingHab!$C$26,Seguros_Oblig!$A$3:$D$55,4,FALSE))))</f>
        <v>#VALUE!</v>
      </c>
      <c r="J339" s="10">
        <f t="shared" si="28"/>
        <v>0</v>
      </c>
      <c r="K339" s="7" t="e">
        <f>IF((C338-1)&lt;$E$19,0,Seguros_Oblig!$N$4*(LeasingNOFam!$C$12*90%))</f>
        <v>#VALUE!</v>
      </c>
      <c r="L339" s="7" t="e">
        <f>IF(B339&gt;LeasingNOFam!$C$18,0,PMT(LeasingNOFam!$E$17,LeasingNOFam!$C$18,-LeasingNOFam!$C$15,,)-PMT(LeasingNOFam!$E$17,LeasingNOFam!$C$18,-LeasingNOFam!$C$22)+LeasingNOFam!$C$22*LeasingNOFam!$E$17)</f>
        <v>#VALUE!</v>
      </c>
      <c r="M339" s="9" t="e">
        <f t="shared" si="29"/>
        <v>#VALUE!</v>
      </c>
      <c r="N339" s="7" t="e">
        <f>IF(C338&lt;1,"0",LeasingHab!$C$39)</f>
        <v>#VALUE!</v>
      </c>
      <c r="O339" s="9" t="e">
        <f t="shared" si="30"/>
        <v>#VALUE!</v>
      </c>
    </row>
    <row r="340" spans="2:15" ht="15.5" hidden="1" x14ac:dyDescent="0.35">
      <c r="B340" s="6" t="e">
        <f t="shared" si="31"/>
        <v>#VALUE!</v>
      </c>
      <c r="C340" s="7" t="e">
        <f t="shared" si="32"/>
        <v>#VALUE!</v>
      </c>
      <c r="D340" s="7" t="e">
        <f t="shared" si="33"/>
        <v>#VALUE!</v>
      </c>
      <c r="E340" s="7" t="e">
        <f>IF((C339-1)&lt;$E$19,0,C339*LeasingNOFam!$E$17)</f>
        <v>#VALUE!</v>
      </c>
      <c r="F340" s="8" t="e">
        <f>IF((C339-1)&lt;$E$19,"0",C339*Seguros_Oblig!$N$3)</f>
        <v>#VALUE!</v>
      </c>
      <c r="G340" s="8" t="e">
        <f>IF(LeasingHab!$C$10="TARIFA 1",(C339*(VLOOKUP(LeasingHab!$C$24,Seguros_Oblig!$A$3:$B$55,2,FALSE))),(C339*(VLOOKUP(LeasingHab!$C$24,Seguros_Oblig!$A$3:$D$55,4,FALSE))))</f>
        <v>#VALUE!</v>
      </c>
      <c r="H340" s="8" t="e">
        <f>IF(LeasingHab!$C$10="TARIFA 1",(C339*(VLOOKUP(LeasingHab!$C$25,Seguros_Oblig!$A$3:$B$55,2,FALSE))),(C339*(VLOOKUP(LeasingHab!$C$25,Seguros_Oblig!$A$3:$D$55,4,FALSE))))</f>
        <v>#VALUE!</v>
      </c>
      <c r="I340" s="8" t="e">
        <f>IF(LeasingHab!$C$10="TARIFA 1",(C339*(VLOOKUP(LeasingHab!$C$26,Seguros_Oblig!$A$3:$B$55,2,FALSE))),(C339*(VLOOKUP(LeasingHab!$C$26,Seguros_Oblig!$A$3:$D$55,4,FALSE))))</f>
        <v>#VALUE!</v>
      </c>
      <c r="J340" s="10">
        <f t="shared" si="28"/>
        <v>0</v>
      </c>
      <c r="K340" s="7" t="e">
        <f>IF((C339-1)&lt;$E$19,0,Seguros_Oblig!$N$4*(LeasingNOFam!$C$12*90%))</f>
        <v>#VALUE!</v>
      </c>
      <c r="L340" s="7" t="e">
        <f>IF(B340&gt;LeasingNOFam!$C$18,0,PMT(LeasingNOFam!$E$17,LeasingNOFam!$C$18,-LeasingNOFam!$C$15,,)-PMT(LeasingNOFam!$E$17,LeasingNOFam!$C$18,-LeasingNOFam!$C$22)+LeasingNOFam!$C$22*LeasingNOFam!$E$17)</f>
        <v>#VALUE!</v>
      </c>
      <c r="M340" s="9" t="e">
        <f t="shared" si="29"/>
        <v>#VALUE!</v>
      </c>
      <c r="N340" s="7" t="e">
        <f>IF(C339&lt;1,"0",LeasingHab!$C$39)</f>
        <v>#VALUE!</v>
      </c>
      <c r="O340" s="9" t="e">
        <f t="shared" si="30"/>
        <v>#VALUE!</v>
      </c>
    </row>
    <row r="341" spans="2:15" ht="15.5" hidden="1" x14ac:dyDescent="0.35">
      <c r="B341" s="6" t="e">
        <f t="shared" si="31"/>
        <v>#VALUE!</v>
      </c>
      <c r="C341" s="7" t="e">
        <f t="shared" si="32"/>
        <v>#VALUE!</v>
      </c>
      <c r="D341" s="7" t="e">
        <f t="shared" si="33"/>
        <v>#VALUE!</v>
      </c>
      <c r="E341" s="7" t="e">
        <f>IF((C340-1)&lt;$E$19,0,C340*LeasingNOFam!$E$17)</f>
        <v>#VALUE!</v>
      </c>
      <c r="F341" s="8" t="e">
        <f>IF((C340-1)&lt;$E$19,"0",C340*Seguros_Oblig!$N$3)</f>
        <v>#VALUE!</v>
      </c>
      <c r="G341" s="8" t="e">
        <f>IF(LeasingHab!$C$10="TARIFA 1",(C340*(VLOOKUP(LeasingHab!$C$24,Seguros_Oblig!$A$3:$B$55,2,FALSE))),(C340*(VLOOKUP(LeasingHab!$C$24,Seguros_Oblig!$A$3:$D$55,4,FALSE))))</f>
        <v>#VALUE!</v>
      </c>
      <c r="H341" s="8" t="e">
        <f>IF(LeasingHab!$C$10="TARIFA 1",(C340*(VLOOKUP(LeasingHab!$C$25,Seguros_Oblig!$A$3:$B$55,2,FALSE))),(C340*(VLOOKUP(LeasingHab!$C$25,Seguros_Oblig!$A$3:$D$55,4,FALSE))))</f>
        <v>#VALUE!</v>
      </c>
      <c r="I341" s="8" t="e">
        <f>IF(LeasingHab!$C$10="TARIFA 1",(C340*(VLOOKUP(LeasingHab!$C$26,Seguros_Oblig!$A$3:$B$55,2,FALSE))),(C340*(VLOOKUP(LeasingHab!$C$26,Seguros_Oblig!$A$3:$D$55,4,FALSE))))</f>
        <v>#VALUE!</v>
      </c>
      <c r="J341" s="10">
        <f t="shared" si="28"/>
        <v>0</v>
      </c>
      <c r="K341" s="7" t="e">
        <f>IF((C340-1)&lt;$E$19,0,Seguros_Oblig!$N$4*(LeasingNOFam!$C$12*90%))</f>
        <v>#VALUE!</v>
      </c>
      <c r="L341" s="7" t="e">
        <f>IF(B341&gt;LeasingNOFam!$C$18,0,PMT(LeasingNOFam!$E$17,LeasingNOFam!$C$18,-LeasingNOFam!$C$15,,)-PMT(LeasingNOFam!$E$17,LeasingNOFam!$C$18,-LeasingNOFam!$C$22)+LeasingNOFam!$C$22*LeasingNOFam!$E$17)</f>
        <v>#VALUE!</v>
      </c>
      <c r="M341" s="9" t="e">
        <f t="shared" si="29"/>
        <v>#VALUE!</v>
      </c>
      <c r="N341" s="7" t="e">
        <f>IF(C340&lt;1,"0",LeasingHab!$C$39)</f>
        <v>#VALUE!</v>
      </c>
      <c r="O341" s="9" t="e">
        <f t="shared" si="30"/>
        <v>#VALUE!</v>
      </c>
    </row>
    <row r="342" spans="2:15" ht="15.5" hidden="1" x14ac:dyDescent="0.35">
      <c r="B342" s="6" t="e">
        <f t="shared" si="31"/>
        <v>#VALUE!</v>
      </c>
      <c r="C342" s="7" t="e">
        <f t="shared" si="32"/>
        <v>#VALUE!</v>
      </c>
      <c r="D342" s="7" t="e">
        <f t="shared" si="33"/>
        <v>#VALUE!</v>
      </c>
      <c r="E342" s="7" t="e">
        <f>IF((C341-1)&lt;$E$19,0,C341*LeasingNOFam!$E$17)</f>
        <v>#VALUE!</v>
      </c>
      <c r="F342" s="8" t="e">
        <f>IF((C341-1)&lt;$E$19,"0",C341*Seguros_Oblig!$N$3)</f>
        <v>#VALUE!</v>
      </c>
      <c r="G342" s="8" t="e">
        <f>IF(LeasingHab!$C$10="TARIFA 1",(C341*(VLOOKUP(LeasingHab!$C$24,Seguros_Oblig!$A$3:$B$55,2,FALSE))),(C341*(VLOOKUP(LeasingHab!$C$24,Seguros_Oblig!$A$3:$D$55,4,FALSE))))</f>
        <v>#VALUE!</v>
      </c>
      <c r="H342" s="8" t="e">
        <f>IF(LeasingHab!$C$10="TARIFA 1",(C341*(VLOOKUP(LeasingHab!$C$25,Seguros_Oblig!$A$3:$B$55,2,FALSE))),(C341*(VLOOKUP(LeasingHab!$C$25,Seguros_Oblig!$A$3:$D$55,4,FALSE))))</f>
        <v>#VALUE!</v>
      </c>
      <c r="I342" s="8" t="e">
        <f>IF(LeasingHab!$C$10="TARIFA 1",(C341*(VLOOKUP(LeasingHab!$C$26,Seguros_Oblig!$A$3:$B$55,2,FALSE))),(C341*(VLOOKUP(LeasingHab!$C$26,Seguros_Oblig!$A$3:$D$55,4,FALSE))))</f>
        <v>#VALUE!</v>
      </c>
      <c r="J342" s="10">
        <f t="shared" si="28"/>
        <v>0</v>
      </c>
      <c r="K342" s="7" t="e">
        <f>IF((C341-1)&lt;$E$19,0,Seguros_Oblig!$N$4*(LeasingNOFam!$C$12*90%))</f>
        <v>#VALUE!</v>
      </c>
      <c r="L342" s="7" t="e">
        <f>IF(B342&gt;LeasingNOFam!$C$18,0,PMT(LeasingNOFam!$E$17,LeasingNOFam!$C$18,-LeasingNOFam!$C$15,,)-PMT(LeasingNOFam!$E$17,LeasingNOFam!$C$18,-LeasingNOFam!$C$22)+LeasingNOFam!$C$22*LeasingNOFam!$E$17)</f>
        <v>#VALUE!</v>
      </c>
      <c r="M342" s="9" t="e">
        <f t="shared" si="29"/>
        <v>#VALUE!</v>
      </c>
      <c r="N342" s="7" t="e">
        <f>IF(C341&lt;1,"0",LeasingHab!$C$39)</f>
        <v>#VALUE!</v>
      </c>
      <c r="O342" s="9" t="e">
        <f t="shared" si="30"/>
        <v>#VALUE!</v>
      </c>
    </row>
    <row r="343" spans="2:15" ht="15.5" hidden="1" x14ac:dyDescent="0.35">
      <c r="B343" s="6" t="e">
        <f t="shared" si="31"/>
        <v>#VALUE!</v>
      </c>
      <c r="C343" s="7" t="e">
        <f t="shared" si="32"/>
        <v>#VALUE!</v>
      </c>
      <c r="D343" s="7" t="e">
        <f t="shared" si="33"/>
        <v>#VALUE!</v>
      </c>
      <c r="E343" s="7" t="e">
        <f>IF((C342-1)&lt;$E$19,0,C342*LeasingNOFam!$E$17)</f>
        <v>#VALUE!</v>
      </c>
      <c r="F343" s="8" t="e">
        <f>IF((C342-1)&lt;$E$19,"0",C342*Seguros_Oblig!$N$3)</f>
        <v>#VALUE!</v>
      </c>
      <c r="G343" s="8" t="e">
        <f>IF(LeasingHab!$C$10="TARIFA 1",(C342*(VLOOKUP(LeasingHab!$C$24,Seguros_Oblig!$A$3:$B$55,2,FALSE))),(C342*(VLOOKUP(LeasingHab!$C$24,Seguros_Oblig!$A$3:$D$55,4,FALSE))))</f>
        <v>#VALUE!</v>
      </c>
      <c r="H343" s="8" t="e">
        <f>IF(LeasingHab!$C$10="TARIFA 1",(C342*(VLOOKUP(LeasingHab!$C$25,Seguros_Oblig!$A$3:$B$55,2,FALSE))),(C342*(VLOOKUP(LeasingHab!$C$25,Seguros_Oblig!$A$3:$D$55,4,FALSE))))</f>
        <v>#VALUE!</v>
      </c>
      <c r="I343" s="8" t="e">
        <f>IF(LeasingHab!$C$10="TARIFA 1",(C342*(VLOOKUP(LeasingHab!$C$26,Seguros_Oblig!$A$3:$B$55,2,FALSE))),(C342*(VLOOKUP(LeasingHab!$C$26,Seguros_Oblig!$A$3:$D$55,4,FALSE))))</f>
        <v>#VALUE!</v>
      </c>
      <c r="J343" s="10">
        <f t="shared" ref="J343:J381" si="34">_xlfn.AGGREGATE(9,6,F343:I343)</f>
        <v>0</v>
      </c>
      <c r="K343" s="7" t="e">
        <f>IF((C342-1)&lt;$E$19,0,Seguros_Oblig!$N$4*(LeasingNOFam!$C$12*90%))</f>
        <v>#VALUE!</v>
      </c>
      <c r="L343" s="7" t="e">
        <f>IF(B343&gt;LeasingNOFam!$C$18,0,PMT(LeasingNOFam!$E$17,LeasingNOFam!$C$18,-LeasingNOFam!$C$15,,)-PMT(LeasingNOFam!$E$17,LeasingNOFam!$C$18,-LeasingNOFam!$C$22)+LeasingNOFam!$C$22*LeasingNOFam!$E$17)</f>
        <v>#VALUE!</v>
      </c>
      <c r="M343" s="9" t="e">
        <f t="shared" ref="M343:M381" si="35">K343+L343+J343</f>
        <v>#VALUE!</v>
      </c>
      <c r="N343" s="7" t="e">
        <f>IF(C342&lt;1,"0",LeasingHab!$C$39)</f>
        <v>#VALUE!</v>
      </c>
      <c r="O343" s="9" t="e">
        <f t="shared" ref="O343:O381" si="36">M343+N343</f>
        <v>#VALUE!</v>
      </c>
    </row>
    <row r="344" spans="2:15" ht="15.5" hidden="1" x14ac:dyDescent="0.35">
      <c r="B344" s="6" t="e">
        <f t="shared" si="31"/>
        <v>#VALUE!</v>
      </c>
      <c r="C344" s="7" t="e">
        <f t="shared" si="32"/>
        <v>#VALUE!</v>
      </c>
      <c r="D344" s="7" t="e">
        <f t="shared" si="33"/>
        <v>#VALUE!</v>
      </c>
      <c r="E344" s="7" t="e">
        <f>IF((C343-1)&lt;$E$19,0,C343*LeasingNOFam!$E$17)</f>
        <v>#VALUE!</v>
      </c>
      <c r="F344" s="8" t="e">
        <f>IF((C343-1)&lt;$E$19,"0",C343*Seguros_Oblig!$N$3)</f>
        <v>#VALUE!</v>
      </c>
      <c r="G344" s="8" t="e">
        <f>IF(LeasingHab!$C$10="TARIFA 1",(C343*(VLOOKUP(LeasingHab!$C$24,Seguros_Oblig!$A$3:$B$55,2,FALSE))),(C343*(VLOOKUP(LeasingHab!$C$24,Seguros_Oblig!$A$3:$D$55,4,FALSE))))</f>
        <v>#VALUE!</v>
      </c>
      <c r="H344" s="8" t="e">
        <f>IF(LeasingHab!$C$10="TARIFA 1",(C343*(VLOOKUP(LeasingHab!$C$25,Seguros_Oblig!$A$3:$B$55,2,FALSE))),(C343*(VLOOKUP(LeasingHab!$C$25,Seguros_Oblig!$A$3:$D$55,4,FALSE))))</f>
        <v>#VALUE!</v>
      </c>
      <c r="I344" s="8" t="e">
        <f>IF(LeasingHab!$C$10="TARIFA 1",(C343*(VLOOKUP(LeasingHab!$C$26,Seguros_Oblig!$A$3:$B$55,2,FALSE))),(C343*(VLOOKUP(LeasingHab!$C$26,Seguros_Oblig!$A$3:$D$55,4,FALSE))))</f>
        <v>#VALUE!</v>
      </c>
      <c r="J344" s="10">
        <f t="shared" si="34"/>
        <v>0</v>
      </c>
      <c r="K344" s="7" t="e">
        <f>IF((C343-1)&lt;$E$19,0,Seguros_Oblig!$N$4*(LeasingNOFam!$C$12*90%))</f>
        <v>#VALUE!</v>
      </c>
      <c r="L344" s="7" t="e">
        <f>IF(B344&gt;LeasingNOFam!$C$18,0,PMT(LeasingNOFam!$E$17,LeasingNOFam!$C$18,-LeasingNOFam!$C$15,,)-PMT(LeasingNOFam!$E$17,LeasingNOFam!$C$18,-LeasingNOFam!$C$22)+LeasingNOFam!$C$22*LeasingNOFam!$E$17)</f>
        <v>#VALUE!</v>
      </c>
      <c r="M344" s="9" t="e">
        <f t="shared" si="35"/>
        <v>#VALUE!</v>
      </c>
      <c r="N344" s="7" t="e">
        <f>IF(C343&lt;1,"0",LeasingHab!$C$39)</f>
        <v>#VALUE!</v>
      </c>
      <c r="O344" s="9" t="e">
        <f t="shared" si="36"/>
        <v>#VALUE!</v>
      </c>
    </row>
    <row r="345" spans="2:15" ht="15.5" hidden="1" x14ac:dyDescent="0.35">
      <c r="B345" s="6" t="e">
        <f t="shared" si="31"/>
        <v>#VALUE!</v>
      </c>
      <c r="C345" s="7" t="e">
        <f t="shared" si="32"/>
        <v>#VALUE!</v>
      </c>
      <c r="D345" s="7" t="e">
        <f t="shared" si="33"/>
        <v>#VALUE!</v>
      </c>
      <c r="E345" s="7" t="e">
        <f>IF((C344-1)&lt;$E$19,0,C344*LeasingNOFam!$E$17)</f>
        <v>#VALUE!</v>
      </c>
      <c r="F345" s="8" t="e">
        <f>IF((C344-1)&lt;$E$19,"0",C344*Seguros_Oblig!$N$3)</f>
        <v>#VALUE!</v>
      </c>
      <c r="G345" s="8" t="e">
        <f>IF(LeasingHab!$C$10="TARIFA 1",(C344*(VLOOKUP(LeasingHab!$C$24,Seguros_Oblig!$A$3:$B$55,2,FALSE))),(C344*(VLOOKUP(LeasingHab!$C$24,Seguros_Oblig!$A$3:$D$55,4,FALSE))))</f>
        <v>#VALUE!</v>
      </c>
      <c r="H345" s="8" t="e">
        <f>IF(LeasingHab!$C$10="TARIFA 1",(C344*(VLOOKUP(LeasingHab!$C$25,Seguros_Oblig!$A$3:$B$55,2,FALSE))),(C344*(VLOOKUP(LeasingHab!$C$25,Seguros_Oblig!$A$3:$D$55,4,FALSE))))</f>
        <v>#VALUE!</v>
      </c>
      <c r="I345" s="8" t="e">
        <f>IF(LeasingHab!$C$10="TARIFA 1",(C344*(VLOOKUP(LeasingHab!$C$26,Seguros_Oblig!$A$3:$B$55,2,FALSE))),(C344*(VLOOKUP(LeasingHab!$C$26,Seguros_Oblig!$A$3:$D$55,4,FALSE))))</f>
        <v>#VALUE!</v>
      </c>
      <c r="J345" s="10">
        <f t="shared" si="34"/>
        <v>0</v>
      </c>
      <c r="K345" s="7" t="e">
        <f>IF((C344-1)&lt;$E$19,0,Seguros_Oblig!$N$4*(LeasingNOFam!$C$12*90%))</f>
        <v>#VALUE!</v>
      </c>
      <c r="L345" s="7" t="e">
        <f>IF(B345&gt;LeasingNOFam!$C$18,0,PMT(LeasingNOFam!$E$17,LeasingNOFam!$C$18,-LeasingNOFam!$C$15,,)-PMT(LeasingNOFam!$E$17,LeasingNOFam!$C$18,-LeasingNOFam!$C$22)+LeasingNOFam!$C$22*LeasingNOFam!$E$17)</f>
        <v>#VALUE!</v>
      </c>
      <c r="M345" s="9" t="e">
        <f t="shared" si="35"/>
        <v>#VALUE!</v>
      </c>
      <c r="N345" s="7" t="e">
        <f>IF(C344&lt;1,"0",LeasingHab!$C$39)</f>
        <v>#VALUE!</v>
      </c>
      <c r="O345" s="9" t="e">
        <f t="shared" si="36"/>
        <v>#VALUE!</v>
      </c>
    </row>
    <row r="346" spans="2:15" ht="15.5" hidden="1" x14ac:dyDescent="0.35">
      <c r="B346" s="6" t="e">
        <f t="shared" si="31"/>
        <v>#VALUE!</v>
      </c>
      <c r="C346" s="7" t="e">
        <f t="shared" si="32"/>
        <v>#VALUE!</v>
      </c>
      <c r="D346" s="7" t="e">
        <f t="shared" si="33"/>
        <v>#VALUE!</v>
      </c>
      <c r="E346" s="7" t="e">
        <f>IF((C345-1)&lt;$E$19,0,C345*LeasingNOFam!$E$17)</f>
        <v>#VALUE!</v>
      </c>
      <c r="F346" s="8" t="e">
        <f>IF((C345-1)&lt;$E$19,"0",C345*Seguros_Oblig!$N$3)</f>
        <v>#VALUE!</v>
      </c>
      <c r="G346" s="8" t="e">
        <f>IF(LeasingHab!$C$10="TARIFA 1",(C345*(VLOOKUP(LeasingHab!$C$24,Seguros_Oblig!$A$3:$B$55,2,FALSE))),(C345*(VLOOKUP(LeasingHab!$C$24,Seguros_Oblig!$A$3:$D$55,4,FALSE))))</f>
        <v>#VALUE!</v>
      </c>
      <c r="H346" s="8" t="e">
        <f>IF(LeasingHab!$C$10="TARIFA 1",(C345*(VLOOKUP(LeasingHab!$C$25,Seguros_Oblig!$A$3:$B$55,2,FALSE))),(C345*(VLOOKUP(LeasingHab!$C$25,Seguros_Oblig!$A$3:$D$55,4,FALSE))))</f>
        <v>#VALUE!</v>
      </c>
      <c r="I346" s="8" t="e">
        <f>IF(LeasingHab!$C$10="TARIFA 1",(C345*(VLOOKUP(LeasingHab!$C$26,Seguros_Oblig!$A$3:$B$55,2,FALSE))),(C345*(VLOOKUP(LeasingHab!$C$26,Seguros_Oblig!$A$3:$D$55,4,FALSE))))</f>
        <v>#VALUE!</v>
      </c>
      <c r="J346" s="10">
        <f t="shared" si="34"/>
        <v>0</v>
      </c>
      <c r="K346" s="7" t="e">
        <f>IF((C345-1)&lt;$E$19,0,Seguros_Oblig!$N$4*(LeasingNOFam!$C$12*90%))</f>
        <v>#VALUE!</v>
      </c>
      <c r="L346" s="7" t="e">
        <f>IF(B346&gt;LeasingNOFam!$C$18,0,PMT(LeasingNOFam!$E$17,LeasingNOFam!$C$18,-LeasingNOFam!$C$15,,)-PMT(LeasingNOFam!$E$17,LeasingNOFam!$C$18,-LeasingNOFam!$C$22)+LeasingNOFam!$C$22*LeasingNOFam!$E$17)</f>
        <v>#VALUE!</v>
      </c>
      <c r="M346" s="9" t="e">
        <f t="shared" si="35"/>
        <v>#VALUE!</v>
      </c>
      <c r="N346" s="7" t="e">
        <f>IF(C345&lt;1,"0",LeasingHab!$C$39)</f>
        <v>#VALUE!</v>
      </c>
      <c r="O346" s="9" t="e">
        <f t="shared" si="36"/>
        <v>#VALUE!</v>
      </c>
    </row>
    <row r="347" spans="2:15" ht="15.5" hidden="1" x14ac:dyDescent="0.35">
      <c r="B347" s="6" t="e">
        <f t="shared" si="31"/>
        <v>#VALUE!</v>
      </c>
      <c r="C347" s="7" t="e">
        <f t="shared" si="32"/>
        <v>#VALUE!</v>
      </c>
      <c r="D347" s="7" t="e">
        <f t="shared" si="33"/>
        <v>#VALUE!</v>
      </c>
      <c r="E347" s="7" t="e">
        <f>IF((C346-1)&lt;$E$19,0,C346*LeasingNOFam!$E$17)</f>
        <v>#VALUE!</v>
      </c>
      <c r="F347" s="8" t="e">
        <f>IF((C346-1)&lt;$E$19,"0",C346*Seguros_Oblig!$N$3)</f>
        <v>#VALUE!</v>
      </c>
      <c r="G347" s="8" t="e">
        <f>IF(LeasingHab!$C$10="TARIFA 1",(C346*(VLOOKUP(LeasingHab!$C$24,Seguros_Oblig!$A$3:$B$55,2,FALSE))),(C346*(VLOOKUP(LeasingHab!$C$24,Seguros_Oblig!$A$3:$D$55,4,FALSE))))</f>
        <v>#VALUE!</v>
      </c>
      <c r="H347" s="8" t="e">
        <f>IF(LeasingHab!$C$10="TARIFA 1",(C346*(VLOOKUP(LeasingHab!$C$25,Seguros_Oblig!$A$3:$B$55,2,FALSE))),(C346*(VLOOKUP(LeasingHab!$C$25,Seguros_Oblig!$A$3:$D$55,4,FALSE))))</f>
        <v>#VALUE!</v>
      </c>
      <c r="I347" s="8" t="e">
        <f>IF(LeasingHab!$C$10="TARIFA 1",(C346*(VLOOKUP(LeasingHab!$C$26,Seguros_Oblig!$A$3:$B$55,2,FALSE))),(C346*(VLOOKUP(LeasingHab!$C$26,Seguros_Oblig!$A$3:$D$55,4,FALSE))))</f>
        <v>#VALUE!</v>
      </c>
      <c r="J347" s="10">
        <f t="shared" si="34"/>
        <v>0</v>
      </c>
      <c r="K347" s="7" t="e">
        <f>IF((C346-1)&lt;$E$19,0,Seguros_Oblig!$N$4*(LeasingNOFam!$C$12*90%))</f>
        <v>#VALUE!</v>
      </c>
      <c r="L347" s="7" t="e">
        <f>IF(B347&gt;LeasingNOFam!$C$18,0,PMT(LeasingNOFam!$E$17,LeasingNOFam!$C$18,-LeasingNOFam!$C$15,,)-PMT(LeasingNOFam!$E$17,LeasingNOFam!$C$18,-LeasingNOFam!$C$22)+LeasingNOFam!$C$22*LeasingNOFam!$E$17)</f>
        <v>#VALUE!</v>
      </c>
      <c r="M347" s="9" t="e">
        <f t="shared" si="35"/>
        <v>#VALUE!</v>
      </c>
      <c r="N347" s="7" t="e">
        <f>IF(C346&lt;1,"0",LeasingHab!$C$39)</f>
        <v>#VALUE!</v>
      </c>
      <c r="O347" s="9" t="e">
        <f t="shared" si="36"/>
        <v>#VALUE!</v>
      </c>
    </row>
    <row r="348" spans="2:15" ht="15.5" hidden="1" x14ac:dyDescent="0.35">
      <c r="B348" s="6" t="e">
        <f t="shared" ref="B348:B381" si="37">IF(C347&gt;1,B347+1," ")</f>
        <v>#VALUE!</v>
      </c>
      <c r="C348" s="7" t="e">
        <f t="shared" si="32"/>
        <v>#VALUE!</v>
      </c>
      <c r="D348" s="7" t="e">
        <f t="shared" si="33"/>
        <v>#VALUE!</v>
      </c>
      <c r="E348" s="7" t="e">
        <f>IF((C347-1)&lt;$E$19,0,C347*LeasingNOFam!$E$17)</f>
        <v>#VALUE!</v>
      </c>
      <c r="F348" s="8" t="e">
        <f>IF((C347-1)&lt;$E$19,"0",C347*Seguros_Oblig!$N$3)</f>
        <v>#VALUE!</v>
      </c>
      <c r="G348" s="8" t="e">
        <f>IF(LeasingHab!$C$10="TARIFA 1",(C347*(VLOOKUP(LeasingHab!$C$24,Seguros_Oblig!$A$3:$B$55,2,FALSE))),(C347*(VLOOKUP(LeasingHab!$C$24,Seguros_Oblig!$A$3:$D$55,4,FALSE))))</f>
        <v>#VALUE!</v>
      </c>
      <c r="H348" s="8" t="e">
        <f>IF(LeasingHab!$C$10="TARIFA 1",(C347*(VLOOKUP(LeasingHab!$C$25,Seguros_Oblig!$A$3:$B$55,2,FALSE))),(C347*(VLOOKUP(LeasingHab!$C$25,Seguros_Oblig!$A$3:$D$55,4,FALSE))))</f>
        <v>#VALUE!</v>
      </c>
      <c r="I348" s="8" t="e">
        <f>IF(LeasingHab!$C$10="TARIFA 1",(C347*(VLOOKUP(LeasingHab!$C$26,Seguros_Oblig!$A$3:$B$55,2,FALSE))),(C347*(VLOOKUP(LeasingHab!$C$26,Seguros_Oblig!$A$3:$D$55,4,FALSE))))</f>
        <v>#VALUE!</v>
      </c>
      <c r="J348" s="10">
        <f t="shared" si="34"/>
        <v>0</v>
      </c>
      <c r="K348" s="7" t="e">
        <f>IF((C347-1)&lt;$E$19,0,Seguros_Oblig!$N$4*(LeasingNOFam!$C$12*90%))</f>
        <v>#VALUE!</v>
      </c>
      <c r="L348" s="7" t="e">
        <f>IF(B348&gt;LeasingNOFam!$C$18,0,PMT(LeasingNOFam!$E$17,LeasingNOFam!$C$18,-LeasingNOFam!$C$15,,)-PMT(LeasingNOFam!$E$17,LeasingNOFam!$C$18,-LeasingNOFam!$C$22)+LeasingNOFam!$C$22*LeasingNOFam!$E$17)</f>
        <v>#VALUE!</v>
      </c>
      <c r="M348" s="9" t="e">
        <f t="shared" si="35"/>
        <v>#VALUE!</v>
      </c>
      <c r="N348" s="7" t="e">
        <f>IF(C347&lt;1,"0",LeasingHab!$C$39)</f>
        <v>#VALUE!</v>
      </c>
      <c r="O348" s="9" t="e">
        <f t="shared" si="36"/>
        <v>#VALUE!</v>
      </c>
    </row>
    <row r="349" spans="2:15" ht="15.5" hidden="1" x14ac:dyDescent="0.35">
      <c r="B349" s="6" t="e">
        <f t="shared" si="37"/>
        <v>#VALUE!</v>
      </c>
      <c r="C349" s="7" t="e">
        <f t="shared" si="32"/>
        <v>#VALUE!</v>
      </c>
      <c r="D349" s="7" t="e">
        <f t="shared" si="33"/>
        <v>#VALUE!</v>
      </c>
      <c r="E349" s="7" t="e">
        <f>IF((C348-1)&lt;$E$19,0,C348*LeasingNOFam!$E$17)</f>
        <v>#VALUE!</v>
      </c>
      <c r="F349" s="8" t="e">
        <f>IF((C348-1)&lt;$E$19,"0",C348*Seguros_Oblig!$N$3)</f>
        <v>#VALUE!</v>
      </c>
      <c r="G349" s="8" t="e">
        <f>IF(LeasingHab!$C$10="TARIFA 1",(C348*(VLOOKUP(LeasingHab!$C$24,Seguros_Oblig!$A$3:$B$55,2,FALSE))),(C348*(VLOOKUP(LeasingHab!$C$24,Seguros_Oblig!$A$3:$D$55,4,FALSE))))</f>
        <v>#VALUE!</v>
      </c>
      <c r="H349" s="8" t="e">
        <f>IF(LeasingHab!$C$10="TARIFA 1",(C348*(VLOOKUP(LeasingHab!$C$25,Seguros_Oblig!$A$3:$B$55,2,FALSE))),(C348*(VLOOKUP(LeasingHab!$C$25,Seguros_Oblig!$A$3:$D$55,4,FALSE))))</f>
        <v>#VALUE!</v>
      </c>
      <c r="I349" s="8" t="e">
        <f>IF(LeasingHab!$C$10="TARIFA 1",(C348*(VLOOKUP(LeasingHab!$C$26,Seguros_Oblig!$A$3:$B$55,2,FALSE))),(C348*(VLOOKUP(LeasingHab!$C$26,Seguros_Oblig!$A$3:$D$55,4,FALSE))))</f>
        <v>#VALUE!</v>
      </c>
      <c r="J349" s="10">
        <f t="shared" si="34"/>
        <v>0</v>
      </c>
      <c r="K349" s="7" t="e">
        <f>IF((C348-1)&lt;$E$19,0,Seguros_Oblig!$N$4*(LeasingNOFam!$C$12*90%))</f>
        <v>#VALUE!</v>
      </c>
      <c r="L349" s="7" t="e">
        <f>IF(B349&gt;LeasingNOFam!$C$18,0,PMT(LeasingNOFam!$E$17,LeasingNOFam!$C$18,-LeasingNOFam!$C$15,,)-PMT(LeasingNOFam!$E$17,LeasingNOFam!$C$18,-LeasingNOFam!$C$22)+LeasingNOFam!$C$22*LeasingNOFam!$E$17)</f>
        <v>#VALUE!</v>
      </c>
      <c r="M349" s="9" t="e">
        <f t="shared" si="35"/>
        <v>#VALUE!</v>
      </c>
      <c r="N349" s="7" t="e">
        <f>IF(C348&lt;1,"0",LeasingHab!$C$39)</f>
        <v>#VALUE!</v>
      </c>
      <c r="O349" s="9" t="e">
        <f t="shared" si="36"/>
        <v>#VALUE!</v>
      </c>
    </row>
    <row r="350" spans="2:15" ht="15.5" hidden="1" x14ac:dyDescent="0.35">
      <c r="B350" s="6" t="e">
        <f t="shared" si="37"/>
        <v>#VALUE!</v>
      </c>
      <c r="C350" s="7" t="e">
        <f t="shared" si="32"/>
        <v>#VALUE!</v>
      </c>
      <c r="D350" s="7" t="e">
        <f t="shared" si="33"/>
        <v>#VALUE!</v>
      </c>
      <c r="E350" s="7" t="e">
        <f>IF((C349-1)&lt;$E$19,0,C349*LeasingNOFam!$E$17)</f>
        <v>#VALUE!</v>
      </c>
      <c r="F350" s="8" t="e">
        <f>IF((C349-1)&lt;$E$19,"0",C349*Seguros_Oblig!$N$3)</f>
        <v>#VALUE!</v>
      </c>
      <c r="G350" s="8" t="e">
        <f>IF(LeasingHab!$C$10="TARIFA 1",(C349*(VLOOKUP(LeasingHab!$C$24,Seguros_Oblig!$A$3:$B$55,2,FALSE))),(C349*(VLOOKUP(LeasingHab!$C$24,Seguros_Oblig!$A$3:$D$55,4,FALSE))))</f>
        <v>#VALUE!</v>
      </c>
      <c r="H350" s="8" t="e">
        <f>IF(LeasingHab!$C$10="TARIFA 1",(C349*(VLOOKUP(LeasingHab!$C$25,Seguros_Oblig!$A$3:$B$55,2,FALSE))),(C349*(VLOOKUP(LeasingHab!$C$25,Seguros_Oblig!$A$3:$D$55,4,FALSE))))</f>
        <v>#VALUE!</v>
      </c>
      <c r="I350" s="8" t="e">
        <f>IF(LeasingHab!$C$10="TARIFA 1",(C349*(VLOOKUP(LeasingHab!$C$26,Seguros_Oblig!$A$3:$B$55,2,FALSE))),(C349*(VLOOKUP(LeasingHab!$C$26,Seguros_Oblig!$A$3:$D$55,4,FALSE))))</f>
        <v>#VALUE!</v>
      </c>
      <c r="J350" s="10">
        <f t="shared" si="34"/>
        <v>0</v>
      </c>
      <c r="K350" s="7" t="e">
        <f>IF((C349-1)&lt;$E$19,0,Seguros_Oblig!$N$4*(LeasingNOFam!$C$12*90%))</f>
        <v>#VALUE!</v>
      </c>
      <c r="L350" s="7" t="e">
        <f>IF(B350&gt;LeasingNOFam!$C$18,0,PMT(LeasingNOFam!$E$17,LeasingNOFam!$C$18,-LeasingNOFam!$C$15,,)-PMT(LeasingNOFam!$E$17,LeasingNOFam!$C$18,-LeasingNOFam!$C$22)+LeasingNOFam!$C$22*LeasingNOFam!$E$17)</f>
        <v>#VALUE!</v>
      </c>
      <c r="M350" s="9" t="e">
        <f t="shared" si="35"/>
        <v>#VALUE!</v>
      </c>
      <c r="N350" s="7" t="e">
        <f>IF(C349&lt;1,"0",LeasingHab!$C$39)</f>
        <v>#VALUE!</v>
      </c>
      <c r="O350" s="9" t="e">
        <f t="shared" si="36"/>
        <v>#VALUE!</v>
      </c>
    </row>
    <row r="351" spans="2:15" ht="15.5" hidden="1" x14ac:dyDescent="0.35">
      <c r="B351" s="6" t="e">
        <f t="shared" si="37"/>
        <v>#VALUE!</v>
      </c>
      <c r="C351" s="7" t="e">
        <f t="shared" si="32"/>
        <v>#VALUE!</v>
      </c>
      <c r="D351" s="7" t="e">
        <f t="shared" si="33"/>
        <v>#VALUE!</v>
      </c>
      <c r="E351" s="7" t="e">
        <f>IF((C350-1)&lt;$E$19,0,C350*LeasingNOFam!$E$17)</f>
        <v>#VALUE!</v>
      </c>
      <c r="F351" s="8" t="e">
        <f>IF((C350-1)&lt;$E$19,"0",C350*Seguros_Oblig!$N$3)</f>
        <v>#VALUE!</v>
      </c>
      <c r="G351" s="8" t="e">
        <f>IF(LeasingHab!$C$10="TARIFA 1",(C350*(VLOOKUP(LeasingHab!$C$24,Seguros_Oblig!$A$3:$B$55,2,FALSE))),(C350*(VLOOKUP(LeasingHab!$C$24,Seguros_Oblig!$A$3:$D$55,4,FALSE))))</f>
        <v>#VALUE!</v>
      </c>
      <c r="H351" s="8" t="e">
        <f>IF(LeasingHab!$C$10="TARIFA 1",(C350*(VLOOKUP(LeasingHab!$C$25,Seguros_Oblig!$A$3:$B$55,2,FALSE))),(C350*(VLOOKUP(LeasingHab!$C$25,Seguros_Oblig!$A$3:$D$55,4,FALSE))))</f>
        <v>#VALUE!</v>
      </c>
      <c r="I351" s="8" t="e">
        <f>IF(LeasingHab!$C$10="TARIFA 1",(C350*(VLOOKUP(LeasingHab!$C$26,Seguros_Oblig!$A$3:$B$55,2,FALSE))),(C350*(VLOOKUP(LeasingHab!$C$26,Seguros_Oblig!$A$3:$D$55,4,FALSE))))</f>
        <v>#VALUE!</v>
      </c>
      <c r="J351" s="10">
        <f t="shared" si="34"/>
        <v>0</v>
      </c>
      <c r="K351" s="7" t="e">
        <f>IF((C350-1)&lt;$E$19,0,Seguros_Oblig!$N$4*(LeasingNOFam!$C$12*90%))</f>
        <v>#VALUE!</v>
      </c>
      <c r="L351" s="7" t="e">
        <f>IF(B351&gt;LeasingNOFam!$C$18,0,PMT(LeasingNOFam!$E$17,LeasingNOFam!$C$18,-LeasingNOFam!$C$15,,)-PMT(LeasingNOFam!$E$17,LeasingNOFam!$C$18,-LeasingNOFam!$C$22)+LeasingNOFam!$C$22*LeasingNOFam!$E$17)</f>
        <v>#VALUE!</v>
      </c>
      <c r="M351" s="9" t="e">
        <f t="shared" si="35"/>
        <v>#VALUE!</v>
      </c>
      <c r="N351" s="7" t="e">
        <f>IF(C350&lt;1,"0",LeasingHab!$C$39)</f>
        <v>#VALUE!</v>
      </c>
      <c r="O351" s="9" t="e">
        <f t="shared" si="36"/>
        <v>#VALUE!</v>
      </c>
    </row>
    <row r="352" spans="2:15" ht="15.5" hidden="1" x14ac:dyDescent="0.35">
      <c r="B352" s="6" t="e">
        <f t="shared" si="37"/>
        <v>#VALUE!</v>
      </c>
      <c r="C352" s="7" t="e">
        <f t="shared" si="32"/>
        <v>#VALUE!</v>
      </c>
      <c r="D352" s="7" t="e">
        <f t="shared" si="33"/>
        <v>#VALUE!</v>
      </c>
      <c r="E352" s="7" t="e">
        <f>IF((C351-1)&lt;$E$19,0,C351*LeasingNOFam!$E$17)</f>
        <v>#VALUE!</v>
      </c>
      <c r="F352" s="8" t="e">
        <f>IF((C351-1)&lt;$E$19,"0",C351*Seguros_Oblig!$N$3)</f>
        <v>#VALUE!</v>
      </c>
      <c r="G352" s="8" t="e">
        <f>IF(LeasingHab!$C$10="TARIFA 1",(C351*(VLOOKUP(LeasingHab!$C$24,Seguros_Oblig!$A$3:$B$55,2,FALSE))),(C351*(VLOOKUP(LeasingHab!$C$24,Seguros_Oblig!$A$3:$D$55,4,FALSE))))</f>
        <v>#VALUE!</v>
      </c>
      <c r="H352" s="8" t="e">
        <f>IF(LeasingHab!$C$10="TARIFA 1",(C351*(VLOOKUP(LeasingHab!$C$25,Seguros_Oblig!$A$3:$B$55,2,FALSE))),(C351*(VLOOKUP(LeasingHab!$C$25,Seguros_Oblig!$A$3:$D$55,4,FALSE))))</f>
        <v>#VALUE!</v>
      </c>
      <c r="I352" s="8" t="e">
        <f>IF(LeasingHab!$C$10="TARIFA 1",(C351*(VLOOKUP(LeasingHab!$C$26,Seguros_Oblig!$A$3:$B$55,2,FALSE))),(C351*(VLOOKUP(LeasingHab!$C$26,Seguros_Oblig!$A$3:$D$55,4,FALSE))))</f>
        <v>#VALUE!</v>
      </c>
      <c r="J352" s="10">
        <f t="shared" si="34"/>
        <v>0</v>
      </c>
      <c r="K352" s="7" t="e">
        <f>IF((C351-1)&lt;$E$19,0,Seguros_Oblig!$N$4*(LeasingNOFam!$C$12*90%))</f>
        <v>#VALUE!</v>
      </c>
      <c r="L352" s="7" t="e">
        <f>IF(B352&gt;LeasingNOFam!$C$18,0,PMT(LeasingNOFam!$E$17,LeasingNOFam!$C$18,-LeasingNOFam!$C$15,,)-PMT(LeasingNOFam!$E$17,LeasingNOFam!$C$18,-LeasingNOFam!$C$22)+LeasingNOFam!$C$22*LeasingNOFam!$E$17)</f>
        <v>#VALUE!</v>
      </c>
      <c r="M352" s="9" t="e">
        <f t="shared" si="35"/>
        <v>#VALUE!</v>
      </c>
      <c r="N352" s="7" t="e">
        <f>IF(C351&lt;1,"0",LeasingHab!$C$39)</f>
        <v>#VALUE!</v>
      </c>
      <c r="O352" s="9" t="e">
        <f t="shared" si="36"/>
        <v>#VALUE!</v>
      </c>
    </row>
    <row r="353" spans="2:15" ht="15.5" hidden="1" x14ac:dyDescent="0.35">
      <c r="B353" s="6" t="e">
        <f t="shared" si="37"/>
        <v>#VALUE!</v>
      </c>
      <c r="C353" s="7" t="e">
        <f t="shared" si="32"/>
        <v>#VALUE!</v>
      </c>
      <c r="D353" s="7" t="e">
        <f t="shared" si="33"/>
        <v>#VALUE!</v>
      </c>
      <c r="E353" s="7" t="e">
        <f>IF((C352-1)&lt;$E$19,0,C352*LeasingNOFam!$E$17)</f>
        <v>#VALUE!</v>
      </c>
      <c r="F353" s="8" t="e">
        <f>IF((C352-1)&lt;$E$19,"0",C352*Seguros_Oblig!$N$3)</f>
        <v>#VALUE!</v>
      </c>
      <c r="G353" s="8" t="e">
        <f>IF(LeasingHab!$C$10="TARIFA 1",(C352*(VLOOKUP(LeasingHab!$C$24,Seguros_Oblig!$A$3:$B$55,2,FALSE))),(C352*(VLOOKUP(LeasingHab!$C$24,Seguros_Oblig!$A$3:$D$55,4,FALSE))))</f>
        <v>#VALUE!</v>
      </c>
      <c r="H353" s="8" t="e">
        <f>IF(LeasingHab!$C$10="TARIFA 1",(C352*(VLOOKUP(LeasingHab!$C$25,Seguros_Oblig!$A$3:$B$55,2,FALSE))),(C352*(VLOOKUP(LeasingHab!$C$25,Seguros_Oblig!$A$3:$D$55,4,FALSE))))</f>
        <v>#VALUE!</v>
      </c>
      <c r="I353" s="8" t="e">
        <f>IF(LeasingHab!$C$10="TARIFA 1",(C352*(VLOOKUP(LeasingHab!$C$26,Seguros_Oblig!$A$3:$B$55,2,FALSE))),(C352*(VLOOKUP(LeasingHab!$C$26,Seguros_Oblig!$A$3:$D$55,4,FALSE))))</f>
        <v>#VALUE!</v>
      </c>
      <c r="J353" s="10">
        <f t="shared" si="34"/>
        <v>0</v>
      </c>
      <c r="K353" s="7" t="e">
        <f>IF((C352-1)&lt;$E$19,0,Seguros_Oblig!$N$4*(LeasingNOFam!$C$12*90%))</f>
        <v>#VALUE!</v>
      </c>
      <c r="L353" s="7" t="e">
        <f>IF(B353&gt;LeasingNOFam!$C$18,0,PMT(LeasingNOFam!$E$17,LeasingNOFam!$C$18,-LeasingNOFam!$C$15,,)-PMT(LeasingNOFam!$E$17,LeasingNOFam!$C$18,-LeasingNOFam!$C$22)+LeasingNOFam!$C$22*LeasingNOFam!$E$17)</f>
        <v>#VALUE!</v>
      </c>
      <c r="M353" s="9" t="e">
        <f t="shared" si="35"/>
        <v>#VALUE!</v>
      </c>
      <c r="N353" s="7" t="e">
        <f>IF(C352&lt;1,"0",LeasingHab!$C$39)</f>
        <v>#VALUE!</v>
      </c>
      <c r="O353" s="9" t="e">
        <f t="shared" si="36"/>
        <v>#VALUE!</v>
      </c>
    </row>
    <row r="354" spans="2:15" ht="15.5" hidden="1" x14ac:dyDescent="0.35">
      <c r="B354" s="6" t="e">
        <f t="shared" si="37"/>
        <v>#VALUE!</v>
      </c>
      <c r="C354" s="7" t="e">
        <f t="shared" si="32"/>
        <v>#VALUE!</v>
      </c>
      <c r="D354" s="7" t="e">
        <f t="shared" si="33"/>
        <v>#VALUE!</v>
      </c>
      <c r="E354" s="7" t="e">
        <f>IF((C353-1)&lt;$E$19,0,C353*LeasingNOFam!$E$17)</f>
        <v>#VALUE!</v>
      </c>
      <c r="F354" s="8" t="e">
        <f>IF((C353-1)&lt;$E$19,"0",C353*Seguros_Oblig!$N$3)</f>
        <v>#VALUE!</v>
      </c>
      <c r="G354" s="8" t="e">
        <f>IF(LeasingHab!$C$10="TARIFA 1",(C353*(VLOOKUP(LeasingHab!$C$24,Seguros_Oblig!$A$3:$B$55,2,FALSE))),(C353*(VLOOKUP(LeasingHab!$C$24,Seguros_Oblig!$A$3:$D$55,4,FALSE))))</f>
        <v>#VALUE!</v>
      </c>
      <c r="H354" s="8" t="e">
        <f>IF(LeasingHab!$C$10="TARIFA 1",(C353*(VLOOKUP(LeasingHab!$C$25,Seguros_Oblig!$A$3:$B$55,2,FALSE))),(C353*(VLOOKUP(LeasingHab!$C$25,Seguros_Oblig!$A$3:$D$55,4,FALSE))))</f>
        <v>#VALUE!</v>
      </c>
      <c r="I354" s="8" t="e">
        <f>IF(LeasingHab!$C$10="TARIFA 1",(C353*(VLOOKUP(LeasingHab!$C$26,Seguros_Oblig!$A$3:$B$55,2,FALSE))),(C353*(VLOOKUP(LeasingHab!$C$26,Seguros_Oblig!$A$3:$D$55,4,FALSE))))</f>
        <v>#VALUE!</v>
      </c>
      <c r="J354" s="10">
        <f t="shared" si="34"/>
        <v>0</v>
      </c>
      <c r="K354" s="7" t="e">
        <f>IF((C353-1)&lt;$E$19,0,Seguros_Oblig!$N$4*(LeasingNOFam!$C$12*90%))</f>
        <v>#VALUE!</v>
      </c>
      <c r="L354" s="7" t="e">
        <f>IF(B354&gt;LeasingNOFam!$C$18,0,PMT(LeasingNOFam!$E$17,LeasingNOFam!$C$18,-LeasingNOFam!$C$15,,)-PMT(LeasingNOFam!$E$17,LeasingNOFam!$C$18,-LeasingNOFam!$C$22)+LeasingNOFam!$C$22*LeasingNOFam!$E$17)</f>
        <v>#VALUE!</v>
      </c>
      <c r="M354" s="9" t="e">
        <f t="shared" si="35"/>
        <v>#VALUE!</v>
      </c>
      <c r="N354" s="7" t="e">
        <f>IF(C353&lt;1,"0",LeasingHab!$C$39)</f>
        <v>#VALUE!</v>
      </c>
      <c r="O354" s="9" t="e">
        <f t="shared" si="36"/>
        <v>#VALUE!</v>
      </c>
    </row>
    <row r="355" spans="2:15" ht="15.5" hidden="1" x14ac:dyDescent="0.35">
      <c r="B355" s="6" t="e">
        <f t="shared" si="37"/>
        <v>#VALUE!</v>
      </c>
      <c r="C355" s="7" t="e">
        <f t="shared" si="32"/>
        <v>#VALUE!</v>
      </c>
      <c r="D355" s="7" t="e">
        <f t="shared" si="33"/>
        <v>#VALUE!</v>
      </c>
      <c r="E355" s="7" t="e">
        <f>IF((C354-1)&lt;$E$19,0,C354*LeasingNOFam!$E$17)</f>
        <v>#VALUE!</v>
      </c>
      <c r="F355" s="8" t="e">
        <f>IF((C354-1)&lt;$E$19,"0",C354*Seguros_Oblig!$N$3)</f>
        <v>#VALUE!</v>
      </c>
      <c r="G355" s="8" t="e">
        <f>IF(LeasingHab!$C$10="TARIFA 1",(C354*(VLOOKUP(LeasingHab!$C$24,Seguros_Oblig!$A$3:$B$55,2,FALSE))),(C354*(VLOOKUP(LeasingHab!$C$24,Seguros_Oblig!$A$3:$D$55,4,FALSE))))</f>
        <v>#VALUE!</v>
      </c>
      <c r="H355" s="8" t="e">
        <f>IF(LeasingHab!$C$10="TARIFA 1",(C354*(VLOOKUP(LeasingHab!$C$25,Seguros_Oblig!$A$3:$B$55,2,FALSE))),(C354*(VLOOKUP(LeasingHab!$C$25,Seguros_Oblig!$A$3:$D$55,4,FALSE))))</f>
        <v>#VALUE!</v>
      </c>
      <c r="I355" s="8" t="e">
        <f>IF(LeasingHab!$C$10="TARIFA 1",(C354*(VLOOKUP(LeasingHab!$C$26,Seguros_Oblig!$A$3:$B$55,2,FALSE))),(C354*(VLOOKUP(LeasingHab!$C$26,Seguros_Oblig!$A$3:$D$55,4,FALSE))))</f>
        <v>#VALUE!</v>
      </c>
      <c r="J355" s="10">
        <f t="shared" si="34"/>
        <v>0</v>
      </c>
      <c r="K355" s="7" t="e">
        <f>IF((C354-1)&lt;$E$19,0,Seguros_Oblig!$N$4*(LeasingNOFam!$C$12*90%))</f>
        <v>#VALUE!</v>
      </c>
      <c r="L355" s="7" t="e">
        <f>IF(B355&gt;LeasingNOFam!$C$18,0,PMT(LeasingNOFam!$E$17,LeasingNOFam!$C$18,-LeasingNOFam!$C$15,,)-PMT(LeasingNOFam!$E$17,LeasingNOFam!$C$18,-LeasingNOFam!$C$22)+LeasingNOFam!$C$22*LeasingNOFam!$E$17)</f>
        <v>#VALUE!</v>
      </c>
      <c r="M355" s="9" t="e">
        <f t="shared" si="35"/>
        <v>#VALUE!</v>
      </c>
      <c r="N355" s="7" t="e">
        <f>IF(C354&lt;1,"0",LeasingHab!$C$39)</f>
        <v>#VALUE!</v>
      </c>
      <c r="O355" s="9" t="e">
        <f t="shared" si="36"/>
        <v>#VALUE!</v>
      </c>
    </row>
    <row r="356" spans="2:15" ht="15.5" hidden="1" x14ac:dyDescent="0.35">
      <c r="B356" s="6" t="e">
        <f t="shared" si="37"/>
        <v>#VALUE!</v>
      </c>
      <c r="C356" s="7" t="e">
        <f t="shared" si="32"/>
        <v>#VALUE!</v>
      </c>
      <c r="D356" s="7" t="e">
        <f t="shared" si="33"/>
        <v>#VALUE!</v>
      </c>
      <c r="E356" s="7" t="e">
        <f>IF((C355-1)&lt;$E$19,0,C355*LeasingNOFam!$E$17)</f>
        <v>#VALUE!</v>
      </c>
      <c r="F356" s="8" t="e">
        <f>IF((C355-1)&lt;$E$19,"0",C355*Seguros_Oblig!$N$3)</f>
        <v>#VALUE!</v>
      </c>
      <c r="G356" s="8" t="e">
        <f>IF(LeasingHab!$C$10="TARIFA 1",(C355*(VLOOKUP(LeasingHab!$C$24,Seguros_Oblig!$A$3:$B$55,2,FALSE))),(C355*(VLOOKUP(LeasingHab!$C$24,Seguros_Oblig!$A$3:$D$55,4,FALSE))))</f>
        <v>#VALUE!</v>
      </c>
      <c r="H356" s="8" t="e">
        <f>IF(LeasingHab!$C$10="TARIFA 1",(C355*(VLOOKUP(LeasingHab!$C$25,Seguros_Oblig!$A$3:$B$55,2,FALSE))),(C355*(VLOOKUP(LeasingHab!$C$25,Seguros_Oblig!$A$3:$D$55,4,FALSE))))</f>
        <v>#VALUE!</v>
      </c>
      <c r="I356" s="8" t="e">
        <f>IF(LeasingHab!$C$10="TARIFA 1",(C355*(VLOOKUP(LeasingHab!$C$26,Seguros_Oblig!$A$3:$B$55,2,FALSE))),(C355*(VLOOKUP(LeasingHab!$C$26,Seguros_Oblig!$A$3:$D$55,4,FALSE))))</f>
        <v>#VALUE!</v>
      </c>
      <c r="J356" s="10">
        <f t="shared" si="34"/>
        <v>0</v>
      </c>
      <c r="K356" s="7" t="e">
        <f>IF((C355-1)&lt;$E$19,0,Seguros_Oblig!$N$4*(LeasingNOFam!$C$12*90%))</f>
        <v>#VALUE!</v>
      </c>
      <c r="L356" s="7" t="e">
        <f>IF(B356&gt;LeasingNOFam!$C$18,0,PMT(LeasingNOFam!$E$17,LeasingNOFam!$C$18,-LeasingNOFam!$C$15,,)-PMT(LeasingNOFam!$E$17,LeasingNOFam!$C$18,-LeasingNOFam!$C$22)+LeasingNOFam!$C$22*LeasingNOFam!$E$17)</f>
        <v>#VALUE!</v>
      </c>
      <c r="M356" s="9" t="e">
        <f t="shared" si="35"/>
        <v>#VALUE!</v>
      </c>
      <c r="N356" s="7" t="e">
        <f>IF(C355&lt;1,"0",LeasingHab!$C$39)</f>
        <v>#VALUE!</v>
      </c>
      <c r="O356" s="9" t="e">
        <f t="shared" si="36"/>
        <v>#VALUE!</v>
      </c>
    </row>
    <row r="357" spans="2:15" ht="15.5" hidden="1" x14ac:dyDescent="0.35">
      <c r="B357" s="6" t="e">
        <f t="shared" si="37"/>
        <v>#VALUE!</v>
      </c>
      <c r="C357" s="7" t="e">
        <f t="shared" si="32"/>
        <v>#VALUE!</v>
      </c>
      <c r="D357" s="7" t="e">
        <f t="shared" si="33"/>
        <v>#VALUE!</v>
      </c>
      <c r="E357" s="7" t="e">
        <f>IF((C356-1)&lt;$E$19,0,C356*LeasingNOFam!$E$17)</f>
        <v>#VALUE!</v>
      </c>
      <c r="F357" s="8" t="e">
        <f>IF((C356-1)&lt;$E$19,"0",C356*Seguros_Oblig!$N$3)</f>
        <v>#VALUE!</v>
      </c>
      <c r="G357" s="8" t="e">
        <f>IF(LeasingHab!$C$10="TARIFA 1",(C356*(VLOOKUP(LeasingHab!$C$24,Seguros_Oblig!$A$3:$B$55,2,FALSE))),(C356*(VLOOKUP(LeasingHab!$C$24,Seguros_Oblig!$A$3:$D$55,4,FALSE))))</f>
        <v>#VALUE!</v>
      </c>
      <c r="H357" s="8" t="e">
        <f>IF(LeasingHab!$C$10="TARIFA 1",(C356*(VLOOKUP(LeasingHab!$C$25,Seguros_Oblig!$A$3:$B$55,2,FALSE))),(C356*(VLOOKUP(LeasingHab!$C$25,Seguros_Oblig!$A$3:$D$55,4,FALSE))))</f>
        <v>#VALUE!</v>
      </c>
      <c r="I357" s="8" t="e">
        <f>IF(LeasingHab!$C$10="TARIFA 1",(C356*(VLOOKUP(LeasingHab!$C$26,Seguros_Oblig!$A$3:$B$55,2,FALSE))),(C356*(VLOOKUP(LeasingHab!$C$26,Seguros_Oblig!$A$3:$D$55,4,FALSE))))</f>
        <v>#VALUE!</v>
      </c>
      <c r="J357" s="10">
        <f t="shared" si="34"/>
        <v>0</v>
      </c>
      <c r="K357" s="7" t="e">
        <f>IF((C356-1)&lt;$E$19,0,Seguros_Oblig!$N$4*(LeasingNOFam!$C$12*90%))</f>
        <v>#VALUE!</v>
      </c>
      <c r="L357" s="7" t="e">
        <f>IF(B357&gt;LeasingNOFam!$C$18,0,PMT(LeasingNOFam!$E$17,LeasingNOFam!$C$18,-LeasingNOFam!$C$15,,)-PMT(LeasingNOFam!$E$17,LeasingNOFam!$C$18,-LeasingNOFam!$C$22)+LeasingNOFam!$C$22*LeasingNOFam!$E$17)</f>
        <v>#VALUE!</v>
      </c>
      <c r="M357" s="9" t="e">
        <f t="shared" si="35"/>
        <v>#VALUE!</v>
      </c>
      <c r="N357" s="7" t="e">
        <f>IF(C356&lt;1,"0",LeasingHab!$C$39)</f>
        <v>#VALUE!</v>
      </c>
      <c r="O357" s="9" t="e">
        <f t="shared" si="36"/>
        <v>#VALUE!</v>
      </c>
    </row>
    <row r="358" spans="2:15" ht="15.5" hidden="1" x14ac:dyDescent="0.35">
      <c r="B358" s="6" t="e">
        <f t="shared" si="37"/>
        <v>#VALUE!</v>
      </c>
      <c r="C358" s="7" t="e">
        <f t="shared" si="32"/>
        <v>#VALUE!</v>
      </c>
      <c r="D358" s="7" t="e">
        <f t="shared" si="33"/>
        <v>#VALUE!</v>
      </c>
      <c r="E358" s="7" t="e">
        <f>IF((C357-1)&lt;$E$19,0,C357*LeasingNOFam!$E$17)</f>
        <v>#VALUE!</v>
      </c>
      <c r="F358" s="8" t="e">
        <f>IF((C357-1)&lt;$E$19,"0",C357*Seguros_Oblig!$N$3)</f>
        <v>#VALUE!</v>
      </c>
      <c r="G358" s="8" t="e">
        <f>IF(LeasingHab!$C$10="TARIFA 1",(C357*(VLOOKUP(LeasingHab!$C$24,Seguros_Oblig!$A$3:$B$55,2,FALSE))),(C357*(VLOOKUP(LeasingHab!$C$24,Seguros_Oblig!$A$3:$D$55,4,FALSE))))</f>
        <v>#VALUE!</v>
      </c>
      <c r="H358" s="8" t="e">
        <f>IF(LeasingHab!$C$10="TARIFA 1",(C357*(VLOOKUP(LeasingHab!$C$25,Seguros_Oblig!$A$3:$B$55,2,FALSE))),(C357*(VLOOKUP(LeasingHab!$C$25,Seguros_Oblig!$A$3:$D$55,4,FALSE))))</f>
        <v>#VALUE!</v>
      </c>
      <c r="I358" s="8" t="e">
        <f>IF(LeasingHab!$C$10="TARIFA 1",(C357*(VLOOKUP(LeasingHab!$C$26,Seguros_Oblig!$A$3:$B$55,2,FALSE))),(C357*(VLOOKUP(LeasingHab!$C$26,Seguros_Oblig!$A$3:$D$55,4,FALSE))))</f>
        <v>#VALUE!</v>
      </c>
      <c r="J358" s="10">
        <f t="shared" si="34"/>
        <v>0</v>
      </c>
      <c r="K358" s="7" t="e">
        <f>IF((C357-1)&lt;$E$19,0,Seguros_Oblig!$N$4*(LeasingNOFam!$C$12*90%))</f>
        <v>#VALUE!</v>
      </c>
      <c r="L358" s="7" t="e">
        <f>IF(B358&gt;LeasingNOFam!$C$18,0,PMT(LeasingNOFam!$E$17,LeasingNOFam!$C$18,-LeasingNOFam!$C$15,,)-PMT(LeasingNOFam!$E$17,LeasingNOFam!$C$18,-LeasingNOFam!$C$22)+LeasingNOFam!$C$22*LeasingNOFam!$E$17)</f>
        <v>#VALUE!</v>
      </c>
      <c r="M358" s="9" t="e">
        <f t="shared" si="35"/>
        <v>#VALUE!</v>
      </c>
      <c r="N358" s="7" t="e">
        <f>IF(C357&lt;1,"0",LeasingHab!$C$39)</f>
        <v>#VALUE!</v>
      </c>
      <c r="O358" s="9" t="e">
        <f t="shared" si="36"/>
        <v>#VALUE!</v>
      </c>
    </row>
    <row r="359" spans="2:15" ht="15.5" hidden="1" x14ac:dyDescent="0.35">
      <c r="B359" s="6" t="e">
        <f t="shared" si="37"/>
        <v>#VALUE!</v>
      </c>
      <c r="C359" s="7" t="e">
        <f t="shared" si="32"/>
        <v>#VALUE!</v>
      </c>
      <c r="D359" s="7" t="e">
        <f t="shared" si="33"/>
        <v>#VALUE!</v>
      </c>
      <c r="E359" s="7" t="e">
        <f>IF((C358-1)&lt;$E$19,0,C358*LeasingNOFam!$E$17)</f>
        <v>#VALUE!</v>
      </c>
      <c r="F359" s="8" t="e">
        <f>IF((C358-1)&lt;$E$19,"0",C358*Seguros_Oblig!$N$3)</f>
        <v>#VALUE!</v>
      </c>
      <c r="G359" s="8" t="e">
        <f>IF(LeasingHab!$C$10="TARIFA 1",(C358*(VLOOKUP(LeasingHab!$C$24,Seguros_Oblig!$A$3:$B$55,2,FALSE))),(C358*(VLOOKUP(LeasingHab!$C$24,Seguros_Oblig!$A$3:$D$55,4,FALSE))))</f>
        <v>#VALUE!</v>
      </c>
      <c r="H359" s="8" t="e">
        <f>IF(LeasingHab!$C$10="TARIFA 1",(C358*(VLOOKUP(LeasingHab!$C$25,Seguros_Oblig!$A$3:$B$55,2,FALSE))),(C358*(VLOOKUP(LeasingHab!$C$25,Seguros_Oblig!$A$3:$D$55,4,FALSE))))</f>
        <v>#VALUE!</v>
      </c>
      <c r="I359" s="8" t="e">
        <f>IF(LeasingHab!$C$10="TARIFA 1",(C358*(VLOOKUP(LeasingHab!$C$26,Seguros_Oblig!$A$3:$B$55,2,FALSE))),(C358*(VLOOKUP(LeasingHab!$C$26,Seguros_Oblig!$A$3:$D$55,4,FALSE))))</f>
        <v>#VALUE!</v>
      </c>
      <c r="J359" s="10">
        <f t="shared" si="34"/>
        <v>0</v>
      </c>
      <c r="K359" s="7" t="e">
        <f>IF((C358-1)&lt;$E$19,0,Seguros_Oblig!$N$4*(LeasingNOFam!$C$12*90%))</f>
        <v>#VALUE!</v>
      </c>
      <c r="L359" s="7" t="e">
        <f>IF(B359&gt;LeasingNOFam!$C$18,0,PMT(LeasingNOFam!$E$17,LeasingNOFam!$C$18,-LeasingNOFam!$C$15,,)-PMT(LeasingNOFam!$E$17,LeasingNOFam!$C$18,-LeasingNOFam!$C$22)+LeasingNOFam!$C$22*LeasingNOFam!$E$17)</f>
        <v>#VALUE!</v>
      </c>
      <c r="M359" s="9" t="e">
        <f t="shared" si="35"/>
        <v>#VALUE!</v>
      </c>
      <c r="N359" s="7" t="e">
        <f>IF(C358&lt;1,"0",LeasingHab!$C$39)</f>
        <v>#VALUE!</v>
      </c>
      <c r="O359" s="9" t="e">
        <f t="shared" si="36"/>
        <v>#VALUE!</v>
      </c>
    </row>
    <row r="360" spans="2:15" ht="15.5" hidden="1" x14ac:dyDescent="0.35">
      <c r="B360" s="6" t="e">
        <f t="shared" si="37"/>
        <v>#VALUE!</v>
      </c>
      <c r="C360" s="7" t="e">
        <f t="shared" si="32"/>
        <v>#VALUE!</v>
      </c>
      <c r="D360" s="7" t="e">
        <f t="shared" si="33"/>
        <v>#VALUE!</v>
      </c>
      <c r="E360" s="7" t="e">
        <f>IF((C359-1)&lt;$E$19,0,C359*LeasingNOFam!$E$17)</f>
        <v>#VALUE!</v>
      </c>
      <c r="F360" s="8" t="e">
        <f>IF((C359-1)&lt;$E$19,"0",C359*Seguros_Oblig!$N$3)</f>
        <v>#VALUE!</v>
      </c>
      <c r="G360" s="8" t="e">
        <f>IF(LeasingHab!$C$10="TARIFA 1",(C359*(VLOOKUP(LeasingHab!$C$24,Seguros_Oblig!$A$3:$B$55,2,FALSE))),(C359*(VLOOKUP(LeasingHab!$C$24,Seguros_Oblig!$A$3:$D$55,4,FALSE))))</f>
        <v>#VALUE!</v>
      </c>
      <c r="H360" s="8" t="e">
        <f>IF(LeasingHab!$C$10="TARIFA 1",(C359*(VLOOKUP(LeasingHab!$C$25,Seguros_Oblig!$A$3:$B$55,2,FALSE))),(C359*(VLOOKUP(LeasingHab!$C$25,Seguros_Oblig!$A$3:$D$55,4,FALSE))))</f>
        <v>#VALUE!</v>
      </c>
      <c r="I360" s="8" t="e">
        <f>IF(LeasingHab!$C$10="TARIFA 1",(C359*(VLOOKUP(LeasingHab!$C$26,Seguros_Oblig!$A$3:$B$55,2,FALSE))),(C359*(VLOOKUP(LeasingHab!$C$26,Seguros_Oblig!$A$3:$D$55,4,FALSE))))</f>
        <v>#VALUE!</v>
      </c>
      <c r="J360" s="10">
        <f t="shared" si="34"/>
        <v>0</v>
      </c>
      <c r="K360" s="7" t="e">
        <f>IF((C359-1)&lt;$E$19,0,Seguros_Oblig!$N$4*(LeasingNOFam!$C$12*90%))</f>
        <v>#VALUE!</v>
      </c>
      <c r="L360" s="7" t="e">
        <f>IF(B360&gt;LeasingNOFam!$C$18,0,PMT(LeasingNOFam!$E$17,LeasingNOFam!$C$18,-LeasingNOFam!$C$15,,)-PMT(LeasingNOFam!$E$17,LeasingNOFam!$C$18,-LeasingNOFam!$C$22)+LeasingNOFam!$C$22*LeasingNOFam!$E$17)</f>
        <v>#VALUE!</v>
      </c>
      <c r="M360" s="9" t="e">
        <f t="shared" si="35"/>
        <v>#VALUE!</v>
      </c>
      <c r="N360" s="7" t="e">
        <f>IF(C359&lt;1,"0",LeasingHab!$C$39)</f>
        <v>#VALUE!</v>
      </c>
      <c r="O360" s="9" t="e">
        <f t="shared" si="36"/>
        <v>#VALUE!</v>
      </c>
    </row>
    <row r="361" spans="2:15" ht="15.5" hidden="1" x14ac:dyDescent="0.35">
      <c r="B361" s="6" t="e">
        <f t="shared" si="37"/>
        <v>#VALUE!</v>
      </c>
      <c r="C361" s="7" t="e">
        <f t="shared" si="32"/>
        <v>#VALUE!</v>
      </c>
      <c r="D361" s="7" t="e">
        <f t="shared" si="33"/>
        <v>#VALUE!</v>
      </c>
      <c r="E361" s="7" t="e">
        <f>IF((C360-1)&lt;$E$19,0,C360*LeasingNOFam!$E$17)</f>
        <v>#VALUE!</v>
      </c>
      <c r="F361" s="8" t="e">
        <f>IF((C360-1)&lt;$E$19,"0",C360*Seguros_Oblig!$N$3)</f>
        <v>#VALUE!</v>
      </c>
      <c r="G361" s="8" t="e">
        <f>IF(LeasingHab!$C$10="TARIFA 1",(C360*(VLOOKUP(LeasingHab!$C$24,Seguros_Oblig!$A$3:$B$55,2,FALSE))),(C360*(VLOOKUP(LeasingHab!$C$24,Seguros_Oblig!$A$3:$D$55,4,FALSE))))</f>
        <v>#VALUE!</v>
      </c>
      <c r="H361" s="8" t="e">
        <f>IF(LeasingHab!$C$10="TARIFA 1",(C360*(VLOOKUP(LeasingHab!$C$25,Seguros_Oblig!$A$3:$B$55,2,FALSE))),(C360*(VLOOKUP(LeasingHab!$C$25,Seguros_Oblig!$A$3:$D$55,4,FALSE))))</f>
        <v>#VALUE!</v>
      </c>
      <c r="I361" s="8" t="e">
        <f>IF(LeasingHab!$C$10="TARIFA 1",(C360*(VLOOKUP(LeasingHab!$C$26,Seguros_Oblig!$A$3:$B$55,2,FALSE))),(C360*(VLOOKUP(LeasingHab!$C$26,Seguros_Oblig!$A$3:$D$55,4,FALSE))))</f>
        <v>#VALUE!</v>
      </c>
      <c r="J361" s="10">
        <f t="shared" si="34"/>
        <v>0</v>
      </c>
      <c r="K361" s="7" t="e">
        <f>IF((C360-1)&lt;$E$19,0,Seguros_Oblig!$N$4*(LeasingNOFam!$C$12*90%))</f>
        <v>#VALUE!</v>
      </c>
      <c r="L361" s="7" t="e">
        <f>IF(B361&gt;LeasingNOFam!$C$18,0,PMT(LeasingNOFam!$E$17,LeasingNOFam!$C$18,-LeasingNOFam!$C$15,,)-PMT(LeasingNOFam!$E$17,LeasingNOFam!$C$18,-LeasingNOFam!$C$22)+LeasingNOFam!$C$22*LeasingNOFam!$E$17)</f>
        <v>#VALUE!</v>
      </c>
      <c r="M361" s="9" t="e">
        <f t="shared" si="35"/>
        <v>#VALUE!</v>
      </c>
      <c r="N361" s="7" t="e">
        <f>IF(C360&lt;1,"0",LeasingHab!$C$39)</f>
        <v>#VALUE!</v>
      </c>
      <c r="O361" s="9" t="e">
        <f t="shared" si="36"/>
        <v>#VALUE!</v>
      </c>
    </row>
    <row r="362" spans="2:15" ht="15.5" hidden="1" x14ac:dyDescent="0.35">
      <c r="B362" s="6" t="e">
        <f t="shared" si="37"/>
        <v>#VALUE!</v>
      </c>
      <c r="C362" s="7" t="e">
        <f t="shared" si="32"/>
        <v>#VALUE!</v>
      </c>
      <c r="D362" s="7" t="e">
        <f t="shared" si="33"/>
        <v>#VALUE!</v>
      </c>
      <c r="E362" s="7" t="e">
        <f>IF((C361-1)&lt;$E$19,0,C361*LeasingNOFam!$E$17)</f>
        <v>#VALUE!</v>
      </c>
      <c r="F362" s="8" t="e">
        <f>IF((C361-1)&lt;$E$19,"0",C361*Seguros_Oblig!$N$3)</f>
        <v>#VALUE!</v>
      </c>
      <c r="G362" s="8" t="e">
        <f>IF(LeasingHab!$C$10="TARIFA 1",(C361*(VLOOKUP(LeasingHab!$C$24,Seguros_Oblig!$A$3:$B$55,2,FALSE))),(C361*(VLOOKUP(LeasingHab!$C$24,Seguros_Oblig!$A$3:$D$55,4,FALSE))))</f>
        <v>#VALUE!</v>
      </c>
      <c r="H362" s="8" t="e">
        <f>IF(LeasingHab!$C$10="TARIFA 1",(C361*(VLOOKUP(LeasingHab!$C$25,Seguros_Oblig!$A$3:$B$55,2,FALSE))),(C361*(VLOOKUP(LeasingHab!$C$25,Seguros_Oblig!$A$3:$D$55,4,FALSE))))</f>
        <v>#VALUE!</v>
      </c>
      <c r="I362" s="8" t="e">
        <f>IF(LeasingHab!$C$10="TARIFA 1",(C361*(VLOOKUP(LeasingHab!$C$26,Seguros_Oblig!$A$3:$B$55,2,FALSE))),(C361*(VLOOKUP(LeasingHab!$C$26,Seguros_Oblig!$A$3:$D$55,4,FALSE))))</f>
        <v>#VALUE!</v>
      </c>
      <c r="J362" s="10">
        <f t="shared" si="34"/>
        <v>0</v>
      </c>
      <c r="K362" s="7" t="e">
        <f>IF((C361-1)&lt;$E$19,0,Seguros_Oblig!$N$4*(LeasingNOFam!$C$12*90%))</f>
        <v>#VALUE!</v>
      </c>
      <c r="L362" s="7" t="e">
        <f>IF(B362&gt;LeasingNOFam!$C$18,0,PMT(LeasingNOFam!$E$17,LeasingNOFam!$C$18,-LeasingNOFam!$C$15,,)-PMT(LeasingNOFam!$E$17,LeasingNOFam!$C$18,-LeasingNOFam!$C$22)+LeasingNOFam!$C$22*LeasingNOFam!$E$17)</f>
        <v>#VALUE!</v>
      </c>
      <c r="M362" s="9" t="e">
        <f t="shared" si="35"/>
        <v>#VALUE!</v>
      </c>
      <c r="N362" s="7" t="e">
        <f>IF(C361&lt;1,"0",LeasingHab!$C$39)</f>
        <v>#VALUE!</v>
      </c>
      <c r="O362" s="9" t="e">
        <f t="shared" si="36"/>
        <v>#VALUE!</v>
      </c>
    </row>
    <row r="363" spans="2:15" ht="15.5" hidden="1" x14ac:dyDescent="0.35">
      <c r="B363" s="6" t="e">
        <f t="shared" si="37"/>
        <v>#VALUE!</v>
      </c>
      <c r="C363" s="7" t="e">
        <f t="shared" si="32"/>
        <v>#VALUE!</v>
      </c>
      <c r="D363" s="7" t="e">
        <f t="shared" si="33"/>
        <v>#VALUE!</v>
      </c>
      <c r="E363" s="7" t="e">
        <f>IF((C362-1)&lt;$E$19,0,C362*LeasingNOFam!$E$17)</f>
        <v>#VALUE!</v>
      </c>
      <c r="F363" s="8" t="e">
        <f>IF((C362-1)&lt;$E$19,"0",C362*Seguros_Oblig!$N$3)</f>
        <v>#VALUE!</v>
      </c>
      <c r="G363" s="8" t="e">
        <f>IF(LeasingHab!$C$10="TARIFA 1",(C362*(VLOOKUP(LeasingHab!$C$24,Seguros_Oblig!$A$3:$B$55,2,FALSE))),(C362*(VLOOKUP(LeasingHab!$C$24,Seguros_Oblig!$A$3:$D$55,4,FALSE))))</f>
        <v>#VALUE!</v>
      </c>
      <c r="H363" s="8" t="e">
        <f>IF(LeasingHab!$C$10="TARIFA 1",(C362*(VLOOKUP(LeasingHab!$C$25,Seguros_Oblig!$A$3:$B$55,2,FALSE))),(C362*(VLOOKUP(LeasingHab!$C$25,Seguros_Oblig!$A$3:$D$55,4,FALSE))))</f>
        <v>#VALUE!</v>
      </c>
      <c r="I363" s="8" t="e">
        <f>IF(LeasingHab!$C$10="TARIFA 1",(C362*(VLOOKUP(LeasingHab!$C$26,Seguros_Oblig!$A$3:$B$55,2,FALSE))),(C362*(VLOOKUP(LeasingHab!$C$26,Seguros_Oblig!$A$3:$D$55,4,FALSE))))</f>
        <v>#VALUE!</v>
      </c>
      <c r="J363" s="10">
        <f t="shared" si="34"/>
        <v>0</v>
      </c>
      <c r="K363" s="7" t="e">
        <f>IF((C362-1)&lt;$E$19,0,Seguros_Oblig!$N$4*(LeasingNOFam!$C$12*90%))</f>
        <v>#VALUE!</v>
      </c>
      <c r="L363" s="7" t="e">
        <f>IF(B363&gt;LeasingNOFam!$C$18,0,PMT(LeasingNOFam!$E$17,LeasingNOFam!$C$18,-LeasingNOFam!$C$15,,)-PMT(LeasingNOFam!$E$17,LeasingNOFam!$C$18,-LeasingNOFam!$C$22)+LeasingNOFam!$C$22*LeasingNOFam!$E$17)</f>
        <v>#VALUE!</v>
      </c>
      <c r="M363" s="9" t="e">
        <f t="shared" si="35"/>
        <v>#VALUE!</v>
      </c>
      <c r="N363" s="7" t="e">
        <f>IF(C362&lt;1,"0",LeasingHab!$C$39)</f>
        <v>#VALUE!</v>
      </c>
      <c r="O363" s="9" t="e">
        <f t="shared" si="36"/>
        <v>#VALUE!</v>
      </c>
    </row>
    <row r="364" spans="2:15" ht="15.5" hidden="1" x14ac:dyDescent="0.35">
      <c r="B364" s="6" t="e">
        <f t="shared" si="37"/>
        <v>#VALUE!</v>
      </c>
      <c r="C364" s="7" t="e">
        <f t="shared" si="32"/>
        <v>#VALUE!</v>
      </c>
      <c r="D364" s="7" t="e">
        <f t="shared" si="33"/>
        <v>#VALUE!</v>
      </c>
      <c r="E364" s="7" t="e">
        <f>IF((C363-1)&lt;$E$19,0,C363*LeasingNOFam!$E$17)</f>
        <v>#VALUE!</v>
      </c>
      <c r="F364" s="8" t="e">
        <f>IF((C363-1)&lt;$E$19,"0",C363*Seguros_Oblig!$N$3)</f>
        <v>#VALUE!</v>
      </c>
      <c r="G364" s="8" t="e">
        <f>IF(LeasingHab!$C$10="TARIFA 1",(C363*(VLOOKUP(LeasingHab!$C$24,Seguros_Oblig!$A$3:$B$55,2,FALSE))),(C363*(VLOOKUP(LeasingHab!$C$24,Seguros_Oblig!$A$3:$D$55,4,FALSE))))</f>
        <v>#VALUE!</v>
      </c>
      <c r="H364" s="8" t="e">
        <f>IF(LeasingHab!$C$10="TARIFA 1",(C363*(VLOOKUP(LeasingHab!$C$25,Seguros_Oblig!$A$3:$B$55,2,FALSE))),(C363*(VLOOKUP(LeasingHab!$C$25,Seguros_Oblig!$A$3:$D$55,4,FALSE))))</f>
        <v>#VALUE!</v>
      </c>
      <c r="I364" s="8" t="e">
        <f>IF(LeasingHab!$C$10="TARIFA 1",(C363*(VLOOKUP(LeasingHab!$C$26,Seguros_Oblig!$A$3:$B$55,2,FALSE))),(C363*(VLOOKUP(LeasingHab!$C$26,Seguros_Oblig!$A$3:$D$55,4,FALSE))))</f>
        <v>#VALUE!</v>
      </c>
      <c r="J364" s="10">
        <f t="shared" si="34"/>
        <v>0</v>
      </c>
      <c r="K364" s="7" t="e">
        <f>IF((C363-1)&lt;$E$19,0,Seguros_Oblig!$N$4*(LeasingNOFam!$C$12*90%))</f>
        <v>#VALUE!</v>
      </c>
      <c r="L364" s="7" t="e">
        <f>IF(B364&gt;LeasingNOFam!$C$18,0,PMT(LeasingNOFam!$E$17,LeasingNOFam!$C$18,-LeasingNOFam!$C$15,,)-PMT(LeasingNOFam!$E$17,LeasingNOFam!$C$18,-LeasingNOFam!$C$22)+LeasingNOFam!$C$22*LeasingNOFam!$E$17)</f>
        <v>#VALUE!</v>
      </c>
      <c r="M364" s="9" t="e">
        <f t="shared" si="35"/>
        <v>#VALUE!</v>
      </c>
      <c r="N364" s="7" t="e">
        <f>IF(C363&lt;1,"0",LeasingHab!$C$39)</f>
        <v>#VALUE!</v>
      </c>
      <c r="O364" s="9" t="e">
        <f t="shared" si="36"/>
        <v>#VALUE!</v>
      </c>
    </row>
    <row r="365" spans="2:15" ht="15.5" hidden="1" x14ac:dyDescent="0.35">
      <c r="B365" s="6" t="e">
        <f t="shared" si="37"/>
        <v>#VALUE!</v>
      </c>
      <c r="C365" s="7" t="e">
        <f t="shared" si="32"/>
        <v>#VALUE!</v>
      </c>
      <c r="D365" s="7" t="e">
        <f t="shared" si="33"/>
        <v>#VALUE!</v>
      </c>
      <c r="E365" s="7" t="e">
        <f>IF((C364-1)&lt;$E$19,0,C364*LeasingNOFam!$E$17)</f>
        <v>#VALUE!</v>
      </c>
      <c r="F365" s="8" t="e">
        <f>IF((C364-1)&lt;$E$19,"0",C364*Seguros_Oblig!$N$3)</f>
        <v>#VALUE!</v>
      </c>
      <c r="G365" s="8" t="e">
        <f>IF(LeasingHab!$C$10="TARIFA 1",(C364*(VLOOKUP(LeasingHab!$C$24,Seguros_Oblig!$A$3:$B$55,2,FALSE))),(C364*(VLOOKUP(LeasingHab!$C$24,Seguros_Oblig!$A$3:$D$55,4,FALSE))))</f>
        <v>#VALUE!</v>
      </c>
      <c r="H365" s="8" t="e">
        <f>IF(LeasingHab!$C$10="TARIFA 1",(C364*(VLOOKUP(LeasingHab!$C$25,Seguros_Oblig!$A$3:$B$55,2,FALSE))),(C364*(VLOOKUP(LeasingHab!$C$25,Seguros_Oblig!$A$3:$D$55,4,FALSE))))</f>
        <v>#VALUE!</v>
      </c>
      <c r="I365" s="8" t="e">
        <f>IF(LeasingHab!$C$10="TARIFA 1",(C364*(VLOOKUP(LeasingHab!$C$26,Seguros_Oblig!$A$3:$B$55,2,FALSE))),(C364*(VLOOKUP(LeasingHab!$C$26,Seguros_Oblig!$A$3:$D$55,4,FALSE))))</f>
        <v>#VALUE!</v>
      </c>
      <c r="J365" s="10">
        <f t="shared" si="34"/>
        <v>0</v>
      </c>
      <c r="K365" s="7" t="e">
        <f>IF((C364-1)&lt;$E$19,0,Seguros_Oblig!$N$4*(LeasingNOFam!$C$12*90%))</f>
        <v>#VALUE!</v>
      </c>
      <c r="L365" s="7" t="e">
        <f>IF(B365&gt;LeasingNOFam!$C$18,0,PMT(LeasingNOFam!$E$17,LeasingNOFam!$C$18,-LeasingNOFam!$C$15,,)-PMT(LeasingNOFam!$E$17,LeasingNOFam!$C$18,-LeasingNOFam!$C$22)+LeasingNOFam!$C$22*LeasingNOFam!$E$17)</f>
        <v>#VALUE!</v>
      </c>
      <c r="M365" s="9" t="e">
        <f t="shared" si="35"/>
        <v>#VALUE!</v>
      </c>
      <c r="N365" s="7" t="e">
        <f>IF(C364&lt;1,"0",LeasingHab!$C$39)</f>
        <v>#VALUE!</v>
      </c>
      <c r="O365" s="9" t="e">
        <f t="shared" si="36"/>
        <v>#VALUE!</v>
      </c>
    </row>
    <row r="366" spans="2:15" ht="15.5" hidden="1" x14ac:dyDescent="0.35">
      <c r="B366" s="6" t="e">
        <f t="shared" si="37"/>
        <v>#VALUE!</v>
      </c>
      <c r="C366" s="7" t="e">
        <f t="shared" si="32"/>
        <v>#VALUE!</v>
      </c>
      <c r="D366" s="7" t="e">
        <f t="shared" si="33"/>
        <v>#VALUE!</v>
      </c>
      <c r="E366" s="7" t="e">
        <f>IF((C365-1)&lt;$E$19,0,C365*LeasingNOFam!$E$17)</f>
        <v>#VALUE!</v>
      </c>
      <c r="F366" s="8" t="e">
        <f>IF((C365-1)&lt;$E$19,"0",C365*Seguros_Oblig!$N$3)</f>
        <v>#VALUE!</v>
      </c>
      <c r="G366" s="8" t="e">
        <f>IF(LeasingHab!$C$10="TARIFA 1",(C365*(VLOOKUP(LeasingHab!$C$24,Seguros_Oblig!$A$3:$B$55,2,FALSE))),(C365*(VLOOKUP(LeasingHab!$C$24,Seguros_Oblig!$A$3:$D$55,4,FALSE))))</f>
        <v>#VALUE!</v>
      </c>
      <c r="H366" s="8" t="e">
        <f>IF(LeasingHab!$C$10="TARIFA 1",(C365*(VLOOKUP(LeasingHab!$C$25,Seguros_Oblig!$A$3:$B$55,2,FALSE))),(C365*(VLOOKUP(LeasingHab!$C$25,Seguros_Oblig!$A$3:$D$55,4,FALSE))))</f>
        <v>#VALUE!</v>
      </c>
      <c r="I366" s="8" t="e">
        <f>IF(LeasingHab!$C$10="TARIFA 1",(C365*(VLOOKUP(LeasingHab!$C$26,Seguros_Oblig!$A$3:$B$55,2,FALSE))),(C365*(VLOOKUP(LeasingHab!$C$26,Seguros_Oblig!$A$3:$D$55,4,FALSE))))</f>
        <v>#VALUE!</v>
      </c>
      <c r="J366" s="10">
        <f t="shared" si="34"/>
        <v>0</v>
      </c>
      <c r="K366" s="7" t="e">
        <f>IF((C365-1)&lt;$E$19,0,Seguros_Oblig!$N$4*(LeasingNOFam!$C$12*90%))</f>
        <v>#VALUE!</v>
      </c>
      <c r="L366" s="7" t="e">
        <f>IF(B366&gt;LeasingNOFam!$C$18,0,PMT(LeasingNOFam!$E$17,LeasingNOFam!$C$18,-LeasingNOFam!$C$15,,)-PMT(LeasingNOFam!$E$17,LeasingNOFam!$C$18,-LeasingNOFam!$C$22)+LeasingNOFam!$C$22*LeasingNOFam!$E$17)</f>
        <v>#VALUE!</v>
      </c>
      <c r="M366" s="9" t="e">
        <f t="shared" si="35"/>
        <v>#VALUE!</v>
      </c>
      <c r="N366" s="7" t="e">
        <f>IF(C365&lt;1,"0",LeasingHab!$C$39)</f>
        <v>#VALUE!</v>
      </c>
      <c r="O366" s="9" t="e">
        <f t="shared" si="36"/>
        <v>#VALUE!</v>
      </c>
    </row>
    <row r="367" spans="2:15" ht="15.5" hidden="1" x14ac:dyDescent="0.35">
      <c r="B367" s="6" t="e">
        <f t="shared" si="37"/>
        <v>#VALUE!</v>
      </c>
      <c r="C367" s="7" t="e">
        <f t="shared" si="32"/>
        <v>#VALUE!</v>
      </c>
      <c r="D367" s="7" t="e">
        <f t="shared" si="33"/>
        <v>#VALUE!</v>
      </c>
      <c r="E367" s="7" t="e">
        <f>IF((C366-1)&lt;$E$19,0,C366*LeasingNOFam!$E$17)</f>
        <v>#VALUE!</v>
      </c>
      <c r="F367" s="8" t="e">
        <f>IF((C366-1)&lt;$E$19,"0",C366*Seguros_Oblig!$N$3)</f>
        <v>#VALUE!</v>
      </c>
      <c r="G367" s="8" t="e">
        <f>IF(LeasingHab!$C$10="TARIFA 1",(C366*(VLOOKUP(LeasingHab!$C$24,Seguros_Oblig!$A$3:$B$55,2,FALSE))),(C366*(VLOOKUP(LeasingHab!$C$24,Seguros_Oblig!$A$3:$D$55,4,FALSE))))</f>
        <v>#VALUE!</v>
      </c>
      <c r="H367" s="8" t="e">
        <f>IF(LeasingHab!$C$10="TARIFA 1",(C366*(VLOOKUP(LeasingHab!$C$25,Seguros_Oblig!$A$3:$B$55,2,FALSE))),(C366*(VLOOKUP(LeasingHab!$C$25,Seguros_Oblig!$A$3:$D$55,4,FALSE))))</f>
        <v>#VALUE!</v>
      </c>
      <c r="I367" s="8" t="e">
        <f>IF(LeasingHab!$C$10="TARIFA 1",(C366*(VLOOKUP(LeasingHab!$C$26,Seguros_Oblig!$A$3:$B$55,2,FALSE))),(C366*(VLOOKUP(LeasingHab!$C$26,Seguros_Oblig!$A$3:$D$55,4,FALSE))))</f>
        <v>#VALUE!</v>
      </c>
      <c r="J367" s="10">
        <f t="shared" si="34"/>
        <v>0</v>
      </c>
      <c r="K367" s="7" t="e">
        <f>IF((C366-1)&lt;$E$19,0,Seguros_Oblig!$N$4*(LeasingNOFam!$C$12*90%))</f>
        <v>#VALUE!</v>
      </c>
      <c r="L367" s="7" t="e">
        <f>IF(B367&gt;LeasingNOFam!$C$18,0,PMT(LeasingNOFam!$E$17,LeasingNOFam!$C$18,-LeasingNOFam!$C$15,,)-PMT(LeasingNOFam!$E$17,LeasingNOFam!$C$18,-LeasingNOFam!$C$22)+LeasingNOFam!$C$22*LeasingNOFam!$E$17)</f>
        <v>#VALUE!</v>
      </c>
      <c r="M367" s="9" t="e">
        <f t="shared" si="35"/>
        <v>#VALUE!</v>
      </c>
      <c r="N367" s="7" t="e">
        <f>IF(C366&lt;1,"0",LeasingHab!$C$39)</f>
        <v>#VALUE!</v>
      </c>
      <c r="O367" s="9" t="e">
        <f t="shared" si="36"/>
        <v>#VALUE!</v>
      </c>
    </row>
    <row r="368" spans="2:15" ht="15.5" hidden="1" x14ac:dyDescent="0.35">
      <c r="B368" s="6" t="e">
        <f t="shared" si="37"/>
        <v>#VALUE!</v>
      </c>
      <c r="C368" s="7" t="e">
        <f t="shared" si="32"/>
        <v>#VALUE!</v>
      </c>
      <c r="D368" s="7" t="e">
        <f t="shared" si="33"/>
        <v>#VALUE!</v>
      </c>
      <c r="E368" s="7" t="e">
        <f>IF((C367-1)&lt;$E$19,0,C367*LeasingNOFam!$E$17)</f>
        <v>#VALUE!</v>
      </c>
      <c r="F368" s="8" t="e">
        <f>IF((C367-1)&lt;$E$19,"0",C367*Seguros_Oblig!$N$3)</f>
        <v>#VALUE!</v>
      </c>
      <c r="G368" s="8" t="e">
        <f>IF(LeasingHab!$C$10="TARIFA 1",(C367*(VLOOKUP(LeasingHab!$C$24,Seguros_Oblig!$A$3:$B$55,2,FALSE))),(C367*(VLOOKUP(LeasingHab!$C$24,Seguros_Oblig!$A$3:$D$55,4,FALSE))))</f>
        <v>#VALUE!</v>
      </c>
      <c r="H368" s="8" t="e">
        <f>IF(LeasingHab!$C$10="TARIFA 1",(C367*(VLOOKUP(LeasingHab!$C$25,Seguros_Oblig!$A$3:$B$55,2,FALSE))),(C367*(VLOOKUP(LeasingHab!$C$25,Seguros_Oblig!$A$3:$D$55,4,FALSE))))</f>
        <v>#VALUE!</v>
      </c>
      <c r="I368" s="8" t="e">
        <f>IF(LeasingHab!$C$10="TARIFA 1",(C367*(VLOOKUP(LeasingHab!$C$26,Seguros_Oblig!$A$3:$B$55,2,FALSE))),(C367*(VLOOKUP(LeasingHab!$C$26,Seguros_Oblig!$A$3:$D$55,4,FALSE))))</f>
        <v>#VALUE!</v>
      </c>
      <c r="J368" s="10">
        <f t="shared" si="34"/>
        <v>0</v>
      </c>
      <c r="K368" s="7" t="e">
        <f>IF((C367-1)&lt;$E$19,0,Seguros_Oblig!$N$4*(LeasingNOFam!$C$12*90%))</f>
        <v>#VALUE!</v>
      </c>
      <c r="L368" s="7" t="e">
        <f>IF(B368&gt;LeasingNOFam!$C$18,0,PMT(LeasingNOFam!$E$17,LeasingNOFam!$C$18,-LeasingNOFam!$C$15,,)-PMT(LeasingNOFam!$E$17,LeasingNOFam!$C$18,-LeasingNOFam!$C$22)+LeasingNOFam!$C$22*LeasingNOFam!$E$17)</f>
        <v>#VALUE!</v>
      </c>
      <c r="M368" s="9" t="e">
        <f t="shared" si="35"/>
        <v>#VALUE!</v>
      </c>
      <c r="N368" s="7" t="e">
        <f>IF(C367&lt;1,"0",LeasingHab!$C$39)</f>
        <v>#VALUE!</v>
      </c>
      <c r="O368" s="9" t="e">
        <f t="shared" si="36"/>
        <v>#VALUE!</v>
      </c>
    </row>
    <row r="369" spans="2:15" ht="15.5" hidden="1" x14ac:dyDescent="0.35">
      <c r="B369" s="6" t="e">
        <f t="shared" si="37"/>
        <v>#VALUE!</v>
      </c>
      <c r="C369" s="7" t="e">
        <f t="shared" si="32"/>
        <v>#VALUE!</v>
      </c>
      <c r="D369" s="7" t="e">
        <f t="shared" si="33"/>
        <v>#VALUE!</v>
      </c>
      <c r="E369" s="7" t="e">
        <f>IF((C368-1)&lt;$E$19,0,C368*LeasingNOFam!$E$17)</f>
        <v>#VALUE!</v>
      </c>
      <c r="F369" s="8" t="e">
        <f>IF((C368-1)&lt;$E$19,"0",C368*Seguros_Oblig!$N$3)</f>
        <v>#VALUE!</v>
      </c>
      <c r="G369" s="8" t="e">
        <f>IF(LeasingHab!$C$10="TARIFA 1",(C368*(VLOOKUP(LeasingHab!$C$24,Seguros_Oblig!$A$3:$B$55,2,FALSE))),(C368*(VLOOKUP(LeasingHab!$C$24,Seguros_Oblig!$A$3:$D$55,4,FALSE))))</f>
        <v>#VALUE!</v>
      </c>
      <c r="H369" s="8" t="e">
        <f>IF(LeasingHab!$C$10="TARIFA 1",(C368*(VLOOKUP(LeasingHab!$C$25,Seguros_Oblig!$A$3:$B$55,2,FALSE))),(C368*(VLOOKUP(LeasingHab!$C$25,Seguros_Oblig!$A$3:$D$55,4,FALSE))))</f>
        <v>#VALUE!</v>
      </c>
      <c r="I369" s="8" t="e">
        <f>IF(LeasingHab!$C$10="TARIFA 1",(C368*(VLOOKUP(LeasingHab!$C$26,Seguros_Oblig!$A$3:$B$55,2,FALSE))),(C368*(VLOOKUP(LeasingHab!$C$26,Seguros_Oblig!$A$3:$D$55,4,FALSE))))</f>
        <v>#VALUE!</v>
      </c>
      <c r="J369" s="10">
        <f t="shared" si="34"/>
        <v>0</v>
      </c>
      <c r="K369" s="7" t="e">
        <f>IF((C368-1)&lt;$E$19,0,Seguros_Oblig!$N$4*(LeasingNOFam!$C$12*90%))</f>
        <v>#VALUE!</v>
      </c>
      <c r="L369" s="7" t="e">
        <f>IF(B369&gt;LeasingNOFam!$C$18,0,PMT(LeasingNOFam!$E$17,LeasingNOFam!$C$18,-LeasingNOFam!$C$15,,)-PMT(LeasingNOFam!$E$17,LeasingNOFam!$C$18,-LeasingNOFam!$C$22)+LeasingNOFam!$C$22*LeasingNOFam!$E$17)</f>
        <v>#VALUE!</v>
      </c>
      <c r="M369" s="9" t="e">
        <f t="shared" si="35"/>
        <v>#VALUE!</v>
      </c>
      <c r="N369" s="7" t="e">
        <f>IF(C368&lt;1,"0",LeasingHab!$C$39)</f>
        <v>#VALUE!</v>
      </c>
      <c r="O369" s="9" t="e">
        <f t="shared" si="36"/>
        <v>#VALUE!</v>
      </c>
    </row>
    <row r="370" spans="2:15" ht="15.5" hidden="1" x14ac:dyDescent="0.35">
      <c r="B370" s="6" t="e">
        <f t="shared" si="37"/>
        <v>#VALUE!</v>
      </c>
      <c r="C370" s="7" t="e">
        <f t="shared" si="32"/>
        <v>#VALUE!</v>
      </c>
      <c r="D370" s="7" t="e">
        <f t="shared" si="33"/>
        <v>#VALUE!</v>
      </c>
      <c r="E370" s="7" t="e">
        <f>IF((C369-1)&lt;$E$19,0,C369*LeasingNOFam!$E$17)</f>
        <v>#VALUE!</v>
      </c>
      <c r="F370" s="8" t="e">
        <f>IF((C369-1)&lt;$E$19,"0",C369*Seguros_Oblig!$N$3)</f>
        <v>#VALUE!</v>
      </c>
      <c r="G370" s="8" t="e">
        <f>IF(LeasingHab!$C$10="TARIFA 1",(C369*(VLOOKUP(LeasingHab!$C$24,Seguros_Oblig!$A$3:$B$55,2,FALSE))),(C369*(VLOOKUP(LeasingHab!$C$24,Seguros_Oblig!$A$3:$D$55,4,FALSE))))</f>
        <v>#VALUE!</v>
      </c>
      <c r="H370" s="8" t="e">
        <f>IF(LeasingHab!$C$10="TARIFA 1",(C369*(VLOOKUP(LeasingHab!$C$25,Seguros_Oblig!$A$3:$B$55,2,FALSE))),(C369*(VLOOKUP(LeasingHab!$C$25,Seguros_Oblig!$A$3:$D$55,4,FALSE))))</f>
        <v>#VALUE!</v>
      </c>
      <c r="I370" s="8" t="e">
        <f>IF(LeasingHab!$C$10="TARIFA 1",(C369*(VLOOKUP(LeasingHab!$C$26,Seguros_Oblig!$A$3:$B$55,2,FALSE))),(C369*(VLOOKUP(LeasingHab!$C$26,Seguros_Oblig!$A$3:$D$55,4,FALSE))))</f>
        <v>#VALUE!</v>
      </c>
      <c r="J370" s="10">
        <f t="shared" si="34"/>
        <v>0</v>
      </c>
      <c r="K370" s="7" t="e">
        <f>IF((C369-1)&lt;$E$19,0,Seguros_Oblig!$N$4*(LeasingNOFam!$C$12*90%))</f>
        <v>#VALUE!</v>
      </c>
      <c r="L370" s="7" t="e">
        <f>IF(B370&gt;LeasingNOFam!$C$18,0,PMT(LeasingNOFam!$E$17,LeasingNOFam!$C$18,-LeasingNOFam!$C$15,,)-PMT(LeasingNOFam!$E$17,LeasingNOFam!$C$18,-LeasingNOFam!$C$22)+LeasingNOFam!$C$22*LeasingNOFam!$E$17)</f>
        <v>#VALUE!</v>
      </c>
      <c r="M370" s="9" t="e">
        <f t="shared" si="35"/>
        <v>#VALUE!</v>
      </c>
      <c r="N370" s="7" t="e">
        <f>IF(C369&lt;1,"0",LeasingHab!$C$39)</f>
        <v>#VALUE!</v>
      </c>
      <c r="O370" s="9" t="e">
        <f t="shared" si="36"/>
        <v>#VALUE!</v>
      </c>
    </row>
    <row r="371" spans="2:15" ht="15.5" hidden="1" x14ac:dyDescent="0.35">
      <c r="B371" s="6" t="e">
        <f t="shared" si="37"/>
        <v>#VALUE!</v>
      </c>
      <c r="C371" s="7" t="e">
        <f t="shared" si="32"/>
        <v>#VALUE!</v>
      </c>
      <c r="D371" s="7" t="e">
        <f t="shared" si="33"/>
        <v>#VALUE!</v>
      </c>
      <c r="E371" s="7" t="e">
        <f>IF((C370-1)&lt;$E$19,0,C370*LeasingNOFam!$E$17)</f>
        <v>#VALUE!</v>
      </c>
      <c r="F371" s="8" t="e">
        <f>IF((C370-1)&lt;$E$19,"0",C370*Seguros_Oblig!$N$3)</f>
        <v>#VALUE!</v>
      </c>
      <c r="G371" s="8" t="e">
        <f>IF(LeasingHab!$C$10="TARIFA 1",(C370*(VLOOKUP(LeasingHab!$C$24,Seguros_Oblig!$A$3:$B$55,2,FALSE))),(C370*(VLOOKUP(LeasingHab!$C$24,Seguros_Oblig!$A$3:$D$55,4,FALSE))))</f>
        <v>#VALUE!</v>
      </c>
      <c r="H371" s="8" t="e">
        <f>IF(LeasingHab!$C$10="TARIFA 1",(C370*(VLOOKUP(LeasingHab!$C$25,Seguros_Oblig!$A$3:$B$55,2,FALSE))),(C370*(VLOOKUP(LeasingHab!$C$25,Seguros_Oblig!$A$3:$D$55,4,FALSE))))</f>
        <v>#VALUE!</v>
      </c>
      <c r="I371" s="8" t="e">
        <f>IF(LeasingHab!$C$10="TARIFA 1",(C370*(VLOOKUP(LeasingHab!$C$26,Seguros_Oblig!$A$3:$B$55,2,FALSE))),(C370*(VLOOKUP(LeasingHab!$C$26,Seguros_Oblig!$A$3:$D$55,4,FALSE))))</f>
        <v>#VALUE!</v>
      </c>
      <c r="J371" s="10">
        <f t="shared" si="34"/>
        <v>0</v>
      </c>
      <c r="K371" s="7" t="e">
        <f>IF((C370-1)&lt;$E$19,0,Seguros_Oblig!$N$4*(LeasingNOFam!$C$12*90%))</f>
        <v>#VALUE!</v>
      </c>
      <c r="L371" s="7" t="e">
        <f>IF(B371&gt;LeasingNOFam!$C$18,0,PMT(LeasingNOFam!$E$17,LeasingNOFam!$C$18,-LeasingNOFam!$C$15,,)-PMT(LeasingNOFam!$E$17,LeasingNOFam!$C$18,-LeasingNOFam!$C$22)+LeasingNOFam!$C$22*LeasingNOFam!$E$17)</f>
        <v>#VALUE!</v>
      </c>
      <c r="M371" s="9" t="e">
        <f t="shared" si="35"/>
        <v>#VALUE!</v>
      </c>
      <c r="N371" s="7" t="e">
        <f>IF(C370&lt;1,"0",LeasingHab!$C$39)</f>
        <v>#VALUE!</v>
      </c>
      <c r="O371" s="9" t="e">
        <f t="shared" si="36"/>
        <v>#VALUE!</v>
      </c>
    </row>
    <row r="372" spans="2:15" ht="15.5" hidden="1" x14ac:dyDescent="0.35">
      <c r="B372" s="6" t="e">
        <f t="shared" si="37"/>
        <v>#VALUE!</v>
      </c>
      <c r="C372" s="7" t="e">
        <f t="shared" si="32"/>
        <v>#VALUE!</v>
      </c>
      <c r="D372" s="7" t="e">
        <f t="shared" si="33"/>
        <v>#VALUE!</v>
      </c>
      <c r="E372" s="7" t="e">
        <f>IF((C371-1)&lt;$E$19,0,C371*LeasingNOFam!$E$17)</f>
        <v>#VALUE!</v>
      </c>
      <c r="F372" s="8" t="e">
        <f>IF((C371-1)&lt;$E$19,"0",C371*Seguros_Oblig!$N$3)</f>
        <v>#VALUE!</v>
      </c>
      <c r="G372" s="8" t="e">
        <f>IF(LeasingHab!$C$10="TARIFA 1",(C371*(VLOOKUP(LeasingHab!$C$24,Seguros_Oblig!$A$3:$B$55,2,FALSE))),(C371*(VLOOKUP(LeasingHab!$C$24,Seguros_Oblig!$A$3:$D$55,4,FALSE))))</f>
        <v>#VALUE!</v>
      </c>
      <c r="H372" s="8" t="e">
        <f>IF(LeasingHab!$C$10="TARIFA 1",(C371*(VLOOKUP(LeasingHab!$C$25,Seguros_Oblig!$A$3:$B$55,2,FALSE))),(C371*(VLOOKUP(LeasingHab!$C$25,Seguros_Oblig!$A$3:$D$55,4,FALSE))))</f>
        <v>#VALUE!</v>
      </c>
      <c r="I372" s="8" t="e">
        <f>IF(LeasingHab!$C$10="TARIFA 1",(C371*(VLOOKUP(LeasingHab!$C$26,Seguros_Oblig!$A$3:$B$55,2,FALSE))),(C371*(VLOOKUP(LeasingHab!$C$26,Seguros_Oblig!$A$3:$D$55,4,FALSE))))</f>
        <v>#VALUE!</v>
      </c>
      <c r="J372" s="10">
        <f t="shared" si="34"/>
        <v>0</v>
      </c>
      <c r="K372" s="7" t="e">
        <f>IF((C371-1)&lt;$E$19,0,Seguros_Oblig!$N$4*(LeasingNOFam!$C$12*90%))</f>
        <v>#VALUE!</v>
      </c>
      <c r="L372" s="7" t="e">
        <f>IF(B372&gt;LeasingNOFam!$C$18,0,PMT(LeasingNOFam!$E$17,LeasingNOFam!$C$18,-LeasingNOFam!$C$15,,)-PMT(LeasingNOFam!$E$17,LeasingNOFam!$C$18,-LeasingNOFam!$C$22)+LeasingNOFam!$C$22*LeasingNOFam!$E$17)</f>
        <v>#VALUE!</v>
      </c>
      <c r="M372" s="9" t="e">
        <f t="shared" si="35"/>
        <v>#VALUE!</v>
      </c>
      <c r="N372" s="7" t="e">
        <f>IF(C371&lt;1,"0",LeasingHab!$C$39)</f>
        <v>#VALUE!</v>
      </c>
      <c r="O372" s="9" t="e">
        <f t="shared" si="36"/>
        <v>#VALUE!</v>
      </c>
    </row>
    <row r="373" spans="2:15" ht="15.5" hidden="1" x14ac:dyDescent="0.35">
      <c r="B373" s="6" t="e">
        <f t="shared" si="37"/>
        <v>#VALUE!</v>
      </c>
      <c r="C373" s="7" t="e">
        <f t="shared" si="32"/>
        <v>#VALUE!</v>
      </c>
      <c r="D373" s="7" t="e">
        <f t="shared" si="33"/>
        <v>#VALUE!</v>
      </c>
      <c r="E373" s="7" t="e">
        <f>IF((C372-1)&lt;$E$19,0,C372*LeasingNOFam!$E$17)</f>
        <v>#VALUE!</v>
      </c>
      <c r="F373" s="8" t="e">
        <f>IF((C372-1)&lt;$E$19,"0",C372*Seguros_Oblig!$N$3)</f>
        <v>#VALUE!</v>
      </c>
      <c r="G373" s="8" t="e">
        <f>IF(LeasingHab!$C$10="TARIFA 1",(C372*(VLOOKUP(LeasingHab!$C$24,Seguros_Oblig!$A$3:$B$55,2,FALSE))),(C372*(VLOOKUP(LeasingHab!$C$24,Seguros_Oblig!$A$3:$D$55,4,FALSE))))</f>
        <v>#VALUE!</v>
      </c>
      <c r="H373" s="8" t="e">
        <f>IF(LeasingHab!$C$10="TARIFA 1",(C372*(VLOOKUP(LeasingHab!$C$25,Seguros_Oblig!$A$3:$B$55,2,FALSE))),(C372*(VLOOKUP(LeasingHab!$C$25,Seguros_Oblig!$A$3:$D$55,4,FALSE))))</f>
        <v>#VALUE!</v>
      </c>
      <c r="I373" s="8" t="e">
        <f>IF(LeasingHab!$C$10="TARIFA 1",(C372*(VLOOKUP(LeasingHab!$C$26,Seguros_Oblig!$A$3:$B$55,2,FALSE))),(C372*(VLOOKUP(LeasingHab!$C$26,Seguros_Oblig!$A$3:$D$55,4,FALSE))))</f>
        <v>#VALUE!</v>
      </c>
      <c r="J373" s="10">
        <f t="shared" si="34"/>
        <v>0</v>
      </c>
      <c r="K373" s="7" t="e">
        <f>IF((C372-1)&lt;$E$19,0,Seguros_Oblig!$N$4*(LeasingNOFam!$C$12*90%))</f>
        <v>#VALUE!</v>
      </c>
      <c r="L373" s="7" t="e">
        <f>IF(B373&gt;LeasingNOFam!$C$18,0,PMT(LeasingNOFam!$E$17,LeasingNOFam!$C$18,-LeasingNOFam!$C$15,,)-PMT(LeasingNOFam!$E$17,LeasingNOFam!$C$18,-LeasingNOFam!$C$22)+LeasingNOFam!$C$22*LeasingNOFam!$E$17)</f>
        <v>#VALUE!</v>
      </c>
      <c r="M373" s="9" t="e">
        <f t="shared" si="35"/>
        <v>#VALUE!</v>
      </c>
      <c r="N373" s="7" t="e">
        <f>IF(C372&lt;1,"0",LeasingHab!$C$39)</f>
        <v>#VALUE!</v>
      </c>
      <c r="O373" s="9" t="e">
        <f t="shared" si="36"/>
        <v>#VALUE!</v>
      </c>
    </row>
    <row r="374" spans="2:15" ht="15.5" hidden="1" x14ac:dyDescent="0.35">
      <c r="B374" s="6" t="e">
        <f t="shared" si="37"/>
        <v>#VALUE!</v>
      </c>
      <c r="C374" s="7" t="e">
        <f t="shared" si="32"/>
        <v>#VALUE!</v>
      </c>
      <c r="D374" s="7" t="e">
        <f t="shared" si="33"/>
        <v>#VALUE!</v>
      </c>
      <c r="E374" s="7" t="e">
        <f>IF((C373-1)&lt;$E$19,0,C373*LeasingNOFam!$E$17)</f>
        <v>#VALUE!</v>
      </c>
      <c r="F374" s="8" t="e">
        <f>IF((C373-1)&lt;$E$19,"0",C373*Seguros_Oblig!$N$3)</f>
        <v>#VALUE!</v>
      </c>
      <c r="G374" s="8" t="e">
        <f>IF(LeasingHab!$C$10="TARIFA 1",(C373*(VLOOKUP(LeasingHab!$C$24,Seguros_Oblig!$A$3:$B$55,2,FALSE))),(C373*(VLOOKUP(LeasingHab!$C$24,Seguros_Oblig!$A$3:$D$55,4,FALSE))))</f>
        <v>#VALUE!</v>
      </c>
      <c r="H374" s="8" t="e">
        <f>IF(LeasingHab!$C$10="TARIFA 1",(C373*(VLOOKUP(LeasingHab!$C$25,Seguros_Oblig!$A$3:$B$55,2,FALSE))),(C373*(VLOOKUP(LeasingHab!$C$25,Seguros_Oblig!$A$3:$D$55,4,FALSE))))</f>
        <v>#VALUE!</v>
      </c>
      <c r="I374" s="8" t="e">
        <f>IF(LeasingHab!$C$10="TARIFA 1",(C373*(VLOOKUP(LeasingHab!$C$26,Seguros_Oblig!$A$3:$B$55,2,FALSE))),(C373*(VLOOKUP(LeasingHab!$C$26,Seguros_Oblig!$A$3:$D$55,4,FALSE))))</f>
        <v>#VALUE!</v>
      </c>
      <c r="J374" s="10">
        <f t="shared" si="34"/>
        <v>0</v>
      </c>
      <c r="K374" s="7" t="e">
        <f>IF((C373-1)&lt;$E$19,0,Seguros_Oblig!$N$4*(LeasingNOFam!$C$12*90%))</f>
        <v>#VALUE!</v>
      </c>
      <c r="L374" s="7" t="e">
        <f>IF(B374&gt;LeasingNOFam!$C$18,0,PMT(LeasingNOFam!$E$17,LeasingNOFam!$C$18,-LeasingNOFam!$C$15,,)-PMT(LeasingNOFam!$E$17,LeasingNOFam!$C$18,-LeasingNOFam!$C$22)+LeasingNOFam!$C$22*LeasingNOFam!$E$17)</f>
        <v>#VALUE!</v>
      </c>
      <c r="M374" s="9" t="e">
        <f t="shared" si="35"/>
        <v>#VALUE!</v>
      </c>
      <c r="N374" s="7" t="e">
        <f>IF(C373&lt;1,"0",LeasingHab!$C$39)</f>
        <v>#VALUE!</v>
      </c>
      <c r="O374" s="9" t="e">
        <f t="shared" si="36"/>
        <v>#VALUE!</v>
      </c>
    </row>
    <row r="375" spans="2:15" ht="15.5" hidden="1" x14ac:dyDescent="0.35">
      <c r="B375" s="6" t="e">
        <f t="shared" si="37"/>
        <v>#VALUE!</v>
      </c>
      <c r="C375" s="7" t="e">
        <f t="shared" si="32"/>
        <v>#VALUE!</v>
      </c>
      <c r="D375" s="7" t="e">
        <f t="shared" si="33"/>
        <v>#VALUE!</v>
      </c>
      <c r="E375" s="7" t="e">
        <f>IF((C374-1)&lt;$E$19,0,C374*LeasingNOFam!$E$17)</f>
        <v>#VALUE!</v>
      </c>
      <c r="F375" s="8" t="e">
        <f>IF((C374-1)&lt;$E$19,"0",C374*Seguros_Oblig!$N$3)</f>
        <v>#VALUE!</v>
      </c>
      <c r="G375" s="8" t="e">
        <f>IF(LeasingHab!$C$10="TARIFA 1",(C374*(VLOOKUP(LeasingHab!$C$24,Seguros_Oblig!$A$3:$B$55,2,FALSE))),(C374*(VLOOKUP(LeasingHab!$C$24,Seguros_Oblig!$A$3:$D$55,4,FALSE))))</f>
        <v>#VALUE!</v>
      </c>
      <c r="H375" s="8" t="e">
        <f>IF(LeasingHab!$C$10="TARIFA 1",(C374*(VLOOKUP(LeasingHab!$C$25,Seguros_Oblig!$A$3:$B$55,2,FALSE))),(C374*(VLOOKUP(LeasingHab!$C$25,Seguros_Oblig!$A$3:$D$55,4,FALSE))))</f>
        <v>#VALUE!</v>
      </c>
      <c r="I375" s="8" t="e">
        <f>IF(LeasingHab!$C$10="TARIFA 1",(C374*(VLOOKUP(LeasingHab!$C$26,Seguros_Oblig!$A$3:$B$55,2,FALSE))),(C374*(VLOOKUP(LeasingHab!$C$26,Seguros_Oblig!$A$3:$D$55,4,FALSE))))</f>
        <v>#VALUE!</v>
      </c>
      <c r="J375" s="10">
        <f t="shared" si="34"/>
        <v>0</v>
      </c>
      <c r="K375" s="7" t="e">
        <f>IF((C374-1)&lt;$E$19,0,Seguros_Oblig!$N$4*(LeasingNOFam!$C$12*90%))</f>
        <v>#VALUE!</v>
      </c>
      <c r="L375" s="7" t="e">
        <f>IF(B375&gt;LeasingNOFam!$C$18,0,PMT(LeasingNOFam!$E$17,LeasingNOFam!$C$18,-LeasingNOFam!$C$15,,)-PMT(LeasingNOFam!$E$17,LeasingNOFam!$C$18,-LeasingNOFam!$C$22)+LeasingNOFam!$C$22*LeasingNOFam!$E$17)</f>
        <v>#VALUE!</v>
      </c>
      <c r="M375" s="9" t="e">
        <f t="shared" si="35"/>
        <v>#VALUE!</v>
      </c>
      <c r="N375" s="7" t="e">
        <f>IF(C374&lt;1,"0",LeasingHab!$C$39)</f>
        <v>#VALUE!</v>
      </c>
      <c r="O375" s="9" t="e">
        <f t="shared" si="36"/>
        <v>#VALUE!</v>
      </c>
    </row>
    <row r="376" spans="2:15" ht="15.5" hidden="1" x14ac:dyDescent="0.35">
      <c r="B376" s="6" t="e">
        <f t="shared" si="37"/>
        <v>#VALUE!</v>
      </c>
      <c r="C376" s="7" t="e">
        <f t="shared" si="32"/>
        <v>#VALUE!</v>
      </c>
      <c r="D376" s="7" t="e">
        <f t="shared" si="33"/>
        <v>#VALUE!</v>
      </c>
      <c r="E376" s="7" t="e">
        <f>IF((C375-1)&lt;$E$19,0,C375*LeasingNOFam!$E$17)</f>
        <v>#VALUE!</v>
      </c>
      <c r="F376" s="8" t="e">
        <f>IF((C375-1)&lt;$E$19,"0",C375*Seguros_Oblig!$N$3)</f>
        <v>#VALUE!</v>
      </c>
      <c r="G376" s="8" t="e">
        <f>IF(LeasingHab!$C$10="TARIFA 1",(C375*(VLOOKUP(LeasingHab!$C$24,Seguros_Oblig!$A$3:$B$55,2,FALSE))),(C375*(VLOOKUP(LeasingHab!$C$24,Seguros_Oblig!$A$3:$D$55,4,FALSE))))</f>
        <v>#VALUE!</v>
      </c>
      <c r="H376" s="8" t="e">
        <f>IF(LeasingHab!$C$10="TARIFA 1",(C375*(VLOOKUP(LeasingHab!$C$25,Seguros_Oblig!$A$3:$B$55,2,FALSE))),(C375*(VLOOKUP(LeasingHab!$C$25,Seguros_Oblig!$A$3:$D$55,4,FALSE))))</f>
        <v>#VALUE!</v>
      </c>
      <c r="I376" s="8" t="e">
        <f>IF(LeasingHab!$C$10="TARIFA 1",(C375*(VLOOKUP(LeasingHab!$C$26,Seguros_Oblig!$A$3:$B$55,2,FALSE))),(C375*(VLOOKUP(LeasingHab!$C$26,Seguros_Oblig!$A$3:$D$55,4,FALSE))))</f>
        <v>#VALUE!</v>
      </c>
      <c r="J376" s="10">
        <f t="shared" si="34"/>
        <v>0</v>
      </c>
      <c r="K376" s="7" t="e">
        <f>IF((C375-1)&lt;$E$19,0,Seguros_Oblig!$N$4*(LeasingNOFam!$C$12*90%))</f>
        <v>#VALUE!</v>
      </c>
      <c r="L376" s="7" t="e">
        <f>IF(B376&gt;LeasingNOFam!$C$18,0,PMT(LeasingNOFam!$E$17,LeasingNOFam!$C$18,-LeasingNOFam!$C$15,,)-PMT(LeasingNOFam!$E$17,LeasingNOFam!$C$18,-LeasingNOFam!$C$22)+LeasingNOFam!$C$22*LeasingNOFam!$E$17)</f>
        <v>#VALUE!</v>
      </c>
      <c r="M376" s="9" t="e">
        <f t="shared" si="35"/>
        <v>#VALUE!</v>
      </c>
      <c r="N376" s="7" t="e">
        <f>IF(C375&lt;1,"0",LeasingHab!$C$39)</f>
        <v>#VALUE!</v>
      </c>
      <c r="O376" s="9" t="e">
        <f t="shared" si="36"/>
        <v>#VALUE!</v>
      </c>
    </row>
    <row r="377" spans="2:15" ht="15.5" hidden="1" x14ac:dyDescent="0.35">
      <c r="B377" s="6" t="e">
        <f t="shared" si="37"/>
        <v>#VALUE!</v>
      </c>
      <c r="C377" s="7" t="e">
        <f t="shared" si="32"/>
        <v>#VALUE!</v>
      </c>
      <c r="D377" s="7" t="e">
        <f t="shared" si="33"/>
        <v>#VALUE!</v>
      </c>
      <c r="E377" s="7" t="e">
        <f>IF((C376-1)&lt;$E$19,0,C376*LeasingNOFam!$E$17)</f>
        <v>#VALUE!</v>
      </c>
      <c r="F377" s="8" t="e">
        <f>IF((C376-1)&lt;$E$19,"0",C376*Seguros_Oblig!$N$3)</f>
        <v>#VALUE!</v>
      </c>
      <c r="G377" s="8" t="e">
        <f>IF(LeasingHab!$C$10="TARIFA 1",(C376*(VLOOKUP(LeasingHab!$C$24,Seguros_Oblig!$A$3:$B$55,2,FALSE))),(C376*(VLOOKUP(LeasingHab!$C$24,Seguros_Oblig!$A$3:$D$55,4,FALSE))))</f>
        <v>#VALUE!</v>
      </c>
      <c r="H377" s="8" t="e">
        <f>IF(LeasingHab!$C$10="TARIFA 1",(C376*(VLOOKUP(LeasingHab!$C$25,Seguros_Oblig!$A$3:$B$55,2,FALSE))),(C376*(VLOOKUP(LeasingHab!$C$25,Seguros_Oblig!$A$3:$D$55,4,FALSE))))</f>
        <v>#VALUE!</v>
      </c>
      <c r="I377" s="8" t="e">
        <f>IF(LeasingHab!$C$10="TARIFA 1",(C376*(VLOOKUP(LeasingHab!$C$26,Seguros_Oblig!$A$3:$B$55,2,FALSE))),(C376*(VLOOKUP(LeasingHab!$C$26,Seguros_Oblig!$A$3:$D$55,4,FALSE))))</f>
        <v>#VALUE!</v>
      </c>
      <c r="J377" s="10">
        <f t="shared" si="34"/>
        <v>0</v>
      </c>
      <c r="K377" s="7" t="e">
        <f>IF((C376-1)&lt;$E$19,0,Seguros_Oblig!$N$4*(LeasingNOFam!$C$12*90%))</f>
        <v>#VALUE!</v>
      </c>
      <c r="L377" s="7" t="e">
        <f>IF(B377&gt;LeasingNOFam!$C$18,0,PMT(LeasingNOFam!$E$17,LeasingNOFam!$C$18,-LeasingNOFam!$C$15,,)-PMT(LeasingNOFam!$E$17,LeasingNOFam!$C$18,-LeasingNOFam!$C$22)+LeasingNOFam!$C$22*LeasingNOFam!$E$17)</f>
        <v>#VALUE!</v>
      </c>
      <c r="M377" s="9" t="e">
        <f t="shared" si="35"/>
        <v>#VALUE!</v>
      </c>
      <c r="N377" s="7" t="e">
        <f>IF(C376&lt;1,"0",LeasingHab!$C$39)</f>
        <v>#VALUE!</v>
      </c>
      <c r="O377" s="9" t="e">
        <f t="shared" si="36"/>
        <v>#VALUE!</v>
      </c>
    </row>
    <row r="378" spans="2:15" ht="15.5" hidden="1" x14ac:dyDescent="0.35">
      <c r="B378" s="6" t="e">
        <f t="shared" si="37"/>
        <v>#VALUE!</v>
      </c>
      <c r="C378" s="7" t="e">
        <f t="shared" si="32"/>
        <v>#VALUE!</v>
      </c>
      <c r="D378" s="7" t="e">
        <f t="shared" si="33"/>
        <v>#VALUE!</v>
      </c>
      <c r="E378" s="7" t="e">
        <f>IF((C377-1)&lt;$E$19,0,C377*LeasingNOFam!$E$17)</f>
        <v>#VALUE!</v>
      </c>
      <c r="F378" s="8" t="e">
        <f>IF((C377-1)&lt;$E$19,"0",C377*Seguros_Oblig!$N$3)</f>
        <v>#VALUE!</v>
      </c>
      <c r="G378" s="8" t="e">
        <f>IF(LeasingHab!$C$10="TARIFA 1",(C377*(VLOOKUP(LeasingHab!$C$24,Seguros_Oblig!$A$3:$B$55,2,FALSE))),(C377*(VLOOKUP(LeasingHab!$C$24,Seguros_Oblig!$A$3:$D$55,4,FALSE))))</f>
        <v>#VALUE!</v>
      </c>
      <c r="H378" s="8" t="e">
        <f>IF(LeasingHab!$C$10="TARIFA 1",(C377*(VLOOKUP(LeasingHab!$C$25,Seguros_Oblig!$A$3:$B$55,2,FALSE))),(C377*(VLOOKUP(LeasingHab!$C$25,Seguros_Oblig!$A$3:$D$55,4,FALSE))))</f>
        <v>#VALUE!</v>
      </c>
      <c r="I378" s="8" t="e">
        <f>IF(LeasingHab!$C$10="TARIFA 1",(C377*(VLOOKUP(LeasingHab!$C$26,Seguros_Oblig!$A$3:$B$55,2,FALSE))),(C377*(VLOOKUP(LeasingHab!$C$26,Seguros_Oblig!$A$3:$D$55,4,FALSE))))</f>
        <v>#VALUE!</v>
      </c>
      <c r="J378" s="10">
        <f t="shared" si="34"/>
        <v>0</v>
      </c>
      <c r="K378" s="7" t="e">
        <f>IF((C377-1)&lt;$E$19,0,Seguros_Oblig!$N$4*(LeasingNOFam!$C$12*90%))</f>
        <v>#VALUE!</v>
      </c>
      <c r="L378" s="7" t="e">
        <f>IF(B378&gt;LeasingNOFam!$C$18,0,PMT(LeasingNOFam!$E$17,LeasingNOFam!$C$18,-LeasingNOFam!$C$15,,)-PMT(LeasingNOFam!$E$17,LeasingNOFam!$C$18,-LeasingNOFam!$C$22)+LeasingNOFam!$C$22*LeasingNOFam!$E$17)</f>
        <v>#VALUE!</v>
      </c>
      <c r="M378" s="9" t="e">
        <f t="shared" si="35"/>
        <v>#VALUE!</v>
      </c>
      <c r="N378" s="7" t="e">
        <f>IF(C377&lt;1,"0",LeasingHab!$C$39)</f>
        <v>#VALUE!</v>
      </c>
      <c r="O378" s="9" t="e">
        <f t="shared" si="36"/>
        <v>#VALUE!</v>
      </c>
    </row>
    <row r="379" spans="2:15" ht="15.5" hidden="1" x14ac:dyDescent="0.35">
      <c r="B379" s="6" t="e">
        <f t="shared" si="37"/>
        <v>#VALUE!</v>
      </c>
      <c r="C379" s="7" t="e">
        <f t="shared" si="32"/>
        <v>#VALUE!</v>
      </c>
      <c r="D379" s="7" t="e">
        <f t="shared" si="33"/>
        <v>#VALUE!</v>
      </c>
      <c r="E379" s="7" t="e">
        <f>IF((C378-1)&lt;$E$19,0,C378*LeasingNOFam!$E$17)</f>
        <v>#VALUE!</v>
      </c>
      <c r="F379" s="8" t="e">
        <f>IF((C378-1)&lt;$E$19,"0",C378*Seguros_Oblig!$N$3)</f>
        <v>#VALUE!</v>
      </c>
      <c r="G379" s="8" t="e">
        <f>IF(LeasingHab!$C$10="TARIFA 1",(C378*(VLOOKUP(LeasingHab!$C$24,Seguros_Oblig!$A$3:$B$55,2,FALSE))),(C378*(VLOOKUP(LeasingHab!$C$24,Seguros_Oblig!$A$3:$D$55,4,FALSE))))</f>
        <v>#VALUE!</v>
      </c>
      <c r="H379" s="8" t="e">
        <f>IF(LeasingHab!$C$10="TARIFA 1",(C378*(VLOOKUP(LeasingHab!$C$25,Seguros_Oblig!$A$3:$B$55,2,FALSE))),(C378*(VLOOKUP(LeasingHab!$C$25,Seguros_Oblig!$A$3:$D$55,4,FALSE))))</f>
        <v>#VALUE!</v>
      </c>
      <c r="I379" s="8" t="e">
        <f>IF(LeasingHab!$C$10="TARIFA 1",(C378*(VLOOKUP(LeasingHab!$C$26,Seguros_Oblig!$A$3:$B$55,2,FALSE))),(C378*(VLOOKUP(LeasingHab!$C$26,Seguros_Oblig!$A$3:$D$55,4,FALSE))))</f>
        <v>#VALUE!</v>
      </c>
      <c r="J379" s="10">
        <f t="shared" si="34"/>
        <v>0</v>
      </c>
      <c r="K379" s="7" t="e">
        <f>IF((C378-1)&lt;$E$19,0,Seguros_Oblig!$N$4*(LeasingNOFam!$C$12*90%))</f>
        <v>#VALUE!</v>
      </c>
      <c r="L379" s="7" t="e">
        <f>IF(B379&gt;LeasingNOFam!$C$18,0,PMT(LeasingNOFam!$E$17,LeasingNOFam!$C$18,-LeasingNOFam!$C$15,,)-PMT(LeasingNOFam!$E$17,LeasingNOFam!$C$18,-LeasingNOFam!$C$22)+LeasingNOFam!$C$22*LeasingNOFam!$E$17)</f>
        <v>#VALUE!</v>
      </c>
      <c r="M379" s="9" t="e">
        <f t="shared" si="35"/>
        <v>#VALUE!</v>
      </c>
      <c r="N379" s="7" t="e">
        <f>IF(C378&lt;1,"0",LeasingHab!$C$39)</f>
        <v>#VALUE!</v>
      </c>
      <c r="O379" s="9" t="e">
        <f t="shared" si="36"/>
        <v>#VALUE!</v>
      </c>
    </row>
    <row r="380" spans="2:15" ht="15.5" hidden="1" x14ac:dyDescent="0.35">
      <c r="B380" s="6" t="e">
        <f t="shared" si="37"/>
        <v>#VALUE!</v>
      </c>
      <c r="C380" s="7" t="e">
        <f t="shared" si="32"/>
        <v>#VALUE!</v>
      </c>
      <c r="D380" s="7" t="e">
        <f t="shared" si="33"/>
        <v>#VALUE!</v>
      </c>
      <c r="E380" s="7" t="e">
        <f>IF((C379-1)&lt;$E$19,0,C379*LeasingNOFam!$E$17)</f>
        <v>#VALUE!</v>
      </c>
      <c r="F380" s="8" t="e">
        <f>IF((C379-1)&lt;$E$19,"0",C379*Seguros_Oblig!$N$3)</f>
        <v>#VALUE!</v>
      </c>
      <c r="G380" s="8" t="e">
        <f>IF(LeasingHab!$C$10="TARIFA 1",(C379*(VLOOKUP(LeasingHab!$C$24,Seguros_Oblig!$A$3:$B$55,2,FALSE))),(C379*(VLOOKUP(LeasingHab!$C$24,Seguros_Oblig!$A$3:$D$55,4,FALSE))))</f>
        <v>#VALUE!</v>
      </c>
      <c r="H380" s="8" t="e">
        <f>IF(LeasingHab!$C$10="TARIFA 1",(C379*(VLOOKUP(LeasingHab!$C$25,Seguros_Oblig!$A$3:$B$55,2,FALSE))),(C379*(VLOOKUP(LeasingHab!$C$25,Seguros_Oblig!$A$3:$D$55,4,FALSE))))</f>
        <v>#VALUE!</v>
      </c>
      <c r="I380" s="8" t="e">
        <f>IF(LeasingHab!$C$10="TARIFA 1",(C379*(VLOOKUP(LeasingHab!$C$26,Seguros_Oblig!$A$3:$B$55,2,FALSE))),(C379*(VLOOKUP(LeasingHab!$C$26,Seguros_Oblig!$A$3:$D$55,4,FALSE))))</f>
        <v>#VALUE!</v>
      </c>
      <c r="J380" s="10">
        <f t="shared" si="34"/>
        <v>0</v>
      </c>
      <c r="K380" s="7" t="e">
        <f>IF((C379-1)&lt;$E$19,0,Seguros_Oblig!$N$4*(LeasingNOFam!$C$12*90%))</f>
        <v>#VALUE!</v>
      </c>
      <c r="L380" s="7" t="e">
        <f>IF(B380&gt;LeasingNOFam!$C$18,0,PMT(LeasingNOFam!$E$17,LeasingNOFam!$C$18,-LeasingNOFam!$C$15,,)-PMT(LeasingNOFam!$E$17,LeasingNOFam!$C$18,-LeasingNOFam!$C$22)+LeasingNOFam!$C$22*LeasingNOFam!$E$17)</f>
        <v>#VALUE!</v>
      </c>
      <c r="M380" s="9" t="e">
        <f t="shared" si="35"/>
        <v>#VALUE!</v>
      </c>
      <c r="N380" s="7" t="e">
        <f>IF(C379&lt;1,"0",LeasingHab!$C$39)</f>
        <v>#VALUE!</v>
      </c>
      <c r="O380" s="9" t="e">
        <f t="shared" si="36"/>
        <v>#VALUE!</v>
      </c>
    </row>
    <row r="381" spans="2:15" ht="15.5" hidden="1" x14ac:dyDescent="0.35">
      <c r="B381" s="6" t="e">
        <f t="shared" si="37"/>
        <v>#VALUE!</v>
      </c>
      <c r="C381" s="7" t="e">
        <f t="shared" si="32"/>
        <v>#VALUE!</v>
      </c>
      <c r="D381" s="7" t="e">
        <f t="shared" si="33"/>
        <v>#VALUE!</v>
      </c>
      <c r="E381" s="7" t="e">
        <f>IF((C380-1)&lt;$E$19,0,C380*LeasingNOFam!$E$17)</f>
        <v>#VALUE!</v>
      </c>
      <c r="F381" s="8" t="e">
        <f>IF((C380-1)&lt;$E$19,"0",C380*Seguros_Oblig!$N$3)</f>
        <v>#VALUE!</v>
      </c>
      <c r="G381" s="8" t="e">
        <f>IF(LeasingHab!$C$10="TARIFA 1",(C380*(VLOOKUP(LeasingHab!$C$24,Seguros_Oblig!$A$3:$B$55,2,FALSE))),(C380*(VLOOKUP(LeasingHab!$C$24,Seguros_Oblig!$A$3:$D$55,4,FALSE))))</f>
        <v>#VALUE!</v>
      </c>
      <c r="H381" s="8" t="e">
        <f>IF(LeasingHab!$C$10="TARIFA 1",(C380*(VLOOKUP(LeasingHab!$C$25,Seguros_Oblig!$A$3:$B$55,2,FALSE))),(C380*(VLOOKUP(LeasingHab!$C$25,Seguros_Oblig!$A$3:$D$55,4,FALSE))))</f>
        <v>#VALUE!</v>
      </c>
      <c r="I381" s="8" t="e">
        <f>IF(LeasingHab!$C$10="TARIFA 1",(C380*(VLOOKUP(LeasingHab!$C$26,Seguros_Oblig!$A$3:$B$55,2,FALSE))),(C380*(VLOOKUP(LeasingHab!$C$26,Seguros_Oblig!$A$3:$D$55,4,FALSE))))</f>
        <v>#VALUE!</v>
      </c>
      <c r="J381" s="10">
        <f t="shared" si="34"/>
        <v>0</v>
      </c>
      <c r="K381" s="7" t="e">
        <f>IF((C380-1)&lt;$E$19,0,Seguros_Oblig!$N$4*(LeasingNOFam!$C$12*90%))</f>
        <v>#VALUE!</v>
      </c>
      <c r="L381" s="7" t="e">
        <f>IF(B381&gt;LeasingNOFam!$C$18,0,PMT(LeasingNOFam!$E$17,LeasingNOFam!$C$18,-LeasingNOFam!$C$15,,)-PMT(LeasingNOFam!$E$17,LeasingNOFam!$C$18,-LeasingNOFam!$C$22)+LeasingNOFam!$C$22*LeasingNOFam!$E$17)</f>
        <v>#VALUE!</v>
      </c>
      <c r="M381" s="9" t="e">
        <f t="shared" si="35"/>
        <v>#VALUE!</v>
      </c>
      <c r="N381" s="7" t="e">
        <f>IF(C380&lt;1,"0",LeasingHab!$C$39)</f>
        <v>#VALUE!</v>
      </c>
      <c r="O381" s="9" t="e">
        <f t="shared" si="36"/>
        <v>#VALUE!</v>
      </c>
    </row>
  </sheetData>
  <sheetProtection algorithmName="SHA-512" hashValue="fk1kIuicWG/hTKbjwVlcaTFwo7yUsnr7XBS2/hFEejnIoAGqh9Hc2JIzZLMGv4eocAIf69VXyUSHVtZkZmyqgw==" saltValue="6ZRXBGhidK2fXgR3Lfwn2g==" spinCount="100000" sheet="1" objects="1" scenarios="1"/>
  <mergeCells count="6">
    <mergeCell ref="L1:M4"/>
    <mergeCell ref="B19:D19"/>
    <mergeCell ref="E2:K3"/>
    <mergeCell ref="B5:M13"/>
    <mergeCell ref="B14:M16"/>
    <mergeCell ref="B17:C17"/>
  </mergeCells>
  <conditionalFormatting sqref="B21:B381">
    <cfRule type="cellIs" dxfId="81" priority="7" stopIfTrue="1" operator="greaterThan">
      <formula>$E$27</formula>
    </cfRule>
  </conditionalFormatting>
  <conditionalFormatting sqref="C21:C381">
    <cfRule type="cellIs" dxfId="80" priority="1" operator="lessThan">
      <formula>$E$19-2</formula>
    </cfRule>
    <cfRule type="cellIs" dxfId="79" priority="4" operator="lessThan">
      <formula>0</formula>
    </cfRule>
  </conditionalFormatting>
  <conditionalFormatting sqref="C262">
    <cfRule type="cellIs" dxfId="78" priority="5" operator="lessThan">
      <formula>0</formula>
    </cfRule>
    <cfRule type="cellIs" dxfId="77" priority="6" operator="lessThan">
      <formula>0</formula>
    </cfRule>
  </conditionalFormatting>
  <conditionalFormatting sqref="E19">
    <cfRule type="cellIs" dxfId="76" priority="2" operator="lessThan">
      <formula>0</formula>
    </cfRule>
  </conditionalFormatting>
  <conditionalFormatting sqref="E21:E381 J142:J381">
    <cfRule type="cellIs" dxfId="75" priority="3" operator="lessThan">
      <formula>0</formula>
    </cfRule>
  </conditionalFormatting>
  <pageMargins left="0.7" right="0.7" top="0.75" bottom="0.75" header="0.3" footer="0.3"/>
  <pageSetup paperSize="9" scale="71"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3EDD-C7F8-455B-907B-05CAFC299EDD}">
  <sheetPr codeName="Hoja15"/>
  <dimension ref="A1:AA32"/>
  <sheetViews>
    <sheetView showGridLines="0" zoomScale="80" zoomScaleNormal="80" workbookViewId="0">
      <selection activeCell="B24" sqref="B24"/>
    </sheetView>
  </sheetViews>
  <sheetFormatPr baseColWidth="10" defaultColWidth="11.453125" defaultRowHeight="14.5" x14ac:dyDescent="0.35"/>
  <cols>
    <col min="1" max="1" width="4.453125" style="2" customWidth="1"/>
    <col min="2" max="2" width="43.26953125" style="2" customWidth="1"/>
    <col min="3" max="3" width="11.54296875" style="2" customWidth="1"/>
    <col min="4" max="4" width="20.26953125" style="2" customWidth="1"/>
    <col min="5" max="5" width="5.81640625" style="2" customWidth="1"/>
    <col min="6" max="6" width="17.7265625" style="2" customWidth="1"/>
    <col min="7" max="7" width="17.54296875" style="2" customWidth="1"/>
    <col min="8" max="8" width="13.81640625" style="2" customWidth="1"/>
    <col min="9" max="9" width="16" style="2" customWidth="1"/>
    <col min="10" max="10" width="11.26953125" style="2" customWidth="1"/>
    <col min="11" max="11" width="16.453125" style="2" customWidth="1"/>
    <col min="12" max="12" width="11.7265625" style="2" hidden="1" customWidth="1"/>
    <col min="13" max="19" width="15.1796875" style="2" hidden="1" customWidth="1"/>
    <col min="20" max="27" width="11.453125" style="2" hidden="1" customWidth="1"/>
    <col min="28" max="28" width="11.453125" style="2" customWidth="1"/>
    <col min="29" max="16384" width="11.453125" style="2"/>
  </cols>
  <sheetData>
    <row r="1" spans="1:27" ht="15" customHeight="1" x14ac:dyDescent="0.35">
      <c r="C1" s="61"/>
      <c r="D1" s="61"/>
      <c r="E1" s="61"/>
      <c r="F1" s="61"/>
      <c r="G1" s="61"/>
      <c r="H1" s="430" t="str">
        <f>Pantalla_Inicio!J1</f>
        <v>Código: PCV_FOR_006
Versión: V02
Fecha de actualización: 04/05/2026</v>
      </c>
      <c r="I1" s="431"/>
      <c r="J1" s="112"/>
      <c r="K1" s="112"/>
      <c r="L1" s="112"/>
    </row>
    <row r="2" spans="1:27" ht="30.75" customHeight="1" x14ac:dyDescent="0.55000000000000004">
      <c r="C2" s="143"/>
      <c r="D2" s="143"/>
      <c r="E2" s="143"/>
      <c r="F2" s="143"/>
      <c r="G2" s="143"/>
      <c r="H2" s="432"/>
      <c r="I2" s="433"/>
      <c r="J2" s="112"/>
      <c r="K2" s="112"/>
      <c r="L2" s="112"/>
      <c r="N2" s="111" t="s">
        <v>37</v>
      </c>
      <c r="O2" s="111"/>
      <c r="P2" s="111"/>
      <c r="Q2" s="111" t="s">
        <v>38</v>
      </c>
      <c r="R2" s="111"/>
      <c r="S2" s="111"/>
      <c r="T2" s="111" t="s">
        <v>39</v>
      </c>
      <c r="U2" s="111"/>
      <c r="V2" s="111"/>
      <c r="W2" s="111" t="s">
        <v>41</v>
      </c>
      <c r="X2" s="111"/>
      <c r="Y2" s="111"/>
      <c r="Z2" s="111"/>
      <c r="AA2" s="111" t="s">
        <v>2528</v>
      </c>
    </row>
    <row r="3" spans="1:27" ht="24.75" customHeight="1" x14ac:dyDescent="0.35">
      <c r="A3" s="69"/>
      <c r="B3" s="69"/>
      <c r="C3" s="69"/>
      <c r="D3" s="69"/>
      <c r="E3" s="69"/>
      <c r="F3" s="69"/>
      <c r="G3" s="69"/>
      <c r="H3" s="434"/>
      <c r="I3" s="435"/>
      <c r="J3" s="96" t="s">
        <v>2346</v>
      </c>
      <c r="K3" s="112"/>
      <c r="L3" s="112"/>
      <c r="M3" s="11"/>
      <c r="N3" s="2" t="s">
        <v>50</v>
      </c>
      <c r="Q3" s="2" t="s">
        <v>51</v>
      </c>
      <c r="T3" s="2" t="s">
        <v>52</v>
      </c>
      <c r="W3" s="2" t="s">
        <v>2529</v>
      </c>
      <c r="AA3" s="2" t="s">
        <v>31</v>
      </c>
    </row>
    <row r="4" spans="1:27" ht="10.5" customHeight="1" x14ac:dyDescent="0.35">
      <c r="A4" s="11"/>
      <c r="B4" s="11"/>
      <c r="C4" s="11"/>
      <c r="D4" s="11"/>
      <c r="E4" s="11"/>
      <c r="F4" s="11"/>
      <c r="G4" s="11"/>
      <c r="H4" s="144"/>
      <c r="I4" s="144"/>
      <c r="J4" s="112"/>
      <c r="K4" s="112"/>
      <c r="L4" s="144"/>
      <c r="M4" s="11"/>
      <c r="N4" s="2" t="s">
        <v>75</v>
      </c>
      <c r="Q4" s="2" t="s">
        <v>66</v>
      </c>
      <c r="T4" s="2" t="s">
        <v>61</v>
      </c>
      <c r="W4" s="2" t="s">
        <v>2530</v>
      </c>
      <c r="AA4" s="2" t="str">
        <f>IF(D14="NO VIS","Leasing Habitacional Familiar","")</f>
        <v/>
      </c>
    </row>
    <row r="5" spans="1:27" ht="17.5" customHeight="1" x14ac:dyDescent="0.55000000000000004">
      <c r="A5" s="11"/>
      <c r="B5" s="515" t="s">
        <v>31</v>
      </c>
      <c r="C5" s="515"/>
      <c r="D5" s="515"/>
      <c r="E5" s="16"/>
      <c r="F5" s="11"/>
      <c r="G5" s="11"/>
      <c r="H5" s="11"/>
      <c r="I5" s="11"/>
      <c r="J5" s="11"/>
      <c r="K5" s="144"/>
      <c r="L5" s="112"/>
      <c r="M5" s="11"/>
      <c r="N5" s="2" t="s">
        <v>92</v>
      </c>
      <c r="W5" s="2" t="s">
        <v>56</v>
      </c>
      <c r="AA5" s="2" t="s">
        <v>34</v>
      </c>
    </row>
    <row r="6" spans="1:27" ht="23.25" customHeight="1" x14ac:dyDescent="0.35">
      <c r="A6" s="145"/>
      <c r="B6" s="516" t="s">
        <v>2348</v>
      </c>
      <c r="C6" s="516"/>
      <c r="D6" s="516"/>
      <c r="E6" s="79"/>
      <c r="F6" s="59"/>
      <c r="G6" s="59"/>
      <c r="H6" s="59"/>
      <c r="I6" s="59"/>
      <c r="J6" s="59"/>
      <c r="K6" s="112"/>
      <c r="L6" s="112"/>
      <c r="M6" s="11"/>
      <c r="AA6" s="2" t="s">
        <v>2441</v>
      </c>
    </row>
    <row r="7" spans="1:27" ht="19.5" customHeight="1" x14ac:dyDescent="0.35">
      <c r="A7" s="145"/>
      <c r="B7" s="517" t="s">
        <v>2349</v>
      </c>
      <c r="C7" s="518"/>
      <c r="D7" s="519"/>
      <c r="E7" s="79"/>
      <c r="F7" s="59"/>
      <c r="G7" s="59"/>
      <c r="H7" s="59"/>
      <c r="I7" s="59"/>
      <c r="J7" s="59"/>
      <c r="K7" s="112"/>
      <c r="L7" s="112"/>
      <c r="M7" s="11"/>
    </row>
    <row r="8" spans="1:27" ht="14.25" customHeight="1" x14ac:dyDescent="0.35">
      <c r="A8" s="145"/>
      <c r="E8" s="79"/>
      <c r="F8" s="59"/>
      <c r="G8" s="59"/>
      <c r="H8" s="59"/>
      <c r="I8" s="59"/>
      <c r="J8" s="59"/>
      <c r="K8" s="112"/>
      <c r="L8" s="14"/>
      <c r="M8" s="14"/>
    </row>
    <row r="9" spans="1:27" ht="19.5" customHeight="1" x14ac:dyDescent="0.35">
      <c r="A9" s="145"/>
      <c r="B9" s="520" t="s">
        <v>2531</v>
      </c>
      <c r="C9" s="521"/>
      <c r="D9" s="522"/>
      <c r="E9" s="79"/>
      <c r="F9" s="516" t="s">
        <v>2532</v>
      </c>
      <c r="G9" s="516"/>
      <c r="H9" s="516"/>
      <c r="I9" s="59"/>
      <c r="J9" s="59"/>
      <c r="K9" s="14"/>
      <c r="L9" s="14"/>
      <c r="M9" s="14"/>
    </row>
    <row r="10" spans="1:27" ht="6" customHeight="1" thickBot="1" x14ac:dyDescent="0.4">
      <c r="A10" s="145"/>
      <c r="B10" s="54"/>
      <c r="C10" s="54"/>
      <c r="D10" s="54"/>
      <c r="E10" s="79"/>
      <c r="F10" s="59"/>
      <c r="G10" s="59"/>
      <c r="H10" s="59"/>
      <c r="I10" s="59"/>
      <c r="J10" s="59"/>
      <c r="K10" s="14"/>
      <c r="L10" s="120">
        <f>D11</f>
        <v>0</v>
      </c>
      <c r="M10" s="59"/>
      <c r="N10" s="111" t="s">
        <v>40</v>
      </c>
      <c r="P10" s="111"/>
    </row>
    <row r="11" spans="1:27" ht="16.5" customHeight="1" thickBot="1" x14ac:dyDescent="0.4">
      <c r="A11" s="145"/>
      <c r="B11" s="524" t="s">
        <v>2533</v>
      </c>
      <c r="C11" s="525"/>
      <c r="D11" s="98"/>
      <c r="E11" s="79"/>
      <c r="F11" s="223" t="s">
        <v>2534</v>
      </c>
      <c r="G11" s="224"/>
      <c r="H11" s="101" t="s">
        <v>61</v>
      </c>
      <c r="I11" s="106"/>
      <c r="K11" s="59"/>
      <c r="L11" s="79">
        <f>C12</f>
        <v>0</v>
      </c>
      <c r="M11" s="59"/>
      <c r="N11" s="2">
        <v>0</v>
      </c>
      <c r="O11" s="2">
        <f>N12-1</f>
        <v>788</v>
      </c>
      <c r="P11" s="2" t="s">
        <v>58</v>
      </c>
    </row>
    <row r="12" spans="1:27" ht="16.5" customHeight="1" thickBot="1" x14ac:dyDescent="0.4">
      <c r="A12" s="145"/>
      <c r="B12" s="71" t="s">
        <v>2363</v>
      </c>
      <c r="C12" s="526"/>
      <c r="D12" s="527"/>
      <c r="E12" s="79"/>
      <c r="F12" s="536" t="str">
        <f>IF(H11="Si","Indica tasa especial en terminos E.A.","")</f>
        <v/>
      </c>
      <c r="G12" s="537"/>
      <c r="H12" s="175"/>
      <c r="I12" s="106"/>
      <c r="K12" s="59"/>
      <c r="L12" s="120">
        <f>D13</f>
        <v>0</v>
      </c>
      <c r="M12" s="59"/>
      <c r="N12" s="2">
        <v>789</v>
      </c>
      <c r="P12" s="2" t="s">
        <v>53</v>
      </c>
    </row>
    <row r="13" spans="1:27" ht="15.75" customHeight="1" x14ac:dyDescent="0.35">
      <c r="A13" s="145"/>
      <c r="B13" s="529" t="s">
        <v>2365</v>
      </c>
      <c r="C13" s="530"/>
      <c r="D13" s="99"/>
      <c r="E13" s="155"/>
      <c r="I13" s="106"/>
      <c r="K13" s="59"/>
      <c r="L13" s="120" t="str">
        <f>D14</f>
        <v/>
      </c>
      <c r="M13" s="59"/>
    </row>
    <row r="14" spans="1:27" ht="15.65" customHeight="1" x14ac:dyDescent="0.35">
      <c r="A14" s="145"/>
      <c r="B14" s="531" t="s">
        <v>2535</v>
      </c>
      <c r="C14" s="531"/>
      <c r="D14" s="113" t="str">
        <f>_xlfn.IFNA(IF(D13&gt;(VLOOKUP(C12,'Ciudades y SMMLV'!A1:E1119,5,0)),"NO VIS","VIS"),"")</f>
        <v/>
      </c>
      <c r="E14" s="79"/>
      <c r="F14" s="79" t="e" cm="1">
        <f t="array" ref="F14">_xlfn.IFS(D19=O16,P16,((D19&gt;=N17)*AND(D19&lt;=O17)),P17,((D19&gt;=N18)*AND(D19&lt;=O18)),P18,((D19&gt;=N19)*AND(D19&lt;=O19)),P19,((D19&gt;=N20)*AND(D19&lt;=O20)),P20,((D19&gt;=N21)*AND(D19&lt;=O21)),P21)</f>
        <v>#N/A</v>
      </c>
      <c r="G14" s="59"/>
      <c r="H14" s="59"/>
      <c r="I14" s="59"/>
      <c r="J14" s="59"/>
      <c r="K14" s="59"/>
      <c r="L14" s="120"/>
      <c r="M14" s="59"/>
    </row>
    <row r="15" spans="1:27" ht="15" customHeight="1" thickBot="1" x14ac:dyDescent="0.4">
      <c r="A15" s="145"/>
      <c r="B15" s="15"/>
      <c r="C15" s="15"/>
      <c r="D15" s="15"/>
      <c r="E15" s="109"/>
      <c r="F15" s="59"/>
      <c r="G15" s="59"/>
      <c r="H15" s="59"/>
      <c r="I15" s="59"/>
      <c r="J15" s="59"/>
      <c r="K15" s="59"/>
      <c r="L15" s="79"/>
      <c r="M15" s="59"/>
      <c r="N15" s="111" t="s">
        <v>2536</v>
      </c>
    </row>
    <row r="16" spans="1:27" ht="21" x14ac:dyDescent="0.5">
      <c r="A16" s="145"/>
      <c r="B16" s="512" t="s">
        <v>2537</v>
      </c>
      <c r="C16" s="513"/>
      <c r="D16" s="514"/>
      <c r="E16" s="79"/>
      <c r="F16" s="153"/>
      <c r="G16" s="153"/>
      <c r="H16" s="153"/>
      <c r="I16" s="153"/>
      <c r="J16" s="153"/>
      <c r="K16" s="59"/>
      <c r="L16" s="120">
        <f t="shared" ref="L16" si="0">D17</f>
        <v>0</v>
      </c>
      <c r="M16" s="59"/>
      <c r="N16" s="111">
        <v>0</v>
      </c>
      <c r="O16" s="2">
        <v>60</v>
      </c>
      <c r="P16" s="2" t="s">
        <v>42</v>
      </c>
    </row>
    <row r="17" spans="1:22" ht="6" customHeight="1" thickBot="1" x14ac:dyDescent="0.4">
      <c r="A17" s="145"/>
      <c r="B17" s="13"/>
      <c r="C17" s="13"/>
      <c r="D17" s="13"/>
      <c r="E17" s="79"/>
      <c r="K17" s="59"/>
      <c r="L17" s="121">
        <f>D18</f>
        <v>0</v>
      </c>
      <c r="M17" s="59"/>
      <c r="N17" s="111">
        <v>61</v>
      </c>
      <c r="O17" s="2">
        <v>84</v>
      </c>
      <c r="P17" s="2" t="s">
        <v>43</v>
      </c>
    </row>
    <row r="18" spans="1:22" ht="17.5" customHeight="1" thickBot="1" x14ac:dyDescent="0.45">
      <c r="A18" s="145"/>
      <c r="B18" s="534" t="s">
        <v>2538</v>
      </c>
      <c r="C18" s="535"/>
      <c r="D18" s="99"/>
      <c r="E18" s="104">
        <f>_xlfn.IFNA(IF(D14="VIS",D13*80%,D13*70%),0)</f>
        <v>0</v>
      </c>
      <c r="F18" s="536" t="s">
        <v>2539</v>
      </c>
      <c r="G18" s="537"/>
      <c r="H18" s="114" t="str">
        <f>IF(H11="No",IFERROR(INDEX('Tasas inteligentes'!A5:AH55,MATCH('Tasas inteligentes'!A3,'Tasas inteligentes'!A5:A55,0),MATCH('Tasas inteligentes'!A2,'Tasas inteligentes'!A5:AH5,0)),""),"")</f>
        <v/>
      </c>
      <c r="I18" s="134" t="str">
        <f>IFERROR(INDEX('Tasas inteligentes'!A5:AA55,MATCH('Tasas inteligentes'!AA3,'Tasas inteligentes'!A5:A55,0),MATCH('Tasas inteligentes'!AA2,'Tasas inteligentes'!A5:AA5,0)),"")</f>
        <v/>
      </c>
      <c r="J18" s="119"/>
      <c r="K18" s="59"/>
      <c r="L18" s="122">
        <f t="shared" ref="L18" si="1">D19</f>
        <v>0</v>
      </c>
      <c r="M18" s="59"/>
      <c r="N18" s="2">
        <v>85</v>
      </c>
      <c r="O18" s="2">
        <v>120</v>
      </c>
      <c r="P18" s="2" t="s">
        <v>44</v>
      </c>
    </row>
    <row r="19" spans="1:22" ht="15.65" customHeight="1" thickBot="1" x14ac:dyDescent="0.45">
      <c r="A19" s="145"/>
      <c r="B19" s="534" t="s">
        <v>2540</v>
      </c>
      <c r="C19" s="535"/>
      <c r="D19" s="103"/>
      <c r="E19" s="79" t="e" cm="1">
        <f t="array" ref="E19">_xlfn.IFS(D14="VIS",360,D14="NO VIS",240)</f>
        <v>#N/A</v>
      </c>
      <c r="G19" s="87" t="s">
        <v>2541</v>
      </c>
      <c r="H19" s="115" t="str">
        <f>IFERROR(NOMINAL(H18,12)/12,"")</f>
        <v/>
      </c>
      <c r="I19" s="135" t="str">
        <f>IFERROR(NOMINAL(I18,12)/12,"")</f>
        <v/>
      </c>
      <c r="J19" s="119"/>
      <c r="K19" s="59"/>
      <c r="L19" s="79" t="str">
        <f>IF(B5="Crédito de Vivienda","Leasing Habitacional Familiar","Crédito de Vivienda")</f>
        <v>Leasing Habitacional Familiar</v>
      </c>
      <c r="M19" s="11"/>
      <c r="N19" s="2">
        <f>O18+1</f>
        <v>121</v>
      </c>
      <c r="O19" s="2">
        <v>180</v>
      </c>
      <c r="P19" s="2" t="s">
        <v>45</v>
      </c>
    </row>
    <row r="20" spans="1:22" ht="17.25" customHeight="1" thickBot="1" x14ac:dyDescent="0.4">
      <c r="A20" s="145"/>
      <c r="B20" s="416" t="s">
        <v>2655</v>
      </c>
      <c r="C20" s="13"/>
      <c r="D20" s="13"/>
      <c r="E20" s="79"/>
      <c r="F20" s="79" t="str" cm="1">
        <f t="array" ref="F20">_xlfn.IFS(D25&lt;=O11,P11,D25&gt;=N12,P12)</f>
        <v>&lt;789</v>
      </c>
      <c r="G20" s="59"/>
      <c r="H20" s="59"/>
      <c r="I20" s="59"/>
      <c r="J20" s="59"/>
      <c r="K20" s="59"/>
      <c r="L20" s="120"/>
      <c r="N20" s="2">
        <f>O19+1</f>
        <v>181</v>
      </c>
      <c r="O20" s="2">
        <v>240</v>
      </c>
      <c r="P20" s="2" t="s">
        <v>46</v>
      </c>
    </row>
    <row r="21" spans="1:22" ht="18.75" customHeight="1" x14ac:dyDescent="0.35">
      <c r="A21" s="145"/>
      <c r="B21" s="512" t="s">
        <v>2542</v>
      </c>
      <c r="C21" s="513"/>
      <c r="D21" s="514"/>
      <c r="E21" s="79"/>
      <c r="F21" s="538" t="str">
        <f>IF(H18="","","La tasa aquí informada corresponde a las condiciones actuales de aprobación, la tasa que le aplicará al cliente será la que este vigente al momento del desembolso.")</f>
        <v/>
      </c>
      <c r="G21" s="538"/>
      <c r="H21" s="538"/>
      <c r="I21" s="538"/>
      <c r="J21" s="538"/>
      <c r="K21" s="11"/>
      <c r="L21" s="79"/>
      <c r="M21" s="59"/>
      <c r="N21" s="2">
        <f>O20+1</f>
        <v>241</v>
      </c>
      <c r="O21" s="2">
        <v>360</v>
      </c>
      <c r="P21" s="2" t="s">
        <v>47</v>
      </c>
    </row>
    <row r="22" spans="1:22" ht="6" customHeight="1" x14ac:dyDescent="0.35">
      <c r="A22" s="145"/>
      <c r="B22" s="72"/>
      <c r="C22" s="72"/>
      <c r="D22" s="156" t="str">
        <f>IF(D23="Otros","Otros","Asalariado y Pensionado")</f>
        <v>Asalariado y Pensionado</v>
      </c>
      <c r="E22" s="79"/>
      <c r="F22" s="538"/>
      <c r="G22" s="538"/>
      <c r="H22" s="538"/>
      <c r="I22" s="538"/>
      <c r="J22" s="538"/>
      <c r="L22" s="120"/>
      <c r="M22" s="59"/>
    </row>
    <row r="23" spans="1:22" ht="15.5" x14ac:dyDescent="0.35">
      <c r="A23" s="145"/>
      <c r="B23" s="532" t="s">
        <v>41</v>
      </c>
      <c r="C23" s="533" t="str" cm="1">
        <f t="array" ref="C23">IFERROR(_xlfn.IFS(AND(C13="NO VIS",D23="MI CASA YA"),"ERROR",AND(C13="VIS",D23="FRECH NO VIS"),"ERROR",AND(C13="VIS",D23="ECOBERTURA"),"ERROR"),"")</f>
        <v/>
      </c>
      <c r="D23" s="100"/>
      <c r="E23" s="79"/>
      <c r="F23" s="538"/>
      <c r="G23" s="538"/>
      <c r="H23" s="538"/>
      <c r="I23" s="538"/>
      <c r="J23" s="538"/>
      <c r="K23" s="59"/>
      <c r="L23" s="123">
        <f>D23</f>
        <v>0</v>
      </c>
      <c r="M23" s="59"/>
    </row>
    <row r="24" spans="1:22" ht="16.5" x14ac:dyDescent="0.35">
      <c r="A24" s="145"/>
      <c r="B24" s="532" t="s">
        <v>2543</v>
      </c>
      <c r="C24" s="533"/>
      <c r="D24" s="101"/>
      <c r="E24" s="79"/>
      <c r="F24" s="538"/>
      <c r="G24" s="538"/>
      <c r="H24" s="538"/>
      <c r="I24" s="538"/>
      <c r="J24" s="538"/>
      <c r="K24" s="59"/>
      <c r="L24" s="120">
        <f t="shared" ref="L24" si="2">D24</f>
        <v>0</v>
      </c>
      <c r="M24" s="59"/>
    </row>
    <row r="25" spans="1:22" ht="16.5" x14ac:dyDescent="0.35">
      <c r="A25" s="145"/>
      <c r="B25" s="532" t="s">
        <v>2544</v>
      </c>
      <c r="C25" s="533"/>
      <c r="D25" s="102"/>
      <c r="E25" s="110"/>
      <c r="K25" s="59"/>
      <c r="L25" s="124">
        <f>D25</f>
        <v>0</v>
      </c>
      <c r="M25" s="59"/>
      <c r="N25" s="33"/>
      <c r="O25" s="33"/>
      <c r="P25" s="33"/>
      <c r="Q25" s="33"/>
      <c r="R25" s="33"/>
      <c r="V25" s="52">
        <v>0.3</v>
      </c>
    </row>
    <row r="26" spans="1:22" ht="15.75" customHeight="1" x14ac:dyDescent="0.35">
      <c r="A26" s="145"/>
      <c r="C26" s="145"/>
      <c r="D26" s="109"/>
      <c r="E26" s="79"/>
      <c r="K26" s="59"/>
      <c r="L26" s="59"/>
      <c r="M26" s="33"/>
    </row>
    <row r="27" spans="1:22" ht="15.75" customHeight="1" x14ac:dyDescent="0.35">
      <c r="A27" s="145"/>
      <c r="C27" s="145"/>
      <c r="D27" s="109"/>
      <c r="E27" s="79"/>
      <c r="K27" s="58"/>
    </row>
    <row r="28" spans="1:22" ht="18" customHeight="1" x14ac:dyDescent="0.35">
      <c r="A28" s="145"/>
      <c r="C28" s="145"/>
      <c r="D28" s="109"/>
      <c r="E28" s="109"/>
      <c r="K28" s="58"/>
    </row>
    <row r="29" spans="1:22" x14ac:dyDescent="0.35">
      <c r="C29" s="145"/>
      <c r="D29" s="109"/>
      <c r="E29" s="154"/>
    </row>
    <row r="30" spans="1:22" x14ac:dyDescent="0.35">
      <c r="C30" s="145"/>
      <c r="D30" s="145"/>
      <c r="E30" s="109"/>
    </row>
    <row r="31" spans="1:22" x14ac:dyDescent="0.35">
      <c r="C31" s="145"/>
      <c r="D31" s="145"/>
      <c r="E31" s="145"/>
    </row>
    <row r="32" spans="1:22" x14ac:dyDescent="0.35">
      <c r="C32" s="145"/>
      <c r="D32" s="145"/>
      <c r="E32" s="145"/>
    </row>
  </sheetData>
  <sheetProtection algorithmName="SHA-512" hashValue="dyc1+sF+ypb8vj+GYaB/CkNT0khR9AKnsr9DtBs4jY0b9sJA3kj0HBtpfT089XFp71MfgvOYJn3uY7nYN3cGTA==" saltValue="9nxSjw4xj2tvLwP13salPg==" spinCount="100000" sheet="1" objects="1" scenarios="1"/>
  <mergeCells count="20">
    <mergeCell ref="B11:C11"/>
    <mergeCell ref="F9:H9"/>
    <mergeCell ref="B5:D5"/>
    <mergeCell ref="H1:I3"/>
    <mergeCell ref="B6:D6"/>
    <mergeCell ref="B7:D7"/>
    <mergeCell ref="B9:D9"/>
    <mergeCell ref="F12:G12"/>
    <mergeCell ref="F18:G18"/>
    <mergeCell ref="F21:J24"/>
    <mergeCell ref="B24:C24"/>
    <mergeCell ref="B25:C25"/>
    <mergeCell ref="B18:C18"/>
    <mergeCell ref="B19:C19"/>
    <mergeCell ref="B21:D21"/>
    <mergeCell ref="B23:C23"/>
    <mergeCell ref="C12:D12"/>
    <mergeCell ref="B13:C13"/>
    <mergeCell ref="B14:C14"/>
    <mergeCell ref="B16:D16"/>
  </mergeCells>
  <conditionalFormatting sqref="D18">
    <cfRule type="cellIs" dxfId="74" priority="11" operator="greaterThan">
      <formula>$E$18</formula>
    </cfRule>
  </conditionalFormatting>
  <conditionalFormatting sqref="D19">
    <cfRule type="cellIs" dxfId="73" priority="10" operator="greaterThan">
      <formula>$E$19</formula>
    </cfRule>
  </conditionalFormatting>
  <conditionalFormatting sqref="F21 K27:K28">
    <cfRule type="containsText" dxfId="71" priority="6" operator="containsText" text="&quot;La tasa aquí informada corresponde a las condiciones actuales de aprobación, la tasa que le aplicará al cliente será la que este vigente al momento del desembolso&quot;">
      <formula>NOT(ISERROR(SEARCH("""La tasa aquí informada corresponde a las condiciones actuales de aprobación, la tasa que le aplicará al cliente será la que este vigente al momento del desembolso""",F21)))</formula>
    </cfRule>
    <cfRule type="containsText" dxfId="70" priority="7" operator="containsText" text="&quot;La tasa aquí informada corresponde a las condiciones actuales de aprobación, la tasa que le aplicará al cliente sera la que este vigente al momento del desembolso&quot;">
      <formula>NOT(ISERROR(SEARCH("""La tasa aquí informada corresponde a las condiciones actuales de aprobación, la tasa que le aplicará al cliente sera la que este vigente al momento del desembolso""",F21)))</formula>
    </cfRule>
  </conditionalFormatting>
  <conditionalFormatting sqref="F16:J16">
    <cfRule type="containsText" dxfId="69" priority="8" operator="containsText" text="Escoje la opción que aplique">
      <formula>NOT(ISERROR(SEARCH("Escoje la opción que aplique",F16)))</formula>
    </cfRule>
  </conditionalFormatting>
  <conditionalFormatting sqref="H12">
    <cfRule type="expression" dxfId="68" priority="1">
      <formula>$H$11="No"</formula>
    </cfRule>
  </conditionalFormatting>
  <conditionalFormatting sqref="H18:H19">
    <cfRule type="containsBlanks" dxfId="67" priority="9">
      <formula>LEN(TRIM(H18))=0</formula>
    </cfRule>
  </conditionalFormatting>
  <dataValidations count="7">
    <dataValidation type="whole" allowBlank="1" showInputMessage="1" showErrorMessage="1" errorTitle="Plazo NO corresponde" error="El plazo ingresado no aplica" sqref="D19" xr:uid="{BE420970-82CE-4246-82C0-83150F56B91D}">
      <formula1>60</formula1>
      <formula2>E19</formula2>
    </dataValidation>
    <dataValidation type="whole" allowBlank="1" showInputMessage="1" showErrorMessage="1" errorTitle="Valor NO corresponde" error="El valor ingresado supera el porcentaje máximo de financiación" sqref="D18" xr:uid="{CA7F747C-A9FD-40D0-8A65-36FAFB04BD73}">
      <formula1>0</formula1>
      <formula2>E18</formula2>
    </dataValidation>
    <dataValidation type="list" allowBlank="1" showInputMessage="1" showErrorMessage="1" errorTitle="Programa no aplica" error="El programa de Gobierno NO aplica según el tipo de vivienda. Por favor corregir" sqref="D24" xr:uid="{B4818767-8D24-448E-A124-95B766429D2B}">
      <formula1>$N$3:$N$5</formula1>
    </dataValidation>
    <dataValidation type="list" allowBlank="1" showInputMessage="1" showErrorMessage="1" errorTitle="Programa no aplica" error="El programa de Gobierno NO aplica según el tipo de vivienda. Por favor corregir" sqref="D23" xr:uid="{102B9EC6-E37A-43D7-BEDE-E9C23BC6B0F1}">
      <formula1>$W$3:$W$5</formula1>
    </dataValidation>
    <dataValidation type="list" allowBlank="1" showInputMessage="1" showErrorMessage="1" sqref="D24" xr:uid="{C7F7ECD7-63EA-443E-AC4F-E7DF0A8FA17E}">
      <formula1>$N$3:$N$5</formula1>
    </dataValidation>
    <dataValidation type="list" allowBlank="1" showInputMessage="1" showErrorMessage="1" sqref="D11 H11" xr:uid="{E01739E2-8E93-4858-8BDD-93ADA1E1C859}">
      <formula1>$T$3:$T$4</formula1>
    </dataValidation>
    <dataValidation type="decimal" allowBlank="1" showInputMessage="1" showErrorMessage="1" sqref="H12" xr:uid="{78A0BB55-1A60-4E0A-BE0A-5865AA8990A4}">
      <formula1>0.04</formula1>
      <formula2>0.2</formula2>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5" operator="containsText" id="{21B58B8B-0094-423B-98AA-626263C70951}">
            <xm:f>NOT(ISERROR(SEARCH($F$21,F21)))</xm:f>
            <xm:f>$F$21</xm:f>
            <x14:dxf>
              <font>
                <color rgb="FF006100"/>
              </font>
              <fill>
                <patternFill>
                  <bgColor rgb="FFC6EFCE"/>
                </patternFill>
              </fill>
            </x14:dxf>
          </x14:cfRule>
          <xm:sqref>F21 K27:K28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9104097-C493-4073-9577-AC465FF908D6}">
          <x14:formula1>
            <xm:f>'Ciudades y SMMLV'!$A$2:$A$1119</xm:f>
          </x14:formula1>
          <xm:sqref>C12:D12</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0F8A8-1F2D-458E-8220-E19731D893E5}">
  <sheetPr codeName="Hoja2"/>
  <dimension ref="A1:M45"/>
  <sheetViews>
    <sheetView showGridLines="0" zoomScale="85" zoomScaleNormal="85" workbookViewId="0">
      <pane ySplit="6" topLeftCell="A7" activePane="bottomLeft" state="frozen"/>
      <selection activeCell="B24" sqref="B24"/>
      <selection pane="bottomLeft" activeCell="B24" sqref="B24"/>
    </sheetView>
  </sheetViews>
  <sheetFormatPr baseColWidth="10" defaultColWidth="11.453125" defaultRowHeight="15" customHeight="1" x14ac:dyDescent="0.35"/>
  <cols>
    <col min="1" max="1" width="43.26953125" style="2" customWidth="1"/>
    <col min="2" max="2" width="7.54296875" style="2" customWidth="1"/>
    <col min="3" max="3" width="20.26953125" style="2" customWidth="1"/>
    <col min="4" max="4" width="13.1796875" style="2" customWidth="1"/>
    <col min="5" max="5" width="17.26953125" style="2" customWidth="1"/>
    <col min="6" max="9" width="15.1796875" style="2" customWidth="1"/>
    <col min="10" max="13" width="11.453125" style="2" hidden="1" customWidth="1"/>
    <col min="14" max="16384" width="11.453125" style="2"/>
  </cols>
  <sheetData>
    <row r="1" spans="1:10" ht="26.25" customHeight="1" x14ac:dyDescent="0.35">
      <c r="A1" s="60"/>
      <c r="B1" s="61"/>
      <c r="C1" s="61"/>
      <c r="G1" s="430" t="str">
        <f>CV!H1</f>
        <v>Código: PCV_FOR_006
Versión: V02
Fecha de actualización: 04/05/2026</v>
      </c>
      <c r="H1" s="431"/>
    </row>
    <row r="2" spans="1:10" ht="23.25" customHeight="1" x14ac:dyDescent="0.55000000000000004">
      <c r="A2" s="63"/>
      <c r="D2" s="545" t="s">
        <v>2545</v>
      </c>
      <c r="E2" s="545"/>
      <c r="F2" s="545"/>
      <c r="G2" s="432"/>
      <c r="H2" s="433"/>
    </row>
    <row r="3" spans="1:10" ht="24" customHeight="1" x14ac:dyDescent="0.35">
      <c r="A3" s="68"/>
      <c r="B3" s="69"/>
      <c r="C3" s="69"/>
      <c r="D3" s="69"/>
      <c r="E3" s="69"/>
      <c r="F3" s="69"/>
      <c r="G3" s="434"/>
      <c r="H3" s="435"/>
      <c r="I3" s="96" t="s">
        <v>2546</v>
      </c>
      <c r="J3" s="11"/>
    </row>
    <row r="4" spans="1:10" ht="23.25" customHeight="1" thickBot="1" x14ac:dyDescent="0.4">
      <c r="A4" s="516" t="s">
        <v>2547</v>
      </c>
      <c r="B4" s="516"/>
      <c r="C4" s="516"/>
      <c r="D4" s="59"/>
      <c r="E4" s="59"/>
      <c r="F4" s="57"/>
      <c r="G4" s="11"/>
      <c r="H4" s="11"/>
      <c r="I4" s="11"/>
      <c r="J4" s="11"/>
    </row>
    <row r="5" spans="1:10" ht="6" customHeight="1" x14ac:dyDescent="0.35">
      <c r="A5" s="539" t="s">
        <v>2548</v>
      </c>
      <c r="B5" s="540"/>
      <c r="C5" s="541"/>
      <c r="D5" s="59"/>
      <c r="E5" s="59"/>
      <c r="F5" s="57"/>
      <c r="G5" s="11"/>
      <c r="H5" s="11"/>
      <c r="I5" s="11"/>
      <c r="J5" s="12"/>
    </row>
    <row r="6" spans="1:10" ht="10.5" customHeight="1" x14ac:dyDescent="0.35">
      <c r="A6" s="546"/>
      <c r="B6" s="547"/>
      <c r="C6" s="548"/>
      <c r="D6" s="13">
        <v>24556798.854714327</v>
      </c>
      <c r="E6" s="57"/>
      <c r="F6" s="57"/>
      <c r="G6" s="14"/>
      <c r="H6" s="14"/>
      <c r="I6" s="14"/>
      <c r="J6" s="14"/>
    </row>
    <row r="7" spans="1:10" ht="7" customHeight="1" thickBot="1" x14ac:dyDescent="0.4">
      <c r="A7" s="54"/>
      <c r="B7" s="54"/>
      <c r="C7" s="54"/>
      <c r="D7" s="13"/>
      <c r="E7" s="57"/>
      <c r="F7" s="57"/>
      <c r="G7" s="14"/>
      <c r="H7" s="14"/>
      <c r="I7" s="14"/>
      <c r="J7" s="14"/>
    </row>
    <row r="8" spans="1:10" ht="15" customHeight="1" thickBot="1" x14ac:dyDescent="0.4">
      <c r="A8" s="74" t="s">
        <v>2533</v>
      </c>
      <c r="B8" s="75"/>
      <c r="C8" s="81">
        <f>_xlfn.IFNA(CV!D11,0)</f>
        <v>0</v>
      </c>
      <c r="D8" s="158"/>
      <c r="E8" s="57"/>
      <c r="F8" s="57"/>
      <c r="G8" s="14"/>
      <c r="H8" s="14"/>
      <c r="I8" s="14"/>
      <c r="J8" s="14"/>
    </row>
    <row r="9" spans="1:10" ht="18" customHeight="1" thickBot="1" x14ac:dyDescent="0.4">
      <c r="A9" s="532" t="s">
        <v>2363</v>
      </c>
      <c r="B9" s="542"/>
      <c r="C9" s="146">
        <f>_xlfn.IFNA(CV!C12,0)</f>
        <v>0</v>
      </c>
      <c r="D9" s="158"/>
      <c r="E9" s="57"/>
      <c r="F9" s="57"/>
      <c r="G9" s="14"/>
      <c r="H9" s="14"/>
      <c r="I9" s="14"/>
      <c r="J9" s="14"/>
    </row>
    <row r="10" spans="1:10" ht="8.25" hidden="1" customHeight="1" thickBot="1" x14ac:dyDescent="0.4">
      <c r="A10" s="54"/>
      <c r="B10" s="76"/>
      <c r="C10" s="76" t="str">
        <f>IF(B12="Vis","TARIFA 1","TARIFA 2")</f>
        <v>TARIFA 2</v>
      </c>
      <c r="D10" s="50"/>
      <c r="E10" s="12"/>
      <c r="F10" s="14"/>
      <c r="G10" s="14"/>
      <c r="H10" s="14"/>
      <c r="I10" s="14"/>
      <c r="J10" s="14"/>
    </row>
    <row r="11" spans="1:10" ht="18.5" thickBot="1" x14ac:dyDescent="0.4">
      <c r="A11" s="532" t="s">
        <v>2543</v>
      </c>
      <c r="B11" s="542"/>
      <c r="C11" s="82">
        <f>_xlfn.IFNA(CV!D24,0)</f>
        <v>0</v>
      </c>
      <c r="D11" s="50"/>
      <c r="G11" s="14"/>
      <c r="H11" s="14"/>
      <c r="I11" s="14"/>
      <c r="J11" s="14"/>
    </row>
    <row r="12" spans="1:10" ht="16" thickBot="1" x14ac:dyDescent="0.4">
      <c r="A12" s="74" t="s">
        <v>2365</v>
      </c>
      <c r="B12" s="78" t="str">
        <f>CV!D14</f>
        <v/>
      </c>
      <c r="C12" s="81">
        <f>_xlfn.IFNA(CV!D13,0)</f>
        <v>0</v>
      </c>
      <c r="D12" s="160"/>
      <c r="G12" s="27"/>
      <c r="H12" s="27"/>
      <c r="J12" s="14"/>
    </row>
    <row r="13" spans="1:10" ht="17.25" customHeight="1" thickBot="1" x14ac:dyDescent="0.4">
      <c r="A13" s="532" t="s">
        <v>2535</v>
      </c>
      <c r="B13" s="542"/>
      <c r="C13" s="81" t="str">
        <f>_xlfn.IFNA(CV!D14,0)</f>
        <v/>
      </c>
      <c r="D13" s="158"/>
      <c r="G13" s="27"/>
      <c r="H13" s="27"/>
      <c r="I13" s="27"/>
      <c r="J13" s="14"/>
    </row>
    <row r="14" spans="1:10" ht="16" thickBot="1" x14ac:dyDescent="0.4">
      <c r="A14" s="534" t="s">
        <v>2549</v>
      </c>
      <c r="B14" s="543"/>
      <c r="C14" s="86">
        <f>_xlfn.IFNA(CV!D23,0)</f>
        <v>0</v>
      </c>
      <c r="D14" s="183" t="str">
        <f>IF(C14="Asalariado","Asalariados","Independiente-Pensionado")</f>
        <v>Independiente-Pensionado</v>
      </c>
      <c r="E14" s="90" t="s">
        <v>2550</v>
      </c>
      <c r="F14" s="91"/>
      <c r="G14" s="27"/>
      <c r="H14" s="27"/>
      <c r="I14" s="27"/>
      <c r="J14" s="14" t="str">
        <f>IF(C13="NO VIS"," ","Mi Casa Ya")</f>
        <v>Mi Casa Ya</v>
      </c>
    </row>
    <row r="15" spans="1:10" ht="16.5" customHeight="1" thickBot="1" x14ac:dyDescent="0.4">
      <c r="A15" s="529" t="s">
        <v>2551</v>
      </c>
      <c r="B15" s="544"/>
      <c r="C15" s="76">
        <f>IF(D15&gt;=CV!D18,CV!D18,'Crédito de Vivienda'!D15)</f>
        <v>0</v>
      </c>
      <c r="D15" s="183">
        <f>IF(C13="NO VIS",C12*70%,C12*80%)</f>
        <v>0</v>
      </c>
      <c r="E15" s="92" t="s">
        <v>2552</v>
      </c>
      <c r="F15" s="93" t="e" cm="1">
        <f t="array" ref="F15">_xlfn.IFS(AND($B$12="NO VIS",$C$8="NO",$C$12&gt;700000000),1112597,AND($B$12="NO VIS",$C$8="NO",$C$12&lt;700000000),((($C$12*0.75)/1000)+(($C$12*0.75)/1000)*0.19),AND($B$12="NO VIS",$C$8="SI",$C$12&gt;700000000),838994,AND($B$12="NO VIS",$C$8="SI",$C$12&lt;700000000),((($C$12*0.75)/1000)+(($C$12*0.75)/1000)*0.19),AND($B$12="VIS",$C$8="SI"),127882,AND($B$12="VIS",$C$8="NO"),143624)</f>
        <v>#N/A</v>
      </c>
      <c r="G15" s="27"/>
      <c r="H15" s="27"/>
      <c r="I15" s="27"/>
      <c r="J15" s="14" t="str">
        <f>IF(C13="VIS"," "," ")</f>
        <v xml:space="preserve"> </v>
      </c>
    </row>
    <row r="16" spans="1:10" ht="16.5" customHeight="1" thickBot="1" x14ac:dyDescent="0.4">
      <c r="A16" s="105" t="s">
        <v>2553</v>
      </c>
      <c r="B16" s="80" t="str">
        <f>IFERROR(C16/C12,"")</f>
        <v/>
      </c>
      <c r="C16" s="76">
        <f>C12-C15</f>
        <v>0</v>
      </c>
      <c r="D16" s="84"/>
      <c r="E16" s="94" t="s">
        <v>2554</v>
      </c>
      <c r="F16" s="95" t="e" cm="1">
        <f t="array" ref="F16">_xlfn.IFS(AND($B$12="NO VIS",$C$8="NO"),330000,AND($B$12="VIS",$C$8="NO"),170000,AND($B$12="NO VIS",$C$8="SI"),127000,AND($B$12="VIS",$C$8="SI"),127000)</f>
        <v>#N/A</v>
      </c>
      <c r="G16" s="28"/>
      <c r="H16" s="28"/>
      <c r="I16" s="28"/>
      <c r="J16" s="2" t="str">
        <f>IF(C13="VIS"," "," ")</f>
        <v xml:space="preserve"> </v>
      </c>
    </row>
    <row r="17" spans="1:12" ht="16.5" customHeight="1" thickBot="1" x14ac:dyDescent="0.4">
      <c r="A17" s="534" t="str">
        <f>IF(CV!H11="No","Tasa Inteligente","Tasa Especial")</f>
        <v>Tasa Inteligente</v>
      </c>
      <c r="B17" s="576"/>
      <c r="C17" s="85" t="str">
        <f>IF(CV!H11="No",_xlfn.IFNA(CV!H18,0),CV!$H$12)</f>
        <v/>
      </c>
      <c r="D17" s="84"/>
      <c r="E17" s="184" t="e">
        <f>IF(C22="Mi Casa Ya",NOMINAL(C23,12)/12,NOMINAL((C17+1.5%),12)/12)</f>
        <v>#VALUE!</v>
      </c>
      <c r="F17" s="84"/>
      <c r="G17" s="28"/>
      <c r="H17" s="28"/>
      <c r="I17" s="28"/>
    </row>
    <row r="18" spans="1:12" ht="16" thickBot="1" x14ac:dyDescent="0.4">
      <c r="A18" s="534" t="s">
        <v>2536</v>
      </c>
      <c r="B18" s="535"/>
      <c r="C18" s="89">
        <f>_xlfn.IFNA(CV!D19,0)</f>
        <v>0</v>
      </c>
      <c r="D18" s="161"/>
      <c r="E18" s="84"/>
      <c r="F18" s="84"/>
      <c r="G18" s="11"/>
      <c r="H18" s="11"/>
      <c r="I18" s="11"/>
    </row>
    <row r="19" spans="1:12" ht="16.5" customHeight="1" thickBot="1" x14ac:dyDescent="0.4">
      <c r="A19" s="83"/>
      <c r="B19" s="83"/>
      <c r="C19" s="83"/>
      <c r="D19" s="77"/>
      <c r="E19" s="77"/>
      <c r="F19" s="77"/>
      <c r="H19" s="11"/>
      <c r="I19" s="11"/>
    </row>
    <row r="20" spans="1:12" ht="16.5" customHeight="1" x14ac:dyDescent="0.35">
      <c r="A20" s="539" t="s">
        <v>2558</v>
      </c>
      <c r="B20" s="540"/>
      <c r="C20" s="541"/>
      <c r="D20" s="162"/>
      <c r="E20" s="77"/>
      <c r="F20" s="77"/>
      <c r="G20" s="551" t="str">
        <f>IF(C22="Mi Casa Ya",J20,"")</f>
        <v/>
      </c>
      <c r="H20" s="551"/>
      <c r="I20" s="551"/>
      <c r="J20" s="2" t="s">
        <v>2559</v>
      </c>
    </row>
    <row r="21" spans="1:12" s="83" customFormat="1" ht="6" customHeight="1" x14ac:dyDescent="0.35">
      <c r="C21" s="88" t="str">
        <f>IF(C22="Mi Casa Ya","si","no")</f>
        <v>no</v>
      </c>
      <c r="D21" s="162"/>
      <c r="G21" s="551"/>
      <c r="H21" s="551"/>
      <c r="I21" s="551"/>
    </row>
    <row r="22" spans="1:12" s="83" customFormat="1" ht="16" thickBot="1" x14ac:dyDescent="0.4">
      <c r="A22" s="55" t="s">
        <v>2656</v>
      </c>
      <c r="B22" s="56" t="str" cm="1">
        <f t="array" ref="B22">IFERROR(_xlfn.IFS(AND(B12="NO VIS",C22="MI CASA YA"),"ERROR",AND(B12="VIS",C22="FRECH NO VIS"),"ERROR",AND(B12="VIS",C22="ECOBERTURA"),"ERROR"),"")</f>
        <v/>
      </c>
      <c r="C22" s="26"/>
      <c r="D22" s="163" t="str" cm="1">
        <f t="array" ref="D22">IFERROR(_xlfn.IFS(AND(B12="NO VIS",C22="MI CASA YA"),"Programa NO corresponde",AND(B12="VIS",C22="FRECH NO VIS"),"Programa NO corresponde",AND(B12="VIS",C22="ECOBERTURA"),"Programa NO corresponde"),"")</f>
        <v/>
      </c>
      <c r="F22" s="118"/>
      <c r="G22" s="551"/>
      <c r="H22" s="551"/>
      <c r="I22" s="551"/>
    </row>
    <row r="23" spans="1:12" ht="15.5" x14ac:dyDescent="0.35">
      <c r="A23" s="581" t="str">
        <f>IF(C22="Mi Casa Ya","Tasa con beneficio FRECH MCY"," ")</f>
        <v xml:space="preserve"> </v>
      </c>
      <c r="B23" s="582"/>
      <c r="C23" s="85" t="str">
        <f>IF(C22="Mi Casa Ya",C17-3.9284877386387%," ")</f>
        <v xml:space="preserve"> </v>
      </c>
      <c r="D23" s="230"/>
      <c r="F23" s="73"/>
      <c r="G23" s="551"/>
      <c r="H23" s="551"/>
      <c r="I23" s="551"/>
      <c r="J23" s="12"/>
      <c r="K23" s="2" t="s">
        <v>2563</v>
      </c>
      <c r="L23" s="2" t="s">
        <v>2563</v>
      </c>
    </row>
    <row r="24" spans="1:12" ht="16.5" customHeight="1" x14ac:dyDescent="0.35">
      <c r="A24" s="552" t="s">
        <v>2560</v>
      </c>
      <c r="B24" s="553"/>
      <c r="C24" s="44"/>
      <c r="D24" s="49"/>
      <c r="E24" s="554" t="s">
        <v>2561</v>
      </c>
      <c r="G24" s="551"/>
      <c r="H24" s="551"/>
      <c r="I24" s="551"/>
      <c r="J24" s="11"/>
      <c r="K24" s="2" t="s">
        <v>2565</v>
      </c>
      <c r="L24" s="2" t="s">
        <v>2566</v>
      </c>
    </row>
    <row r="25" spans="1:12" ht="16" thickBot="1" x14ac:dyDescent="0.4">
      <c r="A25" s="556" t="s">
        <v>2562</v>
      </c>
      <c r="B25" s="557"/>
      <c r="C25" s="44"/>
      <c r="D25" s="165"/>
      <c r="E25" s="555"/>
      <c r="G25" s="551"/>
      <c r="H25" s="551"/>
      <c r="I25" s="551"/>
      <c r="J25" s="11"/>
      <c r="K25" s="2" t="s">
        <v>2568</v>
      </c>
      <c r="L25" s="2" t="s">
        <v>2569</v>
      </c>
    </row>
    <row r="26" spans="1:12" ht="15.5" x14ac:dyDescent="0.35">
      <c r="A26" s="556" t="s">
        <v>2564</v>
      </c>
      <c r="B26" s="557"/>
      <c r="C26" s="44"/>
      <c r="D26" s="159"/>
      <c r="E26" s="558">
        <f>COUNT(C24,C25,C26,C27)</f>
        <v>0</v>
      </c>
      <c r="G26" s="551"/>
      <c r="H26" s="551"/>
      <c r="I26" s="551"/>
      <c r="J26" s="11"/>
      <c r="K26" s="2" t="s">
        <v>2570</v>
      </c>
      <c r="L26" s="2" t="s">
        <v>2571</v>
      </c>
    </row>
    <row r="27" spans="1:12" ht="16" thickBot="1" x14ac:dyDescent="0.4">
      <c r="A27" s="556" t="s">
        <v>2567</v>
      </c>
      <c r="B27" s="557"/>
      <c r="C27" s="44"/>
      <c r="D27" s="159"/>
      <c r="E27" s="559"/>
      <c r="G27" s="551"/>
      <c r="H27" s="551"/>
      <c r="I27" s="551"/>
      <c r="J27" s="11"/>
      <c r="K27" s="2" t="s">
        <v>2573</v>
      </c>
      <c r="L27" s="2" t="s">
        <v>2574</v>
      </c>
    </row>
    <row r="28" spans="1:12" ht="15.5" x14ac:dyDescent="0.35">
      <c r="A28" s="583" t="str">
        <f>IF(C24="","",IF(AND($B$12="NO VIS",$C$24&gt;47),"","¿Cliente desea adquirir el combo Protección Vida y Hogar?"))</f>
        <v/>
      </c>
      <c r="B28" s="583"/>
      <c r="C28" s="243"/>
      <c r="D28" s="16" t="str">
        <f>IF(AND(A28="¿Cliente desea adquirir el combo Protección Vida y Hogar?",C28="Si"),"Si","No")</f>
        <v>No</v>
      </c>
      <c r="E28" s="244"/>
      <c r="G28" s="551"/>
      <c r="H28" s="551"/>
      <c r="I28" s="551"/>
      <c r="J28" s="11"/>
      <c r="K28" s="2" t="s">
        <v>2577</v>
      </c>
      <c r="L28" s="2" t="s">
        <v>2578</v>
      </c>
    </row>
    <row r="29" spans="1:12" ht="17.25" customHeight="1" thickBot="1" x14ac:dyDescent="0.4">
      <c r="A29" s="23"/>
      <c r="B29" s="23"/>
      <c r="C29" s="23"/>
      <c r="D29" s="50"/>
      <c r="G29" s="551"/>
      <c r="H29" s="551"/>
      <c r="I29" s="551"/>
      <c r="J29" s="11" t="str">
        <f>IF(A28="","","Si")</f>
        <v/>
      </c>
      <c r="K29" s="2" t="s">
        <v>2581</v>
      </c>
      <c r="L29" s="2" t="s">
        <v>2582</v>
      </c>
    </row>
    <row r="30" spans="1:12" ht="16.5" customHeight="1" thickBot="1" x14ac:dyDescent="0.4">
      <c r="A30" s="539" t="s">
        <v>2572</v>
      </c>
      <c r="B30" s="540"/>
      <c r="C30" s="541"/>
      <c r="D30" s="51"/>
      <c r="G30" s="551"/>
      <c r="H30" s="551"/>
      <c r="I30" s="551"/>
      <c r="J30" s="11" t="str">
        <f>IF(A28="","","No")</f>
        <v/>
      </c>
      <c r="K30" s="2" t="s">
        <v>2584</v>
      </c>
      <c r="L30" s="2" t="s">
        <v>2584</v>
      </c>
    </row>
    <row r="31" spans="1:12" ht="15.5" x14ac:dyDescent="0.35">
      <c r="A31" s="560" t="s">
        <v>2579</v>
      </c>
      <c r="B31" s="560"/>
      <c r="C31" s="24">
        <f>'Plan de pagos CV'!J18</f>
        <v>0</v>
      </c>
      <c r="D31" s="51"/>
      <c r="E31" s="561" t="s">
        <v>2580</v>
      </c>
      <c r="F31" s="563">
        <f>IF(CV!D25&gt;=799,((C34-C31-C32)/40%),IF(CV!D25&lt;=739,((C34-C31-C32)/30%),((C34-C31-C32)/35%)))</f>
        <v>0</v>
      </c>
      <c r="G31" s="23"/>
      <c r="H31" s="23"/>
      <c r="I31" s="23"/>
      <c r="J31" s="11"/>
      <c r="K31" s="2" t="s">
        <v>2586</v>
      </c>
      <c r="L31" s="2" t="s">
        <v>2586</v>
      </c>
    </row>
    <row r="32" spans="1:12" ht="18" customHeight="1" thickBot="1" x14ac:dyDescent="0.4">
      <c r="A32" s="560" t="s">
        <v>2583</v>
      </c>
      <c r="B32" s="560"/>
      <c r="C32" s="24">
        <f>'Plan de pagos CV'!$K$18</f>
        <v>0</v>
      </c>
      <c r="D32" s="159"/>
      <c r="E32" s="562"/>
      <c r="F32" s="564"/>
      <c r="G32" s="11"/>
      <c r="H32" s="11"/>
      <c r="I32" s="11"/>
      <c r="J32" s="11"/>
      <c r="K32" s="2" t="s">
        <v>2587</v>
      </c>
      <c r="L32" s="2" t="s">
        <v>2587</v>
      </c>
    </row>
    <row r="33" spans="1:12" ht="17.25" customHeight="1" thickBot="1" x14ac:dyDescent="0.4">
      <c r="A33" s="560" t="s">
        <v>2585</v>
      </c>
      <c r="B33" s="560"/>
      <c r="C33" s="25">
        <f>IFERROR(PMT($E$17,$C$18,-$C$15),0)</f>
        <v>0</v>
      </c>
      <c r="D33" s="17"/>
      <c r="E33" s="1"/>
      <c r="F33" s="1"/>
      <c r="G33" s="1"/>
      <c r="H33" s="1"/>
      <c r="I33" s="1"/>
      <c r="J33" s="11" t="s">
        <v>52</v>
      </c>
      <c r="K33" s="2" t="s">
        <v>2632</v>
      </c>
      <c r="L33" s="2" t="s">
        <v>2632</v>
      </c>
    </row>
    <row r="34" spans="1:12" ht="15.75" customHeight="1" thickBot="1" x14ac:dyDescent="0.4">
      <c r="A34" s="549" t="str">
        <f>IF(C21="si","Vr. Cuota + Seguros Obligatorios - Beneficio Gobierno","Vr. Cuota + Seguros Obligatorios")</f>
        <v>Vr. Cuota + Seguros Obligatorios</v>
      </c>
      <c r="B34" s="550"/>
      <c r="C34" s="53">
        <f>IFERROR(SUM(C31:C33),0)</f>
        <v>0</v>
      </c>
      <c r="D34" s="17"/>
      <c r="E34" s="240"/>
      <c r="F34" s="419"/>
      <c r="G34" s="109" t="str">
        <f>IF(AND(C34&gt;0,C13="NO VIS"),"→ Da Clic Aquí","")</f>
        <v/>
      </c>
      <c r="H34" s="29"/>
      <c r="I34" s="29"/>
      <c r="J34" s="11" t="s">
        <v>61</v>
      </c>
      <c r="K34" s="2" t="s">
        <v>2634</v>
      </c>
      <c r="L34" s="2" t="s">
        <v>2634</v>
      </c>
    </row>
    <row r="35" spans="1:12" ht="15.75" customHeight="1" thickBot="1" x14ac:dyDescent="0.4">
      <c r="D35" s="18"/>
      <c r="E35" s="19"/>
      <c r="F35" s="1"/>
      <c r="G35" s="30"/>
      <c r="H35" s="30"/>
      <c r="I35" s="30"/>
      <c r="J35" s="11"/>
    </row>
    <row r="36" spans="1:12" ht="17.25" customHeight="1" x14ac:dyDescent="0.35">
      <c r="A36" s="539" t="s">
        <v>2631</v>
      </c>
      <c r="B36" s="540"/>
      <c r="C36" s="541"/>
      <c r="D36" s="166"/>
      <c r="E36" s="166"/>
      <c r="F36" s="20"/>
      <c r="G36" s="31"/>
      <c r="H36" s="31"/>
      <c r="I36" s="31"/>
      <c r="J36" s="11"/>
    </row>
    <row r="37" spans="1:12" ht="17.25" customHeight="1" x14ac:dyDescent="0.35">
      <c r="A37" s="560" t="s">
        <v>2633</v>
      </c>
      <c r="B37" s="560"/>
      <c r="C37" s="44"/>
      <c r="D37" s="186" t="str">
        <f>C38&amp;C39&amp;D14</f>
        <v>Independiente-Pensionado</v>
      </c>
      <c r="E37" s="142"/>
      <c r="F37" s="20"/>
      <c r="G37" s="31"/>
      <c r="H37" s="31"/>
      <c r="I37" s="31"/>
      <c r="J37" s="11">
        <v>1</v>
      </c>
    </row>
    <row r="38" spans="1:12" ht="27.5" x14ac:dyDescent="0.35">
      <c r="A38" s="560" t="s">
        <v>2635</v>
      </c>
      <c r="B38" s="560"/>
      <c r="C38" s="157"/>
      <c r="D38" s="21"/>
      <c r="E38" s="167"/>
      <c r="F38" s="22"/>
      <c r="G38" s="32"/>
      <c r="H38" s="32"/>
      <c r="I38" s="32"/>
      <c r="J38" s="11">
        <v>2</v>
      </c>
    </row>
    <row r="39" spans="1:12" ht="15" customHeight="1" x14ac:dyDescent="0.35">
      <c r="A39" s="560" t="s">
        <v>2636</v>
      </c>
      <c r="B39" s="560"/>
      <c r="C39" s="44"/>
      <c r="G39" s="31"/>
      <c r="H39" s="31"/>
      <c r="I39" s="31"/>
      <c r="J39" s="11">
        <v>3</v>
      </c>
    </row>
    <row r="40" spans="1:12" ht="15" customHeight="1" thickBot="1" x14ac:dyDescent="0.4">
      <c r="A40" s="560" t="s">
        <v>2637</v>
      </c>
      <c r="B40" s="560"/>
      <c r="C40" s="24">
        <f>_xlfn.IFNA(VLOOKUP(D37,Oferta_Seguros!F:G,2,FALSE),0)</f>
        <v>0</v>
      </c>
      <c r="G40" s="33"/>
      <c r="H40" s="33"/>
      <c r="I40" s="33"/>
      <c r="J40" s="2">
        <v>4</v>
      </c>
    </row>
    <row r="41" spans="1:12" ht="15" customHeight="1" thickBot="1" x14ac:dyDescent="0.4">
      <c r="A41" s="560" t="s">
        <v>2657</v>
      </c>
      <c r="B41" s="560"/>
      <c r="C41" s="168">
        <f>$C$34+$C$40</f>
        <v>0</v>
      </c>
      <c r="G41" s="33"/>
      <c r="H41" s="33"/>
      <c r="I41" s="33"/>
    </row>
    <row r="42" spans="1:12" ht="15" customHeight="1" x14ac:dyDescent="0.35">
      <c r="G42" s="33"/>
      <c r="H42" s="33"/>
      <c r="I42" s="33"/>
    </row>
    <row r="43" spans="1:12" ht="15" customHeight="1" x14ac:dyDescent="0.35">
      <c r="G43" s="33"/>
      <c r="H43" s="33"/>
      <c r="I43" s="33"/>
    </row>
    <row r="44" spans="1:12" ht="15" customHeight="1" x14ac:dyDescent="0.35">
      <c r="D44" s="58"/>
      <c r="E44" s="58"/>
      <c r="F44" s="57"/>
      <c r="G44" s="33"/>
      <c r="H44" s="33"/>
      <c r="I44" s="33"/>
    </row>
    <row r="45" spans="1:12" ht="15" customHeight="1" x14ac:dyDescent="0.35">
      <c r="G45" s="33"/>
      <c r="H45" s="33"/>
      <c r="I45" s="33"/>
    </row>
  </sheetData>
  <sheetProtection algorithmName="SHA-512" hashValue="7QlBU/t6aXSS3ODEuucWHkXd3lPGRwvnJWurj6V3muNjyRSXLHRXLcDnGQj8d1ffY5V62/5BAhEvq2DQppYg/Q==" saltValue="s5Zxmyg0JVpQObFWIBPY2g==" spinCount="100000" sheet="1" objects="1" scenarios="1"/>
  <mergeCells count="34">
    <mergeCell ref="G20:I30"/>
    <mergeCell ref="A4:C4"/>
    <mergeCell ref="A20:C20"/>
    <mergeCell ref="A9:B9"/>
    <mergeCell ref="E24:E25"/>
    <mergeCell ref="E26:E27"/>
    <mergeCell ref="A24:B24"/>
    <mergeCell ref="A26:B26"/>
    <mergeCell ref="A27:B27"/>
    <mergeCell ref="A30:C30"/>
    <mergeCell ref="A41:B41"/>
    <mergeCell ref="A31:B31"/>
    <mergeCell ref="A32:B32"/>
    <mergeCell ref="A33:B33"/>
    <mergeCell ref="A39:B39"/>
    <mergeCell ref="A34:B34"/>
    <mergeCell ref="A36:C36"/>
    <mergeCell ref="A37:B37"/>
    <mergeCell ref="A38:B38"/>
    <mergeCell ref="A40:B40"/>
    <mergeCell ref="F31:F32"/>
    <mergeCell ref="E31:E32"/>
    <mergeCell ref="A25:B25"/>
    <mergeCell ref="A23:B23"/>
    <mergeCell ref="A11:B11"/>
    <mergeCell ref="A14:B14"/>
    <mergeCell ref="A13:B13"/>
    <mergeCell ref="A28:B28"/>
    <mergeCell ref="D2:F2"/>
    <mergeCell ref="G1:H3"/>
    <mergeCell ref="A17:B17"/>
    <mergeCell ref="A18:B18"/>
    <mergeCell ref="A5:C6"/>
    <mergeCell ref="A15:B15"/>
  </mergeCells>
  <phoneticPr fontId="10" type="noConversion"/>
  <conditionalFormatting sqref="G20:I30">
    <cfRule type="containsText" dxfId="66" priority="4" operator="containsText" text="Los subsidios otorgados por el Gobierno Nacional aplican unicamente al momento del desembolso, conforme el cliente cumpla con los requisitos para acceder al programa seleccionado y haya existencia de cupos. El valor descontado por este beneficio en este s">
      <formula>NOT(ISERROR(SEARCH("Los subsidios otorgados por el Gobierno Nacional aplican unicamente al momento del desembolso, conforme el cliente cumpla con los requisitos para acceder al programa seleccionado y haya existencia de cupos. El valor descontado por este beneficio en este s",G20)))</formula>
    </cfRule>
  </conditionalFormatting>
  <dataValidations count="7">
    <dataValidation type="whole" allowBlank="1" showInputMessage="1" showErrorMessage="1" errorTitle="Edad NO corresponde" error="La edad ingresada no aplica por política de crédito" sqref="C24 C26:C27" xr:uid="{661CB0EE-AD44-4FF7-BCBE-D8646C4F9BAE}">
      <formula1>18</formula1>
      <formula2>70</formula2>
    </dataValidation>
    <dataValidation type="whole" allowBlank="1" showInputMessage="1" showErrorMessage="1" errorTitle="Edad NO correponde" error="La edad ingresada no aplica por política de crédito" sqref="C25" xr:uid="{853D0A7E-F832-4005-B7C2-3F3EE7974E50}">
      <formula1>18</formula1>
      <formula2>70</formula2>
    </dataValidation>
    <dataValidation type="list" allowBlank="1" showInputMessage="1" showErrorMessage="1" errorTitle="Programa no aplica" error="El programa de Gobierno NO aplica según el tipo de vivienda. Por favor corregir" sqref="C22" xr:uid="{C36CDC4C-13D7-4A76-964C-0A36A6FBFCC2}">
      <formula1>$J$14</formula1>
    </dataValidation>
    <dataValidation type="list" allowBlank="1" showInputMessage="1" showErrorMessage="1" sqref="C37" xr:uid="{AF2878C8-D626-4656-8C31-99D93E1F1BF3}">
      <formula1>$J$33:$J$34</formula1>
    </dataValidation>
    <dataValidation type="list" allowBlank="1" showInputMessage="1" showErrorMessage="1" sqref="C39" xr:uid="{17211829-61C0-4874-A012-C47960EE2C0A}">
      <formula1>IF($C$37="Si",$J$37:$J$40,$J$36)</formula1>
    </dataValidation>
    <dataValidation type="list" allowBlank="1" showInputMessage="1" showErrorMessage="1" errorTitle="Valor Errado" sqref="C28" xr:uid="{82E6E571-5925-4C6B-A86D-0859B7C859A6}">
      <formula1>$J$29:$J$30</formula1>
    </dataValidation>
    <dataValidation type="list" allowBlank="1" showInputMessage="1" showErrorMessage="1" sqref="C38" xr:uid="{1D664D5F-CA91-41DE-8D84-DF7DFA59B393}">
      <formula1>IF($C$37="No",$K$23,IF(AND($C$37="Si",$D$14="Asalariados"),$K$24:$K$34,$L$24:$L$34))</formula1>
    </dataValidation>
  </dataValidation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528FE-D1EC-47E0-90B8-1AC38209602D}">
  <sheetPr codeName="Hoja3">
    <pageSetUpPr fitToPage="1"/>
  </sheetPr>
  <dimension ref="A1:XFA377"/>
  <sheetViews>
    <sheetView showGridLines="0" view="pageBreakPreview" zoomScale="70" zoomScaleNormal="70" zoomScaleSheetLayoutView="70" workbookViewId="0">
      <pane ySplit="16" topLeftCell="A17" activePane="bottomLeft" state="frozen"/>
      <selection activeCell="B24" sqref="B24"/>
      <selection pane="bottomLeft" activeCell="B24" sqref="B24"/>
    </sheetView>
  </sheetViews>
  <sheetFormatPr baseColWidth="10" defaultColWidth="0" defaultRowHeight="15" customHeight="1" x14ac:dyDescent="0.35"/>
  <cols>
    <col min="1" max="1" width="3" style="2" customWidth="1"/>
    <col min="2" max="2" width="11.453125" style="2" customWidth="1"/>
    <col min="3" max="3" width="16.7265625" style="2" bestFit="1" customWidth="1"/>
    <col min="4" max="4" width="13.81640625" style="2" bestFit="1" customWidth="1"/>
    <col min="5" max="5" width="15.81640625" style="2" bestFit="1" customWidth="1"/>
    <col min="6" max="6" width="15.7265625" style="2" hidden="1" customWidth="1"/>
    <col min="7" max="9" width="12.54296875" style="2" hidden="1" customWidth="1"/>
    <col min="10" max="10" width="14.7265625" style="2" bestFit="1" customWidth="1"/>
    <col min="11" max="11" width="12.81640625" style="2" bestFit="1" customWidth="1"/>
    <col min="12" max="12" width="13.81640625" style="2" bestFit="1" customWidth="1"/>
    <col min="13" max="13" width="15" style="2" bestFit="1" customWidth="1"/>
    <col min="14" max="14" width="15.81640625" style="2" bestFit="1" customWidth="1"/>
    <col min="15" max="15" width="13.81640625" style="2" bestFit="1" customWidth="1"/>
    <col min="16" max="16" width="5.1796875" style="2" customWidth="1"/>
    <col min="17" max="17" width="11.453125" style="2" hidden="1"/>
    <col min="18" max="23" width="3.7265625" style="2" hidden="1"/>
    <col min="24" max="24" width="11.453125" style="2" hidden="1"/>
    <col min="25" max="16381" width="3.7265625" style="2" hidden="1"/>
    <col min="16382" max="16384" width="2.81640625" style="2" hidden="1"/>
  </cols>
  <sheetData>
    <row r="1" spans="1:16" ht="15" customHeight="1" x14ac:dyDescent="0.35">
      <c r="A1" s="60"/>
      <c r="B1" s="61"/>
      <c r="C1" s="61"/>
      <c r="D1" s="61"/>
      <c r="E1" s="61"/>
      <c r="F1" s="61"/>
      <c r="G1" s="61"/>
      <c r="H1" s="61"/>
      <c r="I1" s="61"/>
      <c r="J1" s="61"/>
      <c r="K1" s="61"/>
      <c r="L1" s="61"/>
      <c r="M1" s="61"/>
      <c r="N1" s="430" t="str">
        <f>Pantalla_Inicio!J1</f>
        <v>Código: PCV_FOR_006
Versión: V02
Fecha de actualización: 04/05/2026</v>
      </c>
      <c r="O1" s="431"/>
    </row>
    <row r="2" spans="1:16" ht="21.75" customHeight="1" x14ac:dyDescent="0.35">
      <c r="A2" s="63"/>
      <c r="E2" s="565" t="s">
        <v>2658</v>
      </c>
      <c r="F2" s="565"/>
      <c r="G2" s="565"/>
      <c r="H2" s="565"/>
      <c r="I2" s="565"/>
      <c r="J2" s="565"/>
      <c r="K2" s="565"/>
      <c r="L2" s="565"/>
      <c r="M2" s="140"/>
      <c r="N2" s="432"/>
      <c r="O2" s="433"/>
    </row>
    <row r="3" spans="1:16" ht="16.5" customHeight="1" x14ac:dyDescent="0.35">
      <c r="A3" s="63"/>
      <c r="E3" s="565"/>
      <c r="F3" s="565"/>
      <c r="G3" s="565"/>
      <c r="H3" s="565"/>
      <c r="I3" s="565"/>
      <c r="J3" s="565"/>
      <c r="K3" s="565"/>
      <c r="L3" s="565"/>
      <c r="M3" s="140"/>
      <c r="N3" s="432"/>
      <c r="O3" s="433"/>
    </row>
    <row r="4" spans="1:16" ht="15.75" customHeight="1" x14ac:dyDescent="0.45">
      <c r="A4" s="64"/>
      <c r="B4" s="97" t="s">
        <v>2589</v>
      </c>
      <c r="C4" s="65"/>
      <c r="D4" s="65"/>
      <c r="E4" s="66"/>
      <c r="F4" s="66"/>
      <c r="G4" s="66"/>
      <c r="H4" s="66"/>
      <c r="I4" s="66"/>
      <c r="J4" s="66"/>
      <c r="K4" s="66"/>
      <c r="L4" s="66"/>
      <c r="M4" s="66"/>
      <c r="N4" s="434"/>
      <c r="O4" s="435"/>
    </row>
    <row r="5" spans="1:16" ht="18" customHeight="1" x14ac:dyDescent="0.35">
      <c r="B5" s="570" t="s">
        <v>2646</v>
      </c>
      <c r="C5" s="570"/>
      <c r="D5" s="570"/>
      <c r="E5" s="570"/>
      <c r="F5" s="570"/>
      <c r="G5" s="570"/>
      <c r="H5" s="570"/>
      <c r="I5" s="570"/>
      <c r="J5" s="570"/>
      <c r="K5" s="570"/>
      <c r="L5" s="570"/>
      <c r="M5" s="570"/>
      <c r="N5" s="570"/>
      <c r="O5" s="570"/>
      <c r="P5" s="139"/>
    </row>
    <row r="6" spans="1:16" ht="24.65" customHeight="1" x14ac:dyDescent="0.35">
      <c r="B6" s="571"/>
      <c r="C6" s="571"/>
      <c r="D6" s="571"/>
      <c r="E6" s="571"/>
      <c r="F6" s="571"/>
      <c r="G6" s="571"/>
      <c r="H6" s="571"/>
      <c r="I6" s="571"/>
      <c r="J6" s="571"/>
      <c r="K6" s="571"/>
      <c r="L6" s="571"/>
      <c r="M6" s="571"/>
      <c r="N6" s="571"/>
      <c r="O6" s="571"/>
      <c r="P6" s="139"/>
    </row>
    <row r="7" spans="1:16" ht="19.5" customHeight="1" x14ac:dyDescent="0.35">
      <c r="B7" s="571"/>
      <c r="C7" s="571"/>
      <c r="D7" s="571"/>
      <c r="E7" s="571"/>
      <c r="F7" s="571"/>
      <c r="G7" s="571"/>
      <c r="H7" s="571"/>
      <c r="I7" s="571"/>
      <c r="J7" s="571"/>
      <c r="K7" s="571"/>
      <c r="L7" s="571"/>
      <c r="M7" s="571"/>
      <c r="N7" s="571"/>
      <c r="O7" s="571"/>
      <c r="P7" s="139"/>
    </row>
    <row r="8" spans="1:16" ht="18.649999999999999" customHeight="1" x14ac:dyDescent="0.35">
      <c r="B8" s="571"/>
      <c r="C8" s="571"/>
      <c r="D8" s="571"/>
      <c r="E8" s="571"/>
      <c r="F8" s="571"/>
      <c r="G8" s="571"/>
      <c r="H8" s="571"/>
      <c r="I8" s="571"/>
      <c r="J8" s="571"/>
      <c r="K8" s="571"/>
      <c r="L8" s="571"/>
      <c r="M8" s="571"/>
      <c r="N8" s="571"/>
      <c r="O8" s="571"/>
      <c r="P8" s="139"/>
    </row>
    <row r="9" spans="1:16" ht="17.25" customHeight="1" x14ac:dyDescent="0.35">
      <c r="B9" s="571"/>
      <c r="C9" s="571"/>
      <c r="D9" s="571"/>
      <c r="E9" s="571"/>
      <c r="F9" s="571"/>
      <c r="G9" s="571"/>
      <c r="H9" s="571"/>
      <c r="I9" s="571"/>
      <c r="J9" s="571"/>
      <c r="K9" s="571"/>
      <c r="L9" s="571"/>
      <c r="M9" s="571"/>
      <c r="N9" s="571"/>
      <c r="O9" s="571"/>
      <c r="P9" s="139"/>
    </row>
    <row r="10" spans="1:16" ht="21.75" customHeight="1" x14ac:dyDescent="0.35">
      <c r="B10" s="571"/>
      <c r="C10" s="571"/>
      <c r="D10" s="571"/>
      <c r="E10" s="571"/>
      <c r="F10" s="571"/>
      <c r="G10" s="571"/>
      <c r="H10" s="571"/>
      <c r="I10" s="571"/>
      <c r="J10" s="571"/>
      <c r="K10" s="571"/>
      <c r="L10" s="571"/>
      <c r="M10" s="571"/>
      <c r="N10" s="571"/>
      <c r="O10" s="571"/>
      <c r="P10" s="139"/>
    </row>
    <row r="11" spans="1:16" ht="21.75" customHeight="1" x14ac:dyDescent="0.35">
      <c r="B11" s="571"/>
      <c r="C11" s="571"/>
      <c r="D11" s="571"/>
      <c r="E11" s="571"/>
      <c r="F11" s="571"/>
      <c r="G11" s="571"/>
      <c r="H11" s="571"/>
      <c r="I11" s="571"/>
      <c r="J11" s="571"/>
      <c r="K11" s="571"/>
      <c r="L11" s="571"/>
      <c r="M11" s="571"/>
      <c r="N11" s="571"/>
      <c r="O11" s="571"/>
      <c r="P11" s="139"/>
    </row>
    <row r="12" spans="1:16" ht="21.75" customHeight="1" x14ac:dyDescent="0.35">
      <c r="B12" s="571" t="s">
        <v>2647</v>
      </c>
      <c r="C12" s="571"/>
      <c r="D12" s="571"/>
      <c r="E12" s="571"/>
      <c r="F12" s="571"/>
      <c r="G12" s="571"/>
      <c r="H12" s="571"/>
      <c r="I12" s="571"/>
      <c r="J12" s="571"/>
      <c r="K12" s="571"/>
      <c r="L12" s="571"/>
      <c r="M12" s="571"/>
      <c r="N12" s="571"/>
      <c r="O12" s="571"/>
      <c r="P12" s="139"/>
    </row>
    <row r="13" spans="1:16" ht="19.5" customHeight="1" x14ac:dyDescent="0.35">
      <c r="B13" s="571"/>
      <c r="C13" s="571"/>
      <c r="D13" s="571"/>
      <c r="E13" s="571"/>
      <c r="F13" s="571"/>
      <c r="G13" s="571"/>
      <c r="H13" s="571"/>
      <c r="I13" s="571"/>
      <c r="J13" s="571"/>
      <c r="K13" s="571"/>
      <c r="L13" s="571"/>
      <c r="M13" s="571"/>
      <c r="N13" s="571"/>
      <c r="O13" s="571"/>
      <c r="P13" s="139"/>
    </row>
    <row r="14" spans="1:16" ht="16.5" customHeight="1" x14ac:dyDescent="0.35">
      <c r="B14" s="571" t="s">
        <v>2659</v>
      </c>
      <c r="C14" s="571"/>
      <c r="D14" s="330" t="s">
        <v>2660</v>
      </c>
      <c r="E14" s="331" t="e">
        <f>SUM(O18:O377)</f>
        <v>#VALUE!</v>
      </c>
      <c r="F14" s="332"/>
      <c r="G14" s="332"/>
      <c r="H14" s="332"/>
      <c r="I14" s="332"/>
      <c r="J14" s="330" t="s">
        <v>2593</v>
      </c>
      <c r="K14" s="333" t="e">
        <f>EFFECT((IRR(O17:O377,0))*12,12)</f>
        <v>#VALUE!</v>
      </c>
      <c r="L14" s="139"/>
      <c r="M14" s="139"/>
      <c r="N14" s="139"/>
      <c r="O14" s="139"/>
      <c r="P14" s="139"/>
    </row>
    <row r="15" spans="1:16" ht="8.25" customHeight="1" x14ac:dyDescent="0.35">
      <c r="B15" s="5"/>
    </row>
    <row r="16" spans="1:16" ht="46.5" x14ac:dyDescent="0.35">
      <c r="B16" s="41" t="s">
        <v>2596</v>
      </c>
      <c r="C16" s="42" t="s">
        <v>2650</v>
      </c>
      <c r="D16" s="42" t="s">
        <v>2651</v>
      </c>
      <c r="E16" s="42" t="str">
        <f>IF('Crédito de Vivienda'!C22="Mi Casa Ya","Interés con Beneficio MCY", "Interés")</f>
        <v>Interés</v>
      </c>
      <c r="F16" s="42" t="s">
        <v>2600</v>
      </c>
      <c r="G16" s="42" t="s">
        <v>2601</v>
      </c>
      <c r="H16" s="42" t="s">
        <v>2602</v>
      </c>
      <c r="I16" s="42" t="s">
        <v>2603</v>
      </c>
      <c r="J16" s="42" t="s">
        <v>2604</v>
      </c>
      <c r="K16" s="42" t="s">
        <v>2605</v>
      </c>
      <c r="L16" s="42" t="s">
        <v>2661</v>
      </c>
      <c r="M16" s="42" t="s">
        <v>2662</v>
      </c>
      <c r="N16" s="42" t="s">
        <v>2631</v>
      </c>
      <c r="O16" s="42" t="s">
        <v>2663</v>
      </c>
    </row>
    <row r="17" spans="2:15" ht="15.5" x14ac:dyDescent="0.35">
      <c r="B17" s="34">
        <v>0</v>
      </c>
      <c r="C17" s="35">
        <f>'Crédito de Vivienda'!C15</f>
        <v>0</v>
      </c>
      <c r="D17" s="35"/>
      <c r="E17" s="7"/>
      <c r="F17" s="36"/>
      <c r="G17" s="36"/>
      <c r="H17" s="36"/>
      <c r="I17" s="36"/>
      <c r="J17" s="37"/>
      <c r="K17" s="37"/>
      <c r="L17" s="7"/>
      <c r="M17" s="38"/>
      <c r="N17" s="39"/>
      <c r="O17" s="329">
        <f>-C17</f>
        <v>0</v>
      </c>
    </row>
    <row r="18" spans="2:15" ht="15.5" x14ac:dyDescent="0.35">
      <c r="B18" s="6">
        <v>1</v>
      </c>
      <c r="C18" s="7" t="e">
        <f>C17-D18</f>
        <v>#VALUE!</v>
      </c>
      <c r="D18" s="7" t="e">
        <f>L18-E18</f>
        <v>#VALUE!</v>
      </c>
      <c r="E18" s="7" t="e">
        <f>C17*'Crédito de Vivienda'!$E$17</f>
        <v>#VALUE!</v>
      </c>
      <c r="F18" s="8" t="e">
        <f>IF('Crédito de Vivienda'!$D$28="Si",($C$17*(VLOOKUP('Crédito de Vivienda'!$C$24,Seguros_Oblig!$A$3:$F$55,6,FALSE))),IF('Crédito de Vivienda'!$C$10="TARIFA 1",(C17*(VLOOKUP('Crédito de Vivienda'!$C$24,Seguros_Oblig!$A$3:$B$55,2,FALSE))),(C17*(VLOOKUP('Crédito de Vivienda'!$C$24,Seguros_Oblig!$A$3:$D$55,4,FALSE)))))</f>
        <v>#N/A</v>
      </c>
      <c r="G18" s="8" t="e">
        <f>IF('Crédito de Vivienda'!$C$10="TARIFA 1",(C17*(VLOOKUP('Crédito de Vivienda'!$C$25,Seguros_Oblig!$A$3:$B$55,2,FALSE))),(C17*(VLOOKUP('Crédito de Vivienda'!$C$25,Seguros_Oblig!$A$3:$D$55,4,FALSE))))</f>
        <v>#N/A</v>
      </c>
      <c r="H18" s="8" t="e">
        <f>IF('Crédito de Vivienda'!$C$10="TARIFA 1",(C17*(VLOOKUP('Crédito de Vivienda'!$C$26,Seguros_Oblig!$A$3:$B$55,2,FALSE))),(C17*(VLOOKUP('Crédito de Vivienda'!$C$26,Seguros_Oblig!$A$3:$D$55,4,FALSE))))</f>
        <v>#N/A</v>
      </c>
      <c r="I18" s="8" t="e">
        <f>IF('Crédito de Vivienda'!$C$10="TARIFA 1",(C17*(VLOOKUP('Crédito de Vivienda'!$C$27,Seguros_Oblig!$A$3:$B$55,2,FALSE))),(C17*(VLOOKUP('Crédito de Vivienda'!$C$27,Seguros_Oblig!$A$3:$D$55,4,FALSE))))</f>
        <v>#N/A</v>
      </c>
      <c r="J18" s="10">
        <f>_xlfn.AGGREGATE(9,6,F18:I18)</f>
        <v>0</v>
      </c>
      <c r="K18" s="7">
        <f>Seguros_Oblig!$K$2*('Crédito de Vivienda'!$C$12*90%)</f>
        <v>0</v>
      </c>
      <c r="L18" s="7" t="e">
        <f>PMT('Crédito de Vivienda'!$E$17,'Crédito de Vivienda'!$C$18,-'Crédito de Vivienda'!$C$15,,)</f>
        <v>#VALUE!</v>
      </c>
      <c r="M18" s="9" t="e">
        <f>K18+L18+J18</f>
        <v>#VALUE!</v>
      </c>
      <c r="N18" s="7">
        <f>'Crédito de Vivienda'!$C$40</f>
        <v>0</v>
      </c>
      <c r="O18" s="9" t="e">
        <f>M18+N18</f>
        <v>#VALUE!</v>
      </c>
    </row>
    <row r="19" spans="2:15" ht="15.5" x14ac:dyDescent="0.35">
      <c r="B19" s="6" t="e">
        <f>IF(C18&gt;1,B18+1," ")</f>
        <v>#VALUE!</v>
      </c>
      <c r="C19" s="7" t="e">
        <f t="shared" ref="C19:C82" si="0">C18-D19</f>
        <v>#VALUE!</v>
      </c>
      <c r="D19" s="7" t="e">
        <f t="shared" ref="D19:D29" si="1">L19-E19</f>
        <v>#VALUE!</v>
      </c>
      <c r="E19" s="7" t="e">
        <f>C18*'Crédito de Vivienda'!$E$17</f>
        <v>#VALUE!</v>
      </c>
      <c r="F19" s="8" t="e">
        <f>IF('Crédito de Vivienda'!$D$28="Si",($C$17*(VLOOKUP('Crédito de Vivienda'!$C$24,Seguros_Oblig!$A$3:$F$55,6,FALSE))),IF('Crédito de Vivienda'!$C$10="TARIFA 1",(C18*(VLOOKUP('Crédito de Vivienda'!$C$24,Seguros_Oblig!$A$3:$B$55,2,FALSE))),(C18*(VLOOKUP('Crédito de Vivienda'!$C$24,Seguros_Oblig!$A$3:$D$55,4,FALSE)))))</f>
        <v>#VALUE!</v>
      </c>
      <c r="G19" s="8" t="e">
        <f>IF('Crédito de Vivienda'!$C$10="TARIFA 1",(C18*(VLOOKUP('Crédito de Vivienda'!$C$25,Seguros_Oblig!$A$3:$B$55,2,FALSE))),(C18*(VLOOKUP('Crédito de Vivienda'!$C$25,Seguros_Oblig!$A$3:$D$55,4,FALSE))))</f>
        <v>#VALUE!</v>
      </c>
      <c r="H19" s="8" t="e">
        <f>IF('Crédito de Vivienda'!$C$10="TARIFA 1",(C18*(VLOOKUP('Crédito de Vivienda'!$C$26,Seguros_Oblig!$A$3:$B$55,2,FALSE))),(C18*(VLOOKUP('Crédito de Vivienda'!$C$26,Seguros_Oblig!$A$3:$D$55,4,FALSE))))</f>
        <v>#VALUE!</v>
      </c>
      <c r="I19" s="8" t="e">
        <f>IF('Crédito de Vivienda'!$C$10="TARIFA 1",(C18*(VLOOKUP('Crédito de Vivienda'!$C$27,Seguros_Oblig!$A$3:$B$55,2,FALSE))),(C18*(VLOOKUP('Crédito de Vivienda'!$C$27,Seguros_Oblig!$A$3:$D$55,4,FALSE))))</f>
        <v>#VALUE!</v>
      </c>
      <c r="J19" s="10">
        <f t="shared" ref="J19:J82" si="2">_xlfn.AGGREGATE(9,6,F19:I19)</f>
        <v>0</v>
      </c>
      <c r="K19" s="7">
        <f>Seguros_Oblig!$K$2*('Crédito de Vivienda'!$C$12*90%)</f>
        <v>0</v>
      </c>
      <c r="L19" s="7" t="e">
        <f>PMT('Crédito de Vivienda'!$E$17,'Crédito de Vivienda'!$C$18,-'Crédito de Vivienda'!$C$15,,)</f>
        <v>#VALUE!</v>
      </c>
      <c r="M19" s="9" t="e">
        <f t="shared" ref="M19:M82" si="3">K19+L19+J19</f>
        <v>#VALUE!</v>
      </c>
      <c r="N19" s="7">
        <f>'Crédito de Vivienda'!$C$40</f>
        <v>0</v>
      </c>
      <c r="O19" s="9" t="e">
        <f t="shared" ref="O19:O82" si="4">M19+N19</f>
        <v>#VALUE!</v>
      </c>
    </row>
    <row r="20" spans="2:15" ht="15.5" x14ac:dyDescent="0.35">
      <c r="B20" s="6" t="e">
        <f>IF(C19&gt;1,B19+1,"")</f>
        <v>#VALUE!</v>
      </c>
      <c r="C20" s="7" t="e">
        <f t="shared" si="0"/>
        <v>#VALUE!</v>
      </c>
      <c r="D20" s="7" t="e">
        <f t="shared" si="1"/>
        <v>#VALUE!</v>
      </c>
      <c r="E20" s="7" t="e">
        <f>C19*'Crédito de Vivienda'!$E$17</f>
        <v>#VALUE!</v>
      </c>
      <c r="F20" s="8" t="e">
        <f>IF('Crédito de Vivienda'!$D$28="Si",($C$17*(VLOOKUP('Crédito de Vivienda'!$C$24,Seguros_Oblig!$A$3:$F$55,6,FALSE))),IF('Crédito de Vivienda'!$C$10="TARIFA 1",(C19*(VLOOKUP('Crédito de Vivienda'!$C$24,Seguros_Oblig!$A$3:$B$55,2,FALSE))),(C19*(VLOOKUP('Crédito de Vivienda'!$C$24,Seguros_Oblig!$A$3:$D$55,4,FALSE)))))</f>
        <v>#VALUE!</v>
      </c>
      <c r="G20" s="8" t="e">
        <f>IF('Crédito de Vivienda'!$C$10="TARIFA 1",(C19*(VLOOKUP('Crédito de Vivienda'!$C$25,Seguros_Oblig!$A$3:$B$55,2,FALSE))),(C19*(VLOOKUP('Crédito de Vivienda'!$C$25,Seguros_Oblig!$A$3:$D$55,4,FALSE))))</f>
        <v>#VALUE!</v>
      </c>
      <c r="H20" s="8" t="e">
        <f>IF('Crédito de Vivienda'!$C$10="TARIFA 1",(C19*(VLOOKUP('Crédito de Vivienda'!$C$26,Seguros_Oblig!$A$3:$B$55,2,FALSE))),(C19*(VLOOKUP('Crédito de Vivienda'!$C$26,Seguros_Oblig!$A$3:$D$55,4,FALSE))))</f>
        <v>#VALUE!</v>
      </c>
      <c r="I20" s="8" t="e">
        <f>IF('Crédito de Vivienda'!$C$10="TARIFA 1",(C19*(VLOOKUP('Crédito de Vivienda'!$C$27,Seguros_Oblig!$A$3:$B$55,2,FALSE))),(C19*(VLOOKUP('Crédito de Vivienda'!$C$27,Seguros_Oblig!$A$3:$D$55,4,FALSE))))</f>
        <v>#VALUE!</v>
      </c>
      <c r="J20" s="10">
        <f t="shared" si="2"/>
        <v>0</v>
      </c>
      <c r="K20" s="7">
        <f>Seguros_Oblig!$K$2*('Crédito de Vivienda'!$C$12*90%)</f>
        <v>0</v>
      </c>
      <c r="L20" s="7" t="e">
        <f>PMT('Crédito de Vivienda'!$E$17,'Crédito de Vivienda'!$C$18,-'Crédito de Vivienda'!$C$15,,)</f>
        <v>#VALUE!</v>
      </c>
      <c r="M20" s="9" t="e">
        <f t="shared" si="3"/>
        <v>#VALUE!</v>
      </c>
      <c r="N20" s="7">
        <f>'Crédito de Vivienda'!$C$40</f>
        <v>0</v>
      </c>
      <c r="O20" s="9" t="e">
        <f t="shared" si="4"/>
        <v>#VALUE!</v>
      </c>
    </row>
    <row r="21" spans="2:15" ht="15.5" x14ac:dyDescent="0.35">
      <c r="B21" s="6" t="e">
        <f>IF(C20&gt;1,B20+1," ")</f>
        <v>#VALUE!</v>
      </c>
      <c r="C21" s="7" t="e">
        <f t="shared" si="0"/>
        <v>#VALUE!</v>
      </c>
      <c r="D21" s="7" t="e">
        <f t="shared" si="1"/>
        <v>#VALUE!</v>
      </c>
      <c r="E21" s="7" t="e">
        <f>C20*'Crédito de Vivienda'!$E$17</f>
        <v>#VALUE!</v>
      </c>
      <c r="F21" s="8" t="e">
        <f>IF('Crédito de Vivienda'!$D$28="Si",($C$17*(VLOOKUP('Crédito de Vivienda'!$C$24,Seguros_Oblig!$A$3:$F$55,6,FALSE))),IF('Crédito de Vivienda'!$C$10="TARIFA 1",(C20*(VLOOKUP('Crédito de Vivienda'!$C$24,Seguros_Oblig!$A$3:$B$55,2,FALSE))),(C20*(VLOOKUP('Crédito de Vivienda'!$C$24,Seguros_Oblig!$A$3:$D$55,4,FALSE)))))</f>
        <v>#VALUE!</v>
      </c>
      <c r="G21" s="8" t="e">
        <f>IF('Crédito de Vivienda'!$C$10="TARIFA 1",(C20*(VLOOKUP('Crédito de Vivienda'!$C$25,Seguros_Oblig!$A$3:$B$55,2,FALSE))),(C20*(VLOOKUP('Crédito de Vivienda'!$C$25,Seguros_Oblig!$A$3:$D$55,4,FALSE))))</f>
        <v>#VALUE!</v>
      </c>
      <c r="H21" s="8" t="e">
        <f>IF('Crédito de Vivienda'!$C$10="TARIFA 1",(C20*(VLOOKUP('Crédito de Vivienda'!$C$26,Seguros_Oblig!$A$3:$B$55,2,FALSE))),(C20*(VLOOKUP('Crédito de Vivienda'!$C$26,Seguros_Oblig!$A$3:$D$55,4,FALSE))))</f>
        <v>#VALUE!</v>
      </c>
      <c r="I21" s="8" t="e">
        <f>IF('Crédito de Vivienda'!$C$10="TARIFA 1",(C20*(VLOOKUP('Crédito de Vivienda'!$C$27,Seguros_Oblig!$A$3:$B$55,2,FALSE))),(C20*(VLOOKUP('Crédito de Vivienda'!$C$27,Seguros_Oblig!$A$3:$D$55,4,FALSE))))</f>
        <v>#VALUE!</v>
      </c>
      <c r="J21" s="10">
        <f t="shared" si="2"/>
        <v>0</v>
      </c>
      <c r="K21" s="7">
        <f>Seguros_Oblig!$K$2*('Crédito de Vivienda'!$C$12*90%)</f>
        <v>0</v>
      </c>
      <c r="L21" s="7" t="e">
        <f>PMT('Crédito de Vivienda'!$E$17,'Crédito de Vivienda'!$C$18,-'Crédito de Vivienda'!$C$15,,)</f>
        <v>#VALUE!</v>
      </c>
      <c r="M21" s="9" t="e">
        <f t="shared" si="3"/>
        <v>#VALUE!</v>
      </c>
      <c r="N21" s="7">
        <f>'Crédito de Vivienda'!$C$40</f>
        <v>0</v>
      </c>
      <c r="O21" s="9" t="e">
        <f t="shared" si="4"/>
        <v>#VALUE!</v>
      </c>
    </row>
    <row r="22" spans="2:15" ht="15.5" x14ac:dyDescent="0.35">
      <c r="B22" s="6" t="e">
        <f>IF(C21&gt;1,B21+1," ")</f>
        <v>#VALUE!</v>
      </c>
      <c r="C22" s="7" t="e">
        <f t="shared" si="0"/>
        <v>#VALUE!</v>
      </c>
      <c r="D22" s="7" t="e">
        <f t="shared" si="1"/>
        <v>#VALUE!</v>
      </c>
      <c r="E22" s="7" t="e">
        <f>C21*'Crédito de Vivienda'!$E$17</f>
        <v>#VALUE!</v>
      </c>
      <c r="F22" s="8" t="e">
        <f>IF('Crédito de Vivienda'!$D$28="Si",($C$17*(VLOOKUP('Crédito de Vivienda'!$C$24,Seguros_Oblig!$A$3:$F$55,6,FALSE))),IF('Crédito de Vivienda'!$C$10="TARIFA 1",(C21*(VLOOKUP('Crédito de Vivienda'!$C$24,Seguros_Oblig!$A$3:$B$55,2,FALSE))),(C21*(VLOOKUP('Crédito de Vivienda'!$C$24,Seguros_Oblig!$A$3:$D$55,4,FALSE)))))</f>
        <v>#VALUE!</v>
      </c>
      <c r="G22" s="8" t="e">
        <f>IF('Crédito de Vivienda'!$C$10="TARIFA 1",(C21*(VLOOKUP('Crédito de Vivienda'!$C$25,Seguros_Oblig!$A$3:$B$55,2,FALSE))),(C21*(VLOOKUP('Crédito de Vivienda'!$C$25,Seguros_Oblig!$A$3:$D$55,4,FALSE))))</f>
        <v>#VALUE!</v>
      </c>
      <c r="H22" s="8" t="e">
        <f>IF('Crédito de Vivienda'!$C$10="TARIFA 1",(C21*(VLOOKUP('Crédito de Vivienda'!$C$26,Seguros_Oblig!$A$3:$B$55,2,FALSE))),(C21*(VLOOKUP('Crédito de Vivienda'!$C$26,Seguros_Oblig!$A$3:$D$55,4,FALSE))))</f>
        <v>#VALUE!</v>
      </c>
      <c r="I22" s="8" t="e">
        <f>IF('Crédito de Vivienda'!$C$10="TARIFA 1",(C21*(VLOOKUP('Crédito de Vivienda'!$C$27,Seguros_Oblig!$A$3:$B$55,2,FALSE))),(C21*(VLOOKUP('Crédito de Vivienda'!$C$27,Seguros_Oblig!$A$3:$D$55,4,FALSE))))</f>
        <v>#VALUE!</v>
      </c>
      <c r="J22" s="10">
        <f t="shared" si="2"/>
        <v>0</v>
      </c>
      <c r="K22" s="7">
        <f>Seguros_Oblig!$K$2*('Crédito de Vivienda'!$C$12*90%)</f>
        <v>0</v>
      </c>
      <c r="L22" s="7" t="e">
        <f>PMT('Crédito de Vivienda'!$E$17,'Crédito de Vivienda'!$C$18,-'Crédito de Vivienda'!$C$15,,)</f>
        <v>#VALUE!</v>
      </c>
      <c r="M22" s="9" t="e">
        <f t="shared" si="3"/>
        <v>#VALUE!</v>
      </c>
      <c r="N22" s="7">
        <f>'Crédito de Vivienda'!$C$40</f>
        <v>0</v>
      </c>
      <c r="O22" s="9" t="e">
        <f t="shared" si="4"/>
        <v>#VALUE!</v>
      </c>
    </row>
    <row r="23" spans="2:15" ht="15.5" x14ac:dyDescent="0.35">
      <c r="B23" s="6" t="e">
        <f>IF(C22&gt;1,B22+1," ")</f>
        <v>#VALUE!</v>
      </c>
      <c r="C23" s="7" t="e">
        <f t="shared" si="0"/>
        <v>#VALUE!</v>
      </c>
      <c r="D23" s="7" t="e">
        <f t="shared" si="1"/>
        <v>#VALUE!</v>
      </c>
      <c r="E23" s="7" t="e">
        <f>C22*'Crédito de Vivienda'!$E$17</f>
        <v>#VALUE!</v>
      </c>
      <c r="F23" s="8" t="e">
        <f>IF('Crédito de Vivienda'!$D$28="Si",($C$17*(VLOOKUP('Crédito de Vivienda'!$C$24,Seguros_Oblig!$A$3:$F$55,6,FALSE))),IF('Crédito de Vivienda'!$C$10="TARIFA 1",(C22*(VLOOKUP('Crédito de Vivienda'!$C$24,Seguros_Oblig!$A$3:$B$55,2,FALSE))),(C22*(VLOOKUP('Crédito de Vivienda'!$C$24,Seguros_Oblig!$A$3:$D$55,4,FALSE)))))</f>
        <v>#VALUE!</v>
      </c>
      <c r="G23" s="8" t="e">
        <f>IF('Crédito de Vivienda'!$C$10="TARIFA 1",(C22*(VLOOKUP('Crédito de Vivienda'!$C$25,Seguros_Oblig!$A$3:$B$55,2,FALSE))),(C22*(VLOOKUP('Crédito de Vivienda'!$C$25,Seguros_Oblig!$A$3:$D$55,4,FALSE))))</f>
        <v>#VALUE!</v>
      </c>
      <c r="H23" s="8" t="e">
        <f>IF('Crédito de Vivienda'!$C$10="TARIFA 1",(C22*(VLOOKUP('Crédito de Vivienda'!$C$26,Seguros_Oblig!$A$3:$B$55,2,FALSE))),(C22*(VLOOKUP('Crédito de Vivienda'!$C$26,Seguros_Oblig!$A$3:$D$55,4,FALSE))))</f>
        <v>#VALUE!</v>
      </c>
      <c r="I23" s="8" t="e">
        <f>IF('Crédito de Vivienda'!$C$10="TARIFA 1",(C22*(VLOOKUP('Crédito de Vivienda'!$C$27,Seguros_Oblig!$A$3:$B$55,2,FALSE))),(C22*(VLOOKUP('Crédito de Vivienda'!$C$27,Seguros_Oblig!$A$3:$D$55,4,FALSE))))</f>
        <v>#VALUE!</v>
      </c>
      <c r="J23" s="10">
        <f t="shared" si="2"/>
        <v>0</v>
      </c>
      <c r="K23" s="7">
        <f>Seguros_Oblig!$K$2*('Crédito de Vivienda'!$C$12*90%)</f>
        <v>0</v>
      </c>
      <c r="L23" s="7" t="e">
        <f>PMT('Crédito de Vivienda'!$E$17,'Crédito de Vivienda'!$C$18,-'Crédito de Vivienda'!$C$15,,)</f>
        <v>#VALUE!</v>
      </c>
      <c r="M23" s="9" t="e">
        <f t="shared" si="3"/>
        <v>#VALUE!</v>
      </c>
      <c r="N23" s="7">
        <f>'Crédito de Vivienda'!$C$40</f>
        <v>0</v>
      </c>
      <c r="O23" s="9" t="e">
        <f t="shared" si="4"/>
        <v>#VALUE!</v>
      </c>
    </row>
    <row r="24" spans="2:15" ht="15.5" x14ac:dyDescent="0.35">
      <c r="B24" s="6" t="e">
        <f t="shared" ref="B24:B82" si="5">IF(C23&gt;1,B23+1," ")</f>
        <v>#VALUE!</v>
      </c>
      <c r="C24" s="7" t="e">
        <f t="shared" si="0"/>
        <v>#VALUE!</v>
      </c>
      <c r="D24" s="7" t="e">
        <f t="shared" si="1"/>
        <v>#VALUE!</v>
      </c>
      <c r="E24" s="7" t="e">
        <f>C23*'Crédito de Vivienda'!$E$17</f>
        <v>#VALUE!</v>
      </c>
      <c r="F24" s="8" t="e">
        <f>IF('Crédito de Vivienda'!$D$28="Si",($C$17*(VLOOKUP('Crédito de Vivienda'!$C$24,Seguros_Oblig!$A$3:$F$55,6,FALSE))),IF('Crédito de Vivienda'!$C$10="TARIFA 1",(C23*(VLOOKUP('Crédito de Vivienda'!$C$24,Seguros_Oblig!$A$3:$B$55,2,FALSE))),(C23*(VLOOKUP('Crédito de Vivienda'!$C$24,Seguros_Oblig!$A$3:$D$55,4,FALSE)))))</f>
        <v>#VALUE!</v>
      </c>
      <c r="G24" s="8" t="e">
        <f>IF('Crédito de Vivienda'!$C$10="TARIFA 1",(C23*(VLOOKUP('Crédito de Vivienda'!$C$25,Seguros_Oblig!$A$3:$B$55,2,FALSE))),(C23*(VLOOKUP('Crédito de Vivienda'!$C$25,Seguros_Oblig!$A$3:$D$55,4,FALSE))))</f>
        <v>#VALUE!</v>
      </c>
      <c r="H24" s="8" t="e">
        <f>IF('Crédito de Vivienda'!$C$10="TARIFA 1",(C23*(VLOOKUP('Crédito de Vivienda'!$C$26,Seguros_Oblig!$A$3:$B$55,2,FALSE))),(C23*(VLOOKUP('Crédito de Vivienda'!$C$26,Seguros_Oblig!$A$3:$D$55,4,FALSE))))</f>
        <v>#VALUE!</v>
      </c>
      <c r="I24" s="8" t="e">
        <f>IF('Crédito de Vivienda'!$C$10="TARIFA 1",(C23*(VLOOKUP('Crédito de Vivienda'!$C$27,Seguros_Oblig!$A$3:$B$55,2,FALSE))),(C23*(VLOOKUP('Crédito de Vivienda'!$C$27,Seguros_Oblig!$A$3:$D$55,4,FALSE))))</f>
        <v>#VALUE!</v>
      </c>
      <c r="J24" s="10">
        <f t="shared" si="2"/>
        <v>0</v>
      </c>
      <c r="K24" s="7">
        <f>Seguros_Oblig!$K$2*('Crédito de Vivienda'!$C$12*90%)</f>
        <v>0</v>
      </c>
      <c r="L24" s="7" t="e">
        <f>PMT('Crédito de Vivienda'!$E$17,'Crédito de Vivienda'!$C$18,-'Crédito de Vivienda'!$C$15,,)</f>
        <v>#VALUE!</v>
      </c>
      <c r="M24" s="9" t="e">
        <f t="shared" si="3"/>
        <v>#VALUE!</v>
      </c>
      <c r="N24" s="7">
        <f>'Crédito de Vivienda'!$C$40</f>
        <v>0</v>
      </c>
      <c r="O24" s="9" t="e">
        <f t="shared" si="4"/>
        <v>#VALUE!</v>
      </c>
    </row>
    <row r="25" spans="2:15" ht="15.5" x14ac:dyDescent="0.35">
      <c r="B25" s="6" t="e">
        <f t="shared" si="5"/>
        <v>#VALUE!</v>
      </c>
      <c r="C25" s="7" t="e">
        <f t="shared" si="0"/>
        <v>#VALUE!</v>
      </c>
      <c r="D25" s="7" t="e">
        <f t="shared" si="1"/>
        <v>#VALUE!</v>
      </c>
      <c r="E25" s="7" t="e">
        <f>C24*'Crédito de Vivienda'!$E$17</f>
        <v>#VALUE!</v>
      </c>
      <c r="F25" s="8" t="e">
        <f>IF('Crédito de Vivienda'!$D$28="Si",($C$17*(VLOOKUP('Crédito de Vivienda'!$C$24,Seguros_Oblig!$A$3:$F$55,6,FALSE))),IF('Crédito de Vivienda'!$C$10="TARIFA 1",(C24*(VLOOKUP('Crédito de Vivienda'!$C$24,Seguros_Oblig!$A$3:$B$55,2,FALSE))),(C24*(VLOOKUP('Crédito de Vivienda'!$C$24,Seguros_Oblig!$A$3:$D$55,4,FALSE)))))</f>
        <v>#VALUE!</v>
      </c>
      <c r="G25" s="8" t="e">
        <f>IF('Crédito de Vivienda'!$C$10="TARIFA 1",(C24*(VLOOKUP('Crédito de Vivienda'!$C$25,Seguros_Oblig!$A$3:$B$55,2,FALSE))),(C24*(VLOOKUP('Crédito de Vivienda'!$C$25,Seguros_Oblig!$A$3:$D$55,4,FALSE))))</f>
        <v>#VALUE!</v>
      </c>
      <c r="H25" s="8" t="e">
        <f>IF('Crédito de Vivienda'!$C$10="TARIFA 1",(C24*(VLOOKUP('Crédito de Vivienda'!$C$26,Seguros_Oblig!$A$3:$B$55,2,FALSE))),(C24*(VLOOKUP('Crédito de Vivienda'!$C$26,Seguros_Oblig!$A$3:$D$55,4,FALSE))))</f>
        <v>#VALUE!</v>
      </c>
      <c r="I25" s="8" t="e">
        <f>IF('Crédito de Vivienda'!$C$10="TARIFA 1",(C24*(VLOOKUP('Crédito de Vivienda'!$C$27,Seguros_Oblig!$A$3:$B$55,2,FALSE))),(C24*(VLOOKUP('Crédito de Vivienda'!$C$27,Seguros_Oblig!$A$3:$D$55,4,FALSE))))</f>
        <v>#VALUE!</v>
      </c>
      <c r="J25" s="10">
        <f t="shared" si="2"/>
        <v>0</v>
      </c>
      <c r="K25" s="7">
        <f>Seguros_Oblig!$K$2*('Crédito de Vivienda'!$C$12*90%)</f>
        <v>0</v>
      </c>
      <c r="L25" s="7" t="e">
        <f>PMT('Crédito de Vivienda'!$E$17,'Crédito de Vivienda'!$C$18,-'Crédito de Vivienda'!$C$15,,)</f>
        <v>#VALUE!</v>
      </c>
      <c r="M25" s="9" t="e">
        <f t="shared" si="3"/>
        <v>#VALUE!</v>
      </c>
      <c r="N25" s="7">
        <f>'Crédito de Vivienda'!$C$40</f>
        <v>0</v>
      </c>
      <c r="O25" s="9" t="e">
        <f t="shared" si="4"/>
        <v>#VALUE!</v>
      </c>
    </row>
    <row r="26" spans="2:15" ht="15.5" x14ac:dyDescent="0.35">
      <c r="B26" s="6" t="e">
        <f t="shared" si="5"/>
        <v>#VALUE!</v>
      </c>
      <c r="C26" s="7" t="e">
        <f t="shared" si="0"/>
        <v>#VALUE!</v>
      </c>
      <c r="D26" s="7" t="e">
        <f t="shared" si="1"/>
        <v>#VALUE!</v>
      </c>
      <c r="E26" s="7" t="e">
        <f>C25*'Crédito de Vivienda'!$E$17</f>
        <v>#VALUE!</v>
      </c>
      <c r="F26" s="8" t="e">
        <f>IF('Crédito de Vivienda'!$D$28="Si",($C$17*(VLOOKUP('Crédito de Vivienda'!$C$24,Seguros_Oblig!$A$3:$F$55,6,FALSE))),IF('Crédito de Vivienda'!$C$10="TARIFA 1",(C25*(VLOOKUP('Crédito de Vivienda'!$C$24,Seguros_Oblig!$A$3:$B$55,2,FALSE))),(C25*(VLOOKUP('Crédito de Vivienda'!$C$24,Seguros_Oblig!$A$3:$D$55,4,FALSE)))))</f>
        <v>#VALUE!</v>
      </c>
      <c r="G26" s="8" t="e">
        <f>IF('Crédito de Vivienda'!$C$10="TARIFA 1",(C25*(VLOOKUP('Crédito de Vivienda'!$C$25,Seguros_Oblig!$A$3:$B$55,2,FALSE))),(C25*(VLOOKUP('Crédito de Vivienda'!$C$25,Seguros_Oblig!$A$3:$D$55,4,FALSE))))</f>
        <v>#VALUE!</v>
      </c>
      <c r="H26" s="8" t="e">
        <f>IF('Crédito de Vivienda'!$C$10="TARIFA 1",(C25*(VLOOKUP('Crédito de Vivienda'!$C$26,Seguros_Oblig!$A$3:$B$55,2,FALSE))),(C25*(VLOOKUP('Crédito de Vivienda'!$C$26,Seguros_Oblig!$A$3:$D$55,4,FALSE))))</f>
        <v>#VALUE!</v>
      </c>
      <c r="I26" s="8" t="e">
        <f>IF('Crédito de Vivienda'!$C$10="TARIFA 1",(C25*(VLOOKUP('Crédito de Vivienda'!$C$27,Seguros_Oblig!$A$3:$B$55,2,FALSE))),(C25*(VLOOKUP('Crédito de Vivienda'!$C$27,Seguros_Oblig!$A$3:$D$55,4,FALSE))))</f>
        <v>#VALUE!</v>
      </c>
      <c r="J26" s="10">
        <f t="shared" si="2"/>
        <v>0</v>
      </c>
      <c r="K26" s="7">
        <f>Seguros_Oblig!$K$2*('Crédito de Vivienda'!$C$12*90%)</f>
        <v>0</v>
      </c>
      <c r="L26" s="7" t="e">
        <f>PMT('Crédito de Vivienda'!$E$17,'Crédito de Vivienda'!$C$18,-'Crédito de Vivienda'!$C$15,,)</f>
        <v>#VALUE!</v>
      </c>
      <c r="M26" s="9" t="e">
        <f t="shared" si="3"/>
        <v>#VALUE!</v>
      </c>
      <c r="N26" s="7">
        <f>'Crédito de Vivienda'!$C$40</f>
        <v>0</v>
      </c>
      <c r="O26" s="9" t="e">
        <f t="shared" si="4"/>
        <v>#VALUE!</v>
      </c>
    </row>
    <row r="27" spans="2:15" ht="15.5" x14ac:dyDescent="0.35">
      <c r="B27" s="6" t="e">
        <f t="shared" si="5"/>
        <v>#VALUE!</v>
      </c>
      <c r="C27" s="7" t="e">
        <f t="shared" si="0"/>
        <v>#VALUE!</v>
      </c>
      <c r="D27" s="7" t="e">
        <f t="shared" si="1"/>
        <v>#VALUE!</v>
      </c>
      <c r="E27" s="7" t="e">
        <f>C26*'Crédito de Vivienda'!$E$17</f>
        <v>#VALUE!</v>
      </c>
      <c r="F27" s="8" t="e">
        <f>IF('Crédito de Vivienda'!$D$28="Si",($C$17*(VLOOKUP('Crédito de Vivienda'!$C$24,Seguros_Oblig!$A$3:$F$55,6,FALSE))),IF('Crédito de Vivienda'!$C$10="TARIFA 1",(C26*(VLOOKUP('Crédito de Vivienda'!$C$24,Seguros_Oblig!$A$3:$B$55,2,FALSE))),(C26*(VLOOKUP('Crédito de Vivienda'!$C$24,Seguros_Oblig!$A$3:$D$55,4,FALSE)))))</f>
        <v>#VALUE!</v>
      </c>
      <c r="G27" s="8" t="e">
        <f>IF('Crédito de Vivienda'!$C$10="TARIFA 1",(C26*(VLOOKUP('Crédito de Vivienda'!$C$25,Seguros_Oblig!$A$3:$B$55,2,FALSE))),(C26*(VLOOKUP('Crédito de Vivienda'!$C$25,Seguros_Oblig!$A$3:$D$55,4,FALSE))))</f>
        <v>#VALUE!</v>
      </c>
      <c r="H27" s="8" t="e">
        <f>IF('Crédito de Vivienda'!$C$10="TARIFA 1",(C26*(VLOOKUP('Crédito de Vivienda'!$C$26,Seguros_Oblig!$A$3:$B$55,2,FALSE))),(C26*(VLOOKUP('Crédito de Vivienda'!$C$26,Seguros_Oblig!$A$3:$D$55,4,FALSE))))</f>
        <v>#VALUE!</v>
      </c>
      <c r="I27" s="8" t="e">
        <f>IF('Crédito de Vivienda'!$C$10="TARIFA 1",(C26*(VLOOKUP('Crédito de Vivienda'!$C$27,Seguros_Oblig!$A$3:$B$55,2,FALSE))),(C26*(VLOOKUP('Crédito de Vivienda'!$C$27,Seguros_Oblig!$A$3:$D$55,4,FALSE))))</f>
        <v>#VALUE!</v>
      </c>
      <c r="J27" s="10">
        <f t="shared" si="2"/>
        <v>0</v>
      </c>
      <c r="K27" s="7">
        <f>Seguros_Oblig!$K$2*('Crédito de Vivienda'!$C$12*90%)</f>
        <v>0</v>
      </c>
      <c r="L27" s="7" t="e">
        <f>PMT('Crédito de Vivienda'!$E$17,'Crédito de Vivienda'!$C$18,-'Crédito de Vivienda'!$C$15,,)</f>
        <v>#VALUE!</v>
      </c>
      <c r="M27" s="9" t="e">
        <f t="shared" si="3"/>
        <v>#VALUE!</v>
      </c>
      <c r="N27" s="7">
        <f>'Crédito de Vivienda'!$C$40</f>
        <v>0</v>
      </c>
      <c r="O27" s="9" t="e">
        <f t="shared" si="4"/>
        <v>#VALUE!</v>
      </c>
    </row>
    <row r="28" spans="2:15" ht="15.5" x14ac:dyDescent="0.35">
      <c r="B28" s="6" t="e">
        <f t="shared" si="5"/>
        <v>#VALUE!</v>
      </c>
      <c r="C28" s="7" t="e">
        <f t="shared" si="0"/>
        <v>#VALUE!</v>
      </c>
      <c r="D28" s="7" t="e">
        <f t="shared" si="1"/>
        <v>#VALUE!</v>
      </c>
      <c r="E28" s="7" t="e">
        <f>C27*'Crédito de Vivienda'!$E$17</f>
        <v>#VALUE!</v>
      </c>
      <c r="F28" s="8" t="e">
        <f>IF('Crédito de Vivienda'!$D$28="Si",($C$17*(VLOOKUP('Crédito de Vivienda'!$C$24,Seguros_Oblig!$A$3:$F$55,6,FALSE))),IF('Crédito de Vivienda'!$C$10="TARIFA 1",(C27*(VLOOKUP('Crédito de Vivienda'!$C$24,Seguros_Oblig!$A$3:$B$55,2,FALSE))),(C27*(VLOOKUP('Crédito de Vivienda'!$C$24,Seguros_Oblig!$A$3:$D$55,4,FALSE)))))</f>
        <v>#VALUE!</v>
      </c>
      <c r="G28" s="8" t="e">
        <f>IF('Crédito de Vivienda'!$C$10="TARIFA 1",(C27*(VLOOKUP('Crédito de Vivienda'!$C$25,Seguros_Oblig!$A$3:$B$55,2,FALSE))),(C27*(VLOOKUP('Crédito de Vivienda'!$C$25,Seguros_Oblig!$A$3:$D$55,4,FALSE))))</f>
        <v>#VALUE!</v>
      </c>
      <c r="H28" s="8" t="e">
        <f>IF('Crédito de Vivienda'!$C$10="TARIFA 1",(C27*(VLOOKUP('Crédito de Vivienda'!$C$26,Seguros_Oblig!$A$3:$B$55,2,FALSE))),(C27*(VLOOKUP('Crédito de Vivienda'!$C$26,Seguros_Oblig!$A$3:$D$55,4,FALSE))))</f>
        <v>#VALUE!</v>
      </c>
      <c r="I28" s="8" t="e">
        <f>IF('Crédito de Vivienda'!$C$10="TARIFA 1",(C27*(VLOOKUP('Crédito de Vivienda'!$C$27,Seguros_Oblig!$A$3:$B$55,2,FALSE))),(C27*(VLOOKUP('Crédito de Vivienda'!$C$27,Seguros_Oblig!$A$3:$D$55,4,FALSE))))</f>
        <v>#VALUE!</v>
      </c>
      <c r="J28" s="10">
        <f t="shared" si="2"/>
        <v>0</v>
      </c>
      <c r="K28" s="7">
        <f>Seguros_Oblig!$K$2*('Crédito de Vivienda'!$C$12*90%)</f>
        <v>0</v>
      </c>
      <c r="L28" s="7" t="e">
        <f>PMT('Crédito de Vivienda'!$E$17,'Crédito de Vivienda'!$C$18,-'Crédito de Vivienda'!$C$15,,)</f>
        <v>#VALUE!</v>
      </c>
      <c r="M28" s="9" t="e">
        <f t="shared" si="3"/>
        <v>#VALUE!</v>
      </c>
      <c r="N28" s="7">
        <f>'Crédito de Vivienda'!$C$40</f>
        <v>0</v>
      </c>
      <c r="O28" s="9" t="e">
        <f t="shared" si="4"/>
        <v>#VALUE!</v>
      </c>
    </row>
    <row r="29" spans="2:15" ht="15.5" x14ac:dyDescent="0.35">
      <c r="B29" s="6" t="e">
        <f t="shared" si="5"/>
        <v>#VALUE!</v>
      </c>
      <c r="C29" s="7" t="e">
        <f t="shared" si="0"/>
        <v>#VALUE!</v>
      </c>
      <c r="D29" s="7" t="e">
        <f t="shared" si="1"/>
        <v>#VALUE!</v>
      </c>
      <c r="E29" s="7" t="e">
        <f>C28*'Crédito de Vivienda'!$E$17</f>
        <v>#VALUE!</v>
      </c>
      <c r="F29" s="8" t="e">
        <f>IF('Crédito de Vivienda'!$D$28="Si",($C$17*(VLOOKUP('Crédito de Vivienda'!$C$24,Seguros_Oblig!$A$3:$F$55,6,FALSE))),IF('Crédito de Vivienda'!$C$10="TARIFA 1",(C28*(VLOOKUP('Crédito de Vivienda'!$C$24,Seguros_Oblig!$A$3:$B$55,2,FALSE))),(C28*(VLOOKUP('Crédito de Vivienda'!$C$24,Seguros_Oblig!$A$3:$D$55,4,FALSE)))))</f>
        <v>#VALUE!</v>
      </c>
      <c r="G29" s="8" t="e">
        <f>IF('Crédito de Vivienda'!$C$10="TARIFA 1",(C28*(VLOOKUP('Crédito de Vivienda'!$C$25,Seguros_Oblig!$A$3:$B$55,2,FALSE))),(C28*(VLOOKUP('Crédito de Vivienda'!$C$25,Seguros_Oblig!$A$3:$D$55,4,FALSE))))</f>
        <v>#VALUE!</v>
      </c>
      <c r="H29" s="8" t="e">
        <f>IF('Crédito de Vivienda'!$C$10="TARIFA 1",(C28*(VLOOKUP('Crédito de Vivienda'!$C$26,Seguros_Oblig!$A$3:$B$55,2,FALSE))),(C28*(VLOOKUP('Crédito de Vivienda'!$C$26,Seguros_Oblig!$A$3:$D$55,4,FALSE))))</f>
        <v>#VALUE!</v>
      </c>
      <c r="I29" s="8" t="e">
        <f>IF('Crédito de Vivienda'!$C$10="TARIFA 1",(C28*(VLOOKUP('Crédito de Vivienda'!$C$27,Seguros_Oblig!$A$3:$B$55,2,FALSE))),(C28*(VLOOKUP('Crédito de Vivienda'!$C$27,Seguros_Oblig!$A$3:$D$55,4,FALSE))))</f>
        <v>#VALUE!</v>
      </c>
      <c r="J29" s="10">
        <f t="shared" si="2"/>
        <v>0</v>
      </c>
      <c r="K29" s="7">
        <f>Seguros_Oblig!$K$2*('Crédito de Vivienda'!$C$12*90%)</f>
        <v>0</v>
      </c>
      <c r="L29" s="7" t="e">
        <f>PMT('Crédito de Vivienda'!$E$17,'Crédito de Vivienda'!$C$18,-'Crédito de Vivienda'!$C$15,,)</f>
        <v>#VALUE!</v>
      </c>
      <c r="M29" s="9" t="e">
        <f t="shared" si="3"/>
        <v>#VALUE!</v>
      </c>
      <c r="N29" s="7">
        <f>'Crédito de Vivienda'!$C$40</f>
        <v>0</v>
      </c>
      <c r="O29" s="9" t="e">
        <f t="shared" si="4"/>
        <v>#VALUE!</v>
      </c>
    </row>
    <row r="30" spans="2:15" ht="15.5" x14ac:dyDescent="0.35">
      <c r="B30" s="6" t="e">
        <f t="shared" si="5"/>
        <v>#VALUE!</v>
      </c>
      <c r="C30" s="7" t="e">
        <f t="shared" si="0"/>
        <v>#VALUE!</v>
      </c>
      <c r="D30" s="7" t="e">
        <f>IF(C29&lt;1,"0",L30-E30)</f>
        <v>#VALUE!</v>
      </c>
      <c r="E30" s="7" t="e">
        <f>C29*'Crédito de Vivienda'!$E$17</f>
        <v>#VALUE!</v>
      </c>
      <c r="F30" s="282" t="e">
        <f>IF(C29&lt;1,"0",IF('Crédito de Vivienda'!$D$28="Si",($C$17*(VLOOKUP('Crédito de Vivienda'!$C$24,Seguros_Oblig!$A$3:$F$55,6,FALSE))),IF('Crédito de Vivienda'!$C$10="TARIFA 1",(C29*(VLOOKUP('Crédito de Vivienda'!$C$24,Seguros_Oblig!$A$3:$B$55,2,FALSE))),(C29*(VLOOKUP('Crédito de Vivienda'!$C$24,Seguros_Oblig!$A$3:$D$55,4,FALSE))))))</f>
        <v>#VALUE!</v>
      </c>
      <c r="G30" s="8" t="e">
        <f>IF('Crédito de Vivienda'!$C$10="TARIFA 1",(C29*(VLOOKUP('Crédito de Vivienda'!$C$25,Seguros_Oblig!$A$3:$B$55,2,FALSE))),(C29*(VLOOKUP('Crédito de Vivienda'!$C$25,Seguros_Oblig!$A$3:$D$55,4,FALSE))))</f>
        <v>#VALUE!</v>
      </c>
      <c r="H30" s="8" t="e">
        <f>IF('Crédito de Vivienda'!$C$10="TARIFA 1",(C29*(VLOOKUP('Crédito de Vivienda'!$C$26,Seguros_Oblig!$A$3:$B$55,2,FALSE))),(C29*(VLOOKUP('Crédito de Vivienda'!$C$26,Seguros_Oblig!$A$3:$D$55,4,FALSE))))</f>
        <v>#VALUE!</v>
      </c>
      <c r="I30" s="8" t="e">
        <f>IF('Crédito de Vivienda'!$C$10="TARIFA 1",(C29*(VLOOKUP('Crédito de Vivienda'!$C$27,Seguros_Oblig!$A$3:$B$55,2,FALSE))),(C29*(VLOOKUP('Crédito de Vivienda'!$C$27,Seguros_Oblig!$A$3:$D$55,4,FALSE))))</f>
        <v>#VALUE!</v>
      </c>
      <c r="J30" s="10">
        <f t="shared" si="2"/>
        <v>0</v>
      </c>
      <c r="K30" s="7" t="e">
        <f>IF(C29&lt;1,"0",Seguros_Oblig!$K$2*('Crédito de Vivienda'!$C$12*90%))</f>
        <v>#VALUE!</v>
      </c>
      <c r="L30" s="7" t="e">
        <f>PMT('Crédito de Vivienda'!$E$17,'Crédito de Vivienda'!$C$18,-'Crédito de Vivienda'!$C$15,,)</f>
        <v>#VALUE!</v>
      </c>
      <c r="M30" s="9" t="e">
        <f t="shared" si="3"/>
        <v>#VALUE!</v>
      </c>
      <c r="N30" s="7" t="e">
        <f>IF(C29&lt;1,"0",'Crédito de Vivienda'!$C$40)</f>
        <v>#VALUE!</v>
      </c>
      <c r="O30" s="9" t="e">
        <f t="shared" si="4"/>
        <v>#VALUE!</v>
      </c>
    </row>
    <row r="31" spans="2:15" ht="15.5" x14ac:dyDescent="0.35">
      <c r="B31" s="6" t="e">
        <f t="shared" si="5"/>
        <v>#VALUE!</v>
      </c>
      <c r="C31" s="7" t="e">
        <f t="shared" si="0"/>
        <v>#VALUE!</v>
      </c>
      <c r="D31" s="7" t="e">
        <f t="shared" ref="D31:D94" si="6">IF(C30&lt;1,"0",L31-E31)</f>
        <v>#VALUE!</v>
      </c>
      <c r="E31" s="7" t="e">
        <f>C30*'Crédito de Vivienda'!$E$17</f>
        <v>#VALUE!</v>
      </c>
      <c r="F31" s="282" t="e">
        <f>IF(C30&lt;1,"0",IF('Crédito de Vivienda'!$D$28="Si",($C$17*(VLOOKUP('Crédito de Vivienda'!$C$24,Seguros_Oblig!$A$3:$F$55,6,FALSE))),IF('Crédito de Vivienda'!$C$10="TARIFA 1",(C30*(VLOOKUP('Crédito de Vivienda'!$C$24,Seguros_Oblig!$A$3:$B$55,2,FALSE))),(C30*(VLOOKUP('Crédito de Vivienda'!$C$24,Seguros_Oblig!$A$3:$D$55,4,FALSE))))))</f>
        <v>#VALUE!</v>
      </c>
      <c r="G31" s="8" t="e">
        <f>IF('Crédito de Vivienda'!$C$10="TARIFA 1",(C30*(VLOOKUP('Crédito de Vivienda'!$C$25,Seguros_Oblig!$A$3:$B$55,2,FALSE))),(C30*(VLOOKUP('Crédito de Vivienda'!$C$25,Seguros_Oblig!$A$3:$D$55,4,FALSE))))</f>
        <v>#VALUE!</v>
      </c>
      <c r="H31" s="8" t="e">
        <f>IF('Crédito de Vivienda'!$C$10="TARIFA 1",(C30*(VLOOKUP('Crédito de Vivienda'!$C$26,Seguros_Oblig!$A$3:$B$55,2,FALSE))),(C30*(VLOOKUP('Crédito de Vivienda'!$C$26,Seguros_Oblig!$A$3:$D$55,4,FALSE))))</f>
        <v>#VALUE!</v>
      </c>
      <c r="I31" s="8" t="e">
        <f>IF('Crédito de Vivienda'!$C$10="TARIFA 1",(C30*(VLOOKUP('Crédito de Vivienda'!$C$27,Seguros_Oblig!$A$3:$B$55,2,FALSE))),(C30*(VLOOKUP('Crédito de Vivienda'!$C$27,Seguros_Oblig!$A$3:$D$55,4,FALSE))))</f>
        <v>#VALUE!</v>
      </c>
      <c r="J31" s="10">
        <f t="shared" si="2"/>
        <v>0</v>
      </c>
      <c r="K31" s="7" t="e">
        <f>IF(C30&lt;1,"0",Seguros_Oblig!$K$2*('Crédito de Vivienda'!$C$12*90%))</f>
        <v>#VALUE!</v>
      </c>
      <c r="L31" s="7" t="e">
        <f>PMT('Crédito de Vivienda'!$E$17,'Crédito de Vivienda'!$C$18,-'Crédito de Vivienda'!$C$15,,)</f>
        <v>#VALUE!</v>
      </c>
      <c r="M31" s="9" t="e">
        <f t="shared" si="3"/>
        <v>#VALUE!</v>
      </c>
      <c r="N31" s="7" t="e">
        <f>IF(C30&lt;1,"0",'Crédito de Vivienda'!$C$40)</f>
        <v>#VALUE!</v>
      </c>
      <c r="O31" s="9" t="e">
        <f t="shared" si="4"/>
        <v>#VALUE!</v>
      </c>
    </row>
    <row r="32" spans="2:15" ht="15.5" x14ac:dyDescent="0.35">
      <c r="B32" s="6" t="e">
        <f t="shared" si="5"/>
        <v>#VALUE!</v>
      </c>
      <c r="C32" s="7" t="e">
        <f t="shared" si="0"/>
        <v>#VALUE!</v>
      </c>
      <c r="D32" s="7" t="e">
        <f t="shared" si="6"/>
        <v>#VALUE!</v>
      </c>
      <c r="E32" s="7" t="e">
        <f>C31*'Crédito de Vivienda'!$E$17</f>
        <v>#VALUE!</v>
      </c>
      <c r="F32" s="282" t="e">
        <f>IF(C31&lt;1,"0",IF('Crédito de Vivienda'!$D$28="Si",($C$17*(VLOOKUP('Crédito de Vivienda'!$C$24,Seguros_Oblig!$A$3:$F$55,6,FALSE))),IF('Crédito de Vivienda'!$C$10="TARIFA 1",(C31*(VLOOKUP('Crédito de Vivienda'!$C$24,Seguros_Oblig!$A$3:$B$55,2,FALSE))),(C31*(VLOOKUP('Crédito de Vivienda'!$C$24,Seguros_Oblig!$A$3:$D$55,4,FALSE))))))</f>
        <v>#VALUE!</v>
      </c>
      <c r="G32" s="8" t="e">
        <f>IF('Crédito de Vivienda'!$C$10="TARIFA 1",(C31*(VLOOKUP('Crédito de Vivienda'!$C$25,Seguros_Oblig!$A$3:$B$55,2,FALSE))),(C31*(VLOOKUP('Crédito de Vivienda'!$C$25,Seguros_Oblig!$A$3:$D$55,4,FALSE))))</f>
        <v>#VALUE!</v>
      </c>
      <c r="H32" s="8" t="e">
        <f>IF('Crédito de Vivienda'!$C$10="TARIFA 1",(C31*(VLOOKUP('Crédito de Vivienda'!$C$26,Seguros_Oblig!$A$3:$B$55,2,FALSE))),(C31*(VLOOKUP('Crédito de Vivienda'!$C$26,Seguros_Oblig!$A$3:$D$55,4,FALSE))))</f>
        <v>#VALUE!</v>
      </c>
      <c r="I32" s="8" t="e">
        <f>IF('Crédito de Vivienda'!$C$10="TARIFA 1",(C31*(VLOOKUP('Crédito de Vivienda'!$C$27,Seguros_Oblig!$A$3:$B$55,2,FALSE))),(C31*(VLOOKUP('Crédito de Vivienda'!$C$27,Seguros_Oblig!$A$3:$D$55,4,FALSE))))</f>
        <v>#VALUE!</v>
      </c>
      <c r="J32" s="10">
        <f t="shared" si="2"/>
        <v>0</v>
      </c>
      <c r="K32" s="7" t="e">
        <f>IF(C31&lt;1,"0",Seguros_Oblig!$K$2*('Crédito de Vivienda'!$C$12*90%))</f>
        <v>#VALUE!</v>
      </c>
      <c r="L32" s="7" t="e">
        <f>PMT('Crédito de Vivienda'!$E$17,'Crédito de Vivienda'!$C$18,-'Crédito de Vivienda'!$C$15,,)</f>
        <v>#VALUE!</v>
      </c>
      <c r="M32" s="9" t="e">
        <f t="shared" si="3"/>
        <v>#VALUE!</v>
      </c>
      <c r="N32" s="7" t="e">
        <f>IF(C31&lt;1,"0",'Crédito de Vivienda'!$C$40)</f>
        <v>#VALUE!</v>
      </c>
      <c r="O32" s="9" t="e">
        <f t="shared" si="4"/>
        <v>#VALUE!</v>
      </c>
    </row>
    <row r="33" spans="2:15" ht="15.5" x14ac:dyDescent="0.35">
      <c r="B33" s="6" t="e">
        <f t="shared" si="5"/>
        <v>#VALUE!</v>
      </c>
      <c r="C33" s="7" t="e">
        <f t="shared" si="0"/>
        <v>#VALUE!</v>
      </c>
      <c r="D33" s="7" t="e">
        <f t="shared" si="6"/>
        <v>#VALUE!</v>
      </c>
      <c r="E33" s="7" t="e">
        <f>C32*'Crédito de Vivienda'!$E$17</f>
        <v>#VALUE!</v>
      </c>
      <c r="F33" s="282" t="e">
        <f>IF(C32&lt;1,"0",IF('Crédito de Vivienda'!$D$28="Si",($C$17*(VLOOKUP('Crédito de Vivienda'!$C$24,Seguros_Oblig!$A$3:$F$55,6,FALSE))),IF('Crédito de Vivienda'!$C$10="TARIFA 1",(C32*(VLOOKUP('Crédito de Vivienda'!$C$24,Seguros_Oblig!$A$3:$B$55,2,FALSE))),(C32*(VLOOKUP('Crédito de Vivienda'!$C$24,Seguros_Oblig!$A$3:$D$55,4,FALSE))))))</f>
        <v>#VALUE!</v>
      </c>
      <c r="G33" s="8" t="e">
        <f>IF('Crédito de Vivienda'!$C$10="TARIFA 1",(C32*(VLOOKUP('Crédito de Vivienda'!$C$25,Seguros_Oblig!$A$3:$B$55,2,FALSE))),(C32*(VLOOKUP('Crédito de Vivienda'!$C$25,Seguros_Oblig!$A$3:$D$55,4,FALSE))))</f>
        <v>#VALUE!</v>
      </c>
      <c r="H33" s="8" t="e">
        <f>IF('Crédito de Vivienda'!$C$10="TARIFA 1",(C32*(VLOOKUP('Crédito de Vivienda'!$C$26,Seguros_Oblig!$A$3:$B$55,2,FALSE))),(C32*(VLOOKUP('Crédito de Vivienda'!$C$26,Seguros_Oblig!$A$3:$D$55,4,FALSE))))</f>
        <v>#VALUE!</v>
      </c>
      <c r="I33" s="8" t="e">
        <f>IF('Crédito de Vivienda'!$C$10="TARIFA 1",(C32*(VLOOKUP('Crédito de Vivienda'!$C$27,Seguros_Oblig!$A$3:$B$55,2,FALSE))),(C32*(VLOOKUP('Crédito de Vivienda'!$C$27,Seguros_Oblig!$A$3:$D$55,4,FALSE))))</f>
        <v>#VALUE!</v>
      </c>
      <c r="J33" s="10">
        <f t="shared" si="2"/>
        <v>0</v>
      </c>
      <c r="K33" s="7" t="e">
        <f>IF(C32&lt;1,"0",Seguros_Oblig!$K$2*('Crédito de Vivienda'!$C$12*90%))</f>
        <v>#VALUE!</v>
      </c>
      <c r="L33" s="7" t="e">
        <f>PMT('Crédito de Vivienda'!$E$17,'Crédito de Vivienda'!$C$18,-'Crédito de Vivienda'!$C$15,,)</f>
        <v>#VALUE!</v>
      </c>
      <c r="M33" s="9" t="e">
        <f t="shared" si="3"/>
        <v>#VALUE!</v>
      </c>
      <c r="N33" s="7" t="e">
        <f>IF(C32&lt;1,"0",'Crédito de Vivienda'!$C$40)</f>
        <v>#VALUE!</v>
      </c>
      <c r="O33" s="9" t="e">
        <f t="shared" si="4"/>
        <v>#VALUE!</v>
      </c>
    </row>
    <row r="34" spans="2:15" ht="15.5" x14ac:dyDescent="0.35">
      <c r="B34" s="6" t="e">
        <f t="shared" si="5"/>
        <v>#VALUE!</v>
      </c>
      <c r="C34" s="7" t="e">
        <f t="shared" si="0"/>
        <v>#VALUE!</v>
      </c>
      <c r="D34" s="7" t="e">
        <f t="shared" si="6"/>
        <v>#VALUE!</v>
      </c>
      <c r="E34" s="7" t="e">
        <f>C33*'Crédito de Vivienda'!$E$17</f>
        <v>#VALUE!</v>
      </c>
      <c r="F34" s="282" t="e">
        <f>IF(C33&lt;1,"0",IF('Crédito de Vivienda'!$D$28="Si",($C$17*(VLOOKUP('Crédito de Vivienda'!$C$24,Seguros_Oblig!$A$3:$F$55,6,FALSE))),IF('Crédito de Vivienda'!$C$10="TARIFA 1",(C33*(VLOOKUP('Crédito de Vivienda'!$C$24,Seguros_Oblig!$A$3:$B$55,2,FALSE))),(C33*(VLOOKUP('Crédito de Vivienda'!$C$24,Seguros_Oblig!$A$3:$D$55,4,FALSE))))))</f>
        <v>#VALUE!</v>
      </c>
      <c r="G34" s="8" t="e">
        <f>IF('Crédito de Vivienda'!$C$10="TARIFA 1",(C33*(VLOOKUP('Crédito de Vivienda'!$C$25,Seguros_Oblig!$A$3:$B$55,2,FALSE))),(C33*(VLOOKUP('Crédito de Vivienda'!$C$25,Seguros_Oblig!$A$3:$D$55,4,FALSE))))</f>
        <v>#VALUE!</v>
      </c>
      <c r="H34" s="8" t="e">
        <f>IF('Crédito de Vivienda'!$C$10="TARIFA 1",(C33*(VLOOKUP('Crédito de Vivienda'!$C$26,Seguros_Oblig!$A$3:$B$55,2,FALSE))),(C33*(VLOOKUP('Crédito de Vivienda'!$C$26,Seguros_Oblig!$A$3:$D$55,4,FALSE))))</f>
        <v>#VALUE!</v>
      </c>
      <c r="I34" s="8" t="e">
        <f>IF('Crédito de Vivienda'!$C$10="TARIFA 1",(C33*(VLOOKUP('Crédito de Vivienda'!$C$27,Seguros_Oblig!$A$3:$B$55,2,FALSE))),(C33*(VLOOKUP('Crédito de Vivienda'!$C$27,Seguros_Oblig!$A$3:$D$55,4,FALSE))))</f>
        <v>#VALUE!</v>
      </c>
      <c r="J34" s="10">
        <f t="shared" si="2"/>
        <v>0</v>
      </c>
      <c r="K34" s="7" t="e">
        <f>IF(C33&lt;1,"0",Seguros_Oblig!$K$2*('Crédito de Vivienda'!$C$12*90%))</f>
        <v>#VALUE!</v>
      </c>
      <c r="L34" s="7" t="e">
        <f>PMT('Crédito de Vivienda'!$E$17,'Crédito de Vivienda'!$C$18,-'Crédito de Vivienda'!$C$15,,)</f>
        <v>#VALUE!</v>
      </c>
      <c r="M34" s="9" t="e">
        <f t="shared" si="3"/>
        <v>#VALUE!</v>
      </c>
      <c r="N34" s="7" t="e">
        <f>IF(C33&lt;1,"0",'Crédito de Vivienda'!$C$40)</f>
        <v>#VALUE!</v>
      </c>
      <c r="O34" s="9" t="e">
        <f t="shared" si="4"/>
        <v>#VALUE!</v>
      </c>
    </row>
    <row r="35" spans="2:15" ht="15.5" x14ac:dyDescent="0.35">
      <c r="B35" s="6" t="e">
        <f t="shared" si="5"/>
        <v>#VALUE!</v>
      </c>
      <c r="C35" s="7" t="e">
        <f t="shared" si="0"/>
        <v>#VALUE!</v>
      </c>
      <c r="D35" s="7" t="e">
        <f t="shared" si="6"/>
        <v>#VALUE!</v>
      </c>
      <c r="E35" s="7" t="e">
        <f>C34*'Crédito de Vivienda'!$E$17</f>
        <v>#VALUE!</v>
      </c>
      <c r="F35" s="282" t="e">
        <f>IF(C34&lt;1,"0",IF('Crédito de Vivienda'!$D$28="Si",($C$17*(VLOOKUP('Crédito de Vivienda'!$C$24,Seguros_Oblig!$A$3:$F$55,6,FALSE))),IF('Crédito de Vivienda'!$C$10="TARIFA 1",(C34*(VLOOKUP('Crédito de Vivienda'!$C$24,Seguros_Oblig!$A$3:$B$55,2,FALSE))),(C34*(VLOOKUP('Crédito de Vivienda'!$C$24,Seguros_Oblig!$A$3:$D$55,4,FALSE))))))</f>
        <v>#VALUE!</v>
      </c>
      <c r="G35" s="8" t="e">
        <f>IF('Crédito de Vivienda'!$C$10="TARIFA 1",(C34*(VLOOKUP('Crédito de Vivienda'!$C$25,Seguros_Oblig!$A$3:$B$55,2,FALSE))),(C34*(VLOOKUP('Crédito de Vivienda'!$C$25,Seguros_Oblig!$A$3:$D$55,4,FALSE))))</f>
        <v>#VALUE!</v>
      </c>
      <c r="H35" s="8" t="e">
        <f>IF('Crédito de Vivienda'!$C$10="TARIFA 1",(C34*(VLOOKUP('Crédito de Vivienda'!$C$26,Seguros_Oblig!$A$3:$B$55,2,FALSE))),(C34*(VLOOKUP('Crédito de Vivienda'!$C$26,Seguros_Oblig!$A$3:$D$55,4,FALSE))))</f>
        <v>#VALUE!</v>
      </c>
      <c r="I35" s="8" t="e">
        <f>IF('Crédito de Vivienda'!$C$10="TARIFA 1",(C34*(VLOOKUP('Crédito de Vivienda'!$C$27,Seguros_Oblig!$A$3:$B$55,2,FALSE))),(C34*(VLOOKUP('Crédito de Vivienda'!$C$27,Seguros_Oblig!$A$3:$D$55,4,FALSE))))</f>
        <v>#VALUE!</v>
      </c>
      <c r="J35" s="10">
        <f t="shared" si="2"/>
        <v>0</v>
      </c>
      <c r="K35" s="7" t="e">
        <f>IF(C34&lt;1,"0",Seguros_Oblig!$K$2*('Crédito de Vivienda'!$C$12*90%))</f>
        <v>#VALUE!</v>
      </c>
      <c r="L35" s="7" t="e">
        <f>PMT('Crédito de Vivienda'!$E$17,'Crédito de Vivienda'!$C$18,-'Crédito de Vivienda'!$C$15,,)</f>
        <v>#VALUE!</v>
      </c>
      <c r="M35" s="9" t="e">
        <f t="shared" si="3"/>
        <v>#VALUE!</v>
      </c>
      <c r="N35" s="7" t="e">
        <f>IF(C34&lt;1,"0",'Crédito de Vivienda'!$C$40)</f>
        <v>#VALUE!</v>
      </c>
      <c r="O35" s="9" t="e">
        <f t="shared" si="4"/>
        <v>#VALUE!</v>
      </c>
    </row>
    <row r="36" spans="2:15" ht="15.5" x14ac:dyDescent="0.35">
      <c r="B36" s="6" t="e">
        <f t="shared" si="5"/>
        <v>#VALUE!</v>
      </c>
      <c r="C36" s="7" t="e">
        <f t="shared" si="0"/>
        <v>#VALUE!</v>
      </c>
      <c r="D36" s="7" t="e">
        <f t="shared" si="6"/>
        <v>#VALUE!</v>
      </c>
      <c r="E36" s="7" t="e">
        <f>C35*'Crédito de Vivienda'!$E$17</f>
        <v>#VALUE!</v>
      </c>
      <c r="F36" s="282" t="e">
        <f>IF(C35&lt;1,"0",IF('Crédito de Vivienda'!$D$28="Si",($C$17*(VLOOKUP('Crédito de Vivienda'!$C$24,Seguros_Oblig!$A$3:$F$55,6,FALSE))),IF('Crédito de Vivienda'!$C$10="TARIFA 1",(C35*(VLOOKUP('Crédito de Vivienda'!$C$24,Seguros_Oblig!$A$3:$B$55,2,FALSE))),(C35*(VLOOKUP('Crédito de Vivienda'!$C$24,Seguros_Oblig!$A$3:$D$55,4,FALSE))))))</f>
        <v>#VALUE!</v>
      </c>
      <c r="G36" s="8" t="e">
        <f>IF('Crédito de Vivienda'!$C$10="TARIFA 1",(C35*(VLOOKUP('Crédito de Vivienda'!$C$25,Seguros_Oblig!$A$3:$B$55,2,FALSE))),(C35*(VLOOKUP('Crédito de Vivienda'!$C$25,Seguros_Oblig!$A$3:$D$55,4,FALSE))))</f>
        <v>#VALUE!</v>
      </c>
      <c r="H36" s="8" t="e">
        <f>IF('Crédito de Vivienda'!$C$10="TARIFA 1",(C35*(VLOOKUP('Crédito de Vivienda'!$C$26,Seguros_Oblig!$A$3:$B$55,2,FALSE))),(C35*(VLOOKUP('Crédito de Vivienda'!$C$26,Seguros_Oblig!$A$3:$D$55,4,FALSE))))</f>
        <v>#VALUE!</v>
      </c>
      <c r="I36" s="8" t="e">
        <f>IF('Crédito de Vivienda'!$C$10="TARIFA 1",(C35*(VLOOKUP('Crédito de Vivienda'!$C$27,Seguros_Oblig!$A$3:$B$55,2,FALSE))),(C35*(VLOOKUP('Crédito de Vivienda'!$C$27,Seguros_Oblig!$A$3:$D$55,4,FALSE))))</f>
        <v>#VALUE!</v>
      </c>
      <c r="J36" s="10">
        <f t="shared" si="2"/>
        <v>0</v>
      </c>
      <c r="K36" s="7" t="e">
        <f>IF(C35&lt;1,"0",Seguros_Oblig!$K$2*('Crédito de Vivienda'!$C$12*90%))</f>
        <v>#VALUE!</v>
      </c>
      <c r="L36" s="7" t="e">
        <f>PMT('Crédito de Vivienda'!$E$17,'Crédito de Vivienda'!$C$18,-'Crédito de Vivienda'!$C$15,,)</f>
        <v>#VALUE!</v>
      </c>
      <c r="M36" s="9" t="e">
        <f t="shared" si="3"/>
        <v>#VALUE!</v>
      </c>
      <c r="N36" s="7" t="e">
        <f>IF(C35&lt;1,"0",'Crédito de Vivienda'!$C$40)</f>
        <v>#VALUE!</v>
      </c>
      <c r="O36" s="9" t="e">
        <f t="shared" si="4"/>
        <v>#VALUE!</v>
      </c>
    </row>
    <row r="37" spans="2:15" ht="15.5" x14ac:dyDescent="0.35">
      <c r="B37" s="6" t="e">
        <f t="shared" si="5"/>
        <v>#VALUE!</v>
      </c>
      <c r="C37" s="7" t="e">
        <f t="shared" si="0"/>
        <v>#VALUE!</v>
      </c>
      <c r="D37" s="7" t="e">
        <f t="shared" si="6"/>
        <v>#VALUE!</v>
      </c>
      <c r="E37" s="7" t="e">
        <f>C36*'Crédito de Vivienda'!$E$17</f>
        <v>#VALUE!</v>
      </c>
      <c r="F37" s="282" t="e">
        <f>IF(C36&lt;1,"0",IF('Crédito de Vivienda'!$D$28="Si",($C$17*(VLOOKUP('Crédito de Vivienda'!$C$24,Seguros_Oblig!$A$3:$F$55,6,FALSE))),IF('Crédito de Vivienda'!$C$10="TARIFA 1",(C36*(VLOOKUP('Crédito de Vivienda'!$C$24,Seguros_Oblig!$A$3:$B$55,2,FALSE))),(C36*(VLOOKUP('Crédito de Vivienda'!$C$24,Seguros_Oblig!$A$3:$D$55,4,FALSE))))))</f>
        <v>#VALUE!</v>
      </c>
      <c r="G37" s="8" t="e">
        <f>IF('Crédito de Vivienda'!$C$10="TARIFA 1",(C36*(VLOOKUP('Crédito de Vivienda'!$C$25,Seguros_Oblig!$A$3:$B$55,2,FALSE))),(C36*(VLOOKUP('Crédito de Vivienda'!$C$25,Seguros_Oblig!$A$3:$D$55,4,FALSE))))</f>
        <v>#VALUE!</v>
      </c>
      <c r="H37" s="8" t="e">
        <f>IF('Crédito de Vivienda'!$C$10="TARIFA 1",(C36*(VLOOKUP('Crédito de Vivienda'!$C$26,Seguros_Oblig!$A$3:$B$55,2,FALSE))),(C36*(VLOOKUP('Crédito de Vivienda'!$C$26,Seguros_Oblig!$A$3:$D$55,4,FALSE))))</f>
        <v>#VALUE!</v>
      </c>
      <c r="I37" s="8" t="e">
        <f>IF('Crédito de Vivienda'!$C$10="TARIFA 1",(C36*(VLOOKUP('Crédito de Vivienda'!$C$27,Seguros_Oblig!$A$3:$B$55,2,FALSE))),(C36*(VLOOKUP('Crédito de Vivienda'!$C$27,Seguros_Oblig!$A$3:$D$55,4,FALSE))))</f>
        <v>#VALUE!</v>
      </c>
      <c r="J37" s="10">
        <f t="shared" si="2"/>
        <v>0</v>
      </c>
      <c r="K37" s="7" t="e">
        <f>IF(C36&lt;1,"0",Seguros_Oblig!$K$2*('Crédito de Vivienda'!$C$12*90%))</f>
        <v>#VALUE!</v>
      </c>
      <c r="L37" s="7" t="e">
        <f>PMT('Crédito de Vivienda'!$E$17,'Crédito de Vivienda'!$C$18,-'Crédito de Vivienda'!$C$15,,)</f>
        <v>#VALUE!</v>
      </c>
      <c r="M37" s="9" t="e">
        <f t="shared" si="3"/>
        <v>#VALUE!</v>
      </c>
      <c r="N37" s="7" t="e">
        <f>IF(C36&lt;1,"0",'Crédito de Vivienda'!$C$40)</f>
        <v>#VALUE!</v>
      </c>
      <c r="O37" s="9" t="e">
        <f t="shared" si="4"/>
        <v>#VALUE!</v>
      </c>
    </row>
    <row r="38" spans="2:15" ht="15.5" x14ac:dyDescent="0.35">
      <c r="B38" s="6" t="e">
        <f t="shared" si="5"/>
        <v>#VALUE!</v>
      </c>
      <c r="C38" s="7" t="e">
        <f t="shared" si="0"/>
        <v>#VALUE!</v>
      </c>
      <c r="D38" s="7" t="e">
        <f t="shared" si="6"/>
        <v>#VALUE!</v>
      </c>
      <c r="E38" s="7" t="e">
        <f>C37*'Crédito de Vivienda'!$E$17</f>
        <v>#VALUE!</v>
      </c>
      <c r="F38" s="282" t="e">
        <f>IF(C37&lt;1,"0",IF('Crédito de Vivienda'!$D$28="Si",($C$17*(VLOOKUP('Crédito de Vivienda'!$C$24,Seguros_Oblig!$A$3:$F$55,6,FALSE))),IF('Crédito de Vivienda'!$C$10="TARIFA 1",(C37*(VLOOKUP('Crédito de Vivienda'!$C$24,Seguros_Oblig!$A$3:$B$55,2,FALSE))),(C37*(VLOOKUP('Crédito de Vivienda'!$C$24,Seguros_Oblig!$A$3:$D$55,4,FALSE))))))</f>
        <v>#VALUE!</v>
      </c>
      <c r="G38" s="8" t="e">
        <f>IF('Crédito de Vivienda'!$C$10="TARIFA 1",(C37*(VLOOKUP('Crédito de Vivienda'!$C$25,Seguros_Oblig!$A$3:$B$55,2,FALSE))),(C37*(VLOOKUP('Crédito de Vivienda'!$C$25,Seguros_Oblig!$A$3:$D$55,4,FALSE))))</f>
        <v>#VALUE!</v>
      </c>
      <c r="H38" s="8" t="e">
        <f>IF('Crédito de Vivienda'!$C$10="TARIFA 1",(C37*(VLOOKUP('Crédito de Vivienda'!$C$26,Seguros_Oblig!$A$3:$B$55,2,FALSE))),(C37*(VLOOKUP('Crédito de Vivienda'!$C$26,Seguros_Oblig!$A$3:$D$55,4,FALSE))))</f>
        <v>#VALUE!</v>
      </c>
      <c r="I38" s="8" t="e">
        <f>IF('Crédito de Vivienda'!$C$10="TARIFA 1",(C37*(VLOOKUP('Crédito de Vivienda'!$C$27,Seguros_Oblig!$A$3:$B$55,2,FALSE))),(C37*(VLOOKUP('Crédito de Vivienda'!$C$27,Seguros_Oblig!$A$3:$D$55,4,FALSE))))</f>
        <v>#VALUE!</v>
      </c>
      <c r="J38" s="10">
        <f t="shared" si="2"/>
        <v>0</v>
      </c>
      <c r="K38" s="7" t="e">
        <f>IF(C37&lt;1,"0",Seguros_Oblig!$K$2*('Crédito de Vivienda'!$C$12*90%))</f>
        <v>#VALUE!</v>
      </c>
      <c r="L38" s="7" t="e">
        <f>PMT('Crédito de Vivienda'!$E$17,'Crédito de Vivienda'!$C$18,-'Crédito de Vivienda'!$C$15,,)</f>
        <v>#VALUE!</v>
      </c>
      <c r="M38" s="9" t="e">
        <f t="shared" si="3"/>
        <v>#VALUE!</v>
      </c>
      <c r="N38" s="7" t="e">
        <f>IF(C37&lt;1,"0",'Crédito de Vivienda'!$C$40)</f>
        <v>#VALUE!</v>
      </c>
      <c r="O38" s="9" t="e">
        <f t="shared" si="4"/>
        <v>#VALUE!</v>
      </c>
    </row>
    <row r="39" spans="2:15" ht="15.5" x14ac:dyDescent="0.35">
      <c r="B39" s="6" t="e">
        <f t="shared" si="5"/>
        <v>#VALUE!</v>
      </c>
      <c r="C39" s="7" t="e">
        <f t="shared" si="0"/>
        <v>#VALUE!</v>
      </c>
      <c r="D39" s="7" t="e">
        <f t="shared" si="6"/>
        <v>#VALUE!</v>
      </c>
      <c r="E39" s="7" t="e">
        <f>C38*'Crédito de Vivienda'!$E$17</f>
        <v>#VALUE!</v>
      </c>
      <c r="F39" s="282" t="e">
        <f>IF(C38&lt;1,"0",IF('Crédito de Vivienda'!$D$28="Si",($C$17*(VLOOKUP('Crédito de Vivienda'!$C$24,Seguros_Oblig!$A$3:$F$55,6,FALSE))),IF('Crédito de Vivienda'!$C$10="TARIFA 1",(C38*(VLOOKUP('Crédito de Vivienda'!$C$24,Seguros_Oblig!$A$3:$B$55,2,FALSE))),(C38*(VLOOKUP('Crédito de Vivienda'!$C$24,Seguros_Oblig!$A$3:$D$55,4,FALSE))))))</f>
        <v>#VALUE!</v>
      </c>
      <c r="G39" s="8" t="e">
        <f>IF('Crédito de Vivienda'!$C$10="TARIFA 1",(C38*(VLOOKUP('Crédito de Vivienda'!$C$25,Seguros_Oblig!$A$3:$B$55,2,FALSE))),(C38*(VLOOKUP('Crédito de Vivienda'!$C$25,Seguros_Oblig!$A$3:$D$55,4,FALSE))))</f>
        <v>#VALUE!</v>
      </c>
      <c r="H39" s="8" t="e">
        <f>IF('Crédito de Vivienda'!$C$10="TARIFA 1",(C38*(VLOOKUP('Crédito de Vivienda'!$C$26,Seguros_Oblig!$A$3:$B$55,2,FALSE))),(C38*(VLOOKUP('Crédito de Vivienda'!$C$26,Seguros_Oblig!$A$3:$D$55,4,FALSE))))</f>
        <v>#VALUE!</v>
      </c>
      <c r="I39" s="8" t="e">
        <f>IF('Crédito de Vivienda'!$C$10="TARIFA 1",(C38*(VLOOKUP('Crédito de Vivienda'!$C$27,Seguros_Oblig!$A$3:$B$55,2,FALSE))),(C38*(VLOOKUP('Crédito de Vivienda'!$C$27,Seguros_Oblig!$A$3:$D$55,4,FALSE))))</f>
        <v>#VALUE!</v>
      </c>
      <c r="J39" s="10">
        <f t="shared" si="2"/>
        <v>0</v>
      </c>
      <c r="K39" s="7" t="e">
        <f>IF(C38&lt;1,"0",Seguros_Oblig!$K$2*('Crédito de Vivienda'!$C$12*90%))</f>
        <v>#VALUE!</v>
      </c>
      <c r="L39" s="7" t="e">
        <f>PMT('Crédito de Vivienda'!$E$17,'Crédito de Vivienda'!$C$18,-'Crédito de Vivienda'!$C$15,,)</f>
        <v>#VALUE!</v>
      </c>
      <c r="M39" s="9" t="e">
        <f t="shared" si="3"/>
        <v>#VALUE!</v>
      </c>
      <c r="N39" s="7" t="e">
        <f>IF(C38&lt;1,"0",'Crédito de Vivienda'!$C$40)</f>
        <v>#VALUE!</v>
      </c>
      <c r="O39" s="9" t="e">
        <f t="shared" si="4"/>
        <v>#VALUE!</v>
      </c>
    </row>
    <row r="40" spans="2:15" ht="15.5" x14ac:dyDescent="0.35">
      <c r="B40" s="6" t="e">
        <f t="shared" si="5"/>
        <v>#VALUE!</v>
      </c>
      <c r="C40" s="7" t="e">
        <f t="shared" si="0"/>
        <v>#VALUE!</v>
      </c>
      <c r="D40" s="7" t="e">
        <f t="shared" si="6"/>
        <v>#VALUE!</v>
      </c>
      <c r="E40" s="7" t="e">
        <f>C39*'Crédito de Vivienda'!$E$17</f>
        <v>#VALUE!</v>
      </c>
      <c r="F40" s="282" t="e">
        <f>IF(C39&lt;1,"0",IF('Crédito de Vivienda'!$D$28="Si",($C$17*(VLOOKUP('Crédito de Vivienda'!$C$24,Seguros_Oblig!$A$3:$F$55,6,FALSE))),IF('Crédito de Vivienda'!$C$10="TARIFA 1",(C39*(VLOOKUP('Crédito de Vivienda'!$C$24,Seguros_Oblig!$A$3:$B$55,2,FALSE))),(C39*(VLOOKUP('Crédito de Vivienda'!$C$24,Seguros_Oblig!$A$3:$D$55,4,FALSE))))))</f>
        <v>#VALUE!</v>
      </c>
      <c r="G40" s="8" t="e">
        <f>IF('Crédito de Vivienda'!$C$10="TARIFA 1",(C39*(VLOOKUP('Crédito de Vivienda'!$C$25,Seguros_Oblig!$A$3:$B$55,2,FALSE))),(C39*(VLOOKUP('Crédito de Vivienda'!$C$25,Seguros_Oblig!$A$3:$D$55,4,FALSE))))</f>
        <v>#VALUE!</v>
      </c>
      <c r="H40" s="8" t="e">
        <f>IF('Crédito de Vivienda'!$C$10="TARIFA 1",(C39*(VLOOKUP('Crédito de Vivienda'!$C$26,Seguros_Oblig!$A$3:$B$55,2,FALSE))),(C39*(VLOOKUP('Crédito de Vivienda'!$C$26,Seguros_Oblig!$A$3:$D$55,4,FALSE))))</f>
        <v>#VALUE!</v>
      </c>
      <c r="I40" s="8" t="e">
        <f>IF('Crédito de Vivienda'!$C$10="TARIFA 1",(C39*(VLOOKUP('Crédito de Vivienda'!$C$27,Seguros_Oblig!$A$3:$B$55,2,FALSE))),(C39*(VLOOKUP('Crédito de Vivienda'!$C$27,Seguros_Oblig!$A$3:$D$55,4,FALSE))))</f>
        <v>#VALUE!</v>
      </c>
      <c r="J40" s="10">
        <f t="shared" si="2"/>
        <v>0</v>
      </c>
      <c r="K40" s="7" t="e">
        <f>IF(C39&lt;1,"0",Seguros_Oblig!$K$2*('Crédito de Vivienda'!$C$12*90%))</f>
        <v>#VALUE!</v>
      </c>
      <c r="L40" s="7" t="e">
        <f>PMT('Crédito de Vivienda'!$E$17,'Crédito de Vivienda'!$C$18,-'Crédito de Vivienda'!$C$15,,)</f>
        <v>#VALUE!</v>
      </c>
      <c r="M40" s="9" t="e">
        <f t="shared" si="3"/>
        <v>#VALUE!</v>
      </c>
      <c r="N40" s="7" t="e">
        <f>IF(C39&lt;1,"0",'Crédito de Vivienda'!$C$40)</f>
        <v>#VALUE!</v>
      </c>
      <c r="O40" s="9" t="e">
        <f t="shared" si="4"/>
        <v>#VALUE!</v>
      </c>
    </row>
    <row r="41" spans="2:15" ht="15.5" x14ac:dyDescent="0.35">
      <c r="B41" s="6" t="e">
        <f t="shared" si="5"/>
        <v>#VALUE!</v>
      </c>
      <c r="C41" s="7" t="e">
        <f t="shared" si="0"/>
        <v>#VALUE!</v>
      </c>
      <c r="D41" s="7" t="e">
        <f t="shared" si="6"/>
        <v>#VALUE!</v>
      </c>
      <c r="E41" s="7" t="e">
        <f>C40*'Crédito de Vivienda'!$E$17</f>
        <v>#VALUE!</v>
      </c>
      <c r="F41" s="282" t="e">
        <f>IF(C40&lt;1,"0",IF('Crédito de Vivienda'!$D$28="Si",($C$17*(VLOOKUP('Crédito de Vivienda'!$C$24,Seguros_Oblig!$A$3:$F$55,6,FALSE))),IF('Crédito de Vivienda'!$C$10="TARIFA 1",(C40*(VLOOKUP('Crédito de Vivienda'!$C$24,Seguros_Oblig!$A$3:$B$55,2,FALSE))),(C40*(VLOOKUP('Crédito de Vivienda'!$C$24,Seguros_Oblig!$A$3:$D$55,4,FALSE))))))</f>
        <v>#VALUE!</v>
      </c>
      <c r="G41" s="8" t="e">
        <f>IF('Crédito de Vivienda'!$C$10="TARIFA 1",(C40*(VLOOKUP('Crédito de Vivienda'!$C$25,Seguros_Oblig!$A$3:$B$55,2,FALSE))),(C40*(VLOOKUP('Crédito de Vivienda'!$C$25,Seguros_Oblig!$A$3:$D$55,4,FALSE))))</f>
        <v>#VALUE!</v>
      </c>
      <c r="H41" s="8" t="e">
        <f>IF('Crédito de Vivienda'!$C$10="TARIFA 1",(C40*(VLOOKUP('Crédito de Vivienda'!$C$26,Seguros_Oblig!$A$3:$B$55,2,FALSE))),(C40*(VLOOKUP('Crédito de Vivienda'!$C$26,Seguros_Oblig!$A$3:$D$55,4,FALSE))))</f>
        <v>#VALUE!</v>
      </c>
      <c r="I41" s="8" t="e">
        <f>IF('Crédito de Vivienda'!$C$10="TARIFA 1",(C40*(VLOOKUP('Crédito de Vivienda'!$C$27,Seguros_Oblig!$A$3:$B$55,2,FALSE))),(C40*(VLOOKUP('Crédito de Vivienda'!$C$27,Seguros_Oblig!$A$3:$D$55,4,FALSE))))</f>
        <v>#VALUE!</v>
      </c>
      <c r="J41" s="10">
        <f t="shared" si="2"/>
        <v>0</v>
      </c>
      <c r="K41" s="7" t="e">
        <f>IF(C40&lt;1,"0",Seguros_Oblig!$K$2*('Crédito de Vivienda'!$C$12*90%))</f>
        <v>#VALUE!</v>
      </c>
      <c r="L41" s="7" t="e">
        <f>PMT('Crédito de Vivienda'!$E$17,'Crédito de Vivienda'!$C$18,-'Crédito de Vivienda'!$C$15,,)</f>
        <v>#VALUE!</v>
      </c>
      <c r="M41" s="9" t="e">
        <f t="shared" si="3"/>
        <v>#VALUE!</v>
      </c>
      <c r="N41" s="7" t="e">
        <f>IF(C40&lt;1,"0",'Crédito de Vivienda'!$C$40)</f>
        <v>#VALUE!</v>
      </c>
      <c r="O41" s="9" t="e">
        <f t="shared" si="4"/>
        <v>#VALUE!</v>
      </c>
    </row>
    <row r="42" spans="2:15" ht="15.5" x14ac:dyDescent="0.35">
      <c r="B42" s="6" t="e">
        <f t="shared" si="5"/>
        <v>#VALUE!</v>
      </c>
      <c r="C42" s="7" t="e">
        <f t="shared" si="0"/>
        <v>#VALUE!</v>
      </c>
      <c r="D42" s="7" t="e">
        <f t="shared" si="6"/>
        <v>#VALUE!</v>
      </c>
      <c r="E42" s="7" t="e">
        <f>C41*'Crédito de Vivienda'!$E$17</f>
        <v>#VALUE!</v>
      </c>
      <c r="F42" s="282" t="e">
        <f>IF(C41&lt;1,"0",IF('Crédito de Vivienda'!$D$28="Si",($C$17*(VLOOKUP('Crédito de Vivienda'!$C$24,Seguros_Oblig!$A$3:$F$55,6,FALSE))),IF('Crédito de Vivienda'!$C$10="TARIFA 1",(C41*(VLOOKUP('Crédito de Vivienda'!$C$24,Seguros_Oblig!$A$3:$B$55,2,FALSE))),(C41*(VLOOKUP('Crédito de Vivienda'!$C$24,Seguros_Oblig!$A$3:$D$55,4,FALSE))))))</f>
        <v>#VALUE!</v>
      </c>
      <c r="G42" s="8" t="e">
        <f>IF('Crédito de Vivienda'!$C$10="TARIFA 1",(C41*(VLOOKUP('Crédito de Vivienda'!$C$25,Seguros_Oblig!$A$3:$B$55,2,FALSE))),(C41*(VLOOKUP('Crédito de Vivienda'!$C$25,Seguros_Oblig!$A$3:$D$55,4,FALSE))))</f>
        <v>#VALUE!</v>
      </c>
      <c r="H42" s="8" t="e">
        <f>IF('Crédito de Vivienda'!$C$10="TARIFA 1",(C41*(VLOOKUP('Crédito de Vivienda'!$C$26,Seguros_Oblig!$A$3:$B$55,2,FALSE))),(C41*(VLOOKUP('Crédito de Vivienda'!$C$26,Seguros_Oblig!$A$3:$D$55,4,FALSE))))</f>
        <v>#VALUE!</v>
      </c>
      <c r="I42" s="8" t="e">
        <f>IF('Crédito de Vivienda'!$C$10="TARIFA 1",(C41*(VLOOKUP('Crédito de Vivienda'!$C$27,Seguros_Oblig!$A$3:$B$55,2,FALSE))),(C41*(VLOOKUP('Crédito de Vivienda'!$C$27,Seguros_Oblig!$A$3:$D$55,4,FALSE))))</f>
        <v>#VALUE!</v>
      </c>
      <c r="J42" s="10">
        <f t="shared" si="2"/>
        <v>0</v>
      </c>
      <c r="K42" s="7" t="e">
        <f>IF(C41&lt;1,"0",Seguros_Oblig!$K$2*('Crédito de Vivienda'!$C$12*90%))</f>
        <v>#VALUE!</v>
      </c>
      <c r="L42" s="7" t="e">
        <f>PMT('Crédito de Vivienda'!$E$17,'Crédito de Vivienda'!$C$18,-'Crédito de Vivienda'!$C$15,,)</f>
        <v>#VALUE!</v>
      </c>
      <c r="M42" s="9" t="e">
        <f t="shared" si="3"/>
        <v>#VALUE!</v>
      </c>
      <c r="N42" s="7" t="e">
        <f>IF(C41&lt;1,"0",'Crédito de Vivienda'!$C$40)</f>
        <v>#VALUE!</v>
      </c>
      <c r="O42" s="9" t="e">
        <f t="shared" si="4"/>
        <v>#VALUE!</v>
      </c>
    </row>
    <row r="43" spans="2:15" ht="15.5" x14ac:dyDescent="0.35">
      <c r="B43" s="6" t="e">
        <f t="shared" si="5"/>
        <v>#VALUE!</v>
      </c>
      <c r="C43" s="7" t="e">
        <f t="shared" si="0"/>
        <v>#VALUE!</v>
      </c>
      <c r="D43" s="7" t="e">
        <f t="shared" si="6"/>
        <v>#VALUE!</v>
      </c>
      <c r="E43" s="7" t="e">
        <f>C42*'Crédito de Vivienda'!$E$17</f>
        <v>#VALUE!</v>
      </c>
      <c r="F43" s="282" t="e">
        <f>IF(C42&lt;1,"0",IF('Crédito de Vivienda'!$D$28="Si",($C$17*(VLOOKUP('Crédito de Vivienda'!$C$24,Seguros_Oblig!$A$3:$F$55,6,FALSE))),IF('Crédito de Vivienda'!$C$10="TARIFA 1",(C42*(VLOOKUP('Crédito de Vivienda'!$C$24,Seguros_Oblig!$A$3:$B$55,2,FALSE))),(C42*(VLOOKUP('Crédito de Vivienda'!$C$24,Seguros_Oblig!$A$3:$D$55,4,FALSE))))))</f>
        <v>#VALUE!</v>
      </c>
      <c r="G43" s="8" t="e">
        <f>IF('Crédito de Vivienda'!$C$10="TARIFA 1",(C42*(VLOOKUP('Crédito de Vivienda'!$C$25,Seguros_Oblig!$A$3:$B$55,2,FALSE))),(C42*(VLOOKUP('Crédito de Vivienda'!$C$25,Seguros_Oblig!$A$3:$D$55,4,FALSE))))</f>
        <v>#VALUE!</v>
      </c>
      <c r="H43" s="8" t="e">
        <f>IF('Crédito de Vivienda'!$C$10="TARIFA 1",(C42*(VLOOKUP('Crédito de Vivienda'!$C$26,Seguros_Oblig!$A$3:$B$55,2,FALSE))),(C42*(VLOOKUP('Crédito de Vivienda'!$C$26,Seguros_Oblig!$A$3:$D$55,4,FALSE))))</f>
        <v>#VALUE!</v>
      </c>
      <c r="I43" s="8" t="e">
        <f>IF('Crédito de Vivienda'!$C$10="TARIFA 1",(C42*(VLOOKUP('Crédito de Vivienda'!$C$27,Seguros_Oblig!$A$3:$B$55,2,FALSE))),(C42*(VLOOKUP('Crédito de Vivienda'!$C$27,Seguros_Oblig!$A$3:$D$55,4,FALSE))))</f>
        <v>#VALUE!</v>
      </c>
      <c r="J43" s="10">
        <f t="shared" si="2"/>
        <v>0</v>
      </c>
      <c r="K43" s="7" t="e">
        <f>IF(C42&lt;1,"0",Seguros_Oblig!$K$2*('Crédito de Vivienda'!$C$12*90%))</f>
        <v>#VALUE!</v>
      </c>
      <c r="L43" s="7" t="e">
        <f>PMT('Crédito de Vivienda'!$E$17,'Crédito de Vivienda'!$C$18,-'Crédito de Vivienda'!$C$15,,)</f>
        <v>#VALUE!</v>
      </c>
      <c r="M43" s="9" t="e">
        <f t="shared" si="3"/>
        <v>#VALUE!</v>
      </c>
      <c r="N43" s="7" t="e">
        <f>IF(C42&lt;1,"0",'Crédito de Vivienda'!$C$40)</f>
        <v>#VALUE!</v>
      </c>
      <c r="O43" s="9" t="e">
        <f t="shared" si="4"/>
        <v>#VALUE!</v>
      </c>
    </row>
    <row r="44" spans="2:15" ht="15.5" x14ac:dyDescent="0.35">
      <c r="B44" s="6" t="e">
        <f t="shared" si="5"/>
        <v>#VALUE!</v>
      </c>
      <c r="C44" s="7" t="e">
        <f t="shared" si="0"/>
        <v>#VALUE!</v>
      </c>
      <c r="D44" s="7" t="e">
        <f t="shared" si="6"/>
        <v>#VALUE!</v>
      </c>
      <c r="E44" s="7" t="e">
        <f>C43*'Crédito de Vivienda'!$E$17</f>
        <v>#VALUE!</v>
      </c>
      <c r="F44" s="282" t="e">
        <f>IF(C43&lt;1,"0",IF('Crédito de Vivienda'!$D$28="Si",($C$17*(VLOOKUP('Crédito de Vivienda'!$C$24,Seguros_Oblig!$A$3:$F$55,6,FALSE))),IF('Crédito de Vivienda'!$C$10="TARIFA 1",(C43*(VLOOKUP('Crédito de Vivienda'!$C$24,Seguros_Oblig!$A$3:$B$55,2,FALSE))),(C43*(VLOOKUP('Crédito de Vivienda'!$C$24,Seguros_Oblig!$A$3:$D$55,4,FALSE))))))</f>
        <v>#VALUE!</v>
      </c>
      <c r="G44" s="8" t="e">
        <f>IF('Crédito de Vivienda'!$C$10="TARIFA 1",(C43*(VLOOKUP('Crédito de Vivienda'!$C$25,Seguros_Oblig!$A$3:$B$55,2,FALSE))),(C43*(VLOOKUP('Crédito de Vivienda'!$C$25,Seguros_Oblig!$A$3:$D$55,4,FALSE))))</f>
        <v>#VALUE!</v>
      </c>
      <c r="H44" s="8" t="e">
        <f>IF('Crédito de Vivienda'!$C$10="TARIFA 1",(C43*(VLOOKUP('Crédito de Vivienda'!$C$26,Seguros_Oblig!$A$3:$B$55,2,FALSE))),(C43*(VLOOKUP('Crédito de Vivienda'!$C$26,Seguros_Oblig!$A$3:$D$55,4,FALSE))))</f>
        <v>#VALUE!</v>
      </c>
      <c r="I44" s="8" t="e">
        <f>IF('Crédito de Vivienda'!$C$10="TARIFA 1",(C43*(VLOOKUP('Crédito de Vivienda'!$C$27,Seguros_Oblig!$A$3:$B$55,2,FALSE))),(C43*(VLOOKUP('Crédito de Vivienda'!$C$27,Seguros_Oblig!$A$3:$D$55,4,FALSE))))</f>
        <v>#VALUE!</v>
      </c>
      <c r="J44" s="10">
        <f t="shared" si="2"/>
        <v>0</v>
      </c>
      <c r="K44" s="7" t="e">
        <f>IF(C43&lt;1,"0",Seguros_Oblig!$K$2*('Crédito de Vivienda'!$C$12*90%))</f>
        <v>#VALUE!</v>
      </c>
      <c r="L44" s="7" t="e">
        <f>PMT('Crédito de Vivienda'!$E$17,'Crédito de Vivienda'!$C$18,-'Crédito de Vivienda'!$C$15,,)</f>
        <v>#VALUE!</v>
      </c>
      <c r="M44" s="9" t="e">
        <f t="shared" si="3"/>
        <v>#VALUE!</v>
      </c>
      <c r="N44" s="7" t="e">
        <f>IF(C43&lt;1,"0",'Crédito de Vivienda'!$C$40)</f>
        <v>#VALUE!</v>
      </c>
      <c r="O44" s="9" t="e">
        <f t="shared" si="4"/>
        <v>#VALUE!</v>
      </c>
    </row>
    <row r="45" spans="2:15" ht="15.5" x14ac:dyDescent="0.35">
      <c r="B45" s="6" t="e">
        <f t="shared" si="5"/>
        <v>#VALUE!</v>
      </c>
      <c r="C45" s="7" t="e">
        <f t="shared" si="0"/>
        <v>#VALUE!</v>
      </c>
      <c r="D45" s="7" t="e">
        <f t="shared" si="6"/>
        <v>#VALUE!</v>
      </c>
      <c r="E45" s="7" t="e">
        <f>C44*'Crédito de Vivienda'!$E$17</f>
        <v>#VALUE!</v>
      </c>
      <c r="F45" s="282" t="e">
        <f>IF(C44&lt;1,"0",IF('Crédito de Vivienda'!$D$28="Si",($C$17*(VLOOKUP('Crédito de Vivienda'!$C$24,Seguros_Oblig!$A$3:$F$55,6,FALSE))),IF('Crédito de Vivienda'!$C$10="TARIFA 1",(C44*(VLOOKUP('Crédito de Vivienda'!$C$24,Seguros_Oblig!$A$3:$B$55,2,FALSE))),(C44*(VLOOKUP('Crédito de Vivienda'!$C$24,Seguros_Oblig!$A$3:$D$55,4,FALSE))))))</f>
        <v>#VALUE!</v>
      </c>
      <c r="G45" s="8" t="e">
        <f>IF('Crédito de Vivienda'!$C$10="TARIFA 1",(C44*(VLOOKUP('Crédito de Vivienda'!$C$25,Seguros_Oblig!$A$3:$B$55,2,FALSE))),(C44*(VLOOKUP('Crédito de Vivienda'!$C$25,Seguros_Oblig!$A$3:$D$55,4,FALSE))))</f>
        <v>#VALUE!</v>
      </c>
      <c r="H45" s="8" t="e">
        <f>IF('Crédito de Vivienda'!$C$10="TARIFA 1",(C44*(VLOOKUP('Crédito de Vivienda'!$C$26,Seguros_Oblig!$A$3:$B$55,2,FALSE))),(C44*(VLOOKUP('Crédito de Vivienda'!$C$26,Seguros_Oblig!$A$3:$D$55,4,FALSE))))</f>
        <v>#VALUE!</v>
      </c>
      <c r="I45" s="8" t="e">
        <f>IF('Crédito de Vivienda'!$C$10="TARIFA 1",(C44*(VLOOKUP('Crédito de Vivienda'!$C$27,Seguros_Oblig!$A$3:$B$55,2,FALSE))),(C44*(VLOOKUP('Crédito de Vivienda'!$C$27,Seguros_Oblig!$A$3:$D$55,4,FALSE))))</f>
        <v>#VALUE!</v>
      </c>
      <c r="J45" s="10">
        <f t="shared" si="2"/>
        <v>0</v>
      </c>
      <c r="K45" s="7" t="e">
        <f>IF(C44&lt;1,"0",Seguros_Oblig!$K$2*('Crédito de Vivienda'!$C$12*90%))</f>
        <v>#VALUE!</v>
      </c>
      <c r="L45" s="7" t="e">
        <f>PMT('Crédito de Vivienda'!$E$17,'Crédito de Vivienda'!$C$18,-'Crédito de Vivienda'!$C$15,,)</f>
        <v>#VALUE!</v>
      </c>
      <c r="M45" s="9" t="e">
        <f t="shared" si="3"/>
        <v>#VALUE!</v>
      </c>
      <c r="N45" s="7" t="e">
        <f>IF(C44&lt;1,"0",'Crédito de Vivienda'!$C$40)</f>
        <v>#VALUE!</v>
      </c>
      <c r="O45" s="9" t="e">
        <f t="shared" si="4"/>
        <v>#VALUE!</v>
      </c>
    </row>
    <row r="46" spans="2:15" ht="15.5" x14ac:dyDescent="0.35">
      <c r="B46" s="6" t="e">
        <f t="shared" si="5"/>
        <v>#VALUE!</v>
      </c>
      <c r="C46" s="7" t="e">
        <f t="shared" si="0"/>
        <v>#VALUE!</v>
      </c>
      <c r="D46" s="7" t="e">
        <f t="shared" si="6"/>
        <v>#VALUE!</v>
      </c>
      <c r="E46" s="7" t="e">
        <f>C45*'Crédito de Vivienda'!$E$17</f>
        <v>#VALUE!</v>
      </c>
      <c r="F46" s="282" t="e">
        <f>IF(C45&lt;1,"0",IF('Crédito de Vivienda'!$D$28="Si",($C$17*(VLOOKUP('Crédito de Vivienda'!$C$24,Seguros_Oblig!$A$3:$F$55,6,FALSE))),IF('Crédito de Vivienda'!$C$10="TARIFA 1",(C45*(VLOOKUP('Crédito de Vivienda'!$C$24,Seguros_Oblig!$A$3:$B$55,2,FALSE))),(C45*(VLOOKUP('Crédito de Vivienda'!$C$24,Seguros_Oblig!$A$3:$D$55,4,FALSE))))))</f>
        <v>#VALUE!</v>
      </c>
      <c r="G46" s="8" t="e">
        <f>IF('Crédito de Vivienda'!$C$10="TARIFA 1",(C45*(VLOOKUP('Crédito de Vivienda'!$C$25,Seguros_Oblig!$A$3:$B$55,2,FALSE))),(C45*(VLOOKUP('Crédito de Vivienda'!$C$25,Seguros_Oblig!$A$3:$D$55,4,FALSE))))</f>
        <v>#VALUE!</v>
      </c>
      <c r="H46" s="8" t="e">
        <f>IF('Crédito de Vivienda'!$C$10="TARIFA 1",(C45*(VLOOKUP('Crédito de Vivienda'!$C$26,Seguros_Oblig!$A$3:$B$55,2,FALSE))),(C45*(VLOOKUP('Crédito de Vivienda'!$C$26,Seguros_Oblig!$A$3:$D$55,4,FALSE))))</f>
        <v>#VALUE!</v>
      </c>
      <c r="I46" s="8" t="e">
        <f>IF('Crédito de Vivienda'!$C$10="TARIFA 1",(C45*(VLOOKUP('Crédito de Vivienda'!$C$27,Seguros_Oblig!$A$3:$B$55,2,FALSE))),(C45*(VLOOKUP('Crédito de Vivienda'!$C$27,Seguros_Oblig!$A$3:$D$55,4,FALSE))))</f>
        <v>#VALUE!</v>
      </c>
      <c r="J46" s="10">
        <f t="shared" si="2"/>
        <v>0</v>
      </c>
      <c r="K46" s="7" t="e">
        <f>IF(C45&lt;1,"0",Seguros_Oblig!$K$2*('Crédito de Vivienda'!$C$12*90%))</f>
        <v>#VALUE!</v>
      </c>
      <c r="L46" s="7" t="e">
        <f>PMT('Crédito de Vivienda'!$E$17,'Crédito de Vivienda'!$C$18,-'Crédito de Vivienda'!$C$15,,)</f>
        <v>#VALUE!</v>
      </c>
      <c r="M46" s="9" t="e">
        <f t="shared" si="3"/>
        <v>#VALUE!</v>
      </c>
      <c r="N46" s="7" t="e">
        <f>IF(C45&lt;1,"0",'Crédito de Vivienda'!$C$40)</f>
        <v>#VALUE!</v>
      </c>
      <c r="O46" s="9" t="e">
        <f t="shared" si="4"/>
        <v>#VALUE!</v>
      </c>
    </row>
    <row r="47" spans="2:15" ht="15.5" x14ac:dyDescent="0.35">
      <c r="B47" s="6" t="e">
        <f t="shared" si="5"/>
        <v>#VALUE!</v>
      </c>
      <c r="C47" s="7" t="e">
        <f t="shared" si="0"/>
        <v>#VALUE!</v>
      </c>
      <c r="D47" s="7" t="e">
        <f t="shared" si="6"/>
        <v>#VALUE!</v>
      </c>
      <c r="E47" s="7" t="e">
        <f>C46*'Crédito de Vivienda'!$E$17</f>
        <v>#VALUE!</v>
      </c>
      <c r="F47" s="282" t="e">
        <f>IF(C46&lt;1,"0",IF('Crédito de Vivienda'!$D$28="Si",($C$17*(VLOOKUP('Crédito de Vivienda'!$C$24,Seguros_Oblig!$A$3:$F$55,6,FALSE))),IF('Crédito de Vivienda'!$C$10="TARIFA 1",(C46*(VLOOKUP('Crédito de Vivienda'!$C$24,Seguros_Oblig!$A$3:$B$55,2,FALSE))),(C46*(VLOOKUP('Crédito de Vivienda'!$C$24,Seguros_Oblig!$A$3:$D$55,4,FALSE))))))</f>
        <v>#VALUE!</v>
      </c>
      <c r="G47" s="8" t="e">
        <f>IF('Crédito de Vivienda'!$C$10="TARIFA 1",(C46*(VLOOKUP('Crédito de Vivienda'!$C$25,Seguros_Oblig!$A$3:$B$55,2,FALSE))),(C46*(VLOOKUP('Crédito de Vivienda'!$C$25,Seguros_Oblig!$A$3:$D$55,4,FALSE))))</f>
        <v>#VALUE!</v>
      </c>
      <c r="H47" s="8" t="e">
        <f>IF('Crédito de Vivienda'!$C$10="TARIFA 1",(C46*(VLOOKUP('Crédito de Vivienda'!$C$26,Seguros_Oblig!$A$3:$B$55,2,FALSE))),(C46*(VLOOKUP('Crédito de Vivienda'!$C$26,Seguros_Oblig!$A$3:$D$55,4,FALSE))))</f>
        <v>#VALUE!</v>
      </c>
      <c r="I47" s="8" t="e">
        <f>IF('Crédito de Vivienda'!$C$10="TARIFA 1",(C46*(VLOOKUP('Crédito de Vivienda'!$C$27,Seguros_Oblig!$A$3:$B$55,2,FALSE))),(C46*(VLOOKUP('Crédito de Vivienda'!$C$27,Seguros_Oblig!$A$3:$D$55,4,FALSE))))</f>
        <v>#VALUE!</v>
      </c>
      <c r="J47" s="10">
        <f t="shared" si="2"/>
        <v>0</v>
      </c>
      <c r="K47" s="7" t="e">
        <f>IF(C46&lt;1,"0",Seguros_Oblig!$K$2*('Crédito de Vivienda'!$C$12*90%))</f>
        <v>#VALUE!</v>
      </c>
      <c r="L47" s="7" t="e">
        <f>PMT('Crédito de Vivienda'!$E$17,'Crédito de Vivienda'!$C$18,-'Crédito de Vivienda'!$C$15,,)</f>
        <v>#VALUE!</v>
      </c>
      <c r="M47" s="9" t="e">
        <f t="shared" si="3"/>
        <v>#VALUE!</v>
      </c>
      <c r="N47" s="7" t="e">
        <f>IF(C46&lt;1,"0",'Crédito de Vivienda'!$C$40)</f>
        <v>#VALUE!</v>
      </c>
      <c r="O47" s="9" t="e">
        <f t="shared" si="4"/>
        <v>#VALUE!</v>
      </c>
    </row>
    <row r="48" spans="2:15" ht="15.5" x14ac:dyDescent="0.35">
      <c r="B48" s="6" t="e">
        <f t="shared" si="5"/>
        <v>#VALUE!</v>
      </c>
      <c r="C48" s="7" t="e">
        <f t="shared" si="0"/>
        <v>#VALUE!</v>
      </c>
      <c r="D48" s="7" t="e">
        <f t="shared" si="6"/>
        <v>#VALUE!</v>
      </c>
      <c r="E48" s="7" t="e">
        <f>C47*'Crédito de Vivienda'!$E$17</f>
        <v>#VALUE!</v>
      </c>
      <c r="F48" s="282" t="e">
        <f>IF(C47&lt;1,"0",IF('Crédito de Vivienda'!$D$28="Si",($C$17*(VLOOKUP('Crédito de Vivienda'!$C$24,Seguros_Oblig!$A$3:$F$55,6,FALSE))),IF('Crédito de Vivienda'!$C$10="TARIFA 1",(C47*(VLOOKUP('Crédito de Vivienda'!$C$24,Seguros_Oblig!$A$3:$B$55,2,FALSE))),(C47*(VLOOKUP('Crédito de Vivienda'!$C$24,Seguros_Oblig!$A$3:$D$55,4,FALSE))))))</f>
        <v>#VALUE!</v>
      </c>
      <c r="G48" s="8" t="e">
        <f>IF('Crédito de Vivienda'!$C$10="TARIFA 1",(C47*(VLOOKUP('Crédito de Vivienda'!$C$25,Seguros_Oblig!$A$3:$B$55,2,FALSE))),(C47*(VLOOKUP('Crédito de Vivienda'!$C$25,Seguros_Oblig!$A$3:$D$55,4,FALSE))))</f>
        <v>#VALUE!</v>
      </c>
      <c r="H48" s="8" t="e">
        <f>IF('Crédito de Vivienda'!$C$10="TARIFA 1",(C47*(VLOOKUP('Crédito de Vivienda'!$C$26,Seguros_Oblig!$A$3:$B$55,2,FALSE))),(C47*(VLOOKUP('Crédito de Vivienda'!$C$26,Seguros_Oblig!$A$3:$D$55,4,FALSE))))</f>
        <v>#VALUE!</v>
      </c>
      <c r="I48" s="8" t="e">
        <f>IF('Crédito de Vivienda'!$C$10="TARIFA 1",(C47*(VLOOKUP('Crédito de Vivienda'!$C$27,Seguros_Oblig!$A$3:$B$55,2,FALSE))),(C47*(VLOOKUP('Crédito de Vivienda'!$C$27,Seguros_Oblig!$A$3:$D$55,4,FALSE))))</f>
        <v>#VALUE!</v>
      </c>
      <c r="J48" s="10">
        <f t="shared" si="2"/>
        <v>0</v>
      </c>
      <c r="K48" s="7" t="e">
        <f>IF(C47&lt;1,"0",Seguros_Oblig!$K$2*('Crédito de Vivienda'!$C$12*90%))</f>
        <v>#VALUE!</v>
      </c>
      <c r="L48" s="7" t="e">
        <f>PMT('Crédito de Vivienda'!$E$17,'Crédito de Vivienda'!$C$18,-'Crédito de Vivienda'!$C$15,,)</f>
        <v>#VALUE!</v>
      </c>
      <c r="M48" s="9" t="e">
        <f t="shared" si="3"/>
        <v>#VALUE!</v>
      </c>
      <c r="N48" s="7" t="e">
        <f>IF(C47&lt;1,"0",'Crédito de Vivienda'!$C$40)</f>
        <v>#VALUE!</v>
      </c>
      <c r="O48" s="9" t="e">
        <f t="shared" si="4"/>
        <v>#VALUE!</v>
      </c>
    </row>
    <row r="49" spans="2:15" ht="15.5" x14ac:dyDescent="0.35">
      <c r="B49" s="6" t="e">
        <f t="shared" si="5"/>
        <v>#VALUE!</v>
      </c>
      <c r="C49" s="7" t="e">
        <f t="shared" si="0"/>
        <v>#VALUE!</v>
      </c>
      <c r="D49" s="7" t="e">
        <f t="shared" si="6"/>
        <v>#VALUE!</v>
      </c>
      <c r="E49" s="7" t="e">
        <f>C48*'Crédito de Vivienda'!$E$17</f>
        <v>#VALUE!</v>
      </c>
      <c r="F49" s="282" t="e">
        <f>IF(C48&lt;1,"0",IF('Crédito de Vivienda'!$D$28="Si",($C$17*(VLOOKUP('Crédito de Vivienda'!$C$24,Seguros_Oblig!$A$3:$F$55,6,FALSE))),IF('Crédito de Vivienda'!$C$10="TARIFA 1",(C48*(VLOOKUP('Crédito de Vivienda'!$C$24,Seguros_Oblig!$A$3:$B$55,2,FALSE))),(C48*(VLOOKUP('Crédito de Vivienda'!$C$24,Seguros_Oblig!$A$3:$D$55,4,FALSE))))))</f>
        <v>#VALUE!</v>
      </c>
      <c r="G49" s="8" t="e">
        <f>IF('Crédito de Vivienda'!$C$10="TARIFA 1",(C48*(VLOOKUP('Crédito de Vivienda'!$C$25,Seguros_Oblig!$A$3:$B$55,2,FALSE))),(C48*(VLOOKUP('Crédito de Vivienda'!$C$25,Seguros_Oblig!$A$3:$D$55,4,FALSE))))</f>
        <v>#VALUE!</v>
      </c>
      <c r="H49" s="8" t="e">
        <f>IF('Crédito de Vivienda'!$C$10="TARIFA 1",(C48*(VLOOKUP('Crédito de Vivienda'!$C$26,Seguros_Oblig!$A$3:$B$55,2,FALSE))),(C48*(VLOOKUP('Crédito de Vivienda'!$C$26,Seguros_Oblig!$A$3:$D$55,4,FALSE))))</f>
        <v>#VALUE!</v>
      </c>
      <c r="I49" s="8" t="e">
        <f>IF('Crédito de Vivienda'!$C$10="TARIFA 1",(C48*(VLOOKUP('Crédito de Vivienda'!$C$27,Seguros_Oblig!$A$3:$B$55,2,FALSE))),(C48*(VLOOKUP('Crédito de Vivienda'!$C$27,Seguros_Oblig!$A$3:$D$55,4,FALSE))))</f>
        <v>#VALUE!</v>
      </c>
      <c r="J49" s="10">
        <f t="shared" si="2"/>
        <v>0</v>
      </c>
      <c r="K49" s="7" t="e">
        <f>IF(C48&lt;1,"0",Seguros_Oblig!$K$2*('Crédito de Vivienda'!$C$12*90%))</f>
        <v>#VALUE!</v>
      </c>
      <c r="L49" s="7" t="e">
        <f>PMT('Crédito de Vivienda'!$E$17,'Crédito de Vivienda'!$C$18,-'Crédito de Vivienda'!$C$15,,)</f>
        <v>#VALUE!</v>
      </c>
      <c r="M49" s="9" t="e">
        <f t="shared" si="3"/>
        <v>#VALUE!</v>
      </c>
      <c r="N49" s="7" t="e">
        <f>IF(C48&lt;1,"0",'Crédito de Vivienda'!$C$40)</f>
        <v>#VALUE!</v>
      </c>
      <c r="O49" s="9" t="e">
        <f t="shared" si="4"/>
        <v>#VALUE!</v>
      </c>
    </row>
    <row r="50" spans="2:15" ht="15.5" x14ac:dyDescent="0.35">
      <c r="B50" s="6" t="e">
        <f t="shared" si="5"/>
        <v>#VALUE!</v>
      </c>
      <c r="C50" s="7" t="e">
        <f t="shared" si="0"/>
        <v>#VALUE!</v>
      </c>
      <c r="D50" s="7" t="e">
        <f t="shared" si="6"/>
        <v>#VALUE!</v>
      </c>
      <c r="E50" s="7" t="e">
        <f>C49*'Crédito de Vivienda'!$E$17</f>
        <v>#VALUE!</v>
      </c>
      <c r="F50" s="282" t="e">
        <f>IF(C49&lt;1,"0",IF('Crédito de Vivienda'!$D$28="Si",($C$17*(VLOOKUP('Crédito de Vivienda'!$C$24,Seguros_Oblig!$A$3:$F$55,6,FALSE))),IF('Crédito de Vivienda'!$C$10="TARIFA 1",(C49*(VLOOKUP('Crédito de Vivienda'!$C$24,Seguros_Oblig!$A$3:$B$55,2,FALSE))),(C49*(VLOOKUP('Crédito de Vivienda'!$C$24,Seguros_Oblig!$A$3:$D$55,4,FALSE))))))</f>
        <v>#VALUE!</v>
      </c>
      <c r="G50" s="8" t="e">
        <f>IF('Crédito de Vivienda'!$C$10="TARIFA 1",(C49*(VLOOKUP('Crédito de Vivienda'!$C$25,Seguros_Oblig!$A$3:$B$55,2,FALSE))),(C49*(VLOOKUP('Crédito de Vivienda'!$C$25,Seguros_Oblig!$A$3:$D$55,4,FALSE))))</f>
        <v>#VALUE!</v>
      </c>
      <c r="H50" s="8" t="e">
        <f>IF('Crédito de Vivienda'!$C$10="TARIFA 1",(C49*(VLOOKUP('Crédito de Vivienda'!$C$26,Seguros_Oblig!$A$3:$B$55,2,FALSE))),(C49*(VLOOKUP('Crédito de Vivienda'!$C$26,Seguros_Oblig!$A$3:$D$55,4,FALSE))))</f>
        <v>#VALUE!</v>
      </c>
      <c r="I50" s="8" t="e">
        <f>IF('Crédito de Vivienda'!$C$10="TARIFA 1",(C49*(VLOOKUP('Crédito de Vivienda'!$C$27,Seguros_Oblig!$A$3:$B$55,2,FALSE))),(C49*(VLOOKUP('Crédito de Vivienda'!$C$27,Seguros_Oblig!$A$3:$D$55,4,FALSE))))</f>
        <v>#VALUE!</v>
      </c>
      <c r="J50" s="10">
        <f t="shared" si="2"/>
        <v>0</v>
      </c>
      <c r="K50" s="7" t="e">
        <f>IF(C49&lt;1,"0",Seguros_Oblig!$K$2*('Crédito de Vivienda'!$C$12*90%))</f>
        <v>#VALUE!</v>
      </c>
      <c r="L50" s="7" t="e">
        <f>PMT('Crédito de Vivienda'!$E$17,'Crédito de Vivienda'!$C$18,-'Crédito de Vivienda'!$C$15,,)</f>
        <v>#VALUE!</v>
      </c>
      <c r="M50" s="9" t="e">
        <f t="shared" si="3"/>
        <v>#VALUE!</v>
      </c>
      <c r="N50" s="7" t="e">
        <f>IF(C49&lt;1,"0",'Crédito de Vivienda'!$C$40)</f>
        <v>#VALUE!</v>
      </c>
      <c r="O50" s="9" t="e">
        <f t="shared" si="4"/>
        <v>#VALUE!</v>
      </c>
    </row>
    <row r="51" spans="2:15" ht="15.5" x14ac:dyDescent="0.35">
      <c r="B51" s="6" t="e">
        <f t="shared" si="5"/>
        <v>#VALUE!</v>
      </c>
      <c r="C51" s="7" t="e">
        <f t="shared" si="0"/>
        <v>#VALUE!</v>
      </c>
      <c r="D51" s="7" t="e">
        <f t="shared" si="6"/>
        <v>#VALUE!</v>
      </c>
      <c r="E51" s="7" t="e">
        <f>C50*'Crédito de Vivienda'!$E$17</f>
        <v>#VALUE!</v>
      </c>
      <c r="F51" s="282" t="e">
        <f>IF(C50&lt;1,"0",IF('Crédito de Vivienda'!$D$28="Si",($C$17*(VLOOKUP('Crédito de Vivienda'!$C$24,Seguros_Oblig!$A$3:$F$55,6,FALSE))),IF('Crédito de Vivienda'!$C$10="TARIFA 1",(C50*(VLOOKUP('Crédito de Vivienda'!$C$24,Seguros_Oblig!$A$3:$B$55,2,FALSE))),(C50*(VLOOKUP('Crédito de Vivienda'!$C$24,Seguros_Oblig!$A$3:$D$55,4,FALSE))))))</f>
        <v>#VALUE!</v>
      </c>
      <c r="G51" s="8" t="e">
        <f>IF('Crédito de Vivienda'!$C$10="TARIFA 1",(C50*(VLOOKUP('Crédito de Vivienda'!$C$25,Seguros_Oblig!$A$3:$B$55,2,FALSE))),(C50*(VLOOKUP('Crédito de Vivienda'!$C$25,Seguros_Oblig!$A$3:$D$55,4,FALSE))))</f>
        <v>#VALUE!</v>
      </c>
      <c r="H51" s="8" t="e">
        <f>IF('Crédito de Vivienda'!$C$10="TARIFA 1",(C50*(VLOOKUP('Crédito de Vivienda'!$C$26,Seguros_Oblig!$A$3:$B$55,2,FALSE))),(C50*(VLOOKUP('Crédito de Vivienda'!$C$26,Seguros_Oblig!$A$3:$D$55,4,FALSE))))</f>
        <v>#VALUE!</v>
      </c>
      <c r="I51" s="8" t="e">
        <f>IF('Crédito de Vivienda'!$C$10="TARIFA 1",(C50*(VLOOKUP('Crédito de Vivienda'!$C$27,Seguros_Oblig!$A$3:$B$55,2,FALSE))),(C50*(VLOOKUP('Crédito de Vivienda'!$C$27,Seguros_Oblig!$A$3:$D$55,4,FALSE))))</f>
        <v>#VALUE!</v>
      </c>
      <c r="J51" s="10">
        <f t="shared" si="2"/>
        <v>0</v>
      </c>
      <c r="K51" s="7" t="e">
        <f>IF(C50&lt;1,"0",Seguros_Oblig!$K$2*('Crédito de Vivienda'!$C$12*90%))</f>
        <v>#VALUE!</v>
      </c>
      <c r="L51" s="7" t="e">
        <f>PMT('Crédito de Vivienda'!$E$17,'Crédito de Vivienda'!$C$18,-'Crédito de Vivienda'!$C$15,,)</f>
        <v>#VALUE!</v>
      </c>
      <c r="M51" s="9" t="e">
        <f t="shared" si="3"/>
        <v>#VALUE!</v>
      </c>
      <c r="N51" s="7" t="e">
        <f>IF(C50&lt;1,"0",'Crédito de Vivienda'!$C$40)</f>
        <v>#VALUE!</v>
      </c>
      <c r="O51" s="9" t="e">
        <f t="shared" si="4"/>
        <v>#VALUE!</v>
      </c>
    </row>
    <row r="52" spans="2:15" ht="15.5" x14ac:dyDescent="0.35">
      <c r="B52" s="6" t="e">
        <f t="shared" si="5"/>
        <v>#VALUE!</v>
      </c>
      <c r="C52" s="7" t="e">
        <f t="shared" si="0"/>
        <v>#VALUE!</v>
      </c>
      <c r="D52" s="7" t="e">
        <f t="shared" si="6"/>
        <v>#VALUE!</v>
      </c>
      <c r="E52" s="7" t="e">
        <f>C51*'Crédito de Vivienda'!$E$17</f>
        <v>#VALUE!</v>
      </c>
      <c r="F52" s="282" t="e">
        <f>IF(C51&lt;1,"0",IF('Crédito de Vivienda'!$D$28="Si",($C$17*(VLOOKUP('Crédito de Vivienda'!$C$24,Seguros_Oblig!$A$3:$F$55,6,FALSE))),IF('Crédito de Vivienda'!$C$10="TARIFA 1",(C51*(VLOOKUP('Crédito de Vivienda'!$C$24,Seguros_Oblig!$A$3:$B$55,2,FALSE))),(C51*(VLOOKUP('Crédito de Vivienda'!$C$24,Seguros_Oblig!$A$3:$D$55,4,FALSE))))))</f>
        <v>#VALUE!</v>
      </c>
      <c r="G52" s="8" t="e">
        <f>IF('Crédito de Vivienda'!$C$10="TARIFA 1",(C51*(VLOOKUP('Crédito de Vivienda'!$C$25,Seguros_Oblig!$A$3:$B$55,2,FALSE))),(C51*(VLOOKUP('Crédito de Vivienda'!$C$25,Seguros_Oblig!$A$3:$D$55,4,FALSE))))</f>
        <v>#VALUE!</v>
      </c>
      <c r="H52" s="8" t="e">
        <f>IF('Crédito de Vivienda'!$C$10="TARIFA 1",(C51*(VLOOKUP('Crédito de Vivienda'!$C$26,Seguros_Oblig!$A$3:$B$55,2,FALSE))),(C51*(VLOOKUP('Crédito de Vivienda'!$C$26,Seguros_Oblig!$A$3:$D$55,4,FALSE))))</f>
        <v>#VALUE!</v>
      </c>
      <c r="I52" s="8" t="e">
        <f>IF('Crédito de Vivienda'!$C$10="TARIFA 1",(C51*(VLOOKUP('Crédito de Vivienda'!$C$27,Seguros_Oblig!$A$3:$B$55,2,FALSE))),(C51*(VLOOKUP('Crédito de Vivienda'!$C$27,Seguros_Oblig!$A$3:$D$55,4,FALSE))))</f>
        <v>#VALUE!</v>
      </c>
      <c r="J52" s="10">
        <f t="shared" si="2"/>
        <v>0</v>
      </c>
      <c r="K52" s="7" t="e">
        <f>IF(C51&lt;1,"0",Seguros_Oblig!$K$2*('Crédito de Vivienda'!$C$12*90%))</f>
        <v>#VALUE!</v>
      </c>
      <c r="L52" s="7" t="e">
        <f>PMT('Crédito de Vivienda'!$E$17,'Crédito de Vivienda'!$C$18,-'Crédito de Vivienda'!$C$15,,)</f>
        <v>#VALUE!</v>
      </c>
      <c r="M52" s="9" t="e">
        <f t="shared" si="3"/>
        <v>#VALUE!</v>
      </c>
      <c r="N52" s="7" t="e">
        <f>IF(C51&lt;1,"0",'Crédito de Vivienda'!$C$40)</f>
        <v>#VALUE!</v>
      </c>
      <c r="O52" s="9" t="e">
        <f t="shared" si="4"/>
        <v>#VALUE!</v>
      </c>
    </row>
    <row r="53" spans="2:15" ht="15.5" x14ac:dyDescent="0.35">
      <c r="B53" s="6" t="e">
        <f t="shared" si="5"/>
        <v>#VALUE!</v>
      </c>
      <c r="C53" s="7" t="e">
        <f t="shared" si="0"/>
        <v>#VALUE!</v>
      </c>
      <c r="D53" s="7" t="e">
        <f t="shared" si="6"/>
        <v>#VALUE!</v>
      </c>
      <c r="E53" s="7" t="e">
        <f>C52*'Crédito de Vivienda'!$E$17</f>
        <v>#VALUE!</v>
      </c>
      <c r="F53" s="282" t="e">
        <f>IF(C52&lt;1,"0",IF('Crédito de Vivienda'!$D$28="Si",($C$17*(VLOOKUP('Crédito de Vivienda'!$C$24,Seguros_Oblig!$A$3:$F$55,6,FALSE))),IF('Crédito de Vivienda'!$C$10="TARIFA 1",(C52*(VLOOKUP('Crédito de Vivienda'!$C$24,Seguros_Oblig!$A$3:$B$55,2,FALSE))),(C52*(VLOOKUP('Crédito de Vivienda'!$C$24,Seguros_Oblig!$A$3:$D$55,4,FALSE))))))</f>
        <v>#VALUE!</v>
      </c>
      <c r="G53" s="8" t="e">
        <f>IF('Crédito de Vivienda'!$C$10="TARIFA 1",(C52*(VLOOKUP('Crédito de Vivienda'!$C$25,Seguros_Oblig!$A$3:$B$55,2,FALSE))),(C52*(VLOOKUP('Crédito de Vivienda'!$C$25,Seguros_Oblig!$A$3:$D$55,4,FALSE))))</f>
        <v>#VALUE!</v>
      </c>
      <c r="H53" s="8" t="e">
        <f>IF('Crédito de Vivienda'!$C$10="TARIFA 1",(C52*(VLOOKUP('Crédito de Vivienda'!$C$26,Seguros_Oblig!$A$3:$B$55,2,FALSE))),(C52*(VLOOKUP('Crédito de Vivienda'!$C$26,Seguros_Oblig!$A$3:$D$55,4,FALSE))))</f>
        <v>#VALUE!</v>
      </c>
      <c r="I53" s="8" t="e">
        <f>IF('Crédito de Vivienda'!$C$10="TARIFA 1",(C52*(VLOOKUP('Crédito de Vivienda'!$C$27,Seguros_Oblig!$A$3:$B$55,2,FALSE))),(C52*(VLOOKUP('Crédito de Vivienda'!$C$27,Seguros_Oblig!$A$3:$D$55,4,FALSE))))</f>
        <v>#VALUE!</v>
      </c>
      <c r="J53" s="10">
        <f t="shared" si="2"/>
        <v>0</v>
      </c>
      <c r="K53" s="7" t="e">
        <f>IF(C52&lt;1,"0",Seguros_Oblig!$K$2*('Crédito de Vivienda'!$C$12*90%))</f>
        <v>#VALUE!</v>
      </c>
      <c r="L53" s="7" t="e">
        <f>PMT('Crédito de Vivienda'!$E$17,'Crédito de Vivienda'!$C$18,-'Crédito de Vivienda'!$C$15,,)</f>
        <v>#VALUE!</v>
      </c>
      <c r="M53" s="9" t="e">
        <f t="shared" si="3"/>
        <v>#VALUE!</v>
      </c>
      <c r="N53" s="7" t="e">
        <f>IF(C52&lt;1,"0",'Crédito de Vivienda'!$C$40)</f>
        <v>#VALUE!</v>
      </c>
      <c r="O53" s="9" t="e">
        <f t="shared" si="4"/>
        <v>#VALUE!</v>
      </c>
    </row>
    <row r="54" spans="2:15" ht="15.5" x14ac:dyDescent="0.35">
      <c r="B54" s="6" t="e">
        <f t="shared" si="5"/>
        <v>#VALUE!</v>
      </c>
      <c r="C54" s="7" t="e">
        <f t="shared" si="0"/>
        <v>#VALUE!</v>
      </c>
      <c r="D54" s="7" t="e">
        <f t="shared" si="6"/>
        <v>#VALUE!</v>
      </c>
      <c r="E54" s="7" t="e">
        <f>C53*'Crédito de Vivienda'!$E$17</f>
        <v>#VALUE!</v>
      </c>
      <c r="F54" s="282" t="e">
        <f>IF(C53&lt;1,"0",IF('Crédito de Vivienda'!$D$28="Si",($C$17*(VLOOKUP('Crédito de Vivienda'!$C$24,Seguros_Oblig!$A$3:$F$55,6,FALSE))),IF('Crédito de Vivienda'!$C$10="TARIFA 1",(C53*(VLOOKUP('Crédito de Vivienda'!$C$24,Seguros_Oblig!$A$3:$B$55,2,FALSE))),(C53*(VLOOKUP('Crédito de Vivienda'!$C$24,Seguros_Oblig!$A$3:$D$55,4,FALSE))))))</f>
        <v>#VALUE!</v>
      </c>
      <c r="G54" s="8" t="e">
        <f>IF('Crédito de Vivienda'!$C$10="TARIFA 1",(C53*(VLOOKUP('Crédito de Vivienda'!$C$25,Seguros_Oblig!$A$3:$B$55,2,FALSE))),(C53*(VLOOKUP('Crédito de Vivienda'!$C$25,Seguros_Oblig!$A$3:$D$55,4,FALSE))))</f>
        <v>#VALUE!</v>
      </c>
      <c r="H54" s="8" t="e">
        <f>IF('Crédito de Vivienda'!$C$10="TARIFA 1",(C53*(VLOOKUP('Crédito de Vivienda'!$C$26,Seguros_Oblig!$A$3:$B$55,2,FALSE))),(C53*(VLOOKUP('Crédito de Vivienda'!$C$26,Seguros_Oblig!$A$3:$D$55,4,FALSE))))</f>
        <v>#VALUE!</v>
      </c>
      <c r="I54" s="8" t="e">
        <f>IF('Crédito de Vivienda'!$C$10="TARIFA 1",(C53*(VLOOKUP('Crédito de Vivienda'!$C$27,Seguros_Oblig!$A$3:$B$55,2,FALSE))),(C53*(VLOOKUP('Crédito de Vivienda'!$C$27,Seguros_Oblig!$A$3:$D$55,4,FALSE))))</f>
        <v>#VALUE!</v>
      </c>
      <c r="J54" s="10">
        <f t="shared" si="2"/>
        <v>0</v>
      </c>
      <c r="K54" s="7" t="e">
        <f>IF(C53&lt;1,"0",Seguros_Oblig!$K$2*('Crédito de Vivienda'!$C$12*90%))</f>
        <v>#VALUE!</v>
      </c>
      <c r="L54" s="7" t="e">
        <f>PMT('Crédito de Vivienda'!$E$17,'Crédito de Vivienda'!$C$18,-'Crédito de Vivienda'!$C$15,,)</f>
        <v>#VALUE!</v>
      </c>
      <c r="M54" s="9" t="e">
        <f t="shared" si="3"/>
        <v>#VALUE!</v>
      </c>
      <c r="N54" s="7" t="e">
        <f>IF(C53&lt;1,"0",'Crédito de Vivienda'!$C$40)</f>
        <v>#VALUE!</v>
      </c>
      <c r="O54" s="9" t="e">
        <f t="shared" si="4"/>
        <v>#VALUE!</v>
      </c>
    </row>
    <row r="55" spans="2:15" ht="15.5" x14ac:dyDescent="0.35">
      <c r="B55" s="6" t="e">
        <f t="shared" si="5"/>
        <v>#VALUE!</v>
      </c>
      <c r="C55" s="7" t="e">
        <f t="shared" si="0"/>
        <v>#VALUE!</v>
      </c>
      <c r="D55" s="7" t="e">
        <f t="shared" si="6"/>
        <v>#VALUE!</v>
      </c>
      <c r="E55" s="7" t="e">
        <f>C54*'Crédito de Vivienda'!$E$17</f>
        <v>#VALUE!</v>
      </c>
      <c r="F55" s="282" t="e">
        <f>IF(C54&lt;1,"0",IF('Crédito de Vivienda'!$D$28="Si",($C$17*(VLOOKUP('Crédito de Vivienda'!$C$24,Seguros_Oblig!$A$3:$F$55,6,FALSE))),IF('Crédito de Vivienda'!$C$10="TARIFA 1",(C54*(VLOOKUP('Crédito de Vivienda'!$C$24,Seguros_Oblig!$A$3:$B$55,2,FALSE))),(C54*(VLOOKUP('Crédito de Vivienda'!$C$24,Seguros_Oblig!$A$3:$D$55,4,FALSE))))))</f>
        <v>#VALUE!</v>
      </c>
      <c r="G55" s="8" t="e">
        <f>IF('Crédito de Vivienda'!$C$10="TARIFA 1",(C54*(VLOOKUP('Crédito de Vivienda'!$C$25,Seguros_Oblig!$A$3:$B$55,2,FALSE))),(C54*(VLOOKUP('Crédito de Vivienda'!$C$25,Seguros_Oblig!$A$3:$D$55,4,FALSE))))</f>
        <v>#VALUE!</v>
      </c>
      <c r="H55" s="8" t="e">
        <f>IF('Crédito de Vivienda'!$C$10="TARIFA 1",(C54*(VLOOKUP('Crédito de Vivienda'!$C$26,Seguros_Oblig!$A$3:$B$55,2,FALSE))),(C54*(VLOOKUP('Crédito de Vivienda'!$C$26,Seguros_Oblig!$A$3:$D$55,4,FALSE))))</f>
        <v>#VALUE!</v>
      </c>
      <c r="I55" s="8" t="e">
        <f>IF('Crédito de Vivienda'!$C$10="TARIFA 1",(C54*(VLOOKUP('Crédito de Vivienda'!$C$27,Seguros_Oblig!$A$3:$B$55,2,FALSE))),(C54*(VLOOKUP('Crédito de Vivienda'!$C$27,Seguros_Oblig!$A$3:$D$55,4,FALSE))))</f>
        <v>#VALUE!</v>
      </c>
      <c r="J55" s="10">
        <f t="shared" si="2"/>
        <v>0</v>
      </c>
      <c r="K55" s="7" t="e">
        <f>IF(C54&lt;1,"0",Seguros_Oblig!$K$2*('Crédito de Vivienda'!$C$12*90%))</f>
        <v>#VALUE!</v>
      </c>
      <c r="L55" s="7" t="e">
        <f>PMT('Crédito de Vivienda'!$E$17,'Crédito de Vivienda'!$C$18,-'Crédito de Vivienda'!$C$15,,)</f>
        <v>#VALUE!</v>
      </c>
      <c r="M55" s="9" t="e">
        <f t="shared" si="3"/>
        <v>#VALUE!</v>
      </c>
      <c r="N55" s="7" t="e">
        <f>IF(C54&lt;1,"0",'Crédito de Vivienda'!$C$40)</f>
        <v>#VALUE!</v>
      </c>
      <c r="O55" s="9" t="e">
        <f t="shared" si="4"/>
        <v>#VALUE!</v>
      </c>
    </row>
    <row r="56" spans="2:15" ht="15.5" x14ac:dyDescent="0.35">
      <c r="B56" s="6" t="e">
        <f t="shared" si="5"/>
        <v>#VALUE!</v>
      </c>
      <c r="C56" s="7" t="e">
        <f t="shared" si="0"/>
        <v>#VALUE!</v>
      </c>
      <c r="D56" s="7" t="e">
        <f t="shared" si="6"/>
        <v>#VALUE!</v>
      </c>
      <c r="E56" s="7" t="e">
        <f>C55*'Crédito de Vivienda'!$E$17</f>
        <v>#VALUE!</v>
      </c>
      <c r="F56" s="282" t="e">
        <f>IF(C55&lt;1,"0",IF('Crédito de Vivienda'!$D$28="Si",($C$17*(VLOOKUP('Crédito de Vivienda'!$C$24,Seguros_Oblig!$A$3:$F$55,6,FALSE))),IF('Crédito de Vivienda'!$C$10="TARIFA 1",(C55*(VLOOKUP('Crédito de Vivienda'!$C$24,Seguros_Oblig!$A$3:$B$55,2,FALSE))),(C55*(VLOOKUP('Crédito de Vivienda'!$C$24,Seguros_Oblig!$A$3:$D$55,4,FALSE))))))</f>
        <v>#VALUE!</v>
      </c>
      <c r="G56" s="8" t="e">
        <f>IF('Crédito de Vivienda'!$C$10="TARIFA 1",(C55*(VLOOKUP('Crédito de Vivienda'!$C$25,Seguros_Oblig!$A$3:$B$55,2,FALSE))),(C55*(VLOOKUP('Crédito de Vivienda'!$C$25,Seguros_Oblig!$A$3:$D$55,4,FALSE))))</f>
        <v>#VALUE!</v>
      </c>
      <c r="H56" s="8" t="e">
        <f>IF('Crédito de Vivienda'!$C$10="TARIFA 1",(C55*(VLOOKUP('Crédito de Vivienda'!$C$26,Seguros_Oblig!$A$3:$B$55,2,FALSE))),(C55*(VLOOKUP('Crédito de Vivienda'!$C$26,Seguros_Oblig!$A$3:$D$55,4,FALSE))))</f>
        <v>#VALUE!</v>
      </c>
      <c r="I56" s="8" t="e">
        <f>IF('Crédito de Vivienda'!$C$10="TARIFA 1",(C55*(VLOOKUP('Crédito de Vivienda'!$C$27,Seguros_Oblig!$A$3:$B$55,2,FALSE))),(C55*(VLOOKUP('Crédito de Vivienda'!$C$27,Seguros_Oblig!$A$3:$D$55,4,FALSE))))</f>
        <v>#VALUE!</v>
      </c>
      <c r="J56" s="10">
        <f t="shared" si="2"/>
        <v>0</v>
      </c>
      <c r="K56" s="7" t="e">
        <f>IF(C55&lt;1,"0",Seguros_Oblig!$K$2*('Crédito de Vivienda'!$C$12*90%))</f>
        <v>#VALUE!</v>
      </c>
      <c r="L56" s="7" t="e">
        <f>PMT('Crédito de Vivienda'!$E$17,'Crédito de Vivienda'!$C$18,-'Crédito de Vivienda'!$C$15,,)</f>
        <v>#VALUE!</v>
      </c>
      <c r="M56" s="9" t="e">
        <f t="shared" si="3"/>
        <v>#VALUE!</v>
      </c>
      <c r="N56" s="7" t="e">
        <f>IF(C55&lt;1,"0",'Crédito de Vivienda'!$C$40)</f>
        <v>#VALUE!</v>
      </c>
      <c r="O56" s="9" t="e">
        <f t="shared" si="4"/>
        <v>#VALUE!</v>
      </c>
    </row>
    <row r="57" spans="2:15" ht="15.5" x14ac:dyDescent="0.35">
      <c r="B57" s="6" t="e">
        <f t="shared" si="5"/>
        <v>#VALUE!</v>
      </c>
      <c r="C57" s="7" t="e">
        <f t="shared" si="0"/>
        <v>#VALUE!</v>
      </c>
      <c r="D57" s="7" t="e">
        <f t="shared" si="6"/>
        <v>#VALUE!</v>
      </c>
      <c r="E57" s="7" t="e">
        <f>C56*'Crédito de Vivienda'!$E$17</f>
        <v>#VALUE!</v>
      </c>
      <c r="F57" s="282" t="e">
        <f>IF(C56&lt;1,"0",IF('Crédito de Vivienda'!$D$28="Si",($C$17*(VLOOKUP('Crédito de Vivienda'!$C$24,Seguros_Oblig!$A$3:$F$55,6,FALSE))),IF('Crédito de Vivienda'!$C$10="TARIFA 1",(C56*(VLOOKUP('Crédito de Vivienda'!$C$24,Seguros_Oblig!$A$3:$B$55,2,FALSE))),(C56*(VLOOKUP('Crédito de Vivienda'!$C$24,Seguros_Oblig!$A$3:$D$55,4,FALSE))))))</f>
        <v>#VALUE!</v>
      </c>
      <c r="G57" s="8" t="e">
        <f>IF('Crédito de Vivienda'!$C$10="TARIFA 1",(C56*(VLOOKUP('Crédito de Vivienda'!$C$25,Seguros_Oblig!$A$3:$B$55,2,FALSE))),(C56*(VLOOKUP('Crédito de Vivienda'!$C$25,Seguros_Oblig!$A$3:$D$55,4,FALSE))))</f>
        <v>#VALUE!</v>
      </c>
      <c r="H57" s="8" t="e">
        <f>IF('Crédito de Vivienda'!$C$10="TARIFA 1",(C56*(VLOOKUP('Crédito de Vivienda'!$C$26,Seguros_Oblig!$A$3:$B$55,2,FALSE))),(C56*(VLOOKUP('Crédito de Vivienda'!$C$26,Seguros_Oblig!$A$3:$D$55,4,FALSE))))</f>
        <v>#VALUE!</v>
      </c>
      <c r="I57" s="8" t="e">
        <f>IF('Crédito de Vivienda'!$C$10="TARIFA 1",(C56*(VLOOKUP('Crédito de Vivienda'!$C$27,Seguros_Oblig!$A$3:$B$55,2,FALSE))),(C56*(VLOOKUP('Crédito de Vivienda'!$C$27,Seguros_Oblig!$A$3:$D$55,4,FALSE))))</f>
        <v>#VALUE!</v>
      </c>
      <c r="J57" s="10">
        <f t="shared" si="2"/>
        <v>0</v>
      </c>
      <c r="K57" s="7" t="e">
        <f>IF(C56&lt;1,"0",Seguros_Oblig!$K$2*('Crédito de Vivienda'!$C$12*90%))</f>
        <v>#VALUE!</v>
      </c>
      <c r="L57" s="7" t="e">
        <f>PMT('Crédito de Vivienda'!$E$17,'Crédito de Vivienda'!$C$18,-'Crédito de Vivienda'!$C$15,,)</f>
        <v>#VALUE!</v>
      </c>
      <c r="M57" s="9" t="e">
        <f t="shared" si="3"/>
        <v>#VALUE!</v>
      </c>
      <c r="N57" s="7" t="e">
        <f>IF(C56&lt;1,"0",'Crédito de Vivienda'!$C$40)</f>
        <v>#VALUE!</v>
      </c>
      <c r="O57" s="9" t="e">
        <f t="shared" si="4"/>
        <v>#VALUE!</v>
      </c>
    </row>
    <row r="58" spans="2:15" ht="15.5" x14ac:dyDescent="0.35">
      <c r="B58" s="6" t="e">
        <f t="shared" si="5"/>
        <v>#VALUE!</v>
      </c>
      <c r="C58" s="7" t="e">
        <f t="shared" si="0"/>
        <v>#VALUE!</v>
      </c>
      <c r="D58" s="7" t="e">
        <f t="shared" si="6"/>
        <v>#VALUE!</v>
      </c>
      <c r="E58" s="7" t="e">
        <f>C57*'Crédito de Vivienda'!$E$17</f>
        <v>#VALUE!</v>
      </c>
      <c r="F58" s="282" t="e">
        <f>IF(C57&lt;1,"0",IF('Crédito de Vivienda'!$D$28="Si",($C$17*(VLOOKUP('Crédito de Vivienda'!$C$24,Seguros_Oblig!$A$3:$F$55,6,FALSE))),IF('Crédito de Vivienda'!$C$10="TARIFA 1",(C57*(VLOOKUP('Crédito de Vivienda'!$C$24,Seguros_Oblig!$A$3:$B$55,2,FALSE))),(C57*(VLOOKUP('Crédito de Vivienda'!$C$24,Seguros_Oblig!$A$3:$D$55,4,FALSE))))))</f>
        <v>#VALUE!</v>
      </c>
      <c r="G58" s="8" t="e">
        <f>IF('Crédito de Vivienda'!$C$10="TARIFA 1",(C57*(VLOOKUP('Crédito de Vivienda'!$C$25,Seguros_Oblig!$A$3:$B$55,2,FALSE))),(C57*(VLOOKUP('Crédito de Vivienda'!$C$25,Seguros_Oblig!$A$3:$D$55,4,FALSE))))</f>
        <v>#VALUE!</v>
      </c>
      <c r="H58" s="8" t="e">
        <f>IF('Crédito de Vivienda'!$C$10="TARIFA 1",(C57*(VLOOKUP('Crédito de Vivienda'!$C$26,Seguros_Oblig!$A$3:$B$55,2,FALSE))),(C57*(VLOOKUP('Crédito de Vivienda'!$C$26,Seguros_Oblig!$A$3:$D$55,4,FALSE))))</f>
        <v>#VALUE!</v>
      </c>
      <c r="I58" s="8" t="e">
        <f>IF('Crédito de Vivienda'!$C$10="TARIFA 1",(C57*(VLOOKUP('Crédito de Vivienda'!$C$27,Seguros_Oblig!$A$3:$B$55,2,FALSE))),(C57*(VLOOKUP('Crédito de Vivienda'!$C$27,Seguros_Oblig!$A$3:$D$55,4,FALSE))))</f>
        <v>#VALUE!</v>
      </c>
      <c r="J58" s="10">
        <f t="shared" si="2"/>
        <v>0</v>
      </c>
      <c r="K58" s="7" t="e">
        <f>IF(C57&lt;1,"0",Seguros_Oblig!$K$2*('Crédito de Vivienda'!$C$12*90%))</f>
        <v>#VALUE!</v>
      </c>
      <c r="L58" s="7" t="e">
        <f>PMT('Crédito de Vivienda'!$E$17,'Crédito de Vivienda'!$C$18,-'Crédito de Vivienda'!$C$15,,)</f>
        <v>#VALUE!</v>
      </c>
      <c r="M58" s="9" t="e">
        <f t="shared" si="3"/>
        <v>#VALUE!</v>
      </c>
      <c r="N58" s="7" t="e">
        <f>IF(C57&lt;1,"0",'Crédito de Vivienda'!$C$40)</f>
        <v>#VALUE!</v>
      </c>
      <c r="O58" s="9" t="e">
        <f t="shared" si="4"/>
        <v>#VALUE!</v>
      </c>
    </row>
    <row r="59" spans="2:15" ht="15.5" x14ac:dyDescent="0.35">
      <c r="B59" s="6" t="e">
        <f t="shared" si="5"/>
        <v>#VALUE!</v>
      </c>
      <c r="C59" s="7" t="e">
        <f t="shared" si="0"/>
        <v>#VALUE!</v>
      </c>
      <c r="D59" s="7" t="e">
        <f t="shared" si="6"/>
        <v>#VALUE!</v>
      </c>
      <c r="E59" s="7" t="e">
        <f>C58*'Crédito de Vivienda'!$E$17</f>
        <v>#VALUE!</v>
      </c>
      <c r="F59" s="282" t="e">
        <f>IF(C58&lt;1,"0",IF('Crédito de Vivienda'!$D$28="Si",($C$17*(VLOOKUP('Crédito de Vivienda'!$C$24,Seguros_Oblig!$A$3:$F$55,6,FALSE))),IF('Crédito de Vivienda'!$C$10="TARIFA 1",(C58*(VLOOKUP('Crédito de Vivienda'!$C$24,Seguros_Oblig!$A$3:$B$55,2,FALSE))),(C58*(VLOOKUP('Crédito de Vivienda'!$C$24,Seguros_Oblig!$A$3:$D$55,4,FALSE))))))</f>
        <v>#VALUE!</v>
      </c>
      <c r="G59" s="8" t="e">
        <f>IF('Crédito de Vivienda'!$C$10="TARIFA 1",(C58*(VLOOKUP('Crédito de Vivienda'!$C$25,Seguros_Oblig!$A$3:$B$55,2,FALSE))),(C58*(VLOOKUP('Crédito de Vivienda'!$C$25,Seguros_Oblig!$A$3:$D$55,4,FALSE))))</f>
        <v>#VALUE!</v>
      </c>
      <c r="H59" s="8" t="e">
        <f>IF('Crédito de Vivienda'!$C$10="TARIFA 1",(C58*(VLOOKUP('Crédito de Vivienda'!$C$26,Seguros_Oblig!$A$3:$B$55,2,FALSE))),(C58*(VLOOKUP('Crédito de Vivienda'!$C$26,Seguros_Oblig!$A$3:$D$55,4,FALSE))))</f>
        <v>#VALUE!</v>
      </c>
      <c r="I59" s="8" t="e">
        <f>IF('Crédito de Vivienda'!$C$10="TARIFA 1",(C58*(VLOOKUP('Crédito de Vivienda'!$C$27,Seguros_Oblig!$A$3:$B$55,2,FALSE))),(C58*(VLOOKUP('Crédito de Vivienda'!$C$27,Seguros_Oblig!$A$3:$D$55,4,FALSE))))</f>
        <v>#VALUE!</v>
      </c>
      <c r="J59" s="10">
        <f t="shared" si="2"/>
        <v>0</v>
      </c>
      <c r="K59" s="7" t="e">
        <f>IF(C58&lt;1,"0",Seguros_Oblig!$K$2*('Crédito de Vivienda'!$C$12*90%))</f>
        <v>#VALUE!</v>
      </c>
      <c r="L59" s="7" t="e">
        <f>PMT('Crédito de Vivienda'!$E$17,'Crédito de Vivienda'!$C$18,-'Crédito de Vivienda'!$C$15,,)</f>
        <v>#VALUE!</v>
      </c>
      <c r="M59" s="9" t="e">
        <f t="shared" si="3"/>
        <v>#VALUE!</v>
      </c>
      <c r="N59" s="7" t="e">
        <f>IF(C58&lt;1,"0",'Crédito de Vivienda'!$C$40)</f>
        <v>#VALUE!</v>
      </c>
      <c r="O59" s="9" t="e">
        <f t="shared" si="4"/>
        <v>#VALUE!</v>
      </c>
    </row>
    <row r="60" spans="2:15" ht="15.5" x14ac:dyDescent="0.35">
      <c r="B60" s="6" t="e">
        <f t="shared" si="5"/>
        <v>#VALUE!</v>
      </c>
      <c r="C60" s="7" t="e">
        <f t="shared" si="0"/>
        <v>#VALUE!</v>
      </c>
      <c r="D60" s="7" t="e">
        <f t="shared" si="6"/>
        <v>#VALUE!</v>
      </c>
      <c r="E60" s="7" t="e">
        <f>C59*'Crédito de Vivienda'!$E$17</f>
        <v>#VALUE!</v>
      </c>
      <c r="F60" s="282" t="e">
        <f>IF(C59&lt;1,"0",IF('Crédito de Vivienda'!$D$28="Si",($C$17*(VLOOKUP('Crédito de Vivienda'!$C$24,Seguros_Oblig!$A$3:$F$55,6,FALSE))),IF('Crédito de Vivienda'!$C$10="TARIFA 1",(C59*(VLOOKUP('Crédito de Vivienda'!$C$24,Seguros_Oblig!$A$3:$B$55,2,FALSE))),(C59*(VLOOKUP('Crédito de Vivienda'!$C$24,Seguros_Oblig!$A$3:$D$55,4,FALSE))))))</f>
        <v>#VALUE!</v>
      </c>
      <c r="G60" s="8" t="e">
        <f>IF('Crédito de Vivienda'!$C$10="TARIFA 1",(C59*(VLOOKUP('Crédito de Vivienda'!$C$25,Seguros_Oblig!$A$3:$B$55,2,FALSE))),(C59*(VLOOKUP('Crédito de Vivienda'!$C$25,Seguros_Oblig!$A$3:$D$55,4,FALSE))))</f>
        <v>#VALUE!</v>
      </c>
      <c r="H60" s="8" t="e">
        <f>IF('Crédito de Vivienda'!$C$10="TARIFA 1",(C59*(VLOOKUP('Crédito de Vivienda'!$C$26,Seguros_Oblig!$A$3:$B$55,2,FALSE))),(C59*(VLOOKUP('Crédito de Vivienda'!$C$26,Seguros_Oblig!$A$3:$D$55,4,FALSE))))</f>
        <v>#VALUE!</v>
      </c>
      <c r="I60" s="8" t="e">
        <f>IF('Crédito de Vivienda'!$C$10="TARIFA 1",(C59*(VLOOKUP('Crédito de Vivienda'!$C$27,Seguros_Oblig!$A$3:$B$55,2,FALSE))),(C59*(VLOOKUP('Crédito de Vivienda'!$C$27,Seguros_Oblig!$A$3:$D$55,4,FALSE))))</f>
        <v>#VALUE!</v>
      </c>
      <c r="J60" s="10">
        <f t="shared" si="2"/>
        <v>0</v>
      </c>
      <c r="K60" s="7" t="e">
        <f>IF(C59&lt;1,"0",Seguros_Oblig!$K$2*('Crédito de Vivienda'!$C$12*90%))</f>
        <v>#VALUE!</v>
      </c>
      <c r="L60" s="7" t="e">
        <f>PMT('Crédito de Vivienda'!$E$17,'Crédito de Vivienda'!$C$18,-'Crédito de Vivienda'!$C$15,,)</f>
        <v>#VALUE!</v>
      </c>
      <c r="M60" s="9" t="e">
        <f t="shared" si="3"/>
        <v>#VALUE!</v>
      </c>
      <c r="N60" s="7" t="e">
        <f>IF(C59&lt;1,"0",'Crédito de Vivienda'!$C$40)</f>
        <v>#VALUE!</v>
      </c>
      <c r="O60" s="9" t="e">
        <f t="shared" si="4"/>
        <v>#VALUE!</v>
      </c>
    </row>
    <row r="61" spans="2:15" ht="15.5" x14ac:dyDescent="0.35">
      <c r="B61" s="6" t="e">
        <f t="shared" si="5"/>
        <v>#VALUE!</v>
      </c>
      <c r="C61" s="7" t="e">
        <f t="shared" si="0"/>
        <v>#VALUE!</v>
      </c>
      <c r="D61" s="7" t="e">
        <f t="shared" si="6"/>
        <v>#VALUE!</v>
      </c>
      <c r="E61" s="7" t="e">
        <f>C60*'Crédito de Vivienda'!$E$17</f>
        <v>#VALUE!</v>
      </c>
      <c r="F61" s="282" t="e">
        <f>IF(C60&lt;1,"0",IF('Crédito de Vivienda'!$D$28="Si",($C$17*(VLOOKUP('Crédito de Vivienda'!$C$24,Seguros_Oblig!$A$3:$F$55,6,FALSE))),IF('Crédito de Vivienda'!$C$10="TARIFA 1",(C60*(VLOOKUP('Crédito de Vivienda'!$C$24,Seguros_Oblig!$A$3:$B$55,2,FALSE))),(C60*(VLOOKUP('Crédito de Vivienda'!$C$24,Seguros_Oblig!$A$3:$D$55,4,FALSE))))))</f>
        <v>#VALUE!</v>
      </c>
      <c r="G61" s="8" t="e">
        <f>IF('Crédito de Vivienda'!$C$10="TARIFA 1",(C60*(VLOOKUP('Crédito de Vivienda'!$C$25,Seguros_Oblig!$A$3:$B$55,2,FALSE))),(C60*(VLOOKUP('Crédito de Vivienda'!$C$25,Seguros_Oblig!$A$3:$D$55,4,FALSE))))</f>
        <v>#VALUE!</v>
      </c>
      <c r="H61" s="8" t="e">
        <f>IF('Crédito de Vivienda'!$C$10="TARIFA 1",(C60*(VLOOKUP('Crédito de Vivienda'!$C$26,Seguros_Oblig!$A$3:$B$55,2,FALSE))),(C60*(VLOOKUP('Crédito de Vivienda'!$C$26,Seguros_Oblig!$A$3:$D$55,4,FALSE))))</f>
        <v>#VALUE!</v>
      </c>
      <c r="I61" s="8" t="e">
        <f>IF('Crédito de Vivienda'!$C$10="TARIFA 1",(C60*(VLOOKUP('Crédito de Vivienda'!$C$27,Seguros_Oblig!$A$3:$B$55,2,FALSE))),(C60*(VLOOKUP('Crédito de Vivienda'!$C$27,Seguros_Oblig!$A$3:$D$55,4,FALSE))))</f>
        <v>#VALUE!</v>
      </c>
      <c r="J61" s="10">
        <f t="shared" si="2"/>
        <v>0</v>
      </c>
      <c r="K61" s="7" t="e">
        <f>IF(C60&lt;1,"0",Seguros_Oblig!$K$2*('Crédito de Vivienda'!$C$12*90%))</f>
        <v>#VALUE!</v>
      </c>
      <c r="L61" s="7" t="e">
        <f>PMT('Crédito de Vivienda'!$E$17,'Crédito de Vivienda'!$C$18,-'Crédito de Vivienda'!$C$15,,)</f>
        <v>#VALUE!</v>
      </c>
      <c r="M61" s="9" t="e">
        <f t="shared" si="3"/>
        <v>#VALUE!</v>
      </c>
      <c r="N61" s="7" t="e">
        <f>IF(C60&lt;1,"0",'Crédito de Vivienda'!$C$40)</f>
        <v>#VALUE!</v>
      </c>
      <c r="O61" s="9" t="e">
        <f t="shared" si="4"/>
        <v>#VALUE!</v>
      </c>
    </row>
    <row r="62" spans="2:15" ht="15.5" x14ac:dyDescent="0.35">
      <c r="B62" s="6" t="e">
        <f t="shared" si="5"/>
        <v>#VALUE!</v>
      </c>
      <c r="C62" s="7" t="e">
        <f t="shared" si="0"/>
        <v>#VALUE!</v>
      </c>
      <c r="D62" s="7" t="e">
        <f t="shared" si="6"/>
        <v>#VALUE!</v>
      </c>
      <c r="E62" s="7" t="e">
        <f>C61*'Crédito de Vivienda'!$E$17</f>
        <v>#VALUE!</v>
      </c>
      <c r="F62" s="282" t="e">
        <f>IF(C61&lt;1,"0",IF('Crédito de Vivienda'!$D$28="Si",($C$17*(VLOOKUP('Crédito de Vivienda'!$C$24,Seguros_Oblig!$A$3:$F$55,6,FALSE))),IF('Crédito de Vivienda'!$C$10="TARIFA 1",(C61*(VLOOKUP('Crédito de Vivienda'!$C$24,Seguros_Oblig!$A$3:$B$55,2,FALSE))),(C61*(VLOOKUP('Crédito de Vivienda'!$C$24,Seguros_Oblig!$A$3:$D$55,4,FALSE))))))</f>
        <v>#VALUE!</v>
      </c>
      <c r="G62" s="8" t="e">
        <f>IF('Crédito de Vivienda'!$C$10="TARIFA 1",(C61*(VLOOKUP('Crédito de Vivienda'!$C$25,Seguros_Oblig!$A$3:$B$55,2,FALSE))),(C61*(VLOOKUP('Crédito de Vivienda'!$C$25,Seguros_Oblig!$A$3:$D$55,4,FALSE))))</f>
        <v>#VALUE!</v>
      </c>
      <c r="H62" s="8" t="e">
        <f>IF('Crédito de Vivienda'!$C$10="TARIFA 1",(C61*(VLOOKUP('Crédito de Vivienda'!$C$26,Seguros_Oblig!$A$3:$B$55,2,FALSE))),(C61*(VLOOKUP('Crédito de Vivienda'!$C$26,Seguros_Oblig!$A$3:$D$55,4,FALSE))))</f>
        <v>#VALUE!</v>
      </c>
      <c r="I62" s="8" t="e">
        <f>IF('Crédito de Vivienda'!$C$10="TARIFA 1",(C61*(VLOOKUP('Crédito de Vivienda'!$C$27,Seguros_Oblig!$A$3:$B$55,2,FALSE))),(C61*(VLOOKUP('Crédito de Vivienda'!$C$27,Seguros_Oblig!$A$3:$D$55,4,FALSE))))</f>
        <v>#VALUE!</v>
      </c>
      <c r="J62" s="10">
        <f t="shared" si="2"/>
        <v>0</v>
      </c>
      <c r="K62" s="7" t="e">
        <f>IF(C61&lt;1,"0",Seguros_Oblig!$K$2*('Crédito de Vivienda'!$C$12*90%))</f>
        <v>#VALUE!</v>
      </c>
      <c r="L62" s="7" t="e">
        <f>PMT('Crédito de Vivienda'!$E$17,'Crédito de Vivienda'!$C$18,-'Crédito de Vivienda'!$C$15,,)</f>
        <v>#VALUE!</v>
      </c>
      <c r="M62" s="9" t="e">
        <f t="shared" si="3"/>
        <v>#VALUE!</v>
      </c>
      <c r="N62" s="7" t="e">
        <f>IF(C61&lt;1,"0",'Crédito de Vivienda'!$C$40)</f>
        <v>#VALUE!</v>
      </c>
      <c r="O62" s="9" t="e">
        <f t="shared" si="4"/>
        <v>#VALUE!</v>
      </c>
    </row>
    <row r="63" spans="2:15" ht="15.5" x14ac:dyDescent="0.35">
      <c r="B63" s="6" t="e">
        <f t="shared" si="5"/>
        <v>#VALUE!</v>
      </c>
      <c r="C63" s="7" t="e">
        <f t="shared" si="0"/>
        <v>#VALUE!</v>
      </c>
      <c r="D63" s="7" t="e">
        <f t="shared" si="6"/>
        <v>#VALUE!</v>
      </c>
      <c r="E63" s="7" t="e">
        <f>C62*'Crédito de Vivienda'!$E$17</f>
        <v>#VALUE!</v>
      </c>
      <c r="F63" s="282" t="e">
        <f>IF(C62&lt;1,"0",IF('Crédito de Vivienda'!$D$28="Si",($C$17*(VLOOKUP('Crédito de Vivienda'!$C$24,Seguros_Oblig!$A$3:$F$55,6,FALSE))),IF('Crédito de Vivienda'!$C$10="TARIFA 1",(C62*(VLOOKUP('Crédito de Vivienda'!$C$24,Seguros_Oblig!$A$3:$B$55,2,FALSE))),(C62*(VLOOKUP('Crédito de Vivienda'!$C$24,Seguros_Oblig!$A$3:$D$55,4,FALSE))))))</f>
        <v>#VALUE!</v>
      </c>
      <c r="G63" s="8" t="e">
        <f>IF('Crédito de Vivienda'!$C$10="TARIFA 1",(C62*(VLOOKUP('Crédito de Vivienda'!$C$25,Seguros_Oblig!$A$3:$B$55,2,FALSE))),(C62*(VLOOKUP('Crédito de Vivienda'!$C$25,Seguros_Oblig!$A$3:$D$55,4,FALSE))))</f>
        <v>#VALUE!</v>
      </c>
      <c r="H63" s="8" t="e">
        <f>IF('Crédito de Vivienda'!$C$10="TARIFA 1",(C62*(VLOOKUP('Crédito de Vivienda'!$C$26,Seguros_Oblig!$A$3:$B$55,2,FALSE))),(C62*(VLOOKUP('Crédito de Vivienda'!$C$26,Seguros_Oblig!$A$3:$D$55,4,FALSE))))</f>
        <v>#VALUE!</v>
      </c>
      <c r="I63" s="8" t="e">
        <f>IF('Crédito de Vivienda'!$C$10="TARIFA 1",(C62*(VLOOKUP('Crédito de Vivienda'!$C$27,Seguros_Oblig!$A$3:$B$55,2,FALSE))),(C62*(VLOOKUP('Crédito de Vivienda'!$C$27,Seguros_Oblig!$A$3:$D$55,4,FALSE))))</f>
        <v>#VALUE!</v>
      </c>
      <c r="J63" s="10">
        <f t="shared" si="2"/>
        <v>0</v>
      </c>
      <c r="K63" s="7" t="e">
        <f>IF(C62&lt;1,"0",Seguros_Oblig!$K$2*('Crédito de Vivienda'!$C$12*90%))</f>
        <v>#VALUE!</v>
      </c>
      <c r="L63" s="7" t="e">
        <f>PMT('Crédito de Vivienda'!$E$17,'Crédito de Vivienda'!$C$18,-'Crédito de Vivienda'!$C$15,,)</f>
        <v>#VALUE!</v>
      </c>
      <c r="M63" s="9" t="e">
        <f t="shared" si="3"/>
        <v>#VALUE!</v>
      </c>
      <c r="N63" s="7" t="e">
        <f>IF(C62&lt;1,"0",'Crédito de Vivienda'!$C$40)</f>
        <v>#VALUE!</v>
      </c>
      <c r="O63" s="9" t="e">
        <f t="shared" si="4"/>
        <v>#VALUE!</v>
      </c>
    </row>
    <row r="64" spans="2:15" ht="15.5" x14ac:dyDescent="0.35">
      <c r="B64" s="6" t="e">
        <f t="shared" si="5"/>
        <v>#VALUE!</v>
      </c>
      <c r="C64" s="7" t="e">
        <f t="shared" si="0"/>
        <v>#VALUE!</v>
      </c>
      <c r="D64" s="7" t="e">
        <f t="shared" si="6"/>
        <v>#VALUE!</v>
      </c>
      <c r="E64" s="7" t="e">
        <f>C63*'Crédito de Vivienda'!$E$17</f>
        <v>#VALUE!</v>
      </c>
      <c r="F64" s="282" t="e">
        <f>IF(C63&lt;1,"0",IF('Crédito de Vivienda'!$D$28="Si",($C$17*(VLOOKUP('Crédito de Vivienda'!$C$24,Seguros_Oblig!$A$3:$F$55,6,FALSE))),IF('Crédito de Vivienda'!$C$10="TARIFA 1",(C63*(VLOOKUP('Crédito de Vivienda'!$C$24,Seguros_Oblig!$A$3:$B$55,2,FALSE))),(C63*(VLOOKUP('Crédito de Vivienda'!$C$24,Seguros_Oblig!$A$3:$D$55,4,FALSE))))))</f>
        <v>#VALUE!</v>
      </c>
      <c r="G64" s="8" t="e">
        <f>IF('Crédito de Vivienda'!$C$10="TARIFA 1",(C63*(VLOOKUP('Crédito de Vivienda'!$C$25,Seguros_Oblig!$A$3:$B$55,2,FALSE))),(C63*(VLOOKUP('Crédito de Vivienda'!$C$25,Seguros_Oblig!$A$3:$D$55,4,FALSE))))</f>
        <v>#VALUE!</v>
      </c>
      <c r="H64" s="8" t="e">
        <f>IF('Crédito de Vivienda'!$C$10="TARIFA 1",(C63*(VLOOKUP('Crédito de Vivienda'!$C$26,Seguros_Oblig!$A$3:$B$55,2,FALSE))),(C63*(VLOOKUP('Crédito de Vivienda'!$C$26,Seguros_Oblig!$A$3:$D$55,4,FALSE))))</f>
        <v>#VALUE!</v>
      </c>
      <c r="I64" s="8" t="e">
        <f>IF('Crédito de Vivienda'!$C$10="TARIFA 1",(C63*(VLOOKUP('Crédito de Vivienda'!$C$27,Seguros_Oblig!$A$3:$B$55,2,FALSE))),(C63*(VLOOKUP('Crédito de Vivienda'!$C$27,Seguros_Oblig!$A$3:$D$55,4,FALSE))))</f>
        <v>#VALUE!</v>
      </c>
      <c r="J64" s="10">
        <f t="shared" si="2"/>
        <v>0</v>
      </c>
      <c r="K64" s="7" t="e">
        <f>IF(C63&lt;1,"0",Seguros_Oblig!$K$2*('Crédito de Vivienda'!$C$12*90%))</f>
        <v>#VALUE!</v>
      </c>
      <c r="L64" s="7" t="e">
        <f>PMT('Crédito de Vivienda'!$E$17,'Crédito de Vivienda'!$C$18,-'Crédito de Vivienda'!$C$15,,)</f>
        <v>#VALUE!</v>
      </c>
      <c r="M64" s="9" t="e">
        <f t="shared" si="3"/>
        <v>#VALUE!</v>
      </c>
      <c r="N64" s="7" t="e">
        <f>IF(C63&lt;1,"0",'Crédito de Vivienda'!$C$40)</f>
        <v>#VALUE!</v>
      </c>
      <c r="O64" s="9" t="e">
        <f t="shared" si="4"/>
        <v>#VALUE!</v>
      </c>
    </row>
    <row r="65" spans="2:15" ht="15.5" x14ac:dyDescent="0.35">
      <c r="B65" s="6" t="e">
        <f t="shared" si="5"/>
        <v>#VALUE!</v>
      </c>
      <c r="C65" s="7" t="e">
        <f t="shared" si="0"/>
        <v>#VALUE!</v>
      </c>
      <c r="D65" s="7" t="e">
        <f t="shared" si="6"/>
        <v>#VALUE!</v>
      </c>
      <c r="E65" s="7" t="e">
        <f>C64*'Crédito de Vivienda'!$E$17</f>
        <v>#VALUE!</v>
      </c>
      <c r="F65" s="282" t="e">
        <f>IF(C64&lt;1,"0",IF('Crédito de Vivienda'!$D$28="Si",($C$17*(VLOOKUP('Crédito de Vivienda'!$C$24,Seguros_Oblig!$A$3:$F$55,6,FALSE))),IF('Crédito de Vivienda'!$C$10="TARIFA 1",(C64*(VLOOKUP('Crédito de Vivienda'!$C$24,Seguros_Oblig!$A$3:$B$55,2,FALSE))),(C64*(VLOOKUP('Crédito de Vivienda'!$C$24,Seguros_Oblig!$A$3:$D$55,4,FALSE))))))</f>
        <v>#VALUE!</v>
      </c>
      <c r="G65" s="8" t="e">
        <f>IF('Crédito de Vivienda'!$C$10="TARIFA 1",(C64*(VLOOKUP('Crédito de Vivienda'!$C$25,Seguros_Oblig!$A$3:$B$55,2,FALSE))),(C64*(VLOOKUP('Crédito de Vivienda'!$C$25,Seguros_Oblig!$A$3:$D$55,4,FALSE))))</f>
        <v>#VALUE!</v>
      </c>
      <c r="H65" s="8" t="e">
        <f>IF('Crédito de Vivienda'!$C$10="TARIFA 1",(C64*(VLOOKUP('Crédito de Vivienda'!$C$26,Seguros_Oblig!$A$3:$B$55,2,FALSE))),(C64*(VLOOKUP('Crédito de Vivienda'!$C$26,Seguros_Oblig!$A$3:$D$55,4,FALSE))))</f>
        <v>#VALUE!</v>
      </c>
      <c r="I65" s="8" t="e">
        <f>IF('Crédito de Vivienda'!$C$10="TARIFA 1",(C64*(VLOOKUP('Crédito de Vivienda'!$C$27,Seguros_Oblig!$A$3:$B$55,2,FALSE))),(C64*(VLOOKUP('Crédito de Vivienda'!$C$27,Seguros_Oblig!$A$3:$D$55,4,FALSE))))</f>
        <v>#VALUE!</v>
      </c>
      <c r="J65" s="10">
        <f t="shared" si="2"/>
        <v>0</v>
      </c>
      <c r="K65" s="7" t="e">
        <f>IF(C64&lt;1,"0",Seguros_Oblig!$K$2*('Crédito de Vivienda'!$C$12*90%))</f>
        <v>#VALUE!</v>
      </c>
      <c r="L65" s="7" t="e">
        <f>PMT('Crédito de Vivienda'!$E$17,'Crédito de Vivienda'!$C$18,-'Crédito de Vivienda'!$C$15,,)</f>
        <v>#VALUE!</v>
      </c>
      <c r="M65" s="9" t="e">
        <f t="shared" si="3"/>
        <v>#VALUE!</v>
      </c>
      <c r="N65" s="7" t="e">
        <f>IF(C64&lt;1,"0",'Crédito de Vivienda'!$C$40)</f>
        <v>#VALUE!</v>
      </c>
      <c r="O65" s="9" t="e">
        <f t="shared" si="4"/>
        <v>#VALUE!</v>
      </c>
    </row>
    <row r="66" spans="2:15" ht="15.5" x14ac:dyDescent="0.35">
      <c r="B66" s="6" t="e">
        <f t="shared" si="5"/>
        <v>#VALUE!</v>
      </c>
      <c r="C66" s="7" t="e">
        <f t="shared" si="0"/>
        <v>#VALUE!</v>
      </c>
      <c r="D66" s="7" t="e">
        <f t="shared" si="6"/>
        <v>#VALUE!</v>
      </c>
      <c r="E66" s="7" t="e">
        <f>C65*'Crédito de Vivienda'!$E$17</f>
        <v>#VALUE!</v>
      </c>
      <c r="F66" s="282" t="e">
        <f>IF(C65&lt;1,"0",IF('Crédito de Vivienda'!$D$28="Si",($C$17*(VLOOKUP('Crédito de Vivienda'!$C$24,Seguros_Oblig!$A$3:$F$55,6,FALSE))),IF('Crédito de Vivienda'!$C$10="TARIFA 1",(C65*(VLOOKUP('Crédito de Vivienda'!$C$24,Seguros_Oblig!$A$3:$B$55,2,FALSE))),(C65*(VLOOKUP('Crédito de Vivienda'!$C$24,Seguros_Oblig!$A$3:$D$55,4,FALSE))))))</f>
        <v>#VALUE!</v>
      </c>
      <c r="G66" s="8" t="e">
        <f>IF('Crédito de Vivienda'!$C$10="TARIFA 1",(C65*(VLOOKUP('Crédito de Vivienda'!$C$25,Seguros_Oblig!$A$3:$B$55,2,FALSE))),(C65*(VLOOKUP('Crédito de Vivienda'!$C$25,Seguros_Oblig!$A$3:$D$55,4,FALSE))))</f>
        <v>#VALUE!</v>
      </c>
      <c r="H66" s="8" t="e">
        <f>IF('Crédito de Vivienda'!$C$10="TARIFA 1",(C65*(VLOOKUP('Crédito de Vivienda'!$C$26,Seguros_Oblig!$A$3:$B$55,2,FALSE))),(C65*(VLOOKUP('Crédito de Vivienda'!$C$26,Seguros_Oblig!$A$3:$D$55,4,FALSE))))</f>
        <v>#VALUE!</v>
      </c>
      <c r="I66" s="8" t="e">
        <f>IF('Crédito de Vivienda'!$C$10="TARIFA 1",(C65*(VLOOKUP('Crédito de Vivienda'!$C$27,Seguros_Oblig!$A$3:$B$55,2,FALSE))),(C65*(VLOOKUP('Crédito de Vivienda'!$C$27,Seguros_Oblig!$A$3:$D$55,4,FALSE))))</f>
        <v>#VALUE!</v>
      </c>
      <c r="J66" s="10">
        <f t="shared" si="2"/>
        <v>0</v>
      </c>
      <c r="K66" s="7" t="e">
        <f>IF(C65&lt;1,"0",Seguros_Oblig!$K$2*('Crédito de Vivienda'!$C$12*90%))</f>
        <v>#VALUE!</v>
      </c>
      <c r="L66" s="7" t="e">
        <f>PMT('Crédito de Vivienda'!$E$17,'Crédito de Vivienda'!$C$18,-'Crédito de Vivienda'!$C$15,,)</f>
        <v>#VALUE!</v>
      </c>
      <c r="M66" s="9" t="e">
        <f t="shared" si="3"/>
        <v>#VALUE!</v>
      </c>
      <c r="N66" s="7" t="e">
        <f>IF(C65&lt;1,"0",'Crédito de Vivienda'!$C$40)</f>
        <v>#VALUE!</v>
      </c>
      <c r="O66" s="9" t="e">
        <f t="shared" si="4"/>
        <v>#VALUE!</v>
      </c>
    </row>
    <row r="67" spans="2:15" ht="15.5" x14ac:dyDescent="0.35">
      <c r="B67" s="6" t="e">
        <f t="shared" si="5"/>
        <v>#VALUE!</v>
      </c>
      <c r="C67" s="7" t="e">
        <f t="shared" si="0"/>
        <v>#VALUE!</v>
      </c>
      <c r="D67" s="7" t="e">
        <f t="shared" si="6"/>
        <v>#VALUE!</v>
      </c>
      <c r="E67" s="7" t="e">
        <f>C66*'Crédito de Vivienda'!$E$17</f>
        <v>#VALUE!</v>
      </c>
      <c r="F67" s="282" t="e">
        <f>IF(C66&lt;1,"0",IF('Crédito de Vivienda'!$D$28="Si",($C$17*(VLOOKUP('Crédito de Vivienda'!$C$24,Seguros_Oblig!$A$3:$F$55,6,FALSE))),IF('Crédito de Vivienda'!$C$10="TARIFA 1",(C66*(VLOOKUP('Crédito de Vivienda'!$C$24,Seguros_Oblig!$A$3:$B$55,2,FALSE))),(C66*(VLOOKUP('Crédito de Vivienda'!$C$24,Seguros_Oblig!$A$3:$D$55,4,FALSE))))))</f>
        <v>#VALUE!</v>
      </c>
      <c r="G67" s="8" t="e">
        <f>IF('Crédito de Vivienda'!$C$10="TARIFA 1",(C66*(VLOOKUP('Crédito de Vivienda'!$C$25,Seguros_Oblig!$A$3:$B$55,2,FALSE))),(C66*(VLOOKUP('Crédito de Vivienda'!$C$25,Seguros_Oblig!$A$3:$D$55,4,FALSE))))</f>
        <v>#VALUE!</v>
      </c>
      <c r="H67" s="8" t="e">
        <f>IF('Crédito de Vivienda'!$C$10="TARIFA 1",(C66*(VLOOKUP('Crédito de Vivienda'!$C$26,Seguros_Oblig!$A$3:$B$55,2,FALSE))),(C66*(VLOOKUP('Crédito de Vivienda'!$C$26,Seguros_Oblig!$A$3:$D$55,4,FALSE))))</f>
        <v>#VALUE!</v>
      </c>
      <c r="I67" s="8" t="e">
        <f>IF('Crédito de Vivienda'!$C$10="TARIFA 1",(C66*(VLOOKUP('Crédito de Vivienda'!$C$27,Seguros_Oblig!$A$3:$B$55,2,FALSE))),(C66*(VLOOKUP('Crédito de Vivienda'!$C$27,Seguros_Oblig!$A$3:$D$55,4,FALSE))))</f>
        <v>#VALUE!</v>
      </c>
      <c r="J67" s="10">
        <f t="shared" si="2"/>
        <v>0</v>
      </c>
      <c r="K67" s="7" t="e">
        <f>IF(C66&lt;1,"0",Seguros_Oblig!$K$2*('Crédito de Vivienda'!$C$12*90%))</f>
        <v>#VALUE!</v>
      </c>
      <c r="L67" s="7" t="e">
        <f>PMT('Crédito de Vivienda'!$E$17,'Crédito de Vivienda'!$C$18,-'Crédito de Vivienda'!$C$15,,)</f>
        <v>#VALUE!</v>
      </c>
      <c r="M67" s="9" t="e">
        <f t="shared" si="3"/>
        <v>#VALUE!</v>
      </c>
      <c r="N67" s="7" t="e">
        <f>IF(C66&lt;1,"0",'Crédito de Vivienda'!$C$40)</f>
        <v>#VALUE!</v>
      </c>
      <c r="O67" s="9" t="e">
        <f t="shared" si="4"/>
        <v>#VALUE!</v>
      </c>
    </row>
    <row r="68" spans="2:15" ht="15.5" x14ac:dyDescent="0.35">
      <c r="B68" s="6" t="e">
        <f t="shared" si="5"/>
        <v>#VALUE!</v>
      </c>
      <c r="C68" s="7" t="e">
        <f t="shared" si="0"/>
        <v>#VALUE!</v>
      </c>
      <c r="D68" s="7" t="e">
        <f t="shared" si="6"/>
        <v>#VALUE!</v>
      </c>
      <c r="E68" s="7" t="e">
        <f>C67*'Crédito de Vivienda'!$E$17</f>
        <v>#VALUE!</v>
      </c>
      <c r="F68" s="282" t="e">
        <f>IF(C67&lt;1,"0",IF('Crédito de Vivienda'!$D$28="Si",($C$17*(VLOOKUP('Crédito de Vivienda'!$C$24,Seguros_Oblig!$A$3:$F$55,6,FALSE))),IF('Crédito de Vivienda'!$C$10="TARIFA 1",(C67*(VLOOKUP('Crédito de Vivienda'!$C$24,Seguros_Oblig!$A$3:$B$55,2,FALSE))),(C67*(VLOOKUP('Crédito de Vivienda'!$C$24,Seguros_Oblig!$A$3:$D$55,4,FALSE))))))</f>
        <v>#VALUE!</v>
      </c>
      <c r="G68" s="8" t="e">
        <f>IF('Crédito de Vivienda'!$C$10="TARIFA 1",(C67*(VLOOKUP('Crédito de Vivienda'!$C$25,Seguros_Oblig!$A$3:$B$55,2,FALSE))),(C67*(VLOOKUP('Crédito de Vivienda'!$C$25,Seguros_Oblig!$A$3:$D$55,4,FALSE))))</f>
        <v>#VALUE!</v>
      </c>
      <c r="H68" s="8" t="e">
        <f>IF('Crédito de Vivienda'!$C$10="TARIFA 1",(C67*(VLOOKUP('Crédito de Vivienda'!$C$26,Seguros_Oblig!$A$3:$B$55,2,FALSE))),(C67*(VLOOKUP('Crédito de Vivienda'!$C$26,Seguros_Oblig!$A$3:$D$55,4,FALSE))))</f>
        <v>#VALUE!</v>
      </c>
      <c r="I68" s="8" t="e">
        <f>IF('Crédito de Vivienda'!$C$10="TARIFA 1",(C67*(VLOOKUP('Crédito de Vivienda'!$C$27,Seguros_Oblig!$A$3:$B$55,2,FALSE))),(C67*(VLOOKUP('Crédito de Vivienda'!$C$27,Seguros_Oblig!$A$3:$D$55,4,FALSE))))</f>
        <v>#VALUE!</v>
      </c>
      <c r="J68" s="10">
        <f t="shared" si="2"/>
        <v>0</v>
      </c>
      <c r="K68" s="7" t="e">
        <f>IF(C67&lt;1,"0",Seguros_Oblig!$K$2*('Crédito de Vivienda'!$C$12*90%))</f>
        <v>#VALUE!</v>
      </c>
      <c r="L68" s="7" t="e">
        <f>PMT('Crédito de Vivienda'!$E$17,'Crédito de Vivienda'!$C$18,-'Crédito de Vivienda'!$C$15,,)</f>
        <v>#VALUE!</v>
      </c>
      <c r="M68" s="9" t="e">
        <f t="shared" si="3"/>
        <v>#VALUE!</v>
      </c>
      <c r="N68" s="7" t="e">
        <f>IF(C67&lt;1,"0",'Crédito de Vivienda'!$C$40)</f>
        <v>#VALUE!</v>
      </c>
      <c r="O68" s="9" t="e">
        <f t="shared" si="4"/>
        <v>#VALUE!</v>
      </c>
    </row>
    <row r="69" spans="2:15" ht="15.5" x14ac:dyDescent="0.35">
      <c r="B69" s="6" t="e">
        <f t="shared" si="5"/>
        <v>#VALUE!</v>
      </c>
      <c r="C69" s="7" t="e">
        <f t="shared" si="0"/>
        <v>#VALUE!</v>
      </c>
      <c r="D69" s="7" t="e">
        <f t="shared" si="6"/>
        <v>#VALUE!</v>
      </c>
      <c r="E69" s="7" t="e">
        <f>C68*'Crédito de Vivienda'!$E$17</f>
        <v>#VALUE!</v>
      </c>
      <c r="F69" s="282" t="e">
        <f>IF(C68&lt;1,"0",IF('Crédito de Vivienda'!$D$28="Si",($C$17*(VLOOKUP('Crédito de Vivienda'!$C$24,Seguros_Oblig!$A$3:$F$55,6,FALSE))),IF('Crédito de Vivienda'!$C$10="TARIFA 1",(C68*(VLOOKUP('Crédito de Vivienda'!$C$24,Seguros_Oblig!$A$3:$B$55,2,FALSE))),(C68*(VLOOKUP('Crédito de Vivienda'!$C$24,Seguros_Oblig!$A$3:$D$55,4,FALSE))))))</f>
        <v>#VALUE!</v>
      </c>
      <c r="G69" s="8" t="e">
        <f>IF('Crédito de Vivienda'!$C$10="TARIFA 1",(C68*(VLOOKUP('Crédito de Vivienda'!$C$25,Seguros_Oblig!$A$3:$B$55,2,FALSE))),(C68*(VLOOKUP('Crédito de Vivienda'!$C$25,Seguros_Oblig!$A$3:$D$55,4,FALSE))))</f>
        <v>#VALUE!</v>
      </c>
      <c r="H69" s="8" t="e">
        <f>IF('Crédito de Vivienda'!$C$10="TARIFA 1",(C68*(VLOOKUP('Crédito de Vivienda'!$C$26,Seguros_Oblig!$A$3:$B$55,2,FALSE))),(C68*(VLOOKUP('Crédito de Vivienda'!$C$26,Seguros_Oblig!$A$3:$D$55,4,FALSE))))</f>
        <v>#VALUE!</v>
      </c>
      <c r="I69" s="8" t="e">
        <f>IF('Crédito de Vivienda'!$C$10="TARIFA 1",(C68*(VLOOKUP('Crédito de Vivienda'!$C$27,Seguros_Oblig!$A$3:$B$55,2,FALSE))),(C68*(VLOOKUP('Crédito de Vivienda'!$C$27,Seguros_Oblig!$A$3:$D$55,4,FALSE))))</f>
        <v>#VALUE!</v>
      </c>
      <c r="J69" s="10">
        <f t="shared" si="2"/>
        <v>0</v>
      </c>
      <c r="K69" s="7" t="e">
        <f>IF(C68&lt;1,"0",Seguros_Oblig!$K$2*('Crédito de Vivienda'!$C$12*90%))</f>
        <v>#VALUE!</v>
      </c>
      <c r="L69" s="7" t="e">
        <f>PMT('Crédito de Vivienda'!$E$17,'Crédito de Vivienda'!$C$18,-'Crédito de Vivienda'!$C$15,,)</f>
        <v>#VALUE!</v>
      </c>
      <c r="M69" s="9" t="e">
        <f t="shared" si="3"/>
        <v>#VALUE!</v>
      </c>
      <c r="N69" s="7" t="e">
        <f>IF(C68&lt;1,"0",'Crédito de Vivienda'!$C$40)</f>
        <v>#VALUE!</v>
      </c>
      <c r="O69" s="9" t="e">
        <f t="shared" si="4"/>
        <v>#VALUE!</v>
      </c>
    </row>
    <row r="70" spans="2:15" ht="15.5" x14ac:dyDescent="0.35">
      <c r="B70" s="6" t="e">
        <f t="shared" si="5"/>
        <v>#VALUE!</v>
      </c>
      <c r="C70" s="7" t="e">
        <f t="shared" si="0"/>
        <v>#VALUE!</v>
      </c>
      <c r="D70" s="7" t="e">
        <f t="shared" si="6"/>
        <v>#VALUE!</v>
      </c>
      <c r="E70" s="7" t="e">
        <f>C69*'Crédito de Vivienda'!$E$17</f>
        <v>#VALUE!</v>
      </c>
      <c r="F70" s="282" t="e">
        <f>IF(C69&lt;1,"0",IF('Crédito de Vivienda'!$D$28="Si",($C$17*(VLOOKUP('Crédito de Vivienda'!$C$24,Seguros_Oblig!$A$3:$F$55,6,FALSE))),IF('Crédito de Vivienda'!$C$10="TARIFA 1",(C69*(VLOOKUP('Crédito de Vivienda'!$C$24,Seguros_Oblig!$A$3:$B$55,2,FALSE))),(C69*(VLOOKUP('Crédito de Vivienda'!$C$24,Seguros_Oblig!$A$3:$D$55,4,FALSE))))))</f>
        <v>#VALUE!</v>
      </c>
      <c r="G70" s="8" t="e">
        <f>IF('Crédito de Vivienda'!$C$10="TARIFA 1",(C69*(VLOOKUP('Crédito de Vivienda'!$C$25,Seguros_Oblig!$A$3:$B$55,2,FALSE))),(C69*(VLOOKUP('Crédito de Vivienda'!$C$25,Seguros_Oblig!$A$3:$D$55,4,FALSE))))</f>
        <v>#VALUE!</v>
      </c>
      <c r="H70" s="8" t="e">
        <f>IF('Crédito de Vivienda'!$C$10="TARIFA 1",(C69*(VLOOKUP('Crédito de Vivienda'!$C$26,Seguros_Oblig!$A$3:$B$55,2,FALSE))),(C69*(VLOOKUP('Crédito de Vivienda'!$C$26,Seguros_Oblig!$A$3:$D$55,4,FALSE))))</f>
        <v>#VALUE!</v>
      </c>
      <c r="I70" s="8" t="e">
        <f>IF('Crédito de Vivienda'!$C$10="TARIFA 1",(C69*(VLOOKUP('Crédito de Vivienda'!$C$27,Seguros_Oblig!$A$3:$B$55,2,FALSE))),(C69*(VLOOKUP('Crédito de Vivienda'!$C$27,Seguros_Oblig!$A$3:$D$55,4,FALSE))))</f>
        <v>#VALUE!</v>
      </c>
      <c r="J70" s="10">
        <f t="shared" si="2"/>
        <v>0</v>
      </c>
      <c r="K70" s="7" t="e">
        <f>IF(C69&lt;1,"0",Seguros_Oblig!$K$2*('Crédito de Vivienda'!$C$12*90%))</f>
        <v>#VALUE!</v>
      </c>
      <c r="L70" s="7" t="e">
        <f>PMT('Crédito de Vivienda'!$E$17,'Crédito de Vivienda'!$C$18,-'Crédito de Vivienda'!$C$15,,)</f>
        <v>#VALUE!</v>
      </c>
      <c r="M70" s="9" t="e">
        <f t="shared" si="3"/>
        <v>#VALUE!</v>
      </c>
      <c r="N70" s="7" t="e">
        <f>IF(C69&lt;1,"0",'Crédito de Vivienda'!$C$40)</f>
        <v>#VALUE!</v>
      </c>
      <c r="O70" s="9" t="e">
        <f t="shared" si="4"/>
        <v>#VALUE!</v>
      </c>
    </row>
    <row r="71" spans="2:15" ht="15.5" x14ac:dyDescent="0.35">
      <c r="B71" s="6" t="e">
        <f t="shared" si="5"/>
        <v>#VALUE!</v>
      </c>
      <c r="C71" s="7" t="e">
        <f t="shared" si="0"/>
        <v>#VALUE!</v>
      </c>
      <c r="D71" s="7" t="e">
        <f t="shared" si="6"/>
        <v>#VALUE!</v>
      </c>
      <c r="E71" s="7" t="e">
        <f>C70*'Crédito de Vivienda'!$E$17</f>
        <v>#VALUE!</v>
      </c>
      <c r="F71" s="282" t="e">
        <f>IF(C70&lt;1,"0",IF('Crédito de Vivienda'!$D$28="Si",($C$17*(VLOOKUP('Crédito de Vivienda'!$C$24,Seguros_Oblig!$A$3:$F$55,6,FALSE))),IF('Crédito de Vivienda'!$C$10="TARIFA 1",(C70*(VLOOKUP('Crédito de Vivienda'!$C$24,Seguros_Oblig!$A$3:$B$55,2,FALSE))),(C70*(VLOOKUP('Crédito de Vivienda'!$C$24,Seguros_Oblig!$A$3:$D$55,4,FALSE))))))</f>
        <v>#VALUE!</v>
      </c>
      <c r="G71" s="8" t="e">
        <f>IF('Crédito de Vivienda'!$C$10="TARIFA 1",(C70*(VLOOKUP('Crédito de Vivienda'!$C$25,Seguros_Oblig!$A$3:$B$55,2,FALSE))),(C70*(VLOOKUP('Crédito de Vivienda'!$C$25,Seguros_Oblig!$A$3:$D$55,4,FALSE))))</f>
        <v>#VALUE!</v>
      </c>
      <c r="H71" s="8" t="e">
        <f>IF('Crédito de Vivienda'!$C$10="TARIFA 1",(C70*(VLOOKUP('Crédito de Vivienda'!$C$26,Seguros_Oblig!$A$3:$B$55,2,FALSE))),(C70*(VLOOKUP('Crédito de Vivienda'!$C$26,Seguros_Oblig!$A$3:$D$55,4,FALSE))))</f>
        <v>#VALUE!</v>
      </c>
      <c r="I71" s="8" t="e">
        <f>IF('Crédito de Vivienda'!$C$10="TARIFA 1",(C70*(VLOOKUP('Crédito de Vivienda'!$C$27,Seguros_Oblig!$A$3:$B$55,2,FALSE))),(C70*(VLOOKUP('Crédito de Vivienda'!$C$27,Seguros_Oblig!$A$3:$D$55,4,FALSE))))</f>
        <v>#VALUE!</v>
      </c>
      <c r="J71" s="10">
        <f t="shared" si="2"/>
        <v>0</v>
      </c>
      <c r="K71" s="7" t="e">
        <f>IF(C70&lt;1,"0",Seguros_Oblig!$K$2*('Crédito de Vivienda'!$C$12*90%))</f>
        <v>#VALUE!</v>
      </c>
      <c r="L71" s="7" t="e">
        <f>PMT('Crédito de Vivienda'!$E$17,'Crédito de Vivienda'!$C$18,-'Crédito de Vivienda'!$C$15,,)</f>
        <v>#VALUE!</v>
      </c>
      <c r="M71" s="9" t="e">
        <f t="shared" si="3"/>
        <v>#VALUE!</v>
      </c>
      <c r="N71" s="7" t="e">
        <f>IF(C70&lt;1,"0",'Crédito de Vivienda'!$C$40)</f>
        <v>#VALUE!</v>
      </c>
      <c r="O71" s="9" t="e">
        <f t="shared" si="4"/>
        <v>#VALUE!</v>
      </c>
    </row>
    <row r="72" spans="2:15" ht="15.5" x14ac:dyDescent="0.35">
      <c r="B72" s="6" t="e">
        <f t="shared" si="5"/>
        <v>#VALUE!</v>
      </c>
      <c r="C72" s="7" t="e">
        <f t="shared" si="0"/>
        <v>#VALUE!</v>
      </c>
      <c r="D72" s="7" t="e">
        <f t="shared" si="6"/>
        <v>#VALUE!</v>
      </c>
      <c r="E72" s="7" t="e">
        <f>C71*'Crédito de Vivienda'!$E$17</f>
        <v>#VALUE!</v>
      </c>
      <c r="F72" s="282" t="e">
        <f>IF(C71&lt;1,"0",IF('Crédito de Vivienda'!$D$28="Si",($C$17*(VLOOKUP('Crédito de Vivienda'!$C$24,Seguros_Oblig!$A$3:$F$55,6,FALSE))),IF('Crédito de Vivienda'!$C$10="TARIFA 1",(C71*(VLOOKUP('Crédito de Vivienda'!$C$24,Seguros_Oblig!$A$3:$B$55,2,FALSE))),(C71*(VLOOKUP('Crédito de Vivienda'!$C$24,Seguros_Oblig!$A$3:$D$55,4,FALSE))))))</f>
        <v>#VALUE!</v>
      </c>
      <c r="G72" s="8" t="e">
        <f>IF('Crédito de Vivienda'!$C$10="TARIFA 1",(C71*(VLOOKUP('Crédito de Vivienda'!$C$25,Seguros_Oblig!$A$3:$B$55,2,FALSE))),(C71*(VLOOKUP('Crédito de Vivienda'!$C$25,Seguros_Oblig!$A$3:$D$55,4,FALSE))))</f>
        <v>#VALUE!</v>
      </c>
      <c r="H72" s="8" t="e">
        <f>IF('Crédito de Vivienda'!$C$10="TARIFA 1",(C71*(VLOOKUP('Crédito de Vivienda'!$C$26,Seguros_Oblig!$A$3:$B$55,2,FALSE))),(C71*(VLOOKUP('Crédito de Vivienda'!$C$26,Seguros_Oblig!$A$3:$D$55,4,FALSE))))</f>
        <v>#VALUE!</v>
      </c>
      <c r="I72" s="8" t="e">
        <f>IF('Crédito de Vivienda'!$C$10="TARIFA 1",(C71*(VLOOKUP('Crédito de Vivienda'!$C$27,Seguros_Oblig!$A$3:$B$55,2,FALSE))),(C71*(VLOOKUP('Crédito de Vivienda'!$C$27,Seguros_Oblig!$A$3:$D$55,4,FALSE))))</f>
        <v>#VALUE!</v>
      </c>
      <c r="J72" s="10">
        <f t="shared" si="2"/>
        <v>0</v>
      </c>
      <c r="K72" s="7" t="e">
        <f>IF(C71&lt;1,"0",Seguros_Oblig!$K$2*('Crédito de Vivienda'!$C$12*90%))</f>
        <v>#VALUE!</v>
      </c>
      <c r="L72" s="7" t="e">
        <f>PMT('Crédito de Vivienda'!$E$17,'Crédito de Vivienda'!$C$18,-'Crédito de Vivienda'!$C$15,,)</f>
        <v>#VALUE!</v>
      </c>
      <c r="M72" s="9" t="e">
        <f t="shared" si="3"/>
        <v>#VALUE!</v>
      </c>
      <c r="N72" s="7" t="e">
        <f>IF(C71&lt;1,"0",'Crédito de Vivienda'!$C$40)</f>
        <v>#VALUE!</v>
      </c>
      <c r="O72" s="9" t="e">
        <f t="shared" si="4"/>
        <v>#VALUE!</v>
      </c>
    </row>
    <row r="73" spans="2:15" ht="15.5" x14ac:dyDescent="0.35">
      <c r="B73" s="6" t="e">
        <f t="shared" si="5"/>
        <v>#VALUE!</v>
      </c>
      <c r="C73" s="7" t="e">
        <f t="shared" si="0"/>
        <v>#VALUE!</v>
      </c>
      <c r="D73" s="7" t="e">
        <f t="shared" si="6"/>
        <v>#VALUE!</v>
      </c>
      <c r="E73" s="7" t="e">
        <f>C72*'Crédito de Vivienda'!$E$17</f>
        <v>#VALUE!</v>
      </c>
      <c r="F73" s="282" t="e">
        <f>IF(C72&lt;1,"0",IF('Crédito de Vivienda'!$D$28="Si",($C$17*(VLOOKUP('Crédito de Vivienda'!$C$24,Seguros_Oblig!$A$3:$F$55,6,FALSE))),IF('Crédito de Vivienda'!$C$10="TARIFA 1",(C72*(VLOOKUP('Crédito de Vivienda'!$C$24,Seguros_Oblig!$A$3:$B$55,2,FALSE))),(C72*(VLOOKUP('Crédito de Vivienda'!$C$24,Seguros_Oblig!$A$3:$D$55,4,FALSE))))))</f>
        <v>#VALUE!</v>
      </c>
      <c r="G73" s="8" t="e">
        <f>IF('Crédito de Vivienda'!$C$10="TARIFA 1",(C72*(VLOOKUP('Crédito de Vivienda'!$C$25,Seguros_Oblig!$A$3:$B$55,2,FALSE))),(C72*(VLOOKUP('Crédito de Vivienda'!$C$25,Seguros_Oblig!$A$3:$D$55,4,FALSE))))</f>
        <v>#VALUE!</v>
      </c>
      <c r="H73" s="8" t="e">
        <f>IF('Crédito de Vivienda'!$C$10="TARIFA 1",(C72*(VLOOKUP('Crédito de Vivienda'!$C$26,Seguros_Oblig!$A$3:$B$55,2,FALSE))),(C72*(VLOOKUP('Crédito de Vivienda'!$C$26,Seguros_Oblig!$A$3:$D$55,4,FALSE))))</f>
        <v>#VALUE!</v>
      </c>
      <c r="I73" s="8" t="e">
        <f>IF('Crédito de Vivienda'!$C$10="TARIFA 1",(C72*(VLOOKUP('Crédito de Vivienda'!$C$27,Seguros_Oblig!$A$3:$B$55,2,FALSE))),(C72*(VLOOKUP('Crédito de Vivienda'!$C$27,Seguros_Oblig!$A$3:$D$55,4,FALSE))))</f>
        <v>#VALUE!</v>
      </c>
      <c r="J73" s="10">
        <f t="shared" si="2"/>
        <v>0</v>
      </c>
      <c r="K73" s="7" t="e">
        <f>IF(C72&lt;1,"0",Seguros_Oblig!$K$2*('Crédito de Vivienda'!$C$12*90%))</f>
        <v>#VALUE!</v>
      </c>
      <c r="L73" s="7" t="e">
        <f>PMT('Crédito de Vivienda'!$E$17,'Crédito de Vivienda'!$C$18,-'Crédito de Vivienda'!$C$15,,)</f>
        <v>#VALUE!</v>
      </c>
      <c r="M73" s="9" t="e">
        <f t="shared" si="3"/>
        <v>#VALUE!</v>
      </c>
      <c r="N73" s="7" t="e">
        <f>IF(C72&lt;1,"0",'Crédito de Vivienda'!$C$40)</f>
        <v>#VALUE!</v>
      </c>
      <c r="O73" s="9" t="e">
        <f t="shared" si="4"/>
        <v>#VALUE!</v>
      </c>
    </row>
    <row r="74" spans="2:15" ht="15.5" x14ac:dyDescent="0.35">
      <c r="B74" s="6" t="e">
        <f t="shared" si="5"/>
        <v>#VALUE!</v>
      </c>
      <c r="C74" s="7" t="e">
        <f t="shared" si="0"/>
        <v>#VALUE!</v>
      </c>
      <c r="D74" s="7" t="e">
        <f t="shared" si="6"/>
        <v>#VALUE!</v>
      </c>
      <c r="E74" s="7" t="e">
        <f>C73*'Crédito de Vivienda'!$E$17</f>
        <v>#VALUE!</v>
      </c>
      <c r="F74" s="282" t="e">
        <f>IF(C73&lt;1,"0",IF('Crédito de Vivienda'!$D$28="Si",($C$17*(VLOOKUP('Crédito de Vivienda'!$C$24,Seguros_Oblig!$A$3:$F$55,6,FALSE))),IF('Crédito de Vivienda'!$C$10="TARIFA 1",(C73*(VLOOKUP('Crédito de Vivienda'!$C$24,Seguros_Oblig!$A$3:$B$55,2,FALSE))),(C73*(VLOOKUP('Crédito de Vivienda'!$C$24,Seguros_Oblig!$A$3:$D$55,4,FALSE))))))</f>
        <v>#VALUE!</v>
      </c>
      <c r="G74" s="8" t="e">
        <f>IF('Crédito de Vivienda'!$C$10="TARIFA 1",(C73*(VLOOKUP('Crédito de Vivienda'!$C$25,Seguros_Oblig!$A$3:$B$55,2,FALSE))),(C73*(VLOOKUP('Crédito de Vivienda'!$C$25,Seguros_Oblig!$A$3:$D$55,4,FALSE))))</f>
        <v>#VALUE!</v>
      </c>
      <c r="H74" s="8" t="e">
        <f>IF('Crédito de Vivienda'!$C$10="TARIFA 1",(C73*(VLOOKUP('Crédito de Vivienda'!$C$26,Seguros_Oblig!$A$3:$B$55,2,FALSE))),(C73*(VLOOKUP('Crédito de Vivienda'!$C$26,Seguros_Oblig!$A$3:$D$55,4,FALSE))))</f>
        <v>#VALUE!</v>
      </c>
      <c r="I74" s="8" t="e">
        <f>IF('Crédito de Vivienda'!$C$10="TARIFA 1",(C73*(VLOOKUP('Crédito de Vivienda'!$C$27,Seguros_Oblig!$A$3:$B$55,2,FALSE))),(C73*(VLOOKUP('Crédito de Vivienda'!$C$27,Seguros_Oblig!$A$3:$D$55,4,FALSE))))</f>
        <v>#VALUE!</v>
      </c>
      <c r="J74" s="10">
        <f t="shared" si="2"/>
        <v>0</v>
      </c>
      <c r="K74" s="7" t="e">
        <f>IF(C73&lt;1,"0",Seguros_Oblig!$K$2*('Crédito de Vivienda'!$C$12*90%))</f>
        <v>#VALUE!</v>
      </c>
      <c r="L74" s="7" t="e">
        <f>PMT('Crédito de Vivienda'!$E$17,'Crédito de Vivienda'!$C$18,-'Crédito de Vivienda'!$C$15,,)</f>
        <v>#VALUE!</v>
      </c>
      <c r="M74" s="9" t="e">
        <f t="shared" si="3"/>
        <v>#VALUE!</v>
      </c>
      <c r="N74" s="7" t="e">
        <f>IF(C73&lt;1,"0",'Crédito de Vivienda'!$C$40)</f>
        <v>#VALUE!</v>
      </c>
      <c r="O74" s="9" t="e">
        <f t="shared" si="4"/>
        <v>#VALUE!</v>
      </c>
    </row>
    <row r="75" spans="2:15" ht="15.5" x14ac:dyDescent="0.35">
      <c r="B75" s="6" t="e">
        <f t="shared" si="5"/>
        <v>#VALUE!</v>
      </c>
      <c r="C75" s="7" t="e">
        <f t="shared" si="0"/>
        <v>#VALUE!</v>
      </c>
      <c r="D75" s="7" t="e">
        <f t="shared" si="6"/>
        <v>#VALUE!</v>
      </c>
      <c r="E75" s="7" t="e">
        <f>C74*'Crédito de Vivienda'!$E$17</f>
        <v>#VALUE!</v>
      </c>
      <c r="F75" s="282" t="e">
        <f>IF(C74&lt;1,"0",IF('Crédito de Vivienda'!$D$28="Si",($C$17*(VLOOKUP('Crédito de Vivienda'!$C$24,Seguros_Oblig!$A$3:$F$55,6,FALSE))),IF('Crédito de Vivienda'!$C$10="TARIFA 1",(C74*(VLOOKUP('Crédito de Vivienda'!$C$24,Seguros_Oblig!$A$3:$B$55,2,FALSE))),(C74*(VLOOKUP('Crédito de Vivienda'!$C$24,Seguros_Oblig!$A$3:$D$55,4,FALSE))))))</f>
        <v>#VALUE!</v>
      </c>
      <c r="G75" s="8" t="e">
        <f>IF('Crédito de Vivienda'!$C$10="TARIFA 1",(C74*(VLOOKUP('Crédito de Vivienda'!$C$25,Seguros_Oblig!$A$3:$B$55,2,FALSE))),(C74*(VLOOKUP('Crédito de Vivienda'!$C$25,Seguros_Oblig!$A$3:$D$55,4,FALSE))))</f>
        <v>#VALUE!</v>
      </c>
      <c r="H75" s="8" t="e">
        <f>IF('Crédito de Vivienda'!$C$10="TARIFA 1",(C74*(VLOOKUP('Crédito de Vivienda'!$C$26,Seguros_Oblig!$A$3:$B$55,2,FALSE))),(C74*(VLOOKUP('Crédito de Vivienda'!$C$26,Seguros_Oblig!$A$3:$D$55,4,FALSE))))</f>
        <v>#VALUE!</v>
      </c>
      <c r="I75" s="8" t="e">
        <f>IF('Crédito de Vivienda'!$C$10="TARIFA 1",(C74*(VLOOKUP('Crédito de Vivienda'!$C$27,Seguros_Oblig!$A$3:$B$55,2,FALSE))),(C74*(VLOOKUP('Crédito de Vivienda'!$C$27,Seguros_Oblig!$A$3:$D$55,4,FALSE))))</f>
        <v>#VALUE!</v>
      </c>
      <c r="J75" s="10">
        <f t="shared" si="2"/>
        <v>0</v>
      </c>
      <c r="K75" s="7" t="e">
        <f>IF(C74&lt;1,"0",Seguros_Oblig!$K$2*('Crédito de Vivienda'!$C$12*90%))</f>
        <v>#VALUE!</v>
      </c>
      <c r="L75" s="7" t="e">
        <f>PMT('Crédito de Vivienda'!$E$17,'Crédito de Vivienda'!$C$18,-'Crédito de Vivienda'!$C$15,,)</f>
        <v>#VALUE!</v>
      </c>
      <c r="M75" s="9" t="e">
        <f t="shared" si="3"/>
        <v>#VALUE!</v>
      </c>
      <c r="N75" s="7" t="e">
        <f>IF(C74&lt;1,"0",'Crédito de Vivienda'!$C$40)</f>
        <v>#VALUE!</v>
      </c>
      <c r="O75" s="9" t="e">
        <f t="shared" si="4"/>
        <v>#VALUE!</v>
      </c>
    </row>
    <row r="76" spans="2:15" ht="15.5" x14ac:dyDescent="0.35">
      <c r="B76" s="6" t="e">
        <f t="shared" si="5"/>
        <v>#VALUE!</v>
      </c>
      <c r="C76" s="7" t="e">
        <f t="shared" si="0"/>
        <v>#VALUE!</v>
      </c>
      <c r="D76" s="7" t="e">
        <f t="shared" si="6"/>
        <v>#VALUE!</v>
      </c>
      <c r="E76" s="7" t="e">
        <f>C75*'Crédito de Vivienda'!$E$17</f>
        <v>#VALUE!</v>
      </c>
      <c r="F76" s="282" t="e">
        <f>IF(C75&lt;1,"0",IF('Crédito de Vivienda'!$D$28="Si",($C$17*(VLOOKUP('Crédito de Vivienda'!$C$24,Seguros_Oblig!$A$3:$F$55,6,FALSE))),IF('Crédito de Vivienda'!$C$10="TARIFA 1",(C75*(VLOOKUP('Crédito de Vivienda'!$C$24,Seguros_Oblig!$A$3:$B$55,2,FALSE))),(C75*(VLOOKUP('Crédito de Vivienda'!$C$24,Seguros_Oblig!$A$3:$D$55,4,FALSE))))))</f>
        <v>#VALUE!</v>
      </c>
      <c r="G76" s="8" t="e">
        <f>IF('Crédito de Vivienda'!$C$10="TARIFA 1",(C75*(VLOOKUP('Crédito de Vivienda'!$C$25,Seguros_Oblig!$A$3:$B$55,2,FALSE))),(C75*(VLOOKUP('Crédito de Vivienda'!$C$25,Seguros_Oblig!$A$3:$D$55,4,FALSE))))</f>
        <v>#VALUE!</v>
      </c>
      <c r="H76" s="8" t="e">
        <f>IF('Crédito de Vivienda'!$C$10="TARIFA 1",(C75*(VLOOKUP('Crédito de Vivienda'!$C$26,Seguros_Oblig!$A$3:$B$55,2,FALSE))),(C75*(VLOOKUP('Crédito de Vivienda'!$C$26,Seguros_Oblig!$A$3:$D$55,4,FALSE))))</f>
        <v>#VALUE!</v>
      </c>
      <c r="I76" s="8" t="e">
        <f>IF('Crédito de Vivienda'!$C$10="TARIFA 1",(C75*(VLOOKUP('Crédito de Vivienda'!$C$27,Seguros_Oblig!$A$3:$B$55,2,FALSE))),(C75*(VLOOKUP('Crédito de Vivienda'!$C$27,Seguros_Oblig!$A$3:$D$55,4,FALSE))))</f>
        <v>#VALUE!</v>
      </c>
      <c r="J76" s="10">
        <f t="shared" si="2"/>
        <v>0</v>
      </c>
      <c r="K76" s="7" t="e">
        <f>IF(C75&lt;1,"0",Seguros_Oblig!$K$2*('Crédito de Vivienda'!$C$12*90%))</f>
        <v>#VALUE!</v>
      </c>
      <c r="L76" s="7" t="e">
        <f>PMT('Crédito de Vivienda'!$E$17,'Crédito de Vivienda'!$C$18,-'Crédito de Vivienda'!$C$15,,)</f>
        <v>#VALUE!</v>
      </c>
      <c r="M76" s="9" t="e">
        <f t="shared" si="3"/>
        <v>#VALUE!</v>
      </c>
      <c r="N76" s="7" t="e">
        <f>IF(C75&lt;1,"0",'Crédito de Vivienda'!$C$40)</f>
        <v>#VALUE!</v>
      </c>
      <c r="O76" s="9" t="e">
        <f t="shared" si="4"/>
        <v>#VALUE!</v>
      </c>
    </row>
    <row r="77" spans="2:15" ht="15.5" x14ac:dyDescent="0.35">
      <c r="B77" s="6" t="e">
        <f t="shared" si="5"/>
        <v>#VALUE!</v>
      </c>
      <c r="C77" s="7" t="e">
        <f t="shared" si="0"/>
        <v>#VALUE!</v>
      </c>
      <c r="D77" s="7" t="e">
        <f t="shared" si="6"/>
        <v>#VALUE!</v>
      </c>
      <c r="E77" s="7" t="e">
        <f>C76*'Crédito de Vivienda'!$E$17</f>
        <v>#VALUE!</v>
      </c>
      <c r="F77" s="282" t="e">
        <f>IF(C76&lt;1,"0",IF('Crédito de Vivienda'!$D$28="Si",($C$17*(VLOOKUP('Crédito de Vivienda'!$C$24,Seguros_Oblig!$A$3:$F$55,6,FALSE))),IF('Crédito de Vivienda'!$C$10="TARIFA 1",(C76*(VLOOKUP('Crédito de Vivienda'!$C$24,Seguros_Oblig!$A$3:$B$55,2,FALSE))),(C76*(VLOOKUP('Crédito de Vivienda'!$C$24,Seguros_Oblig!$A$3:$D$55,4,FALSE))))))</f>
        <v>#VALUE!</v>
      </c>
      <c r="G77" s="8" t="e">
        <f>IF('Crédito de Vivienda'!$C$10="TARIFA 1",(C76*(VLOOKUP('Crédito de Vivienda'!$C$25,Seguros_Oblig!$A$3:$B$55,2,FALSE))),(C76*(VLOOKUP('Crédito de Vivienda'!$C$25,Seguros_Oblig!$A$3:$D$55,4,FALSE))))</f>
        <v>#VALUE!</v>
      </c>
      <c r="H77" s="8" t="e">
        <f>IF('Crédito de Vivienda'!$C$10="TARIFA 1",(C76*(VLOOKUP('Crédito de Vivienda'!$C$26,Seguros_Oblig!$A$3:$B$55,2,FALSE))),(C76*(VLOOKUP('Crédito de Vivienda'!$C$26,Seguros_Oblig!$A$3:$D$55,4,FALSE))))</f>
        <v>#VALUE!</v>
      </c>
      <c r="I77" s="8" t="e">
        <f>IF('Crédito de Vivienda'!$C$10="TARIFA 1",(C76*(VLOOKUP('Crédito de Vivienda'!$C$27,Seguros_Oblig!$A$3:$B$55,2,FALSE))),(C76*(VLOOKUP('Crédito de Vivienda'!$C$27,Seguros_Oblig!$A$3:$D$55,4,FALSE))))</f>
        <v>#VALUE!</v>
      </c>
      <c r="J77" s="10">
        <f t="shared" si="2"/>
        <v>0</v>
      </c>
      <c r="K77" s="7" t="e">
        <f>IF(C76&lt;1,"0",Seguros_Oblig!$K$2*('Crédito de Vivienda'!$C$12*90%))</f>
        <v>#VALUE!</v>
      </c>
      <c r="L77" s="7" t="e">
        <f>IF(B77=" ","0",PMT('Crédito de Vivienda'!$E$17,'Crédito de Vivienda'!$C$18,-'Crédito de Vivienda'!$C$15,,))</f>
        <v>#VALUE!</v>
      </c>
      <c r="M77" s="9" t="e">
        <f t="shared" si="3"/>
        <v>#VALUE!</v>
      </c>
      <c r="N77" s="7" t="e">
        <f>IF(C76&lt;1,"0",'Crédito de Vivienda'!$C$40)</f>
        <v>#VALUE!</v>
      </c>
      <c r="O77" s="9" t="e">
        <f t="shared" si="4"/>
        <v>#VALUE!</v>
      </c>
    </row>
    <row r="78" spans="2:15" ht="15.5" x14ac:dyDescent="0.35">
      <c r="B78" s="6" t="e">
        <f t="shared" si="5"/>
        <v>#VALUE!</v>
      </c>
      <c r="C78" s="7" t="e">
        <f t="shared" si="0"/>
        <v>#VALUE!</v>
      </c>
      <c r="D78" s="7" t="e">
        <f t="shared" si="6"/>
        <v>#VALUE!</v>
      </c>
      <c r="E78" s="7" t="e">
        <f>C77*'Crédito de Vivienda'!$E$17</f>
        <v>#VALUE!</v>
      </c>
      <c r="F78" s="282" t="e">
        <f>IF(C77&lt;1,"0",IF('Crédito de Vivienda'!$D$28="Si",($C$17*(VLOOKUP('Crédito de Vivienda'!$C$24,Seguros_Oblig!$A$3:$F$55,6,FALSE))),IF('Crédito de Vivienda'!$C$10="TARIFA 1",(C77*(VLOOKUP('Crédito de Vivienda'!$C$24,Seguros_Oblig!$A$3:$B$55,2,FALSE))),(C77*(VLOOKUP('Crédito de Vivienda'!$C$24,Seguros_Oblig!$A$3:$D$55,4,FALSE))))))</f>
        <v>#VALUE!</v>
      </c>
      <c r="G78" s="8" t="e">
        <f>IF('Crédito de Vivienda'!$C$10="TARIFA 1",(C77*(VLOOKUP('Crédito de Vivienda'!$C$25,Seguros_Oblig!$A$3:$B$55,2,FALSE))),(C77*(VLOOKUP('Crédito de Vivienda'!$C$25,Seguros_Oblig!$A$3:$D$55,4,FALSE))))</f>
        <v>#VALUE!</v>
      </c>
      <c r="H78" s="8" t="e">
        <f>IF('Crédito de Vivienda'!$C$10="TARIFA 1",(C77*(VLOOKUP('Crédito de Vivienda'!$C$26,Seguros_Oblig!$A$3:$B$55,2,FALSE))),(C77*(VLOOKUP('Crédito de Vivienda'!$C$26,Seguros_Oblig!$A$3:$D$55,4,FALSE))))</f>
        <v>#VALUE!</v>
      </c>
      <c r="I78" s="8" t="e">
        <f>IF('Crédito de Vivienda'!$C$10="TARIFA 1",(C77*(VLOOKUP('Crédito de Vivienda'!$C$27,Seguros_Oblig!$A$3:$B$55,2,FALSE))),(C77*(VLOOKUP('Crédito de Vivienda'!$C$27,Seguros_Oblig!$A$3:$D$55,4,FALSE))))</f>
        <v>#VALUE!</v>
      </c>
      <c r="J78" s="10">
        <f t="shared" si="2"/>
        <v>0</v>
      </c>
      <c r="K78" s="7" t="e">
        <f>IF(C77&lt;1,"0",Seguros_Oblig!$K$2*('Crédito de Vivienda'!$C$12*90%))</f>
        <v>#VALUE!</v>
      </c>
      <c r="L78" s="7" t="e">
        <f>IF(B78=" ","0",PMT('Crédito de Vivienda'!$E$17,'Crédito de Vivienda'!$C$18,-'Crédito de Vivienda'!$C$15,,))</f>
        <v>#VALUE!</v>
      </c>
      <c r="M78" s="9" t="e">
        <f t="shared" si="3"/>
        <v>#VALUE!</v>
      </c>
      <c r="N78" s="7" t="e">
        <f>IF(C77&lt;1,"0",'Crédito de Vivienda'!$C$40)</f>
        <v>#VALUE!</v>
      </c>
      <c r="O78" s="9" t="e">
        <f t="shared" si="4"/>
        <v>#VALUE!</v>
      </c>
    </row>
    <row r="79" spans="2:15" ht="15.5" x14ac:dyDescent="0.35">
      <c r="B79" s="6" t="e">
        <f t="shared" si="5"/>
        <v>#VALUE!</v>
      </c>
      <c r="C79" s="7" t="e">
        <f t="shared" si="0"/>
        <v>#VALUE!</v>
      </c>
      <c r="D79" s="7" t="e">
        <f t="shared" si="6"/>
        <v>#VALUE!</v>
      </c>
      <c r="E79" s="7" t="e">
        <f>C78*'Crédito de Vivienda'!$E$17</f>
        <v>#VALUE!</v>
      </c>
      <c r="F79" s="282" t="e">
        <f>IF(C78&lt;1,"0",IF('Crédito de Vivienda'!$D$28="Si",($C$17*(VLOOKUP('Crédito de Vivienda'!$C$24,Seguros_Oblig!$A$3:$F$55,6,FALSE))),IF('Crédito de Vivienda'!$C$10="TARIFA 1",(C78*(VLOOKUP('Crédito de Vivienda'!$C$24,Seguros_Oblig!$A$3:$B$55,2,FALSE))),(C78*(VLOOKUP('Crédito de Vivienda'!$C$24,Seguros_Oblig!$A$3:$D$55,4,FALSE))))))</f>
        <v>#VALUE!</v>
      </c>
      <c r="G79" s="8" t="e">
        <f>IF('Crédito de Vivienda'!$C$10="TARIFA 1",(C78*(VLOOKUP('Crédito de Vivienda'!$C$25,Seguros_Oblig!$A$3:$B$55,2,FALSE))),(C78*(VLOOKUP('Crédito de Vivienda'!$C$25,Seguros_Oblig!$A$3:$D$55,4,FALSE))))</f>
        <v>#VALUE!</v>
      </c>
      <c r="H79" s="8" t="e">
        <f>IF('Crédito de Vivienda'!$C$10="TARIFA 1",(C78*(VLOOKUP('Crédito de Vivienda'!$C$26,Seguros_Oblig!$A$3:$B$55,2,FALSE))),(C78*(VLOOKUP('Crédito de Vivienda'!$C$26,Seguros_Oblig!$A$3:$D$55,4,FALSE))))</f>
        <v>#VALUE!</v>
      </c>
      <c r="I79" s="8" t="e">
        <f>IF('Crédito de Vivienda'!$C$10="TARIFA 1",(C78*(VLOOKUP('Crédito de Vivienda'!$C$27,Seguros_Oblig!$A$3:$B$55,2,FALSE))),(C78*(VLOOKUP('Crédito de Vivienda'!$C$27,Seguros_Oblig!$A$3:$D$55,4,FALSE))))</f>
        <v>#VALUE!</v>
      </c>
      <c r="J79" s="10">
        <f t="shared" si="2"/>
        <v>0</v>
      </c>
      <c r="K79" s="7" t="e">
        <f>IF(C78&lt;1,"0",Seguros_Oblig!$K$2*('Crédito de Vivienda'!$C$12*90%))</f>
        <v>#VALUE!</v>
      </c>
      <c r="L79" s="7" t="e">
        <f>IF(B79=" ","0",PMT('Crédito de Vivienda'!$E$17,'Crédito de Vivienda'!$C$18,-'Crédito de Vivienda'!$C$15,,))</f>
        <v>#VALUE!</v>
      </c>
      <c r="M79" s="9" t="e">
        <f t="shared" si="3"/>
        <v>#VALUE!</v>
      </c>
      <c r="N79" s="7" t="e">
        <f>IF(C78&lt;1,"0",'Crédito de Vivienda'!$C$40)</f>
        <v>#VALUE!</v>
      </c>
      <c r="O79" s="9" t="e">
        <f t="shared" si="4"/>
        <v>#VALUE!</v>
      </c>
    </row>
    <row r="80" spans="2:15" ht="15.5" x14ac:dyDescent="0.35">
      <c r="B80" s="6" t="e">
        <f t="shared" si="5"/>
        <v>#VALUE!</v>
      </c>
      <c r="C80" s="7" t="e">
        <f t="shared" si="0"/>
        <v>#VALUE!</v>
      </c>
      <c r="D80" s="7" t="e">
        <f t="shared" si="6"/>
        <v>#VALUE!</v>
      </c>
      <c r="E80" s="7" t="e">
        <f>C79*'Crédito de Vivienda'!$E$17</f>
        <v>#VALUE!</v>
      </c>
      <c r="F80" s="282" t="e">
        <f>IF(C79&lt;1,"0",IF('Crédito de Vivienda'!$D$28="Si",($C$17*(VLOOKUP('Crédito de Vivienda'!$C$24,Seguros_Oblig!$A$3:$F$55,6,FALSE))),IF('Crédito de Vivienda'!$C$10="TARIFA 1",(C79*(VLOOKUP('Crédito de Vivienda'!$C$24,Seguros_Oblig!$A$3:$B$55,2,FALSE))),(C79*(VLOOKUP('Crédito de Vivienda'!$C$24,Seguros_Oblig!$A$3:$D$55,4,FALSE))))))</f>
        <v>#VALUE!</v>
      </c>
      <c r="G80" s="8" t="e">
        <f>IF('Crédito de Vivienda'!$C$10="TARIFA 1",(C79*(VLOOKUP('Crédito de Vivienda'!$C$25,Seguros_Oblig!$A$3:$B$55,2,FALSE))),(C79*(VLOOKUP('Crédito de Vivienda'!$C$25,Seguros_Oblig!$A$3:$D$55,4,FALSE))))</f>
        <v>#VALUE!</v>
      </c>
      <c r="H80" s="8" t="e">
        <f>IF('Crédito de Vivienda'!$C$10="TARIFA 1",(C79*(VLOOKUP('Crédito de Vivienda'!$C$26,Seguros_Oblig!$A$3:$B$55,2,FALSE))),(C79*(VLOOKUP('Crédito de Vivienda'!$C$26,Seguros_Oblig!$A$3:$D$55,4,FALSE))))</f>
        <v>#VALUE!</v>
      </c>
      <c r="I80" s="8" t="e">
        <f>IF('Crédito de Vivienda'!$C$10="TARIFA 1",(C79*(VLOOKUP('Crédito de Vivienda'!$C$27,Seguros_Oblig!$A$3:$B$55,2,FALSE))),(C79*(VLOOKUP('Crédito de Vivienda'!$C$27,Seguros_Oblig!$A$3:$D$55,4,FALSE))))</f>
        <v>#VALUE!</v>
      </c>
      <c r="J80" s="10">
        <f t="shared" si="2"/>
        <v>0</v>
      </c>
      <c r="K80" s="7" t="e">
        <f>IF(C79&lt;1,"0",Seguros_Oblig!$K$2*('Crédito de Vivienda'!$C$12*90%))</f>
        <v>#VALUE!</v>
      </c>
      <c r="L80" s="7" t="e">
        <f>IF(B80=" ","0",PMT('Crédito de Vivienda'!$E$17,'Crédito de Vivienda'!$C$18,-'Crédito de Vivienda'!$C$15,,))</f>
        <v>#VALUE!</v>
      </c>
      <c r="M80" s="9" t="e">
        <f t="shared" si="3"/>
        <v>#VALUE!</v>
      </c>
      <c r="N80" s="7" t="e">
        <f>IF(C79&lt;1,"0",'Crédito de Vivienda'!$C$40)</f>
        <v>#VALUE!</v>
      </c>
      <c r="O80" s="9" t="e">
        <f t="shared" si="4"/>
        <v>#VALUE!</v>
      </c>
    </row>
    <row r="81" spans="2:15" ht="15.5" x14ac:dyDescent="0.35">
      <c r="B81" s="6" t="e">
        <f t="shared" si="5"/>
        <v>#VALUE!</v>
      </c>
      <c r="C81" s="7" t="e">
        <f t="shared" si="0"/>
        <v>#VALUE!</v>
      </c>
      <c r="D81" s="7" t="e">
        <f t="shared" si="6"/>
        <v>#VALUE!</v>
      </c>
      <c r="E81" s="7" t="e">
        <f>C80*'Crédito de Vivienda'!$E$17</f>
        <v>#VALUE!</v>
      </c>
      <c r="F81" s="282" t="e">
        <f>IF(C80&lt;1,"0",IF('Crédito de Vivienda'!$D$28="Si",($C$17*(VLOOKUP('Crédito de Vivienda'!$C$24,Seguros_Oblig!$A$3:$F$55,6,FALSE))),IF('Crédito de Vivienda'!$C$10="TARIFA 1",(C80*(VLOOKUP('Crédito de Vivienda'!$C$24,Seguros_Oblig!$A$3:$B$55,2,FALSE))),(C80*(VLOOKUP('Crédito de Vivienda'!$C$24,Seguros_Oblig!$A$3:$D$55,4,FALSE))))))</f>
        <v>#VALUE!</v>
      </c>
      <c r="G81" s="8" t="e">
        <f>IF('Crédito de Vivienda'!$C$10="TARIFA 1",(C80*(VLOOKUP('Crédito de Vivienda'!$C$25,Seguros_Oblig!$A$3:$B$55,2,FALSE))),(C80*(VLOOKUP('Crédito de Vivienda'!$C$25,Seguros_Oblig!$A$3:$D$55,4,FALSE))))</f>
        <v>#VALUE!</v>
      </c>
      <c r="H81" s="8" t="e">
        <f>IF('Crédito de Vivienda'!$C$10="TARIFA 1",(C80*(VLOOKUP('Crédito de Vivienda'!$C$26,Seguros_Oblig!$A$3:$B$55,2,FALSE))),(C80*(VLOOKUP('Crédito de Vivienda'!$C$26,Seguros_Oblig!$A$3:$D$55,4,FALSE))))</f>
        <v>#VALUE!</v>
      </c>
      <c r="I81" s="8" t="e">
        <f>IF('Crédito de Vivienda'!$C$10="TARIFA 1",(C80*(VLOOKUP('Crédito de Vivienda'!$C$27,Seguros_Oblig!$A$3:$B$55,2,FALSE))),(C80*(VLOOKUP('Crédito de Vivienda'!$C$27,Seguros_Oblig!$A$3:$D$55,4,FALSE))))</f>
        <v>#VALUE!</v>
      </c>
      <c r="J81" s="10">
        <f t="shared" si="2"/>
        <v>0</v>
      </c>
      <c r="K81" s="7" t="e">
        <f>IF(C80&lt;1,"0",Seguros_Oblig!$K$2*('Crédito de Vivienda'!$C$12*90%))</f>
        <v>#VALUE!</v>
      </c>
      <c r="L81" s="7" t="e">
        <f>IF(B81=" ","0",PMT('Crédito de Vivienda'!$E$17,'Crédito de Vivienda'!$C$18,-'Crédito de Vivienda'!$C$15,,))</f>
        <v>#VALUE!</v>
      </c>
      <c r="M81" s="9" t="e">
        <f t="shared" si="3"/>
        <v>#VALUE!</v>
      </c>
      <c r="N81" s="7" t="e">
        <f>IF(C80&lt;1,"0",'Crédito de Vivienda'!$C$40)</f>
        <v>#VALUE!</v>
      </c>
      <c r="O81" s="9" t="e">
        <f t="shared" si="4"/>
        <v>#VALUE!</v>
      </c>
    </row>
    <row r="82" spans="2:15" ht="15.5" x14ac:dyDescent="0.35">
      <c r="B82" s="6" t="e">
        <f t="shared" si="5"/>
        <v>#VALUE!</v>
      </c>
      <c r="C82" s="7" t="e">
        <f t="shared" si="0"/>
        <v>#VALUE!</v>
      </c>
      <c r="D82" s="7" t="e">
        <f t="shared" si="6"/>
        <v>#VALUE!</v>
      </c>
      <c r="E82" s="7" t="e">
        <f>C81*'Crédito de Vivienda'!$E$17</f>
        <v>#VALUE!</v>
      </c>
      <c r="F82" s="282" t="e">
        <f>IF(C81&lt;1,"0",IF('Crédito de Vivienda'!$D$28="Si",($C$17*(VLOOKUP('Crédito de Vivienda'!$C$24,Seguros_Oblig!$A$3:$F$55,6,FALSE))),IF('Crédito de Vivienda'!$C$10="TARIFA 1",(C81*(VLOOKUP('Crédito de Vivienda'!$C$24,Seguros_Oblig!$A$3:$B$55,2,FALSE))),(C81*(VLOOKUP('Crédito de Vivienda'!$C$24,Seguros_Oblig!$A$3:$D$55,4,FALSE))))))</f>
        <v>#VALUE!</v>
      </c>
      <c r="G82" s="8" t="e">
        <f>IF('Crédito de Vivienda'!$C$10="TARIFA 1",(C81*(VLOOKUP('Crédito de Vivienda'!$C$25,Seguros_Oblig!$A$3:$B$55,2,FALSE))),(C81*(VLOOKUP('Crédito de Vivienda'!$C$25,Seguros_Oblig!$A$3:$D$55,4,FALSE))))</f>
        <v>#VALUE!</v>
      </c>
      <c r="H82" s="8" t="e">
        <f>IF('Crédito de Vivienda'!$C$10="TARIFA 1",(C81*(VLOOKUP('Crédito de Vivienda'!$C$26,Seguros_Oblig!$A$3:$B$55,2,FALSE))),(C81*(VLOOKUP('Crédito de Vivienda'!$C$26,Seguros_Oblig!$A$3:$D$55,4,FALSE))))</f>
        <v>#VALUE!</v>
      </c>
      <c r="I82" s="8" t="e">
        <f>IF('Crédito de Vivienda'!$C$10="TARIFA 1",(C81*(VLOOKUP('Crédito de Vivienda'!$C$27,Seguros_Oblig!$A$3:$B$55,2,FALSE))),(C81*(VLOOKUP('Crédito de Vivienda'!$C$27,Seguros_Oblig!$A$3:$D$55,4,FALSE))))</f>
        <v>#VALUE!</v>
      </c>
      <c r="J82" s="10">
        <f t="shared" si="2"/>
        <v>0</v>
      </c>
      <c r="K82" s="7" t="e">
        <f>IF(C81&lt;1,"0",Seguros_Oblig!$K$2*('Crédito de Vivienda'!$C$12*90%))</f>
        <v>#VALUE!</v>
      </c>
      <c r="L82" s="7" t="e">
        <f>IF(B82=" ","0",PMT('Crédito de Vivienda'!$E$17,'Crédito de Vivienda'!$C$18,-'Crédito de Vivienda'!$C$15,,))</f>
        <v>#VALUE!</v>
      </c>
      <c r="M82" s="9" t="e">
        <f t="shared" si="3"/>
        <v>#VALUE!</v>
      </c>
      <c r="N82" s="7" t="e">
        <f>IF(C81&lt;1,"0",'Crédito de Vivienda'!$C$40)</f>
        <v>#VALUE!</v>
      </c>
      <c r="O82" s="9" t="e">
        <f t="shared" si="4"/>
        <v>#VALUE!</v>
      </c>
    </row>
    <row r="83" spans="2:15" ht="15.5" x14ac:dyDescent="0.35">
      <c r="B83" s="6" t="e">
        <f t="shared" ref="B83:B146" si="7">IF(C82&gt;1,B82+1," ")</f>
        <v>#VALUE!</v>
      </c>
      <c r="C83" s="7" t="e">
        <f t="shared" ref="C83:C146" si="8">C82-D83</f>
        <v>#VALUE!</v>
      </c>
      <c r="D83" s="7" t="e">
        <f t="shared" si="6"/>
        <v>#VALUE!</v>
      </c>
      <c r="E83" s="7" t="e">
        <f>C82*'Crédito de Vivienda'!$E$17</f>
        <v>#VALUE!</v>
      </c>
      <c r="F83" s="282" t="e">
        <f>IF(C82&lt;1,"0",IF('Crédito de Vivienda'!$D$28="Si",($C$17*(VLOOKUP('Crédito de Vivienda'!$C$24,Seguros_Oblig!$A$3:$F$55,6,FALSE))),IF('Crédito de Vivienda'!$C$10="TARIFA 1",(C82*(VLOOKUP('Crédito de Vivienda'!$C$24,Seguros_Oblig!$A$3:$B$55,2,FALSE))),(C82*(VLOOKUP('Crédito de Vivienda'!$C$24,Seguros_Oblig!$A$3:$D$55,4,FALSE))))))</f>
        <v>#VALUE!</v>
      </c>
      <c r="G83" s="8" t="e">
        <f>IF('Crédito de Vivienda'!$C$10="TARIFA 1",(C82*(VLOOKUP('Crédito de Vivienda'!$C$25,Seguros_Oblig!$A$3:$B$55,2,FALSE))),(C82*(VLOOKUP('Crédito de Vivienda'!$C$25,Seguros_Oblig!$A$3:$D$55,4,FALSE))))</f>
        <v>#VALUE!</v>
      </c>
      <c r="H83" s="8" t="e">
        <f>IF('Crédito de Vivienda'!$C$10="TARIFA 1",(C82*(VLOOKUP('Crédito de Vivienda'!$C$26,Seguros_Oblig!$A$3:$B$55,2,FALSE))),(C82*(VLOOKUP('Crédito de Vivienda'!$C$26,Seguros_Oblig!$A$3:$D$55,4,FALSE))))</f>
        <v>#VALUE!</v>
      </c>
      <c r="I83" s="8" t="e">
        <f>IF('Crédito de Vivienda'!$C$10="TARIFA 1",(C82*(VLOOKUP('Crédito de Vivienda'!$C$27,Seguros_Oblig!$A$3:$B$55,2,FALSE))),(C82*(VLOOKUP('Crédito de Vivienda'!$C$27,Seguros_Oblig!$A$3:$D$55,4,FALSE))))</f>
        <v>#VALUE!</v>
      </c>
      <c r="J83" s="10">
        <f t="shared" ref="J83:J146" si="9">_xlfn.AGGREGATE(9,6,F83:I83)</f>
        <v>0</v>
      </c>
      <c r="K83" s="7" t="e">
        <f>IF(C82&lt;1,"0",Seguros_Oblig!$K$2*('Crédito de Vivienda'!$C$12*90%))</f>
        <v>#VALUE!</v>
      </c>
      <c r="L83" s="7" t="e">
        <f>IF(B83=" ","0",PMT('Crédito de Vivienda'!$E$17,'Crédito de Vivienda'!$C$18,-'Crédito de Vivienda'!$C$15,,))</f>
        <v>#VALUE!</v>
      </c>
      <c r="M83" s="9" t="e">
        <f t="shared" ref="M83:M146" si="10">K83+L83+J83</f>
        <v>#VALUE!</v>
      </c>
      <c r="N83" s="7" t="e">
        <f>IF(C82&lt;1,"0",'Crédito de Vivienda'!$C$40)</f>
        <v>#VALUE!</v>
      </c>
      <c r="O83" s="9" t="e">
        <f t="shared" ref="O83:O146" si="11">M83+N83</f>
        <v>#VALUE!</v>
      </c>
    </row>
    <row r="84" spans="2:15" ht="15.5" x14ac:dyDescent="0.35">
      <c r="B84" s="6" t="e">
        <f t="shared" si="7"/>
        <v>#VALUE!</v>
      </c>
      <c r="C84" s="7" t="e">
        <f t="shared" si="8"/>
        <v>#VALUE!</v>
      </c>
      <c r="D84" s="7" t="e">
        <f t="shared" si="6"/>
        <v>#VALUE!</v>
      </c>
      <c r="E84" s="7" t="e">
        <f>C83*'Crédito de Vivienda'!$E$17</f>
        <v>#VALUE!</v>
      </c>
      <c r="F84" s="282" t="e">
        <f>IF(C83&lt;1,"0",IF('Crédito de Vivienda'!$D$28="Si",($C$17*(VLOOKUP('Crédito de Vivienda'!$C$24,Seguros_Oblig!$A$3:$F$55,6,FALSE))),IF('Crédito de Vivienda'!$C$10="TARIFA 1",(C83*(VLOOKUP('Crédito de Vivienda'!$C$24,Seguros_Oblig!$A$3:$B$55,2,FALSE))),(C83*(VLOOKUP('Crédito de Vivienda'!$C$24,Seguros_Oblig!$A$3:$D$55,4,FALSE))))))</f>
        <v>#VALUE!</v>
      </c>
      <c r="G84" s="8" t="e">
        <f>IF('Crédito de Vivienda'!$C$10="TARIFA 1",(C83*(VLOOKUP('Crédito de Vivienda'!$C$25,Seguros_Oblig!$A$3:$B$55,2,FALSE))),(C83*(VLOOKUP('Crédito de Vivienda'!$C$25,Seguros_Oblig!$A$3:$D$55,4,FALSE))))</f>
        <v>#VALUE!</v>
      </c>
      <c r="H84" s="8" t="e">
        <f>IF('Crédito de Vivienda'!$C$10="TARIFA 1",(C83*(VLOOKUP('Crédito de Vivienda'!$C$26,Seguros_Oblig!$A$3:$B$55,2,FALSE))),(C83*(VLOOKUP('Crédito de Vivienda'!$C$26,Seguros_Oblig!$A$3:$D$55,4,FALSE))))</f>
        <v>#VALUE!</v>
      </c>
      <c r="I84" s="8" t="e">
        <f>IF('Crédito de Vivienda'!$C$10="TARIFA 1",(C83*(VLOOKUP('Crédito de Vivienda'!$C$27,Seguros_Oblig!$A$3:$B$55,2,FALSE))),(C83*(VLOOKUP('Crédito de Vivienda'!$C$27,Seguros_Oblig!$A$3:$D$55,4,FALSE))))</f>
        <v>#VALUE!</v>
      </c>
      <c r="J84" s="10">
        <f t="shared" si="9"/>
        <v>0</v>
      </c>
      <c r="K84" s="7" t="e">
        <f>IF(C83&lt;1,"0",Seguros_Oblig!$K$2*('Crédito de Vivienda'!$C$12*90%))</f>
        <v>#VALUE!</v>
      </c>
      <c r="L84" s="7" t="e">
        <f>IF(B84=" ","0",PMT('Crédito de Vivienda'!$E$17,'Crédito de Vivienda'!$C$18,-'Crédito de Vivienda'!$C$15,,))</f>
        <v>#VALUE!</v>
      </c>
      <c r="M84" s="9" t="e">
        <f t="shared" si="10"/>
        <v>#VALUE!</v>
      </c>
      <c r="N84" s="7" t="e">
        <f>IF(C83&lt;1,"0",'Crédito de Vivienda'!$C$40)</f>
        <v>#VALUE!</v>
      </c>
      <c r="O84" s="9" t="e">
        <f t="shared" si="11"/>
        <v>#VALUE!</v>
      </c>
    </row>
    <row r="85" spans="2:15" ht="15.5" x14ac:dyDescent="0.35">
      <c r="B85" s="6" t="e">
        <f t="shared" si="7"/>
        <v>#VALUE!</v>
      </c>
      <c r="C85" s="7" t="e">
        <f t="shared" si="8"/>
        <v>#VALUE!</v>
      </c>
      <c r="D85" s="7" t="e">
        <f t="shared" si="6"/>
        <v>#VALUE!</v>
      </c>
      <c r="E85" s="7" t="e">
        <f>C84*'Crédito de Vivienda'!$E$17</f>
        <v>#VALUE!</v>
      </c>
      <c r="F85" s="282" t="e">
        <f>IF(C84&lt;1,"0",IF('Crédito de Vivienda'!$D$28="Si",($C$17*(VLOOKUP('Crédito de Vivienda'!$C$24,Seguros_Oblig!$A$3:$F$55,6,FALSE))),IF('Crédito de Vivienda'!$C$10="TARIFA 1",(C84*(VLOOKUP('Crédito de Vivienda'!$C$24,Seguros_Oblig!$A$3:$B$55,2,FALSE))),(C84*(VLOOKUP('Crédito de Vivienda'!$C$24,Seguros_Oblig!$A$3:$D$55,4,FALSE))))))</f>
        <v>#VALUE!</v>
      </c>
      <c r="G85" s="8" t="e">
        <f>IF('Crédito de Vivienda'!$C$10="TARIFA 1",(C84*(VLOOKUP('Crédito de Vivienda'!$C$25,Seguros_Oblig!$A$3:$B$55,2,FALSE))),(C84*(VLOOKUP('Crédito de Vivienda'!$C$25,Seguros_Oblig!$A$3:$D$55,4,FALSE))))</f>
        <v>#VALUE!</v>
      </c>
      <c r="H85" s="8" t="e">
        <f>IF('Crédito de Vivienda'!$C$10="TARIFA 1",(C84*(VLOOKUP('Crédito de Vivienda'!$C$26,Seguros_Oblig!$A$3:$B$55,2,FALSE))),(C84*(VLOOKUP('Crédito de Vivienda'!$C$26,Seguros_Oblig!$A$3:$D$55,4,FALSE))))</f>
        <v>#VALUE!</v>
      </c>
      <c r="I85" s="8" t="e">
        <f>IF('Crédito de Vivienda'!$C$10="TARIFA 1",(C84*(VLOOKUP('Crédito de Vivienda'!$C$27,Seguros_Oblig!$A$3:$B$55,2,FALSE))),(C84*(VLOOKUP('Crédito de Vivienda'!$C$27,Seguros_Oblig!$A$3:$D$55,4,FALSE))))</f>
        <v>#VALUE!</v>
      </c>
      <c r="J85" s="10">
        <f t="shared" si="9"/>
        <v>0</v>
      </c>
      <c r="K85" s="7" t="e">
        <f>IF(C84&lt;1,"0",Seguros_Oblig!$K$2*('Crédito de Vivienda'!$C$12*90%))</f>
        <v>#VALUE!</v>
      </c>
      <c r="L85" s="7" t="e">
        <f>IF(B85=" ","0",PMT('Crédito de Vivienda'!$E$17,'Crédito de Vivienda'!$C$18,-'Crédito de Vivienda'!$C$15,,))</f>
        <v>#VALUE!</v>
      </c>
      <c r="M85" s="9" t="e">
        <f t="shared" si="10"/>
        <v>#VALUE!</v>
      </c>
      <c r="N85" s="7" t="e">
        <f>IF(C84&lt;1,"0",'Crédito de Vivienda'!$C$40)</f>
        <v>#VALUE!</v>
      </c>
      <c r="O85" s="9" t="e">
        <f t="shared" si="11"/>
        <v>#VALUE!</v>
      </c>
    </row>
    <row r="86" spans="2:15" ht="15.5" x14ac:dyDescent="0.35">
      <c r="B86" s="6" t="e">
        <f t="shared" si="7"/>
        <v>#VALUE!</v>
      </c>
      <c r="C86" s="7" t="e">
        <f t="shared" si="8"/>
        <v>#VALUE!</v>
      </c>
      <c r="D86" s="7" t="e">
        <f t="shared" si="6"/>
        <v>#VALUE!</v>
      </c>
      <c r="E86" s="7" t="e">
        <f>C85*'Crédito de Vivienda'!$E$17</f>
        <v>#VALUE!</v>
      </c>
      <c r="F86" s="282" t="e">
        <f>IF(C85&lt;1,"0",IF('Crédito de Vivienda'!$D$28="Si",($C$17*(VLOOKUP('Crédito de Vivienda'!$C$24,Seguros_Oblig!$A$3:$F$55,6,FALSE))),IF('Crédito de Vivienda'!$C$10="TARIFA 1",(C85*(VLOOKUP('Crédito de Vivienda'!$C$24,Seguros_Oblig!$A$3:$B$55,2,FALSE))),(C85*(VLOOKUP('Crédito de Vivienda'!$C$24,Seguros_Oblig!$A$3:$D$55,4,FALSE))))))</f>
        <v>#VALUE!</v>
      </c>
      <c r="G86" s="8" t="e">
        <f>IF('Crédito de Vivienda'!$C$10="TARIFA 1",(C85*(VLOOKUP('Crédito de Vivienda'!$C$25,Seguros_Oblig!$A$3:$B$55,2,FALSE))),(C85*(VLOOKUP('Crédito de Vivienda'!$C$25,Seguros_Oblig!$A$3:$D$55,4,FALSE))))</f>
        <v>#VALUE!</v>
      </c>
      <c r="H86" s="8" t="e">
        <f>IF('Crédito de Vivienda'!$C$10="TARIFA 1",(C85*(VLOOKUP('Crédito de Vivienda'!$C$26,Seguros_Oblig!$A$3:$B$55,2,FALSE))),(C85*(VLOOKUP('Crédito de Vivienda'!$C$26,Seguros_Oblig!$A$3:$D$55,4,FALSE))))</f>
        <v>#VALUE!</v>
      </c>
      <c r="I86" s="8" t="e">
        <f>IF('Crédito de Vivienda'!$C$10="TARIFA 1",(C85*(VLOOKUP('Crédito de Vivienda'!$C$27,Seguros_Oblig!$A$3:$B$55,2,FALSE))),(C85*(VLOOKUP('Crédito de Vivienda'!$C$27,Seguros_Oblig!$A$3:$D$55,4,FALSE))))</f>
        <v>#VALUE!</v>
      </c>
      <c r="J86" s="10">
        <f t="shared" si="9"/>
        <v>0</v>
      </c>
      <c r="K86" s="7" t="e">
        <f>IF(C85&lt;1,"0",Seguros_Oblig!$K$2*('Crédito de Vivienda'!$C$12*90%))</f>
        <v>#VALUE!</v>
      </c>
      <c r="L86" s="7" t="e">
        <f>IF(B86=" ","0",PMT('Crédito de Vivienda'!$E$17,'Crédito de Vivienda'!$C$18,-'Crédito de Vivienda'!$C$15,,))</f>
        <v>#VALUE!</v>
      </c>
      <c r="M86" s="9" t="e">
        <f t="shared" si="10"/>
        <v>#VALUE!</v>
      </c>
      <c r="N86" s="7" t="e">
        <f>IF(C85&lt;1,"0",'Crédito de Vivienda'!$C$40)</f>
        <v>#VALUE!</v>
      </c>
      <c r="O86" s="9" t="e">
        <f t="shared" si="11"/>
        <v>#VALUE!</v>
      </c>
    </row>
    <row r="87" spans="2:15" ht="15.5" x14ac:dyDescent="0.35">
      <c r="B87" s="6" t="e">
        <f t="shared" si="7"/>
        <v>#VALUE!</v>
      </c>
      <c r="C87" s="7" t="e">
        <f t="shared" si="8"/>
        <v>#VALUE!</v>
      </c>
      <c r="D87" s="7" t="e">
        <f t="shared" si="6"/>
        <v>#VALUE!</v>
      </c>
      <c r="E87" s="7" t="e">
        <f>C86*'Crédito de Vivienda'!$E$17</f>
        <v>#VALUE!</v>
      </c>
      <c r="F87" s="282" t="e">
        <f>IF(C86&lt;1,"0",IF('Crédito de Vivienda'!$D$28="Si",($C$17*(VLOOKUP('Crédito de Vivienda'!$C$24,Seguros_Oblig!$A$3:$F$55,6,FALSE))),IF('Crédito de Vivienda'!$C$10="TARIFA 1",(C86*(VLOOKUP('Crédito de Vivienda'!$C$24,Seguros_Oblig!$A$3:$B$55,2,FALSE))),(C86*(VLOOKUP('Crédito de Vivienda'!$C$24,Seguros_Oblig!$A$3:$D$55,4,FALSE))))))</f>
        <v>#VALUE!</v>
      </c>
      <c r="G87" s="8" t="e">
        <f>IF('Crédito de Vivienda'!$C$10="TARIFA 1",(C86*(VLOOKUP('Crédito de Vivienda'!$C$25,Seguros_Oblig!$A$3:$B$55,2,FALSE))),(C86*(VLOOKUP('Crédito de Vivienda'!$C$25,Seguros_Oblig!$A$3:$D$55,4,FALSE))))</f>
        <v>#VALUE!</v>
      </c>
      <c r="H87" s="8" t="e">
        <f>IF('Crédito de Vivienda'!$C$10="TARIFA 1",(C86*(VLOOKUP('Crédito de Vivienda'!$C$26,Seguros_Oblig!$A$3:$B$55,2,FALSE))),(C86*(VLOOKUP('Crédito de Vivienda'!$C$26,Seguros_Oblig!$A$3:$D$55,4,FALSE))))</f>
        <v>#VALUE!</v>
      </c>
      <c r="I87" s="8" t="e">
        <f>IF('Crédito de Vivienda'!$C$10="TARIFA 1",(C86*(VLOOKUP('Crédito de Vivienda'!$C$27,Seguros_Oblig!$A$3:$B$55,2,FALSE))),(C86*(VLOOKUP('Crédito de Vivienda'!$C$27,Seguros_Oblig!$A$3:$D$55,4,FALSE))))</f>
        <v>#VALUE!</v>
      </c>
      <c r="J87" s="10">
        <f t="shared" si="9"/>
        <v>0</v>
      </c>
      <c r="K87" s="7" t="e">
        <f>IF(C86&lt;1,"0",Seguros_Oblig!$K$2*('Crédito de Vivienda'!$C$12*90%))</f>
        <v>#VALUE!</v>
      </c>
      <c r="L87" s="7" t="e">
        <f>IF(B87=" ","0",PMT('Crédito de Vivienda'!$E$17,'Crédito de Vivienda'!$C$18,-'Crédito de Vivienda'!$C$15,,))</f>
        <v>#VALUE!</v>
      </c>
      <c r="M87" s="9" t="e">
        <f t="shared" si="10"/>
        <v>#VALUE!</v>
      </c>
      <c r="N87" s="7" t="e">
        <f>IF(C86&lt;1,"0",'Crédito de Vivienda'!$C$40)</f>
        <v>#VALUE!</v>
      </c>
      <c r="O87" s="9" t="e">
        <f t="shared" si="11"/>
        <v>#VALUE!</v>
      </c>
    </row>
    <row r="88" spans="2:15" ht="15.5" x14ac:dyDescent="0.35">
      <c r="B88" s="6" t="e">
        <f t="shared" si="7"/>
        <v>#VALUE!</v>
      </c>
      <c r="C88" s="7" t="e">
        <f t="shared" si="8"/>
        <v>#VALUE!</v>
      </c>
      <c r="D88" s="7" t="e">
        <f t="shared" si="6"/>
        <v>#VALUE!</v>
      </c>
      <c r="E88" s="7" t="e">
        <f>C87*'Crédito de Vivienda'!$E$17</f>
        <v>#VALUE!</v>
      </c>
      <c r="F88" s="282" t="e">
        <f>IF(C87&lt;1,"0",IF('Crédito de Vivienda'!$D$28="Si",($C$17*(VLOOKUP('Crédito de Vivienda'!$C$24,Seguros_Oblig!$A$3:$F$55,6,FALSE))),IF('Crédito de Vivienda'!$C$10="TARIFA 1",(C87*(VLOOKUP('Crédito de Vivienda'!$C$24,Seguros_Oblig!$A$3:$B$55,2,FALSE))),(C87*(VLOOKUP('Crédito de Vivienda'!$C$24,Seguros_Oblig!$A$3:$D$55,4,FALSE))))))</f>
        <v>#VALUE!</v>
      </c>
      <c r="G88" s="8" t="e">
        <f>IF('Crédito de Vivienda'!$C$10="TARIFA 1",(C87*(VLOOKUP('Crédito de Vivienda'!$C$25,Seguros_Oblig!$A$3:$B$55,2,FALSE))),(C87*(VLOOKUP('Crédito de Vivienda'!$C$25,Seguros_Oblig!$A$3:$D$55,4,FALSE))))</f>
        <v>#VALUE!</v>
      </c>
      <c r="H88" s="8" t="e">
        <f>IF('Crédito de Vivienda'!$C$10="TARIFA 1",(C87*(VLOOKUP('Crédito de Vivienda'!$C$26,Seguros_Oblig!$A$3:$B$55,2,FALSE))),(C87*(VLOOKUP('Crédito de Vivienda'!$C$26,Seguros_Oblig!$A$3:$D$55,4,FALSE))))</f>
        <v>#VALUE!</v>
      </c>
      <c r="I88" s="8" t="e">
        <f>IF('Crédito de Vivienda'!$C$10="TARIFA 1",(C87*(VLOOKUP('Crédito de Vivienda'!$C$27,Seguros_Oblig!$A$3:$B$55,2,FALSE))),(C87*(VLOOKUP('Crédito de Vivienda'!$C$27,Seguros_Oblig!$A$3:$D$55,4,FALSE))))</f>
        <v>#VALUE!</v>
      </c>
      <c r="J88" s="10">
        <f t="shared" si="9"/>
        <v>0</v>
      </c>
      <c r="K88" s="7" t="e">
        <f>IF(C87&lt;1,"0",Seguros_Oblig!$K$2*('Crédito de Vivienda'!$C$12*90%))</f>
        <v>#VALUE!</v>
      </c>
      <c r="L88" s="7" t="e">
        <f>IF(B88=" ","0",PMT('Crédito de Vivienda'!$E$17,'Crédito de Vivienda'!$C$18,-'Crédito de Vivienda'!$C$15,,))</f>
        <v>#VALUE!</v>
      </c>
      <c r="M88" s="9" t="e">
        <f t="shared" si="10"/>
        <v>#VALUE!</v>
      </c>
      <c r="N88" s="7" t="e">
        <f>IF(C87&lt;1,"0",'Crédito de Vivienda'!$C$40)</f>
        <v>#VALUE!</v>
      </c>
      <c r="O88" s="9" t="e">
        <f t="shared" si="11"/>
        <v>#VALUE!</v>
      </c>
    </row>
    <row r="89" spans="2:15" ht="15.5" x14ac:dyDescent="0.35">
      <c r="B89" s="6" t="e">
        <f t="shared" si="7"/>
        <v>#VALUE!</v>
      </c>
      <c r="C89" s="7" t="e">
        <f t="shared" si="8"/>
        <v>#VALUE!</v>
      </c>
      <c r="D89" s="7" t="e">
        <f t="shared" si="6"/>
        <v>#VALUE!</v>
      </c>
      <c r="E89" s="7" t="e">
        <f>C88*'Crédito de Vivienda'!$E$17</f>
        <v>#VALUE!</v>
      </c>
      <c r="F89" s="282" t="e">
        <f>IF(C88&lt;1,"0",IF('Crédito de Vivienda'!$D$28="Si",($C$17*(VLOOKUP('Crédito de Vivienda'!$C$24,Seguros_Oblig!$A$3:$F$55,6,FALSE))),IF('Crédito de Vivienda'!$C$10="TARIFA 1",(C88*(VLOOKUP('Crédito de Vivienda'!$C$24,Seguros_Oblig!$A$3:$B$55,2,FALSE))),(C88*(VLOOKUP('Crédito de Vivienda'!$C$24,Seguros_Oblig!$A$3:$D$55,4,FALSE))))))</f>
        <v>#VALUE!</v>
      </c>
      <c r="G89" s="8" t="e">
        <f>IF('Crédito de Vivienda'!$C$10="TARIFA 1",(C88*(VLOOKUP('Crédito de Vivienda'!$C$25,Seguros_Oblig!$A$3:$B$55,2,FALSE))),(C88*(VLOOKUP('Crédito de Vivienda'!$C$25,Seguros_Oblig!$A$3:$D$55,4,FALSE))))</f>
        <v>#VALUE!</v>
      </c>
      <c r="H89" s="8" t="e">
        <f>IF('Crédito de Vivienda'!$C$10="TARIFA 1",(C88*(VLOOKUP('Crédito de Vivienda'!$C$26,Seguros_Oblig!$A$3:$B$55,2,FALSE))),(C88*(VLOOKUP('Crédito de Vivienda'!$C$26,Seguros_Oblig!$A$3:$D$55,4,FALSE))))</f>
        <v>#VALUE!</v>
      </c>
      <c r="I89" s="8" t="e">
        <f>IF('Crédito de Vivienda'!$C$10="TARIFA 1",(C88*(VLOOKUP('Crédito de Vivienda'!$C$27,Seguros_Oblig!$A$3:$B$55,2,FALSE))),(C88*(VLOOKUP('Crédito de Vivienda'!$C$27,Seguros_Oblig!$A$3:$D$55,4,FALSE))))</f>
        <v>#VALUE!</v>
      </c>
      <c r="J89" s="10">
        <f t="shared" si="9"/>
        <v>0</v>
      </c>
      <c r="K89" s="7" t="e">
        <f>IF(C88&lt;1,"0",Seguros_Oblig!$K$2*('Crédito de Vivienda'!$C$12*90%))</f>
        <v>#VALUE!</v>
      </c>
      <c r="L89" s="7" t="e">
        <f>IF(B89=" ","0",PMT('Crédito de Vivienda'!$E$17,'Crédito de Vivienda'!$C$18,-'Crédito de Vivienda'!$C$15,,))</f>
        <v>#VALUE!</v>
      </c>
      <c r="M89" s="9" t="e">
        <f t="shared" si="10"/>
        <v>#VALUE!</v>
      </c>
      <c r="N89" s="7" t="e">
        <f>IF(C88&lt;1,"0",'Crédito de Vivienda'!$C$40)</f>
        <v>#VALUE!</v>
      </c>
      <c r="O89" s="9" t="e">
        <f t="shared" si="11"/>
        <v>#VALUE!</v>
      </c>
    </row>
    <row r="90" spans="2:15" ht="15.5" x14ac:dyDescent="0.35">
      <c r="B90" s="6" t="e">
        <f t="shared" si="7"/>
        <v>#VALUE!</v>
      </c>
      <c r="C90" s="7" t="e">
        <f t="shared" si="8"/>
        <v>#VALUE!</v>
      </c>
      <c r="D90" s="7" t="e">
        <f t="shared" si="6"/>
        <v>#VALUE!</v>
      </c>
      <c r="E90" s="7" t="e">
        <f>C89*'Crédito de Vivienda'!$E$17</f>
        <v>#VALUE!</v>
      </c>
      <c r="F90" s="282" t="e">
        <f>IF(C89&lt;1,"0",IF('Crédito de Vivienda'!$D$28="Si",($C$17*(VLOOKUP('Crédito de Vivienda'!$C$24,Seguros_Oblig!$A$3:$F$55,6,FALSE))),IF('Crédito de Vivienda'!$C$10="TARIFA 1",(C89*(VLOOKUP('Crédito de Vivienda'!$C$24,Seguros_Oblig!$A$3:$B$55,2,FALSE))),(C89*(VLOOKUP('Crédito de Vivienda'!$C$24,Seguros_Oblig!$A$3:$D$55,4,FALSE))))))</f>
        <v>#VALUE!</v>
      </c>
      <c r="G90" s="8" t="e">
        <f>IF('Crédito de Vivienda'!$C$10="TARIFA 1",(C89*(VLOOKUP('Crédito de Vivienda'!$C$25,Seguros_Oblig!$A$3:$B$55,2,FALSE))),(C89*(VLOOKUP('Crédito de Vivienda'!$C$25,Seguros_Oblig!$A$3:$D$55,4,FALSE))))</f>
        <v>#VALUE!</v>
      </c>
      <c r="H90" s="8" t="e">
        <f>IF('Crédito de Vivienda'!$C$10="TARIFA 1",(C89*(VLOOKUP('Crédito de Vivienda'!$C$26,Seguros_Oblig!$A$3:$B$55,2,FALSE))),(C89*(VLOOKUP('Crédito de Vivienda'!$C$26,Seguros_Oblig!$A$3:$D$55,4,FALSE))))</f>
        <v>#VALUE!</v>
      </c>
      <c r="I90" s="8" t="e">
        <f>IF('Crédito de Vivienda'!$C$10="TARIFA 1",(C89*(VLOOKUP('Crédito de Vivienda'!$C$27,Seguros_Oblig!$A$3:$B$55,2,FALSE))),(C89*(VLOOKUP('Crédito de Vivienda'!$C$27,Seguros_Oblig!$A$3:$D$55,4,FALSE))))</f>
        <v>#VALUE!</v>
      </c>
      <c r="J90" s="10">
        <f t="shared" si="9"/>
        <v>0</v>
      </c>
      <c r="K90" s="7" t="e">
        <f>IF(C89&lt;1,"0",Seguros_Oblig!$K$2*('Crédito de Vivienda'!$C$12*90%))</f>
        <v>#VALUE!</v>
      </c>
      <c r="L90" s="7" t="e">
        <f>IF(B90=" ","0",PMT('Crédito de Vivienda'!$E$17,'Crédito de Vivienda'!$C$18,-'Crédito de Vivienda'!$C$15,,))</f>
        <v>#VALUE!</v>
      </c>
      <c r="M90" s="9" t="e">
        <f t="shared" si="10"/>
        <v>#VALUE!</v>
      </c>
      <c r="N90" s="7" t="e">
        <f>IF(C89&lt;1,"0",'Crédito de Vivienda'!$C$40)</f>
        <v>#VALUE!</v>
      </c>
      <c r="O90" s="9" t="e">
        <f t="shared" si="11"/>
        <v>#VALUE!</v>
      </c>
    </row>
    <row r="91" spans="2:15" ht="15.5" x14ac:dyDescent="0.35">
      <c r="B91" s="6" t="e">
        <f t="shared" si="7"/>
        <v>#VALUE!</v>
      </c>
      <c r="C91" s="7" t="e">
        <f t="shared" si="8"/>
        <v>#VALUE!</v>
      </c>
      <c r="D91" s="7" t="e">
        <f t="shared" si="6"/>
        <v>#VALUE!</v>
      </c>
      <c r="E91" s="7" t="e">
        <f>C90*'Crédito de Vivienda'!$E$17</f>
        <v>#VALUE!</v>
      </c>
      <c r="F91" s="282" t="e">
        <f>IF(C90&lt;1,"0",IF('Crédito de Vivienda'!$D$28="Si",($C$17*(VLOOKUP('Crédito de Vivienda'!$C$24,Seguros_Oblig!$A$3:$F$55,6,FALSE))),IF('Crédito de Vivienda'!$C$10="TARIFA 1",(C90*(VLOOKUP('Crédito de Vivienda'!$C$24,Seguros_Oblig!$A$3:$B$55,2,FALSE))),(C90*(VLOOKUP('Crédito de Vivienda'!$C$24,Seguros_Oblig!$A$3:$D$55,4,FALSE))))))</f>
        <v>#VALUE!</v>
      </c>
      <c r="G91" s="8" t="e">
        <f>IF('Crédito de Vivienda'!$C$10="TARIFA 1",(C90*(VLOOKUP('Crédito de Vivienda'!$C$25,Seguros_Oblig!$A$3:$B$55,2,FALSE))),(C90*(VLOOKUP('Crédito de Vivienda'!$C$25,Seguros_Oblig!$A$3:$D$55,4,FALSE))))</f>
        <v>#VALUE!</v>
      </c>
      <c r="H91" s="8" t="e">
        <f>IF('Crédito de Vivienda'!$C$10="TARIFA 1",(C90*(VLOOKUP('Crédito de Vivienda'!$C$26,Seguros_Oblig!$A$3:$B$55,2,FALSE))),(C90*(VLOOKUP('Crédito de Vivienda'!$C$26,Seguros_Oblig!$A$3:$D$55,4,FALSE))))</f>
        <v>#VALUE!</v>
      </c>
      <c r="I91" s="8" t="e">
        <f>IF('Crédito de Vivienda'!$C$10="TARIFA 1",(C90*(VLOOKUP('Crédito de Vivienda'!$C$27,Seguros_Oblig!$A$3:$B$55,2,FALSE))),(C90*(VLOOKUP('Crédito de Vivienda'!$C$27,Seguros_Oblig!$A$3:$D$55,4,FALSE))))</f>
        <v>#VALUE!</v>
      </c>
      <c r="J91" s="10">
        <f t="shared" si="9"/>
        <v>0</v>
      </c>
      <c r="K91" s="7" t="e">
        <f>IF(C90&lt;1,"0",Seguros_Oblig!$K$2*('Crédito de Vivienda'!$C$12*90%))</f>
        <v>#VALUE!</v>
      </c>
      <c r="L91" s="7" t="e">
        <f>IF(B91=" ","0",PMT('Crédito de Vivienda'!$E$17,'Crédito de Vivienda'!$C$18,-'Crédito de Vivienda'!$C$15,,))</f>
        <v>#VALUE!</v>
      </c>
      <c r="M91" s="9" t="e">
        <f t="shared" si="10"/>
        <v>#VALUE!</v>
      </c>
      <c r="N91" s="7" t="e">
        <f>IF(C90&lt;1,"0",'Crédito de Vivienda'!$C$40)</f>
        <v>#VALUE!</v>
      </c>
      <c r="O91" s="9" t="e">
        <f t="shared" si="11"/>
        <v>#VALUE!</v>
      </c>
    </row>
    <row r="92" spans="2:15" ht="15.5" x14ac:dyDescent="0.35">
      <c r="B92" s="6" t="e">
        <f t="shared" si="7"/>
        <v>#VALUE!</v>
      </c>
      <c r="C92" s="7" t="e">
        <f t="shared" si="8"/>
        <v>#VALUE!</v>
      </c>
      <c r="D92" s="7" t="e">
        <f t="shared" si="6"/>
        <v>#VALUE!</v>
      </c>
      <c r="E92" s="7" t="e">
        <f>C91*'Crédito de Vivienda'!$E$17</f>
        <v>#VALUE!</v>
      </c>
      <c r="F92" s="282" t="e">
        <f>IF(C91&lt;1,"0",IF('Crédito de Vivienda'!$D$28="Si",($C$17*(VLOOKUP('Crédito de Vivienda'!$C$24,Seguros_Oblig!$A$3:$F$55,6,FALSE))),IF('Crédito de Vivienda'!$C$10="TARIFA 1",(C91*(VLOOKUP('Crédito de Vivienda'!$C$24,Seguros_Oblig!$A$3:$B$55,2,FALSE))),(C91*(VLOOKUP('Crédito de Vivienda'!$C$24,Seguros_Oblig!$A$3:$D$55,4,FALSE))))))</f>
        <v>#VALUE!</v>
      </c>
      <c r="G92" s="8" t="e">
        <f>IF('Crédito de Vivienda'!$C$10="TARIFA 1",(C91*(VLOOKUP('Crédito de Vivienda'!$C$25,Seguros_Oblig!$A$3:$B$55,2,FALSE))),(C91*(VLOOKUP('Crédito de Vivienda'!$C$25,Seguros_Oblig!$A$3:$D$55,4,FALSE))))</f>
        <v>#VALUE!</v>
      </c>
      <c r="H92" s="8" t="e">
        <f>IF('Crédito de Vivienda'!$C$10="TARIFA 1",(C91*(VLOOKUP('Crédito de Vivienda'!$C$26,Seguros_Oblig!$A$3:$B$55,2,FALSE))),(C91*(VLOOKUP('Crédito de Vivienda'!$C$26,Seguros_Oblig!$A$3:$D$55,4,FALSE))))</f>
        <v>#VALUE!</v>
      </c>
      <c r="I92" s="8" t="e">
        <f>IF('Crédito de Vivienda'!$C$10="TARIFA 1",(C91*(VLOOKUP('Crédito de Vivienda'!$C$27,Seguros_Oblig!$A$3:$B$55,2,FALSE))),(C91*(VLOOKUP('Crédito de Vivienda'!$C$27,Seguros_Oblig!$A$3:$D$55,4,FALSE))))</f>
        <v>#VALUE!</v>
      </c>
      <c r="J92" s="10">
        <f t="shared" si="9"/>
        <v>0</v>
      </c>
      <c r="K92" s="7" t="e">
        <f>IF(C91&lt;1,"0",Seguros_Oblig!$K$2*('Crédito de Vivienda'!$C$12*90%))</f>
        <v>#VALUE!</v>
      </c>
      <c r="L92" s="7" t="e">
        <f>IF(B92=" ","0",PMT('Crédito de Vivienda'!$E$17,'Crédito de Vivienda'!$C$18,-'Crédito de Vivienda'!$C$15,,))</f>
        <v>#VALUE!</v>
      </c>
      <c r="M92" s="9" t="e">
        <f t="shared" si="10"/>
        <v>#VALUE!</v>
      </c>
      <c r="N92" s="7" t="e">
        <f>IF(C91&lt;1,"0",'Crédito de Vivienda'!$C$40)</f>
        <v>#VALUE!</v>
      </c>
      <c r="O92" s="9" t="e">
        <f t="shared" si="11"/>
        <v>#VALUE!</v>
      </c>
    </row>
    <row r="93" spans="2:15" ht="15.5" x14ac:dyDescent="0.35">
      <c r="B93" s="6" t="e">
        <f t="shared" si="7"/>
        <v>#VALUE!</v>
      </c>
      <c r="C93" s="7" t="e">
        <f t="shared" si="8"/>
        <v>#VALUE!</v>
      </c>
      <c r="D93" s="7" t="e">
        <f t="shared" si="6"/>
        <v>#VALUE!</v>
      </c>
      <c r="E93" s="7" t="e">
        <f>C92*'Crédito de Vivienda'!$E$17</f>
        <v>#VALUE!</v>
      </c>
      <c r="F93" s="282" t="e">
        <f>IF(C92&lt;1,"0",IF('Crédito de Vivienda'!$D$28="Si",($C$17*(VLOOKUP('Crédito de Vivienda'!$C$24,Seguros_Oblig!$A$3:$F$55,6,FALSE))),IF('Crédito de Vivienda'!$C$10="TARIFA 1",(C92*(VLOOKUP('Crédito de Vivienda'!$C$24,Seguros_Oblig!$A$3:$B$55,2,FALSE))),(C92*(VLOOKUP('Crédito de Vivienda'!$C$24,Seguros_Oblig!$A$3:$D$55,4,FALSE))))))</f>
        <v>#VALUE!</v>
      </c>
      <c r="G93" s="8" t="e">
        <f>IF('Crédito de Vivienda'!$C$10="TARIFA 1",(C92*(VLOOKUP('Crédito de Vivienda'!$C$25,Seguros_Oblig!$A$3:$B$55,2,FALSE))),(C92*(VLOOKUP('Crédito de Vivienda'!$C$25,Seguros_Oblig!$A$3:$D$55,4,FALSE))))</f>
        <v>#VALUE!</v>
      </c>
      <c r="H93" s="8" t="e">
        <f>IF('Crédito de Vivienda'!$C$10="TARIFA 1",(C92*(VLOOKUP('Crédito de Vivienda'!$C$26,Seguros_Oblig!$A$3:$B$55,2,FALSE))),(C92*(VLOOKUP('Crédito de Vivienda'!$C$26,Seguros_Oblig!$A$3:$D$55,4,FALSE))))</f>
        <v>#VALUE!</v>
      </c>
      <c r="I93" s="8" t="e">
        <f>IF('Crédito de Vivienda'!$C$10="TARIFA 1",(C92*(VLOOKUP('Crédito de Vivienda'!$C$27,Seguros_Oblig!$A$3:$B$55,2,FALSE))),(C92*(VLOOKUP('Crédito de Vivienda'!$C$27,Seguros_Oblig!$A$3:$D$55,4,FALSE))))</f>
        <v>#VALUE!</v>
      </c>
      <c r="J93" s="10">
        <f t="shared" si="9"/>
        <v>0</v>
      </c>
      <c r="K93" s="7" t="e">
        <f>IF(C92&lt;1,"0",Seguros_Oblig!$K$2*('Crédito de Vivienda'!$C$12*90%))</f>
        <v>#VALUE!</v>
      </c>
      <c r="L93" s="7" t="e">
        <f>IF(B93=" ","0",PMT('Crédito de Vivienda'!$E$17,'Crédito de Vivienda'!$C$18,-'Crédito de Vivienda'!$C$15,,))</f>
        <v>#VALUE!</v>
      </c>
      <c r="M93" s="9" t="e">
        <f t="shared" si="10"/>
        <v>#VALUE!</v>
      </c>
      <c r="N93" s="7" t="e">
        <f>IF(C92&lt;1,"0",'Crédito de Vivienda'!$C$40)</f>
        <v>#VALUE!</v>
      </c>
      <c r="O93" s="9" t="e">
        <f t="shared" si="11"/>
        <v>#VALUE!</v>
      </c>
    </row>
    <row r="94" spans="2:15" ht="15.5" x14ac:dyDescent="0.35">
      <c r="B94" s="6" t="e">
        <f t="shared" si="7"/>
        <v>#VALUE!</v>
      </c>
      <c r="C94" s="7" t="e">
        <f t="shared" si="8"/>
        <v>#VALUE!</v>
      </c>
      <c r="D94" s="7" t="e">
        <f t="shared" si="6"/>
        <v>#VALUE!</v>
      </c>
      <c r="E94" s="7" t="e">
        <f>C93*'Crédito de Vivienda'!$E$17</f>
        <v>#VALUE!</v>
      </c>
      <c r="F94" s="282" t="e">
        <f>IF(C93&lt;1,"0",IF('Crédito de Vivienda'!$D$28="Si",($C$17*(VLOOKUP('Crédito de Vivienda'!$C$24,Seguros_Oblig!$A$3:$F$55,6,FALSE))),IF('Crédito de Vivienda'!$C$10="TARIFA 1",(C93*(VLOOKUP('Crédito de Vivienda'!$C$24,Seguros_Oblig!$A$3:$B$55,2,FALSE))),(C93*(VLOOKUP('Crédito de Vivienda'!$C$24,Seguros_Oblig!$A$3:$D$55,4,FALSE))))))</f>
        <v>#VALUE!</v>
      </c>
      <c r="G94" s="8" t="e">
        <f>IF('Crédito de Vivienda'!$C$10="TARIFA 1",(C93*(VLOOKUP('Crédito de Vivienda'!$C$25,Seguros_Oblig!$A$3:$B$55,2,FALSE))),(C93*(VLOOKUP('Crédito de Vivienda'!$C$25,Seguros_Oblig!$A$3:$D$55,4,FALSE))))</f>
        <v>#VALUE!</v>
      </c>
      <c r="H94" s="8" t="e">
        <f>IF('Crédito de Vivienda'!$C$10="TARIFA 1",(C93*(VLOOKUP('Crédito de Vivienda'!$C$26,Seguros_Oblig!$A$3:$B$55,2,FALSE))),(C93*(VLOOKUP('Crédito de Vivienda'!$C$26,Seguros_Oblig!$A$3:$D$55,4,FALSE))))</f>
        <v>#VALUE!</v>
      </c>
      <c r="I94" s="8" t="e">
        <f>IF('Crédito de Vivienda'!$C$10="TARIFA 1",(C93*(VLOOKUP('Crédito de Vivienda'!$C$27,Seguros_Oblig!$A$3:$B$55,2,FALSE))),(C93*(VLOOKUP('Crédito de Vivienda'!$C$27,Seguros_Oblig!$A$3:$D$55,4,FALSE))))</f>
        <v>#VALUE!</v>
      </c>
      <c r="J94" s="10">
        <f t="shared" si="9"/>
        <v>0</v>
      </c>
      <c r="K94" s="7" t="e">
        <f>IF(C93&lt;1,"0",Seguros_Oblig!$K$2*('Crédito de Vivienda'!$C$12*90%))</f>
        <v>#VALUE!</v>
      </c>
      <c r="L94" s="7" t="e">
        <f>IF(B94=" ","0",PMT('Crédito de Vivienda'!$E$17,'Crédito de Vivienda'!$C$18,-'Crédito de Vivienda'!$C$15,,))</f>
        <v>#VALUE!</v>
      </c>
      <c r="M94" s="9" t="e">
        <f t="shared" si="10"/>
        <v>#VALUE!</v>
      </c>
      <c r="N94" s="7" t="e">
        <f>IF(C93&lt;1,"0",'Crédito de Vivienda'!$C$40)</f>
        <v>#VALUE!</v>
      </c>
      <c r="O94" s="9" t="e">
        <f t="shared" si="11"/>
        <v>#VALUE!</v>
      </c>
    </row>
    <row r="95" spans="2:15" ht="15.5" x14ac:dyDescent="0.35">
      <c r="B95" s="6" t="e">
        <f t="shared" si="7"/>
        <v>#VALUE!</v>
      </c>
      <c r="C95" s="7" t="e">
        <f t="shared" si="8"/>
        <v>#VALUE!</v>
      </c>
      <c r="D95" s="7" t="e">
        <f t="shared" ref="D95:D158" si="12">IF(C94&lt;1,"0",L95-E95)</f>
        <v>#VALUE!</v>
      </c>
      <c r="E95" s="7" t="e">
        <f>C94*'Crédito de Vivienda'!$E$17</f>
        <v>#VALUE!</v>
      </c>
      <c r="F95" s="282" t="e">
        <f>IF(C94&lt;1,"0",IF('Crédito de Vivienda'!$D$28="Si",($C$17*(VLOOKUP('Crédito de Vivienda'!$C$24,Seguros_Oblig!$A$3:$F$55,6,FALSE))),IF('Crédito de Vivienda'!$C$10="TARIFA 1",(C94*(VLOOKUP('Crédito de Vivienda'!$C$24,Seguros_Oblig!$A$3:$B$55,2,FALSE))),(C94*(VLOOKUP('Crédito de Vivienda'!$C$24,Seguros_Oblig!$A$3:$D$55,4,FALSE))))))</f>
        <v>#VALUE!</v>
      </c>
      <c r="G95" s="8" t="e">
        <f>IF('Crédito de Vivienda'!$C$10="TARIFA 1",(C94*(VLOOKUP('Crédito de Vivienda'!$C$25,Seguros_Oblig!$A$3:$B$55,2,FALSE))),(C94*(VLOOKUP('Crédito de Vivienda'!$C$25,Seguros_Oblig!$A$3:$D$55,4,FALSE))))</f>
        <v>#VALUE!</v>
      </c>
      <c r="H95" s="8" t="e">
        <f>IF('Crédito de Vivienda'!$C$10="TARIFA 1",(C94*(VLOOKUP('Crédito de Vivienda'!$C$26,Seguros_Oblig!$A$3:$B$55,2,FALSE))),(C94*(VLOOKUP('Crédito de Vivienda'!$C$26,Seguros_Oblig!$A$3:$D$55,4,FALSE))))</f>
        <v>#VALUE!</v>
      </c>
      <c r="I95" s="8" t="e">
        <f>IF('Crédito de Vivienda'!$C$10="TARIFA 1",(C94*(VLOOKUP('Crédito de Vivienda'!$C$27,Seguros_Oblig!$A$3:$B$55,2,FALSE))),(C94*(VLOOKUP('Crédito de Vivienda'!$C$27,Seguros_Oblig!$A$3:$D$55,4,FALSE))))</f>
        <v>#VALUE!</v>
      </c>
      <c r="J95" s="10">
        <f t="shared" si="9"/>
        <v>0</v>
      </c>
      <c r="K95" s="7" t="e">
        <f>IF(C94&lt;1,"0",Seguros_Oblig!$K$2*('Crédito de Vivienda'!$C$12*90%))</f>
        <v>#VALUE!</v>
      </c>
      <c r="L95" s="7" t="e">
        <f>IF(B95=" ","0",PMT('Crédito de Vivienda'!$E$17,'Crédito de Vivienda'!$C$18,-'Crédito de Vivienda'!$C$15,,))</f>
        <v>#VALUE!</v>
      </c>
      <c r="M95" s="9" t="e">
        <f t="shared" si="10"/>
        <v>#VALUE!</v>
      </c>
      <c r="N95" s="7" t="e">
        <f>IF(C94&lt;1,"0",'Crédito de Vivienda'!$C$40)</f>
        <v>#VALUE!</v>
      </c>
      <c r="O95" s="9" t="e">
        <f t="shared" si="11"/>
        <v>#VALUE!</v>
      </c>
    </row>
    <row r="96" spans="2:15" ht="15.5" x14ac:dyDescent="0.35">
      <c r="B96" s="6" t="e">
        <f t="shared" si="7"/>
        <v>#VALUE!</v>
      </c>
      <c r="C96" s="7" t="e">
        <f t="shared" si="8"/>
        <v>#VALUE!</v>
      </c>
      <c r="D96" s="7" t="e">
        <f t="shared" si="12"/>
        <v>#VALUE!</v>
      </c>
      <c r="E96" s="7" t="e">
        <f>C95*'Crédito de Vivienda'!$E$17</f>
        <v>#VALUE!</v>
      </c>
      <c r="F96" s="282" t="e">
        <f>IF(C95&lt;1,"0",IF('Crédito de Vivienda'!$D$28="Si",($C$17*(VLOOKUP('Crédito de Vivienda'!$C$24,Seguros_Oblig!$A$3:$F$55,6,FALSE))),IF('Crédito de Vivienda'!$C$10="TARIFA 1",(C95*(VLOOKUP('Crédito de Vivienda'!$C$24,Seguros_Oblig!$A$3:$B$55,2,FALSE))),(C95*(VLOOKUP('Crédito de Vivienda'!$C$24,Seguros_Oblig!$A$3:$D$55,4,FALSE))))))</f>
        <v>#VALUE!</v>
      </c>
      <c r="G96" s="8" t="e">
        <f>IF('Crédito de Vivienda'!$C$10="TARIFA 1",(C95*(VLOOKUP('Crédito de Vivienda'!$C$25,Seguros_Oblig!$A$3:$B$55,2,FALSE))),(C95*(VLOOKUP('Crédito de Vivienda'!$C$25,Seguros_Oblig!$A$3:$D$55,4,FALSE))))</f>
        <v>#VALUE!</v>
      </c>
      <c r="H96" s="8" t="e">
        <f>IF('Crédito de Vivienda'!$C$10="TARIFA 1",(C95*(VLOOKUP('Crédito de Vivienda'!$C$26,Seguros_Oblig!$A$3:$B$55,2,FALSE))),(C95*(VLOOKUP('Crédito de Vivienda'!$C$26,Seguros_Oblig!$A$3:$D$55,4,FALSE))))</f>
        <v>#VALUE!</v>
      </c>
      <c r="I96" s="8" t="e">
        <f>IF('Crédito de Vivienda'!$C$10="TARIFA 1",(C95*(VLOOKUP('Crédito de Vivienda'!$C$27,Seguros_Oblig!$A$3:$B$55,2,FALSE))),(C95*(VLOOKUP('Crédito de Vivienda'!$C$27,Seguros_Oblig!$A$3:$D$55,4,FALSE))))</f>
        <v>#VALUE!</v>
      </c>
      <c r="J96" s="10">
        <f t="shared" si="9"/>
        <v>0</v>
      </c>
      <c r="K96" s="7" t="e">
        <f>IF(C95&lt;1,"0",Seguros_Oblig!$K$2*('Crédito de Vivienda'!$C$12*90%))</f>
        <v>#VALUE!</v>
      </c>
      <c r="L96" s="7" t="e">
        <f>IF(B96=" ","0",PMT('Crédito de Vivienda'!$E$17,'Crédito de Vivienda'!$C$18,-'Crédito de Vivienda'!$C$15,,))</f>
        <v>#VALUE!</v>
      </c>
      <c r="M96" s="9" t="e">
        <f t="shared" si="10"/>
        <v>#VALUE!</v>
      </c>
      <c r="N96" s="7" t="e">
        <f>IF(C95&lt;1,"0",'Crédito de Vivienda'!$C$40)</f>
        <v>#VALUE!</v>
      </c>
      <c r="O96" s="9" t="e">
        <f t="shared" si="11"/>
        <v>#VALUE!</v>
      </c>
    </row>
    <row r="97" spans="2:15" ht="15.5" x14ac:dyDescent="0.35">
      <c r="B97" s="6" t="e">
        <f t="shared" si="7"/>
        <v>#VALUE!</v>
      </c>
      <c r="C97" s="7" t="e">
        <f t="shared" si="8"/>
        <v>#VALUE!</v>
      </c>
      <c r="D97" s="7" t="e">
        <f t="shared" si="12"/>
        <v>#VALUE!</v>
      </c>
      <c r="E97" s="7" t="e">
        <f>C96*'Crédito de Vivienda'!$E$17</f>
        <v>#VALUE!</v>
      </c>
      <c r="F97" s="282" t="e">
        <f>IF(C96&lt;1,"0",IF('Crédito de Vivienda'!$D$28="Si",($C$17*(VLOOKUP('Crédito de Vivienda'!$C$24,Seguros_Oblig!$A$3:$F$55,6,FALSE))),IF('Crédito de Vivienda'!$C$10="TARIFA 1",(C96*(VLOOKUP('Crédito de Vivienda'!$C$24,Seguros_Oblig!$A$3:$B$55,2,FALSE))),(C96*(VLOOKUP('Crédito de Vivienda'!$C$24,Seguros_Oblig!$A$3:$D$55,4,FALSE))))))</f>
        <v>#VALUE!</v>
      </c>
      <c r="G97" s="8" t="e">
        <f>IF('Crédito de Vivienda'!$C$10="TARIFA 1",(C96*(VLOOKUP('Crédito de Vivienda'!$C$25,Seguros_Oblig!$A$3:$B$55,2,FALSE))),(C96*(VLOOKUP('Crédito de Vivienda'!$C$25,Seguros_Oblig!$A$3:$D$55,4,FALSE))))</f>
        <v>#VALUE!</v>
      </c>
      <c r="H97" s="8" t="e">
        <f>IF('Crédito de Vivienda'!$C$10="TARIFA 1",(C96*(VLOOKUP('Crédito de Vivienda'!$C$26,Seguros_Oblig!$A$3:$B$55,2,FALSE))),(C96*(VLOOKUP('Crédito de Vivienda'!$C$26,Seguros_Oblig!$A$3:$D$55,4,FALSE))))</f>
        <v>#VALUE!</v>
      </c>
      <c r="I97" s="8" t="e">
        <f>IF('Crédito de Vivienda'!$C$10="TARIFA 1",(C96*(VLOOKUP('Crédito de Vivienda'!$C$27,Seguros_Oblig!$A$3:$B$55,2,FALSE))),(C96*(VLOOKUP('Crédito de Vivienda'!$C$27,Seguros_Oblig!$A$3:$D$55,4,FALSE))))</f>
        <v>#VALUE!</v>
      </c>
      <c r="J97" s="10">
        <f t="shared" si="9"/>
        <v>0</v>
      </c>
      <c r="K97" s="7" t="e">
        <f>IF(C96&lt;1,"0",Seguros_Oblig!$K$2*('Crédito de Vivienda'!$C$12*90%))</f>
        <v>#VALUE!</v>
      </c>
      <c r="L97" s="7" t="e">
        <f>IF(B97=" ","0",PMT('Crédito de Vivienda'!$E$17,'Crédito de Vivienda'!$C$18,-'Crédito de Vivienda'!$C$15,,))</f>
        <v>#VALUE!</v>
      </c>
      <c r="M97" s="9" t="e">
        <f t="shared" si="10"/>
        <v>#VALUE!</v>
      </c>
      <c r="N97" s="7" t="e">
        <f>IF(C96&lt;1,"0",'Crédito de Vivienda'!$C$40)</f>
        <v>#VALUE!</v>
      </c>
      <c r="O97" s="9" t="e">
        <f t="shared" si="11"/>
        <v>#VALUE!</v>
      </c>
    </row>
    <row r="98" spans="2:15" ht="15.5" x14ac:dyDescent="0.35">
      <c r="B98" s="6" t="e">
        <f t="shared" si="7"/>
        <v>#VALUE!</v>
      </c>
      <c r="C98" s="7" t="e">
        <f t="shared" si="8"/>
        <v>#VALUE!</v>
      </c>
      <c r="D98" s="7" t="e">
        <f t="shared" si="12"/>
        <v>#VALUE!</v>
      </c>
      <c r="E98" s="7" t="e">
        <f>C97*'Crédito de Vivienda'!$E$17</f>
        <v>#VALUE!</v>
      </c>
      <c r="F98" s="282" t="e">
        <f>IF(C97&lt;1,"0",IF('Crédito de Vivienda'!$D$28="Si",($C$17*(VLOOKUP('Crédito de Vivienda'!$C$24,Seguros_Oblig!$A$3:$F$55,6,FALSE))),IF('Crédito de Vivienda'!$C$10="TARIFA 1",(C97*(VLOOKUP('Crédito de Vivienda'!$C$24,Seguros_Oblig!$A$3:$B$55,2,FALSE))),(C97*(VLOOKUP('Crédito de Vivienda'!$C$24,Seguros_Oblig!$A$3:$D$55,4,FALSE))))))</f>
        <v>#VALUE!</v>
      </c>
      <c r="G98" s="8" t="e">
        <f>IF('Crédito de Vivienda'!$C$10="TARIFA 1",(C97*(VLOOKUP('Crédito de Vivienda'!$C$25,Seguros_Oblig!$A$3:$B$55,2,FALSE))),(C97*(VLOOKUP('Crédito de Vivienda'!$C$25,Seguros_Oblig!$A$3:$D$55,4,FALSE))))</f>
        <v>#VALUE!</v>
      </c>
      <c r="H98" s="8" t="e">
        <f>IF('Crédito de Vivienda'!$C$10="TARIFA 1",(C97*(VLOOKUP('Crédito de Vivienda'!$C$26,Seguros_Oblig!$A$3:$B$55,2,FALSE))),(C97*(VLOOKUP('Crédito de Vivienda'!$C$26,Seguros_Oblig!$A$3:$D$55,4,FALSE))))</f>
        <v>#VALUE!</v>
      </c>
      <c r="I98" s="8" t="e">
        <f>IF('Crédito de Vivienda'!$C$10="TARIFA 1",(C97*(VLOOKUP('Crédito de Vivienda'!$C$27,Seguros_Oblig!$A$3:$B$55,2,FALSE))),(C97*(VLOOKUP('Crédito de Vivienda'!$C$27,Seguros_Oblig!$A$3:$D$55,4,FALSE))))</f>
        <v>#VALUE!</v>
      </c>
      <c r="J98" s="10">
        <f t="shared" si="9"/>
        <v>0</v>
      </c>
      <c r="K98" s="7" t="e">
        <f>IF(C97&lt;1,"0",Seguros_Oblig!$K$2*('Crédito de Vivienda'!$C$12*90%))</f>
        <v>#VALUE!</v>
      </c>
      <c r="L98" s="7" t="e">
        <f>IF(B98=" ","0",PMT('Crédito de Vivienda'!$E$17,'Crédito de Vivienda'!$C$18,-'Crédito de Vivienda'!$C$15,,))</f>
        <v>#VALUE!</v>
      </c>
      <c r="M98" s="9" t="e">
        <f t="shared" si="10"/>
        <v>#VALUE!</v>
      </c>
      <c r="N98" s="7" t="e">
        <f>IF(C97&lt;1,"0",'Crédito de Vivienda'!$C$40)</f>
        <v>#VALUE!</v>
      </c>
      <c r="O98" s="9" t="e">
        <f t="shared" si="11"/>
        <v>#VALUE!</v>
      </c>
    </row>
    <row r="99" spans="2:15" ht="15.5" x14ac:dyDescent="0.35">
      <c r="B99" s="6" t="e">
        <f t="shared" si="7"/>
        <v>#VALUE!</v>
      </c>
      <c r="C99" s="7" t="e">
        <f t="shared" si="8"/>
        <v>#VALUE!</v>
      </c>
      <c r="D99" s="7" t="e">
        <f t="shared" si="12"/>
        <v>#VALUE!</v>
      </c>
      <c r="E99" s="7" t="e">
        <f>C98*'Crédito de Vivienda'!$E$17</f>
        <v>#VALUE!</v>
      </c>
      <c r="F99" s="282" t="e">
        <f>IF(C98&lt;1,"0",IF('Crédito de Vivienda'!$D$28="Si",($C$17*(VLOOKUP('Crédito de Vivienda'!$C$24,Seguros_Oblig!$A$3:$F$55,6,FALSE))),IF('Crédito de Vivienda'!$C$10="TARIFA 1",(C98*(VLOOKUP('Crédito de Vivienda'!$C$24,Seguros_Oblig!$A$3:$B$55,2,FALSE))),(C98*(VLOOKUP('Crédito de Vivienda'!$C$24,Seguros_Oblig!$A$3:$D$55,4,FALSE))))))</f>
        <v>#VALUE!</v>
      </c>
      <c r="G99" s="8" t="e">
        <f>IF('Crédito de Vivienda'!$C$10="TARIFA 1",(C98*(VLOOKUP('Crédito de Vivienda'!$C$25,Seguros_Oblig!$A$3:$B$55,2,FALSE))),(C98*(VLOOKUP('Crédito de Vivienda'!$C$25,Seguros_Oblig!$A$3:$D$55,4,FALSE))))</f>
        <v>#VALUE!</v>
      </c>
      <c r="H99" s="8" t="e">
        <f>IF('Crédito de Vivienda'!$C$10="TARIFA 1",(C98*(VLOOKUP('Crédito de Vivienda'!$C$26,Seguros_Oblig!$A$3:$B$55,2,FALSE))),(C98*(VLOOKUP('Crédito de Vivienda'!$C$26,Seguros_Oblig!$A$3:$D$55,4,FALSE))))</f>
        <v>#VALUE!</v>
      </c>
      <c r="I99" s="8" t="e">
        <f>IF('Crédito de Vivienda'!$C$10="TARIFA 1",(C98*(VLOOKUP('Crédito de Vivienda'!$C$27,Seguros_Oblig!$A$3:$B$55,2,FALSE))),(C98*(VLOOKUP('Crédito de Vivienda'!$C$27,Seguros_Oblig!$A$3:$D$55,4,FALSE))))</f>
        <v>#VALUE!</v>
      </c>
      <c r="J99" s="10">
        <f t="shared" si="9"/>
        <v>0</v>
      </c>
      <c r="K99" s="7" t="e">
        <f>IF(C98&lt;1,"0",Seguros_Oblig!$K$2*('Crédito de Vivienda'!$C$12*90%))</f>
        <v>#VALUE!</v>
      </c>
      <c r="L99" s="7" t="e">
        <f>IF(B99=" ","0",PMT('Crédito de Vivienda'!$E$17,'Crédito de Vivienda'!$C$18,-'Crédito de Vivienda'!$C$15,,))</f>
        <v>#VALUE!</v>
      </c>
      <c r="M99" s="9" t="e">
        <f t="shared" si="10"/>
        <v>#VALUE!</v>
      </c>
      <c r="N99" s="7" t="e">
        <f>IF(C98&lt;1,"0",'Crédito de Vivienda'!$C$40)</f>
        <v>#VALUE!</v>
      </c>
      <c r="O99" s="9" t="e">
        <f t="shared" si="11"/>
        <v>#VALUE!</v>
      </c>
    </row>
    <row r="100" spans="2:15" ht="15.5" x14ac:dyDescent="0.35">
      <c r="B100" s="6" t="e">
        <f t="shared" si="7"/>
        <v>#VALUE!</v>
      </c>
      <c r="C100" s="7" t="e">
        <f t="shared" si="8"/>
        <v>#VALUE!</v>
      </c>
      <c r="D100" s="7" t="e">
        <f t="shared" si="12"/>
        <v>#VALUE!</v>
      </c>
      <c r="E100" s="7" t="e">
        <f>C99*'Crédito de Vivienda'!$E$17</f>
        <v>#VALUE!</v>
      </c>
      <c r="F100" s="282" t="e">
        <f>IF(C99&lt;1,"0",IF('Crédito de Vivienda'!$D$28="Si",($C$17*(VLOOKUP('Crédito de Vivienda'!$C$24,Seguros_Oblig!$A$3:$F$55,6,FALSE))),IF('Crédito de Vivienda'!$C$10="TARIFA 1",(C99*(VLOOKUP('Crédito de Vivienda'!$C$24,Seguros_Oblig!$A$3:$B$55,2,FALSE))),(C99*(VLOOKUP('Crédito de Vivienda'!$C$24,Seguros_Oblig!$A$3:$D$55,4,FALSE))))))</f>
        <v>#VALUE!</v>
      </c>
      <c r="G100" s="8" t="e">
        <f>IF('Crédito de Vivienda'!$C$10="TARIFA 1",(C99*(VLOOKUP('Crédito de Vivienda'!$C$25,Seguros_Oblig!$A$3:$B$55,2,FALSE))),(C99*(VLOOKUP('Crédito de Vivienda'!$C$25,Seguros_Oblig!$A$3:$D$55,4,FALSE))))</f>
        <v>#VALUE!</v>
      </c>
      <c r="H100" s="8" t="e">
        <f>IF('Crédito de Vivienda'!$C$10="TARIFA 1",(C99*(VLOOKUP('Crédito de Vivienda'!$C$26,Seguros_Oblig!$A$3:$B$55,2,FALSE))),(C99*(VLOOKUP('Crédito de Vivienda'!$C$26,Seguros_Oblig!$A$3:$D$55,4,FALSE))))</f>
        <v>#VALUE!</v>
      </c>
      <c r="I100" s="8" t="e">
        <f>IF('Crédito de Vivienda'!$C$10="TARIFA 1",(C99*(VLOOKUP('Crédito de Vivienda'!$C$27,Seguros_Oblig!$A$3:$B$55,2,FALSE))),(C99*(VLOOKUP('Crédito de Vivienda'!$C$27,Seguros_Oblig!$A$3:$D$55,4,FALSE))))</f>
        <v>#VALUE!</v>
      </c>
      <c r="J100" s="10">
        <f t="shared" si="9"/>
        <v>0</v>
      </c>
      <c r="K100" s="7" t="e">
        <f>IF(C99&lt;1,"0",Seguros_Oblig!$K$2*('Crédito de Vivienda'!$C$12*90%))</f>
        <v>#VALUE!</v>
      </c>
      <c r="L100" s="7" t="e">
        <f>IF(B100=" ","0",PMT('Crédito de Vivienda'!$E$17,'Crédito de Vivienda'!$C$18,-'Crédito de Vivienda'!$C$15,,))</f>
        <v>#VALUE!</v>
      </c>
      <c r="M100" s="9" t="e">
        <f t="shared" si="10"/>
        <v>#VALUE!</v>
      </c>
      <c r="N100" s="7" t="e">
        <f>IF(C99&lt;1,"0",'Crédito de Vivienda'!$C$40)</f>
        <v>#VALUE!</v>
      </c>
      <c r="O100" s="9" t="e">
        <f t="shared" si="11"/>
        <v>#VALUE!</v>
      </c>
    </row>
    <row r="101" spans="2:15" ht="15.5" x14ac:dyDescent="0.35">
      <c r="B101" s="6" t="e">
        <f t="shared" si="7"/>
        <v>#VALUE!</v>
      </c>
      <c r="C101" s="7" t="e">
        <f t="shared" si="8"/>
        <v>#VALUE!</v>
      </c>
      <c r="D101" s="7" t="e">
        <f t="shared" si="12"/>
        <v>#VALUE!</v>
      </c>
      <c r="E101" s="7" t="e">
        <f>C100*'Crédito de Vivienda'!$E$17</f>
        <v>#VALUE!</v>
      </c>
      <c r="F101" s="282" t="e">
        <f>IF(C100&lt;1,"0",IF('Crédito de Vivienda'!$D$28="Si",($C$17*(VLOOKUP('Crédito de Vivienda'!$C$24,Seguros_Oblig!$A$3:$F$55,6,FALSE))),IF('Crédito de Vivienda'!$C$10="TARIFA 1",(C100*(VLOOKUP('Crédito de Vivienda'!$C$24,Seguros_Oblig!$A$3:$B$55,2,FALSE))),(C100*(VLOOKUP('Crédito de Vivienda'!$C$24,Seguros_Oblig!$A$3:$D$55,4,FALSE))))))</f>
        <v>#VALUE!</v>
      </c>
      <c r="G101" s="8" t="e">
        <f>IF('Crédito de Vivienda'!$C$10="TARIFA 1",(C100*(VLOOKUP('Crédito de Vivienda'!$C$25,Seguros_Oblig!$A$3:$B$55,2,FALSE))),(C100*(VLOOKUP('Crédito de Vivienda'!$C$25,Seguros_Oblig!$A$3:$D$55,4,FALSE))))</f>
        <v>#VALUE!</v>
      </c>
      <c r="H101" s="8" t="e">
        <f>IF('Crédito de Vivienda'!$C$10="TARIFA 1",(C100*(VLOOKUP('Crédito de Vivienda'!$C$26,Seguros_Oblig!$A$3:$B$55,2,FALSE))),(C100*(VLOOKUP('Crédito de Vivienda'!$C$26,Seguros_Oblig!$A$3:$D$55,4,FALSE))))</f>
        <v>#VALUE!</v>
      </c>
      <c r="I101" s="8" t="e">
        <f>IF('Crédito de Vivienda'!$C$10="TARIFA 1",(C100*(VLOOKUP('Crédito de Vivienda'!$C$27,Seguros_Oblig!$A$3:$B$55,2,FALSE))),(C100*(VLOOKUP('Crédito de Vivienda'!$C$27,Seguros_Oblig!$A$3:$D$55,4,FALSE))))</f>
        <v>#VALUE!</v>
      </c>
      <c r="J101" s="10">
        <f t="shared" si="9"/>
        <v>0</v>
      </c>
      <c r="K101" s="7" t="e">
        <f>IF(C100&lt;1,"0",Seguros_Oblig!$K$2*('Crédito de Vivienda'!$C$12*90%))</f>
        <v>#VALUE!</v>
      </c>
      <c r="L101" s="7" t="e">
        <f>IF(B101=" ","0",PMT('Crédito de Vivienda'!$E$17,'Crédito de Vivienda'!$C$18,-'Crédito de Vivienda'!$C$15,,))</f>
        <v>#VALUE!</v>
      </c>
      <c r="M101" s="9" t="e">
        <f t="shared" si="10"/>
        <v>#VALUE!</v>
      </c>
      <c r="N101" s="7" t="e">
        <f>IF(C100&lt;1,"0",'Crédito de Vivienda'!$C$40)</f>
        <v>#VALUE!</v>
      </c>
      <c r="O101" s="9" t="e">
        <f t="shared" si="11"/>
        <v>#VALUE!</v>
      </c>
    </row>
    <row r="102" spans="2:15" ht="15.5" x14ac:dyDescent="0.35">
      <c r="B102" s="6" t="e">
        <f t="shared" si="7"/>
        <v>#VALUE!</v>
      </c>
      <c r="C102" s="7" t="e">
        <f t="shared" si="8"/>
        <v>#VALUE!</v>
      </c>
      <c r="D102" s="7" t="e">
        <f t="shared" si="12"/>
        <v>#VALUE!</v>
      </c>
      <c r="E102" s="7" t="e">
        <f>C101*'Crédito de Vivienda'!$E$17</f>
        <v>#VALUE!</v>
      </c>
      <c r="F102" s="282" t="e">
        <f>IF(C101&lt;1,"0",IF('Crédito de Vivienda'!$D$28="Si",($C$17*(VLOOKUP('Crédito de Vivienda'!$C$24,Seguros_Oblig!$A$3:$F$55,6,FALSE))),IF('Crédito de Vivienda'!$C$10="TARIFA 1",(C101*(VLOOKUP('Crédito de Vivienda'!$C$24,Seguros_Oblig!$A$3:$B$55,2,FALSE))),(C101*(VLOOKUP('Crédito de Vivienda'!$C$24,Seguros_Oblig!$A$3:$D$55,4,FALSE))))))</f>
        <v>#VALUE!</v>
      </c>
      <c r="G102" s="8" t="e">
        <f>IF('Crédito de Vivienda'!$C$10="TARIFA 1",(C101*(VLOOKUP('Crédito de Vivienda'!$C$25,Seguros_Oblig!$A$3:$B$55,2,FALSE))),(C101*(VLOOKUP('Crédito de Vivienda'!$C$25,Seguros_Oblig!$A$3:$D$55,4,FALSE))))</f>
        <v>#VALUE!</v>
      </c>
      <c r="H102" s="8" t="e">
        <f>IF('Crédito de Vivienda'!$C$10="TARIFA 1",(C101*(VLOOKUP('Crédito de Vivienda'!$C$26,Seguros_Oblig!$A$3:$B$55,2,FALSE))),(C101*(VLOOKUP('Crédito de Vivienda'!$C$26,Seguros_Oblig!$A$3:$D$55,4,FALSE))))</f>
        <v>#VALUE!</v>
      </c>
      <c r="I102" s="8" t="e">
        <f>IF('Crédito de Vivienda'!$C$10="TARIFA 1",(C101*(VLOOKUP('Crédito de Vivienda'!$C$27,Seguros_Oblig!$A$3:$B$55,2,FALSE))),(C101*(VLOOKUP('Crédito de Vivienda'!$C$27,Seguros_Oblig!$A$3:$D$55,4,FALSE))))</f>
        <v>#VALUE!</v>
      </c>
      <c r="J102" s="10">
        <f t="shared" si="9"/>
        <v>0</v>
      </c>
      <c r="K102" s="7" t="e">
        <f>IF(C101&lt;1,"0",Seguros_Oblig!$K$2*('Crédito de Vivienda'!$C$12*90%))</f>
        <v>#VALUE!</v>
      </c>
      <c r="L102" s="7" t="e">
        <f>IF(B102=" ","0",PMT('Crédito de Vivienda'!$E$17,'Crédito de Vivienda'!$C$18,-'Crédito de Vivienda'!$C$15,,))</f>
        <v>#VALUE!</v>
      </c>
      <c r="M102" s="9" t="e">
        <f t="shared" si="10"/>
        <v>#VALUE!</v>
      </c>
      <c r="N102" s="7" t="e">
        <f>IF(C101&lt;1,"0",'Crédito de Vivienda'!$C$40)</f>
        <v>#VALUE!</v>
      </c>
      <c r="O102" s="9" t="e">
        <f t="shared" si="11"/>
        <v>#VALUE!</v>
      </c>
    </row>
    <row r="103" spans="2:15" ht="15.5" x14ac:dyDescent="0.35">
      <c r="B103" s="6" t="e">
        <f t="shared" si="7"/>
        <v>#VALUE!</v>
      </c>
      <c r="C103" s="7" t="e">
        <f t="shared" si="8"/>
        <v>#VALUE!</v>
      </c>
      <c r="D103" s="7" t="e">
        <f t="shared" si="12"/>
        <v>#VALUE!</v>
      </c>
      <c r="E103" s="7" t="e">
        <f>C102*'Crédito de Vivienda'!$E$17</f>
        <v>#VALUE!</v>
      </c>
      <c r="F103" s="282" t="e">
        <f>IF(C102&lt;1,"0",IF('Crédito de Vivienda'!$D$28="Si",($C$17*(VLOOKUP('Crédito de Vivienda'!$C$24,Seguros_Oblig!$A$3:$F$55,6,FALSE))),IF('Crédito de Vivienda'!$C$10="TARIFA 1",(C102*(VLOOKUP('Crédito de Vivienda'!$C$24,Seguros_Oblig!$A$3:$B$55,2,FALSE))),(C102*(VLOOKUP('Crédito de Vivienda'!$C$24,Seguros_Oblig!$A$3:$D$55,4,FALSE))))))</f>
        <v>#VALUE!</v>
      </c>
      <c r="G103" s="8" t="e">
        <f>IF('Crédito de Vivienda'!$C$10="TARIFA 1",(C102*(VLOOKUP('Crédito de Vivienda'!$C$25,Seguros_Oblig!$A$3:$B$55,2,FALSE))),(C102*(VLOOKUP('Crédito de Vivienda'!$C$25,Seguros_Oblig!$A$3:$D$55,4,FALSE))))</f>
        <v>#VALUE!</v>
      </c>
      <c r="H103" s="8" t="e">
        <f>IF('Crédito de Vivienda'!$C$10="TARIFA 1",(C102*(VLOOKUP('Crédito de Vivienda'!$C$26,Seguros_Oblig!$A$3:$B$55,2,FALSE))),(C102*(VLOOKUP('Crédito de Vivienda'!$C$26,Seguros_Oblig!$A$3:$D$55,4,FALSE))))</f>
        <v>#VALUE!</v>
      </c>
      <c r="I103" s="8" t="e">
        <f>IF('Crédito de Vivienda'!$C$10="TARIFA 1",(C102*(VLOOKUP('Crédito de Vivienda'!$C$27,Seguros_Oblig!$A$3:$B$55,2,FALSE))),(C102*(VLOOKUP('Crédito de Vivienda'!$C$27,Seguros_Oblig!$A$3:$D$55,4,FALSE))))</f>
        <v>#VALUE!</v>
      </c>
      <c r="J103" s="10">
        <f t="shared" si="9"/>
        <v>0</v>
      </c>
      <c r="K103" s="7" t="e">
        <f>IF(C102&lt;1,"0",Seguros_Oblig!$K$2*('Crédito de Vivienda'!$C$12*90%))</f>
        <v>#VALUE!</v>
      </c>
      <c r="L103" s="7" t="e">
        <f>IF(B103=" ","0",PMT('Crédito de Vivienda'!$E$17,'Crédito de Vivienda'!$C$18,-'Crédito de Vivienda'!$C$15,,))</f>
        <v>#VALUE!</v>
      </c>
      <c r="M103" s="9" t="e">
        <f t="shared" si="10"/>
        <v>#VALUE!</v>
      </c>
      <c r="N103" s="7" t="e">
        <f>IF(C102&lt;1,"0",'Crédito de Vivienda'!$C$40)</f>
        <v>#VALUE!</v>
      </c>
      <c r="O103" s="9" t="e">
        <f t="shared" si="11"/>
        <v>#VALUE!</v>
      </c>
    </row>
    <row r="104" spans="2:15" ht="15.5" x14ac:dyDescent="0.35">
      <c r="B104" s="6" t="e">
        <f t="shared" si="7"/>
        <v>#VALUE!</v>
      </c>
      <c r="C104" s="7" t="e">
        <f t="shared" si="8"/>
        <v>#VALUE!</v>
      </c>
      <c r="D104" s="7" t="e">
        <f t="shared" si="12"/>
        <v>#VALUE!</v>
      </c>
      <c r="E104" s="7" t="e">
        <f>C103*'Crédito de Vivienda'!$E$17</f>
        <v>#VALUE!</v>
      </c>
      <c r="F104" s="282" t="e">
        <f>IF(C103&lt;1,"0",IF('Crédito de Vivienda'!$D$28="Si",($C$17*(VLOOKUP('Crédito de Vivienda'!$C$24,Seguros_Oblig!$A$3:$F$55,6,FALSE))),IF('Crédito de Vivienda'!$C$10="TARIFA 1",(C103*(VLOOKUP('Crédito de Vivienda'!$C$24,Seguros_Oblig!$A$3:$B$55,2,FALSE))),(C103*(VLOOKUP('Crédito de Vivienda'!$C$24,Seguros_Oblig!$A$3:$D$55,4,FALSE))))))</f>
        <v>#VALUE!</v>
      </c>
      <c r="G104" s="8" t="e">
        <f>IF('Crédito de Vivienda'!$C$10="TARIFA 1",(C103*(VLOOKUP('Crédito de Vivienda'!$C$25,Seguros_Oblig!$A$3:$B$55,2,FALSE))),(C103*(VLOOKUP('Crédito de Vivienda'!$C$25,Seguros_Oblig!$A$3:$D$55,4,FALSE))))</f>
        <v>#VALUE!</v>
      </c>
      <c r="H104" s="8" t="e">
        <f>IF('Crédito de Vivienda'!$C$10="TARIFA 1",(C103*(VLOOKUP('Crédito de Vivienda'!$C$26,Seguros_Oblig!$A$3:$B$55,2,FALSE))),(C103*(VLOOKUP('Crédito de Vivienda'!$C$26,Seguros_Oblig!$A$3:$D$55,4,FALSE))))</f>
        <v>#VALUE!</v>
      </c>
      <c r="I104" s="8" t="e">
        <f>IF('Crédito de Vivienda'!$C$10="TARIFA 1",(C103*(VLOOKUP('Crédito de Vivienda'!$C$27,Seguros_Oblig!$A$3:$B$55,2,FALSE))),(C103*(VLOOKUP('Crédito de Vivienda'!$C$27,Seguros_Oblig!$A$3:$D$55,4,FALSE))))</f>
        <v>#VALUE!</v>
      </c>
      <c r="J104" s="10">
        <f t="shared" si="9"/>
        <v>0</v>
      </c>
      <c r="K104" s="7" t="e">
        <f>IF(C103&lt;1,"0",Seguros_Oblig!$K$2*('Crédito de Vivienda'!$C$12*90%))</f>
        <v>#VALUE!</v>
      </c>
      <c r="L104" s="7" t="e">
        <f>IF(B104=" ","0",PMT('Crédito de Vivienda'!$E$17,'Crédito de Vivienda'!$C$18,-'Crédito de Vivienda'!$C$15,,))</f>
        <v>#VALUE!</v>
      </c>
      <c r="M104" s="9" t="e">
        <f t="shared" si="10"/>
        <v>#VALUE!</v>
      </c>
      <c r="N104" s="7" t="e">
        <f>IF(C103&lt;1,"0",'Crédito de Vivienda'!$C$40)</f>
        <v>#VALUE!</v>
      </c>
      <c r="O104" s="9" t="e">
        <f t="shared" si="11"/>
        <v>#VALUE!</v>
      </c>
    </row>
    <row r="105" spans="2:15" ht="15.5" x14ac:dyDescent="0.35">
      <c r="B105" s="6" t="e">
        <f t="shared" si="7"/>
        <v>#VALUE!</v>
      </c>
      <c r="C105" s="7" t="e">
        <f t="shared" si="8"/>
        <v>#VALUE!</v>
      </c>
      <c r="D105" s="7" t="e">
        <f t="shared" si="12"/>
        <v>#VALUE!</v>
      </c>
      <c r="E105" s="7" t="e">
        <f>C104*'Crédito de Vivienda'!$E$17</f>
        <v>#VALUE!</v>
      </c>
      <c r="F105" s="282" t="e">
        <f>IF(C104&lt;1,"0",IF('Crédito de Vivienda'!$D$28="Si",($C$17*(VLOOKUP('Crédito de Vivienda'!$C$24,Seguros_Oblig!$A$3:$F$55,6,FALSE))),IF('Crédito de Vivienda'!$C$10="TARIFA 1",(C104*(VLOOKUP('Crédito de Vivienda'!$C$24,Seguros_Oblig!$A$3:$B$55,2,FALSE))),(C104*(VLOOKUP('Crédito de Vivienda'!$C$24,Seguros_Oblig!$A$3:$D$55,4,FALSE))))))</f>
        <v>#VALUE!</v>
      </c>
      <c r="G105" s="8" t="e">
        <f>IF('Crédito de Vivienda'!$C$10="TARIFA 1",(C104*(VLOOKUP('Crédito de Vivienda'!$C$25,Seguros_Oblig!$A$3:$B$55,2,FALSE))),(C104*(VLOOKUP('Crédito de Vivienda'!$C$25,Seguros_Oblig!$A$3:$D$55,4,FALSE))))</f>
        <v>#VALUE!</v>
      </c>
      <c r="H105" s="8" t="e">
        <f>IF('Crédito de Vivienda'!$C$10="TARIFA 1",(C104*(VLOOKUP('Crédito de Vivienda'!$C$26,Seguros_Oblig!$A$3:$B$55,2,FALSE))),(C104*(VLOOKUP('Crédito de Vivienda'!$C$26,Seguros_Oblig!$A$3:$D$55,4,FALSE))))</f>
        <v>#VALUE!</v>
      </c>
      <c r="I105" s="8" t="e">
        <f>IF('Crédito de Vivienda'!$C$10="TARIFA 1",(C104*(VLOOKUP('Crédito de Vivienda'!$C$27,Seguros_Oblig!$A$3:$B$55,2,FALSE))),(C104*(VLOOKUP('Crédito de Vivienda'!$C$27,Seguros_Oblig!$A$3:$D$55,4,FALSE))))</f>
        <v>#VALUE!</v>
      </c>
      <c r="J105" s="10">
        <f t="shared" si="9"/>
        <v>0</v>
      </c>
      <c r="K105" s="7" t="e">
        <f>IF(C104&lt;1,"0",Seguros_Oblig!$K$2*('Crédito de Vivienda'!$C$12*90%))</f>
        <v>#VALUE!</v>
      </c>
      <c r="L105" s="7" t="e">
        <f>IF(B105=" ","0",PMT('Crédito de Vivienda'!$E$17,'Crédito de Vivienda'!$C$18,-'Crédito de Vivienda'!$C$15,,))</f>
        <v>#VALUE!</v>
      </c>
      <c r="M105" s="9" t="e">
        <f t="shared" si="10"/>
        <v>#VALUE!</v>
      </c>
      <c r="N105" s="7" t="e">
        <f>IF(C104&lt;1,"0",'Crédito de Vivienda'!$C$40)</f>
        <v>#VALUE!</v>
      </c>
      <c r="O105" s="9" t="e">
        <f t="shared" si="11"/>
        <v>#VALUE!</v>
      </c>
    </row>
    <row r="106" spans="2:15" ht="15.5" x14ac:dyDescent="0.35">
      <c r="B106" s="6" t="e">
        <f t="shared" si="7"/>
        <v>#VALUE!</v>
      </c>
      <c r="C106" s="7" t="e">
        <f t="shared" si="8"/>
        <v>#VALUE!</v>
      </c>
      <c r="D106" s="7" t="e">
        <f t="shared" si="12"/>
        <v>#VALUE!</v>
      </c>
      <c r="E106" s="7" t="e">
        <f>C105*'Crédito de Vivienda'!$E$17</f>
        <v>#VALUE!</v>
      </c>
      <c r="F106" s="282" t="e">
        <f>IF(C105&lt;1,"0",IF('Crédito de Vivienda'!$D$28="Si",($C$17*(VLOOKUP('Crédito de Vivienda'!$C$24,Seguros_Oblig!$A$3:$F$55,6,FALSE))),IF('Crédito de Vivienda'!$C$10="TARIFA 1",(C105*(VLOOKUP('Crédito de Vivienda'!$C$24,Seguros_Oblig!$A$3:$B$55,2,FALSE))),(C105*(VLOOKUP('Crédito de Vivienda'!$C$24,Seguros_Oblig!$A$3:$D$55,4,FALSE))))))</f>
        <v>#VALUE!</v>
      </c>
      <c r="G106" s="8" t="e">
        <f>IF('Crédito de Vivienda'!$C$10="TARIFA 1",(C105*(VLOOKUP('Crédito de Vivienda'!$C$25,Seguros_Oblig!$A$3:$B$55,2,FALSE))),(C105*(VLOOKUP('Crédito de Vivienda'!$C$25,Seguros_Oblig!$A$3:$D$55,4,FALSE))))</f>
        <v>#VALUE!</v>
      </c>
      <c r="H106" s="8" t="e">
        <f>IF('Crédito de Vivienda'!$C$10="TARIFA 1",(C105*(VLOOKUP('Crédito de Vivienda'!$C$26,Seguros_Oblig!$A$3:$B$55,2,FALSE))),(C105*(VLOOKUP('Crédito de Vivienda'!$C$26,Seguros_Oblig!$A$3:$D$55,4,FALSE))))</f>
        <v>#VALUE!</v>
      </c>
      <c r="I106" s="8" t="e">
        <f>IF('Crédito de Vivienda'!$C$10="TARIFA 1",(C105*(VLOOKUP('Crédito de Vivienda'!$C$27,Seguros_Oblig!$A$3:$B$55,2,FALSE))),(C105*(VLOOKUP('Crédito de Vivienda'!$C$27,Seguros_Oblig!$A$3:$D$55,4,FALSE))))</f>
        <v>#VALUE!</v>
      </c>
      <c r="J106" s="10">
        <f t="shared" si="9"/>
        <v>0</v>
      </c>
      <c r="K106" s="7" t="e">
        <f>IF(C105&lt;1,"0",Seguros_Oblig!$K$2*('Crédito de Vivienda'!$C$12*90%))</f>
        <v>#VALUE!</v>
      </c>
      <c r="L106" s="7" t="e">
        <f>IF(B106=" ","0",PMT('Crédito de Vivienda'!$E$17,'Crédito de Vivienda'!$C$18,-'Crédito de Vivienda'!$C$15,,))</f>
        <v>#VALUE!</v>
      </c>
      <c r="M106" s="9" t="e">
        <f t="shared" si="10"/>
        <v>#VALUE!</v>
      </c>
      <c r="N106" s="7" t="e">
        <f>IF(C105&lt;1,"0",'Crédito de Vivienda'!$C$40)</f>
        <v>#VALUE!</v>
      </c>
      <c r="O106" s="9" t="e">
        <f t="shared" si="11"/>
        <v>#VALUE!</v>
      </c>
    </row>
    <row r="107" spans="2:15" ht="15.5" x14ac:dyDescent="0.35">
      <c r="B107" s="6" t="e">
        <f t="shared" si="7"/>
        <v>#VALUE!</v>
      </c>
      <c r="C107" s="7" t="e">
        <f t="shared" si="8"/>
        <v>#VALUE!</v>
      </c>
      <c r="D107" s="7" t="e">
        <f t="shared" si="12"/>
        <v>#VALUE!</v>
      </c>
      <c r="E107" s="7" t="e">
        <f>C106*'Crédito de Vivienda'!$E$17</f>
        <v>#VALUE!</v>
      </c>
      <c r="F107" s="282" t="e">
        <f>IF(C106&lt;1,"0",IF('Crédito de Vivienda'!$D$28="Si",($C$17*(VLOOKUP('Crédito de Vivienda'!$C$24,Seguros_Oblig!$A$3:$F$55,6,FALSE))),IF('Crédito de Vivienda'!$C$10="TARIFA 1",(C106*(VLOOKUP('Crédito de Vivienda'!$C$24,Seguros_Oblig!$A$3:$B$55,2,FALSE))),(C106*(VLOOKUP('Crédito de Vivienda'!$C$24,Seguros_Oblig!$A$3:$D$55,4,FALSE))))))</f>
        <v>#VALUE!</v>
      </c>
      <c r="G107" s="8" t="e">
        <f>IF('Crédito de Vivienda'!$C$10="TARIFA 1",(C106*(VLOOKUP('Crédito de Vivienda'!$C$25,Seguros_Oblig!$A$3:$B$55,2,FALSE))),(C106*(VLOOKUP('Crédito de Vivienda'!$C$25,Seguros_Oblig!$A$3:$D$55,4,FALSE))))</f>
        <v>#VALUE!</v>
      </c>
      <c r="H107" s="8" t="e">
        <f>IF('Crédito de Vivienda'!$C$10="TARIFA 1",(C106*(VLOOKUP('Crédito de Vivienda'!$C$26,Seguros_Oblig!$A$3:$B$55,2,FALSE))),(C106*(VLOOKUP('Crédito de Vivienda'!$C$26,Seguros_Oblig!$A$3:$D$55,4,FALSE))))</f>
        <v>#VALUE!</v>
      </c>
      <c r="I107" s="8" t="e">
        <f>IF('Crédito de Vivienda'!$C$10="TARIFA 1",(C106*(VLOOKUP('Crédito de Vivienda'!$C$27,Seguros_Oblig!$A$3:$B$55,2,FALSE))),(C106*(VLOOKUP('Crédito de Vivienda'!$C$27,Seguros_Oblig!$A$3:$D$55,4,FALSE))))</f>
        <v>#VALUE!</v>
      </c>
      <c r="J107" s="10">
        <f t="shared" si="9"/>
        <v>0</v>
      </c>
      <c r="K107" s="7" t="e">
        <f>IF(C106&lt;1,"0",Seguros_Oblig!$K$2*('Crédito de Vivienda'!$C$12*90%))</f>
        <v>#VALUE!</v>
      </c>
      <c r="L107" s="7" t="e">
        <f>IF(B107=" ","0",PMT('Crédito de Vivienda'!$E$17,'Crédito de Vivienda'!$C$18,-'Crédito de Vivienda'!$C$15,,))</f>
        <v>#VALUE!</v>
      </c>
      <c r="M107" s="9" t="e">
        <f t="shared" si="10"/>
        <v>#VALUE!</v>
      </c>
      <c r="N107" s="7" t="e">
        <f>IF(C106&lt;1,"0",'Crédito de Vivienda'!$C$40)</f>
        <v>#VALUE!</v>
      </c>
      <c r="O107" s="9" t="e">
        <f t="shared" si="11"/>
        <v>#VALUE!</v>
      </c>
    </row>
    <row r="108" spans="2:15" ht="15.5" x14ac:dyDescent="0.35">
      <c r="B108" s="6" t="e">
        <f t="shared" si="7"/>
        <v>#VALUE!</v>
      </c>
      <c r="C108" s="7" t="e">
        <f t="shared" si="8"/>
        <v>#VALUE!</v>
      </c>
      <c r="D108" s="7" t="e">
        <f t="shared" si="12"/>
        <v>#VALUE!</v>
      </c>
      <c r="E108" s="7" t="e">
        <f>C107*'Crédito de Vivienda'!$E$17</f>
        <v>#VALUE!</v>
      </c>
      <c r="F108" s="282" t="e">
        <f>IF(C107&lt;1,"0",IF('Crédito de Vivienda'!$D$28="Si",($C$17*(VLOOKUP('Crédito de Vivienda'!$C$24,Seguros_Oblig!$A$3:$F$55,6,FALSE))),IF('Crédito de Vivienda'!$C$10="TARIFA 1",(C107*(VLOOKUP('Crédito de Vivienda'!$C$24,Seguros_Oblig!$A$3:$B$55,2,FALSE))),(C107*(VLOOKUP('Crédito de Vivienda'!$C$24,Seguros_Oblig!$A$3:$D$55,4,FALSE))))))</f>
        <v>#VALUE!</v>
      </c>
      <c r="G108" s="8" t="e">
        <f>IF('Crédito de Vivienda'!$C$10="TARIFA 1",(C107*(VLOOKUP('Crédito de Vivienda'!$C$25,Seguros_Oblig!$A$3:$B$55,2,FALSE))),(C107*(VLOOKUP('Crédito de Vivienda'!$C$25,Seguros_Oblig!$A$3:$D$55,4,FALSE))))</f>
        <v>#VALUE!</v>
      </c>
      <c r="H108" s="8" t="e">
        <f>IF('Crédito de Vivienda'!$C$10="TARIFA 1",(C107*(VLOOKUP('Crédito de Vivienda'!$C$26,Seguros_Oblig!$A$3:$B$55,2,FALSE))),(C107*(VLOOKUP('Crédito de Vivienda'!$C$26,Seguros_Oblig!$A$3:$D$55,4,FALSE))))</f>
        <v>#VALUE!</v>
      </c>
      <c r="I108" s="8" t="e">
        <f>IF('Crédito de Vivienda'!$C$10="TARIFA 1",(C107*(VLOOKUP('Crédito de Vivienda'!$C$27,Seguros_Oblig!$A$3:$B$55,2,FALSE))),(C107*(VLOOKUP('Crédito de Vivienda'!$C$27,Seguros_Oblig!$A$3:$D$55,4,FALSE))))</f>
        <v>#VALUE!</v>
      </c>
      <c r="J108" s="10">
        <f t="shared" si="9"/>
        <v>0</v>
      </c>
      <c r="K108" s="7" t="e">
        <f>IF(C107&lt;1,"0",Seguros_Oblig!$K$2*('Crédito de Vivienda'!$C$12*90%))</f>
        <v>#VALUE!</v>
      </c>
      <c r="L108" s="7" t="e">
        <f>IF(B108=" ","0",PMT('Crédito de Vivienda'!$E$17,'Crédito de Vivienda'!$C$18,-'Crédito de Vivienda'!$C$15,,))</f>
        <v>#VALUE!</v>
      </c>
      <c r="M108" s="9" t="e">
        <f t="shared" si="10"/>
        <v>#VALUE!</v>
      </c>
      <c r="N108" s="7" t="e">
        <f>IF(C107&lt;1,"0",'Crédito de Vivienda'!$C$40)</f>
        <v>#VALUE!</v>
      </c>
      <c r="O108" s="9" t="e">
        <f t="shared" si="11"/>
        <v>#VALUE!</v>
      </c>
    </row>
    <row r="109" spans="2:15" ht="15.5" x14ac:dyDescent="0.35">
      <c r="B109" s="6" t="e">
        <f t="shared" si="7"/>
        <v>#VALUE!</v>
      </c>
      <c r="C109" s="7" t="e">
        <f t="shared" si="8"/>
        <v>#VALUE!</v>
      </c>
      <c r="D109" s="7" t="e">
        <f t="shared" si="12"/>
        <v>#VALUE!</v>
      </c>
      <c r="E109" s="7" t="e">
        <f>C108*'Crédito de Vivienda'!$E$17</f>
        <v>#VALUE!</v>
      </c>
      <c r="F109" s="282" t="e">
        <f>IF(C108&lt;1,"0",IF('Crédito de Vivienda'!$D$28="Si",($C$17*(VLOOKUP('Crédito de Vivienda'!$C$24,Seguros_Oblig!$A$3:$F$55,6,FALSE))),IF('Crédito de Vivienda'!$C$10="TARIFA 1",(C108*(VLOOKUP('Crédito de Vivienda'!$C$24,Seguros_Oblig!$A$3:$B$55,2,FALSE))),(C108*(VLOOKUP('Crédito de Vivienda'!$C$24,Seguros_Oblig!$A$3:$D$55,4,FALSE))))))</f>
        <v>#VALUE!</v>
      </c>
      <c r="G109" s="8" t="e">
        <f>IF('Crédito de Vivienda'!$C$10="TARIFA 1",(C108*(VLOOKUP('Crédito de Vivienda'!$C$25,Seguros_Oblig!$A$3:$B$55,2,FALSE))),(C108*(VLOOKUP('Crédito de Vivienda'!$C$25,Seguros_Oblig!$A$3:$D$55,4,FALSE))))</f>
        <v>#VALUE!</v>
      </c>
      <c r="H109" s="8" t="e">
        <f>IF('Crédito de Vivienda'!$C$10="TARIFA 1",(C108*(VLOOKUP('Crédito de Vivienda'!$C$26,Seguros_Oblig!$A$3:$B$55,2,FALSE))),(C108*(VLOOKUP('Crédito de Vivienda'!$C$26,Seguros_Oblig!$A$3:$D$55,4,FALSE))))</f>
        <v>#VALUE!</v>
      </c>
      <c r="I109" s="8" t="e">
        <f>IF('Crédito de Vivienda'!$C$10="TARIFA 1",(C108*(VLOOKUP('Crédito de Vivienda'!$C$27,Seguros_Oblig!$A$3:$B$55,2,FALSE))),(C108*(VLOOKUP('Crédito de Vivienda'!$C$27,Seguros_Oblig!$A$3:$D$55,4,FALSE))))</f>
        <v>#VALUE!</v>
      </c>
      <c r="J109" s="10">
        <f t="shared" si="9"/>
        <v>0</v>
      </c>
      <c r="K109" s="7" t="e">
        <f>IF(C108&lt;1,"0",Seguros_Oblig!$K$2*('Crédito de Vivienda'!$C$12*90%))</f>
        <v>#VALUE!</v>
      </c>
      <c r="L109" s="7" t="e">
        <f>IF(B109=" ","0",PMT('Crédito de Vivienda'!$E$17,'Crédito de Vivienda'!$C$18,-'Crédito de Vivienda'!$C$15,,))</f>
        <v>#VALUE!</v>
      </c>
      <c r="M109" s="9" t="e">
        <f t="shared" si="10"/>
        <v>#VALUE!</v>
      </c>
      <c r="N109" s="7" t="e">
        <f>IF(C108&lt;1,"0",'Crédito de Vivienda'!$C$40)</f>
        <v>#VALUE!</v>
      </c>
      <c r="O109" s="9" t="e">
        <f t="shared" si="11"/>
        <v>#VALUE!</v>
      </c>
    </row>
    <row r="110" spans="2:15" ht="15.5" x14ac:dyDescent="0.35">
      <c r="B110" s="6" t="e">
        <f t="shared" si="7"/>
        <v>#VALUE!</v>
      </c>
      <c r="C110" s="7" t="e">
        <f t="shared" si="8"/>
        <v>#VALUE!</v>
      </c>
      <c r="D110" s="7" t="e">
        <f t="shared" si="12"/>
        <v>#VALUE!</v>
      </c>
      <c r="E110" s="7" t="e">
        <f>C109*'Crédito de Vivienda'!$E$17</f>
        <v>#VALUE!</v>
      </c>
      <c r="F110" s="282" t="e">
        <f>IF(C109&lt;1,"0",IF('Crédito de Vivienda'!$D$28="Si",($C$17*(VLOOKUP('Crédito de Vivienda'!$C$24,Seguros_Oblig!$A$3:$F$55,6,FALSE))),IF('Crédito de Vivienda'!$C$10="TARIFA 1",(C109*(VLOOKUP('Crédito de Vivienda'!$C$24,Seguros_Oblig!$A$3:$B$55,2,FALSE))),(C109*(VLOOKUP('Crédito de Vivienda'!$C$24,Seguros_Oblig!$A$3:$D$55,4,FALSE))))))</f>
        <v>#VALUE!</v>
      </c>
      <c r="G110" s="8" t="e">
        <f>IF('Crédito de Vivienda'!$C$10="TARIFA 1",(C109*(VLOOKUP('Crédito de Vivienda'!$C$25,Seguros_Oblig!$A$3:$B$55,2,FALSE))),(C109*(VLOOKUP('Crédito de Vivienda'!$C$25,Seguros_Oblig!$A$3:$D$55,4,FALSE))))</f>
        <v>#VALUE!</v>
      </c>
      <c r="H110" s="8" t="e">
        <f>IF('Crédito de Vivienda'!$C$10="TARIFA 1",(C109*(VLOOKUP('Crédito de Vivienda'!$C$26,Seguros_Oblig!$A$3:$B$55,2,FALSE))),(C109*(VLOOKUP('Crédito de Vivienda'!$C$26,Seguros_Oblig!$A$3:$D$55,4,FALSE))))</f>
        <v>#VALUE!</v>
      </c>
      <c r="I110" s="8" t="e">
        <f>IF('Crédito de Vivienda'!$C$10="TARIFA 1",(C109*(VLOOKUP('Crédito de Vivienda'!$C$27,Seguros_Oblig!$A$3:$B$55,2,FALSE))),(C109*(VLOOKUP('Crédito de Vivienda'!$C$27,Seguros_Oblig!$A$3:$D$55,4,FALSE))))</f>
        <v>#VALUE!</v>
      </c>
      <c r="J110" s="10">
        <f t="shared" si="9"/>
        <v>0</v>
      </c>
      <c r="K110" s="7" t="e">
        <f>IF(C109&lt;1,"0",Seguros_Oblig!$K$2*('Crédito de Vivienda'!$C$12*90%))</f>
        <v>#VALUE!</v>
      </c>
      <c r="L110" s="7" t="e">
        <f>IF(B110=" ","0",PMT('Crédito de Vivienda'!$E$17,'Crédito de Vivienda'!$C$18,-'Crédito de Vivienda'!$C$15,,))</f>
        <v>#VALUE!</v>
      </c>
      <c r="M110" s="9" t="e">
        <f t="shared" si="10"/>
        <v>#VALUE!</v>
      </c>
      <c r="N110" s="7" t="e">
        <f>IF(C109&lt;1,"0",'Crédito de Vivienda'!$C$40)</f>
        <v>#VALUE!</v>
      </c>
      <c r="O110" s="9" t="e">
        <f t="shared" si="11"/>
        <v>#VALUE!</v>
      </c>
    </row>
    <row r="111" spans="2:15" ht="15.5" x14ac:dyDescent="0.35">
      <c r="B111" s="6" t="e">
        <f t="shared" si="7"/>
        <v>#VALUE!</v>
      </c>
      <c r="C111" s="7" t="e">
        <f t="shared" si="8"/>
        <v>#VALUE!</v>
      </c>
      <c r="D111" s="7" t="e">
        <f t="shared" si="12"/>
        <v>#VALUE!</v>
      </c>
      <c r="E111" s="7" t="e">
        <f>C110*'Crédito de Vivienda'!$E$17</f>
        <v>#VALUE!</v>
      </c>
      <c r="F111" s="282" t="e">
        <f>IF(C110&lt;1,"0",IF('Crédito de Vivienda'!$D$28="Si",($C$17*(VLOOKUP('Crédito de Vivienda'!$C$24,Seguros_Oblig!$A$3:$F$55,6,FALSE))),IF('Crédito de Vivienda'!$C$10="TARIFA 1",(C110*(VLOOKUP('Crédito de Vivienda'!$C$24,Seguros_Oblig!$A$3:$B$55,2,FALSE))),(C110*(VLOOKUP('Crédito de Vivienda'!$C$24,Seguros_Oblig!$A$3:$D$55,4,FALSE))))))</f>
        <v>#VALUE!</v>
      </c>
      <c r="G111" s="8" t="e">
        <f>IF('Crédito de Vivienda'!$C$10="TARIFA 1",(C110*(VLOOKUP('Crédito de Vivienda'!$C$25,Seguros_Oblig!$A$3:$B$55,2,FALSE))),(C110*(VLOOKUP('Crédito de Vivienda'!$C$25,Seguros_Oblig!$A$3:$D$55,4,FALSE))))</f>
        <v>#VALUE!</v>
      </c>
      <c r="H111" s="8" t="e">
        <f>IF('Crédito de Vivienda'!$C$10="TARIFA 1",(C110*(VLOOKUP('Crédito de Vivienda'!$C$26,Seguros_Oblig!$A$3:$B$55,2,FALSE))),(C110*(VLOOKUP('Crédito de Vivienda'!$C$26,Seguros_Oblig!$A$3:$D$55,4,FALSE))))</f>
        <v>#VALUE!</v>
      </c>
      <c r="I111" s="8" t="e">
        <f>IF('Crédito de Vivienda'!$C$10="TARIFA 1",(C110*(VLOOKUP('Crédito de Vivienda'!$C$27,Seguros_Oblig!$A$3:$B$55,2,FALSE))),(C110*(VLOOKUP('Crédito de Vivienda'!$C$27,Seguros_Oblig!$A$3:$D$55,4,FALSE))))</f>
        <v>#VALUE!</v>
      </c>
      <c r="J111" s="10">
        <f t="shared" si="9"/>
        <v>0</v>
      </c>
      <c r="K111" s="7" t="e">
        <f>IF(C110&lt;1,"0",Seguros_Oblig!$K$2*('Crédito de Vivienda'!$C$12*90%))</f>
        <v>#VALUE!</v>
      </c>
      <c r="L111" s="7" t="e">
        <f>IF(B111=" ","0",PMT('Crédito de Vivienda'!$E$17,'Crédito de Vivienda'!$C$18,-'Crédito de Vivienda'!$C$15,,))</f>
        <v>#VALUE!</v>
      </c>
      <c r="M111" s="9" t="e">
        <f t="shared" si="10"/>
        <v>#VALUE!</v>
      </c>
      <c r="N111" s="7" t="e">
        <f>IF(C110&lt;1,"0",'Crédito de Vivienda'!$C$40)</f>
        <v>#VALUE!</v>
      </c>
      <c r="O111" s="9" t="e">
        <f t="shared" si="11"/>
        <v>#VALUE!</v>
      </c>
    </row>
    <row r="112" spans="2:15" ht="15.5" x14ac:dyDescent="0.35">
      <c r="B112" s="6" t="e">
        <f t="shared" si="7"/>
        <v>#VALUE!</v>
      </c>
      <c r="C112" s="7" t="e">
        <f t="shared" si="8"/>
        <v>#VALUE!</v>
      </c>
      <c r="D112" s="7" t="e">
        <f t="shared" si="12"/>
        <v>#VALUE!</v>
      </c>
      <c r="E112" s="7" t="e">
        <f>C111*'Crédito de Vivienda'!$E$17</f>
        <v>#VALUE!</v>
      </c>
      <c r="F112" s="282" t="e">
        <f>IF(C111&lt;1,"0",IF('Crédito de Vivienda'!$D$28="Si",($C$17*(VLOOKUP('Crédito de Vivienda'!$C$24,Seguros_Oblig!$A$3:$F$55,6,FALSE))),IF('Crédito de Vivienda'!$C$10="TARIFA 1",(C111*(VLOOKUP('Crédito de Vivienda'!$C$24,Seguros_Oblig!$A$3:$B$55,2,FALSE))),(C111*(VLOOKUP('Crédito de Vivienda'!$C$24,Seguros_Oblig!$A$3:$D$55,4,FALSE))))))</f>
        <v>#VALUE!</v>
      </c>
      <c r="G112" s="8" t="e">
        <f>IF('Crédito de Vivienda'!$C$10="TARIFA 1",(C111*(VLOOKUP('Crédito de Vivienda'!$C$25,Seguros_Oblig!$A$3:$B$55,2,FALSE))),(C111*(VLOOKUP('Crédito de Vivienda'!$C$25,Seguros_Oblig!$A$3:$D$55,4,FALSE))))</f>
        <v>#VALUE!</v>
      </c>
      <c r="H112" s="8" t="e">
        <f>IF('Crédito de Vivienda'!$C$10="TARIFA 1",(C111*(VLOOKUP('Crédito de Vivienda'!$C$26,Seguros_Oblig!$A$3:$B$55,2,FALSE))),(C111*(VLOOKUP('Crédito de Vivienda'!$C$26,Seguros_Oblig!$A$3:$D$55,4,FALSE))))</f>
        <v>#VALUE!</v>
      </c>
      <c r="I112" s="8" t="e">
        <f>IF('Crédito de Vivienda'!$C$10="TARIFA 1",(C111*(VLOOKUP('Crédito de Vivienda'!$C$27,Seguros_Oblig!$A$3:$B$55,2,FALSE))),(C111*(VLOOKUP('Crédito de Vivienda'!$C$27,Seguros_Oblig!$A$3:$D$55,4,FALSE))))</f>
        <v>#VALUE!</v>
      </c>
      <c r="J112" s="10">
        <f t="shared" si="9"/>
        <v>0</v>
      </c>
      <c r="K112" s="7" t="e">
        <f>IF(C111&lt;1,"0",Seguros_Oblig!$K$2*('Crédito de Vivienda'!$C$12*90%))</f>
        <v>#VALUE!</v>
      </c>
      <c r="L112" s="7" t="e">
        <f>IF(B112=" ","0",PMT('Crédito de Vivienda'!$E$17,'Crédito de Vivienda'!$C$18,-'Crédito de Vivienda'!$C$15,,))</f>
        <v>#VALUE!</v>
      </c>
      <c r="M112" s="9" t="e">
        <f t="shared" si="10"/>
        <v>#VALUE!</v>
      </c>
      <c r="N112" s="7" t="e">
        <f>IF(C111&lt;1,"0",'Crédito de Vivienda'!$C$40)</f>
        <v>#VALUE!</v>
      </c>
      <c r="O112" s="9" t="e">
        <f t="shared" si="11"/>
        <v>#VALUE!</v>
      </c>
    </row>
    <row r="113" spans="2:15" ht="15.5" x14ac:dyDescent="0.35">
      <c r="B113" s="6" t="e">
        <f t="shared" si="7"/>
        <v>#VALUE!</v>
      </c>
      <c r="C113" s="7" t="e">
        <f t="shared" si="8"/>
        <v>#VALUE!</v>
      </c>
      <c r="D113" s="7" t="e">
        <f t="shared" si="12"/>
        <v>#VALUE!</v>
      </c>
      <c r="E113" s="7" t="e">
        <f>C112*'Crédito de Vivienda'!$E$17</f>
        <v>#VALUE!</v>
      </c>
      <c r="F113" s="282" t="e">
        <f>IF(C112&lt;1,"0",IF('Crédito de Vivienda'!$D$28="Si",($C$17*(VLOOKUP('Crédito de Vivienda'!$C$24,Seguros_Oblig!$A$3:$F$55,6,FALSE))),IF('Crédito de Vivienda'!$C$10="TARIFA 1",(C112*(VLOOKUP('Crédito de Vivienda'!$C$24,Seguros_Oblig!$A$3:$B$55,2,FALSE))),(C112*(VLOOKUP('Crédito de Vivienda'!$C$24,Seguros_Oblig!$A$3:$D$55,4,FALSE))))))</f>
        <v>#VALUE!</v>
      </c>
      <c r="G113" s="8" t="e">
        <f>IF('Crédito de Vivienda'!$C$10="TARIFA 1",(C112*(VLOOKUP('Crédito de Vivienda'!$C$25,Seguros_Oblig!$A$3:$B$55,2,FALSE))),(C112*(VLOOKUP('Crédito de Vivienda'!$C$25,Seguros_Oblig!$A$3:$D$55,4,FALSE))))</f>
        <v>#VALUE!</v>
      </c>
      <c r="H113" s="8" t="e">
        <f>IF('Crédito de Vivienda'!$C$10="TARIFA 1",(C112*(VLOOKUP('Crédito de Vivienda'!$C$26,Seguros_Oblig!$A$3:$B$55,2,FALSE))),(C112*(VLOOKUP('Crédito de Vivienda'!$C$26,Seguros_Oblig!$A$3:$D$55,4,FALSE))))</f>
        <v>#VALUE!</v>
      </c>
      <c r="I113" s="8" t="e">
        <f>IF('Crédito de Vivienda'!$C$10="TARIFA 1",(C112*(VLOOKUP('Crédito de Vivienda'!$C$27,Seguros_Oblig!$A$3:$B$55,2,FALSE))),(C112*(VLOOKUP('Crédito de Vivienda'!$C$27,Seguros_Oblig!$A$3:$D$55,4,FALSE))))</f>
        <v>#VALUE!</v>
      </c>
      <c r="J113" s="10">
        <f t="shared" si="9"/>
        <v>0</v>
      </c>
      <c r="K113" s="7" t="e">
        <f>IF(C112&lt;1,"0",Seguros_Oblig!$K$2*('Crédito de Vivienda'!$C$12*90%))</f>
        <v>#VALUE!</v>
      </c>
      <c r="L113" s="7" t="e">
        <f>IF(B113=" ","0",PMT('Crédito de Vivienda'!$E$17,'Crédito de Vivienda'!$C$18,-'Crédito de Vivienda'!$C$15,,))</f>
        <v>#VALUE!</v>
      </c>
      <c r="M113" s="9" t="e">
        <f t="shared" si="10"/>
        <v>#VALUE!</v>
      </c>
      <c r="N113" s="7" t="e">
        <f>IF(C112&lt;1,"0",'Crédito de Vivienda'!$C$40)</f>
        <v>#VALUE!</v>
      </c>
      <c r="O113" s="9" t="e">
        <f t="shared" si="11"/>
        <v>#VALUE!</v>
      </c>
    </row>
    <row r="114" spans="2:15" ht="15.5" x14ac:dyDescent="0.35">
      <c r="B114" s="6" t="e">
        <f t="shared" si="7"/>
        <v>#VALUE!</v>
      </c>
      <c r="C114" s="7" t="e">
        <f t="shared" si="8"/>
        <v>#VALUE!</v>
      </c>
      <c r="D114" s="7" t="e">
        <f t="shared" si="12"/>
        <v>#VALUE!</v>
      </c>
      <c r="E114" s="7" t="e">
        <f>C113*'Crédito de Vivienda'!$E$17</f>
        <v>#VALUE!</v>
      </c>
      <c r="F114" s="282" t="e">
        <f>IF(C113&lt;1,"0",IF('Crédito de Vivienda'!$D$28="Si",($C$17*(VLOOKUP('Crédito de Vivienda'!$C$24,Seguros_Oblig!$A$3:$F$55,6,FALSE))),IF('Crédito de Vivienda'!$C$10="TARIFA 1",(C113*(VLOOKUP('Crédito de Vivienda'!$C$24,Seguros_Oblig!$A$3:$B$55,2,FALSE))),(C113*(VLOOKUP('Crédito de Vivienda'!$C$24,Seguros_Oblig!$A$3:$D$55,4,FALSE))))))</f>
        <v>#VALUE!</v>
      </c>
      <c r="G114" s="8" t="e">
        <f>IF('Crédito de Vivienda'!$C$10="TARIFA 1",(C113*(VLOOKUP('Crédito de Vivienda'!$C$25,Seguros_Oblig!$A$3:$B$55,2,FALSE))),(C113*(VLOOKUP('Crédito de Vivienda'!$C$25,Seguros_Oblig!$A$3:$D$55,4,FALSE))))</f>
        <v>#VALUE!</v>
      </c>
      <c r="H114" s="8" t="e">
        <f>IF('Crédito de Vivienda'!$C$10="TARIFA 1",(C113*(VLOOKUP('Crédito de Vivienda'!$C$26,Seguros_Oblig!$A$3:$B$55,2,FALSE))),(C113*(VLOOKUP('Crédito de Vivienda'!$C$26,Seguros_Oblig!$A$3:$D$55,4,FALSE))))</f>
        <v>#VALUE!</v>
      </c>
      <c r="I114" s="8" t="e">
        <f>IF('Crédito de Vivienda'!$C$10="TARIFA 1",(C113*(VLOOKUP('Crédito de Vivienda'!$C$27,Seguros_Oblig!$A$3:$B$55,2,FALSE))),(C113*(VLOOKUP('Crédito de Vivienda'!$C$27,Seguros_Oblig!$A$3:$D$55,4,FALSE))))</f>
        <v>#VALUE!</v>
      </c>
      <c r="J114" s="10">
        <f t="shared" si="9"/>
        <v>0</v>
      </c>
      <c r="K114" s="7" t="e">
        <f>IF(C113&lt;1,"0",Seguros_Oblig!$K$2*('Crédito de Vivienda'!$C$12*90%))</f>
        <v>#VALUE!</v>
      </c>
      <c r="L114" s="7" t="e">
        <f>IF(B114=" ","0",PMT('Crédito de Vivienda'!$E$17,'Crédito de Vivienda'!$C$18,-'Crédito de Vivienda'!$C$15,,))</f>
        <v>#VALUE!</v>
      </c>
      <c r="M114" s="9" t="e">
        <f t="shared" si="10"/>
        <v>#VALUE!</v>
      </c>
      <c r="N114" s="7" t="e">
        <f>IF(C113&lt;1,"0",'Crédito de Vivienda'!$C$40)</f>
        <v>#VALUE!</v>
      </c>
      <c r="O114" s="9" t="e">
        <f t="shared" si="11"/>
        <v>#VALUE!</v>
      </c>
    </row>
    <row r="115" spans="2:15" ht="15.5" x14ac:dyDescent="0.35">
      <c r="B115" s="6" t="e">
        <f t="shared" si="7"/>
        <v>#VALUE!</v>
      </c>
      <c r="C115" s="7" t="e">
        <f t="shared" si="8"/>
        <v>#VALUE!</v>
      </c>
      <c r="D115" s="7" t="e">
        <f t="shared" si="12"/>
        <v>#VALUE!</v>
      </c>
      <c r="E115" s="7" t="e">
        <f>C114*'Crédito de Vivienda'!$E$17</f>
        <v>#VALUE!</v>
      </c>
      <c r="F115" s="282" t="e">
        <f>IF(C114&lt;1,"0",IF('Crédito de Vivienda'!$D$28="Si",($C$17*(VLOOKUP('Crédito de Vivienda'!$C$24,Seguros_Oblig!$A$3:$F$55,6,FALSE))),IF('Crédito de Vivienda'!$C$10="TARIFA 1",(C114*(VLOOKUP('Crédito de Vivienda'!$C$24,Seguros_Oblig!$A$3:$B$55,2,FALSE))),(C114*(VLOOKUP('Crédito de Vivienda'!$C$24,Seguros_Oblig!$A$3:$D$55,4,FALSE))))))</f>
        <v>#VALUE!</v>
      </c>
      <c r="G115" s="8" t="e">
        <f>IF('Crédito de Vivienda'!$C$10="TARIFA 1",(C114*(VLOOKUP('Crédito de Vivienda'!$C$25,Seguros_Oblig!$A$3:$B$55,2,FALSE))),(C114*(VLOOKUP('Crédito de Vivienda'!$C$25,Seguros_Oblig!$A$3:$D$55,4,FALSE))))</f>
        <v>#VALUE!</v>
      </c>
      <c r="H115" s="8" t="e">
        <f>IF('Crédito de Vivienda'!$C$10="TARIFA 1",(C114*(VLOOKUP('Crédito de Vivienda'!$C$26,Seguros_Oblig!$A$3:$B$55,2,FALSE))),(C114*(VLOOKUP('Crédito de Vivienda'!$C$26,Seguros_Oblig!$A$3:$D$55,4,FALSE))))</f>
        <v>#VALUE!</v>
      </c>
      <c r="I115" s="8" t="e">
        <f>IF('Crédito de Vivienda'!$C$10="TARIFA 1",(C114*(VLOOKUP('Crédito de Vivienda'!$C$27,Seguros_Oblig!$A$3:$B$55,2,FALSE))),(C114*(VLOOKUP('Crédito de Vivienda'!$C$27,Seguros_Oblig!$A$3:$D$55,4,FALSE))))</f>
        <v>#VALUE!</v>
      </c>
      <c r="J115" s="10">
        <f t="shared" si="9"/>
        <v>0</v>
      </c>
      <c r="K115" s="7" t="e">
        <f>IF(C114&lt;1,"0",Seguros_Oblig!$K$2*('Crédito de Vivienda'!$C$12*90%))</f>
        <v>#VALUE!</v>
      </c>
      <c r="L115" s="7" t="e">
        <f>IF(B115=" ","0",PMT('Crédito de Vivienda'!$E$17,'Crédito de Vivienda'!$C$18,-'Crédito de Vivienda'!$C$15,,))</f>
        <v>#VALUE!</v>
      </c>
      <c r="M115" s="9" t="e">
        <f t="shared" si="10"/>
        <v>#VALUE!</v>
      </c>
      <c r="N115" s="7" t="e">
        <f>IF(C114&lt;1,"0",'Crédito de Vivienda'!$C$40)</f>
        <v>#VALUE!</v>
      </c>
      <c r="O115" s="9" t="e">
        <f t="shared" si="11"/>
        <v>#VALUE!</v>
      </c>
    </row>
    <row r="116" spans="2:15" ht="15.5" x14ac:dyDescent="0.35">
      <c r="B116" s="6" t="e">
        <f t="shared" si="7"/>
        <v>#VALUE!</v>
      </c>
      <c r="C116" s="7" t="e">
        <f t="shared" si="8"/>
        <v>#VALUE!</v>
      </c>
      <c r="D116" s="7" t="e">
        <f t="shared" si="12"/>
        <v>#VALUE!</v>
      </c>
      <c r="E116" s="7" t="e">
        <f>C115*'Crédito de Vivienda'!$E$17</f>
        <v>#VALUE!</v>
      </c>
      <c r="F116" s="282" t="e">
        <f>IF(C115&lt;1,"0",IF('Crédito de Vivienda'!$D$28="Si",($C$17*(VLOOKUP('Crédito de Vivienda'!$C$24,Seguros_Oblig!$A$3:$F$55,6,FALSE))),IF('Crédito de Vivienda'!$C$10="TARIFA 1",(C115*(VLOOKUP('Crédito de Vivienda'!$C$24,Seguros_Oblig!$A$3:$B$55,2,FALSE))),(C115*(VLOOKUP('Crédito de Vivienda'!$C$24,Seguros_Oblig!$A$3:$D$55,4,FALSE))))))</f>
        <v>#VALUE!</v>
      </c>
      <c r="G116" s="8" t="e">
        <f>IF('Crédito de Vivienda'!$C$10="TARIFA 1",(C115*(VLOOKUP('Crédito de Vivienda'!$C$25,Seguros_Oblig!$A$3:$B$55,2,FALSE))),(C115*(VLOOKUP('Crédito de Vivienda'!$C$25,Seguros_Oblig!$A$3:$D$55,4,FALSE))))</f>
        <v>#VALUE!</v>
      </c>
      <c r="H116" s="8" t="e">
        <f>IF('Crédito de Vivienda'!$C$10="TARIFA 1",(C115*(VLOOKUP('Crédito de Vivienda'!$C$26,Seguros_Oblig!$A$3:$B$55,2,FALSE))),(C115*(VLOOKUP('Crédito de Vivienda'!$C$26,Seguros_Oblig!$A$3:$D$55,4,FALSE))))</f>
        <v>#VALUE!</v>
      </c>
      <c r="I116" s="8" t="e">
        <f>IF('Crédito de Vivienda'!$C$10="TARIFA 1",(C115*(VLOOKUP('Crédito de Vivienda'!$C$27,Seguros_Oblig!$A$3:$B$55,2,FALSE))),(C115*(VLOOKUP('Crédito de Vivienda'!$C$27,Seguros_Oblig!$A$3:$D$55,4,FALSE))))</f>
        <v>#VALUE!</v>
      </c>
      <c r="J116" s="10">
        <f t="shared" si="9"/>
        <v>0</v>
      </c>
      <c r="K116" s="7" t="e">
        <f>IF(C115&lt;1,"0",Seguros_Oblig!$K$2*('Crédito de Vivienda'!$C$12*90%))</f>
        <v>#VALUE!</v>
      </c>
      <c r="L116" s="7" t="e">
        <f>IF(B116=" ","0",PMT('Crédito de Vivienda'!$E$17,'Crédito de Vivienda'!$C$18,-'Crédito de Vivienda'!$C$15,,))</f>
        <v>#VALUE!</v>
      </c>
      <c r="M116" s="9" t="e">
        <f t="shared" si="10"/>
        <v>#VALUE!</v>
      </c>
      <c r="N116" s="7" t="e">
        <f>IF(C115&lt;1,"0",'Crédito de Vivienda'!$C$40)</f>
        <v>#VALUE!</v>
      </c>
      <c r="O116" s="9" t="e">
        <f t="shared" si="11"/>
        <v>#VALUE!</v>
      </c>
    </row>
    <row r="117" spans="2:15" ht="15.5" x14ac:dyDescent="0.35">
      <c r="B117" s="6" t="e">
        <f t="shared" si="7"/>
        <v>#VALUE!</v>
      </c>
      <c r="C117" s="7" t="e">
        <f t="shared" si="8"/>
        <v>#VALUE!</v>
      </c>
      <c r="D117" s="7" t="e">
        <f t="shared" si="12"/>
        <v>#VALUE!</v>
      </c>
      <c r="E117" s="7" t="e">
        <f>C116*'Crédito de Vivienda'!$E$17</f>
        <v>#VALUE!</v>
      </c>
      <c r="F117" s="282" t="e">
        <f>IF(C116&lt;1,"0",IF('Crédito de Vivienda'!$D$28="Si",($C$17*(VLOOKUP('Crédito de Vivienda'!$C$24,Seguros_Oblig!$A$3:$F$55,6,FALSE))),IF('Crédito de Vivienda'!$C$10="TARIFA 1",(C116*(VLOOKUP('Crédito de Vivienda'!$C$24,Seguros_Oblig!$A$3:$B$55,2,FALSE))),(C116*(VLOOKUP('Crédito de Vivienda'!$C$24,Seguros_Oblig!$A$3:$D$55,4,FALSE))))))</f>
        <v>#VALUE!</v>
      </c>
      <c r="G117" s="8" t="e">
        <f>IF('Crédito de Vivienda'!$C$10="TARIFA 1",(C116*(VLOOKUP('Crédito de Vivienda'!$C$25,Seguros_Oblig!$A$3:$B$55,2,FALSE))),(C116*(VLOOKUP('Crédito de Vivienda'!$C$25,Seguros_Oblig!$A$3:$D$55,4,FALSE))))</f>
        <v>#VALUE!</v>
      </c>
      <c r="H117" s="8" t="e">
        <f>IF('Crédito de Vivienda'!$C$10="TARIFA 1",(C116*(VLOOKUP('Crédito de Vivienda'!$C$26,Seguros_Oblig!$A$3:$B$55,2,FALSE))),(C116*(VLOOKUP('Crédito de Vivienda'!$C$26,Seguros_Oblig!$A$3:$D$55,4,FALSE))))</f>
        <v>#VALUE!</v>
      </c>
      <c r="I117" s="8" t="e">
        <f>IF('Crédito de Vivienda'!$C$10="TARIFA 1",(C116*(VLOOKUP('Crédito de Vivienda'!$C$27,Seguros_Oblig!$A$3:$B$55,2,FALSE))),(C116*(VLOOKUP('Crédito de Vivienda'!$C$27,Seguros_Oblig!$A$3:$D$55,4,FALSE))))</f>
        <v>#VALUE!</v>
      </c>
      <c r="J117" s="10">
        <f t="shared" si="9"/>
        <v>0</v>
      </c>
      <c r="K117" s="7" t="e">
        <f>IF(C116&lt;1,"0",Seguros_Oblig!$K$2*('Crédito de Vivienda'!$C$12*90%))</f>
        <v>#VALUE!</v>
      </c>
      <c r="L117" s="7" t="e">
        <f>IF(B117=" ","0",PMT('Crédito de Vivienda'!$E$17,'Crédito de Vivienda'!$C$18,-'Crédito de Vivienda'!$C$15,,))</f>
        <v>#VALUE!</v>
      </c>
      <c r="M117" s="9" t="e">
        <f t="shared" si="10"/>
        <v>#VALUE!</v>
      </c>
      <c r="N117" s="7" t="e">
        <f>IF(C116&lt;1,"0",'Crédito de Vivienda'!$C$40)</f>
        <v>#VALUE!</v>
      </c>
      <c r="O117" s="9" t="e">
        <f t="shared" si="11"/>
        <v>#VALUE!</v>
      </c>
    </row>
    <row r="118" spans="2:15" ht="15.5" x14ac:dyDescent="0.35">
      <c r="B118" s="6" t="e">
        <f t="shared" si="7"/>
        <v>#VALUE!</v>
      </c>
      <c r="C118" s="7" t="e">
        <f t="shared" si="8"/>
        <v>#VALUE!</v>
      </c>
      <c r="D118" s="7" t="e">
        <f t="shared" si="12"/>
        <v>#VALUE!</v>
      </c>
      <c r="E118" s="7" t="e">
        <f>C117*'Crédito de Vivienda'!$E$17</f>
        <v>#VALUE!</v>
      </c>
      <c r="F118" s="282" t="e">
        <f>IF(C117&lt;1,"0",IF('Crédito de Vivienda'!$D$28="Si",($C$17*(VLOOKUP('Crédito de Vivienda'!$C$24,Seguros_Oblig!$A$3:$F$55,6,FALSE))),IF('Crédito de Vivienda'!$C$10="TARIFA 1",(C117*(VLOOKUP('Crédito de Vivienda'!$C$24,Seguros_Oblig!$A$3:$B$55,2,FALSE))),(C117*(VLOOKUP('Crédito de Vivienda'!$C$24,Seguros_Oblig!$A$3:$D$55,4,FALSE))))))</f>
        <v>#VALUE!</v>
      </c>
      <c r="G118" s="8" t="e">
        <f>IF('Crédito de Vivienda'!$C$10="TARIFA 1",(C117*(VLOOKUP('Crédito de Vivienda'!$C$25,Seguros_Oblig!$A$3:$B$55,2,FALSE))),(C117*(VLOOKUP('Crédito de Vivienda'!$C$25,Seguros_Oblig!$A$3:$D$55,4,FALSE))))</f>
        <v>#VALUE!</v>
      </c>
      <c r="H118" s="8" t="e">
        <f>IF('Crédito de Vivienda'!$C$10="TARIFA 1",(C117*(VLOOKUP('Crédito de Vivienda'!$C$26,Seguros_Oblig!$A$3:$B$55,2,FALSE))),(C117*(VLOOKUP('Crédito de Vivienda'!$C$26,Seguros_Oblig!$A$3:$D$55,4,FALSE))))</f>
        <v>#VALUE!</v>
      </c>
      <c r="I118" s="8" t="e">
        <f>IF('Crédito de Vivienda'!$C$10="TARIFA 1",(C117*(VLOOKUP('Crédito de Vivienda'!$C$27,Seguros_Oblig!$A$3:$B$55,2,FALSE))),(C117*(VLOOKUP('Crédito de Vivienda'!$C$27,Seguros_Oblig!$A$3:$D$55,4,FALSE))))</f>
        <v>#VALUE!</v>
      </c>
      <c r="J118" s="10">
        <f t="shared" si="9"/>
        <v>0</v>
      </c>
      <c r="K118" s="7" t="e">
        <f>IF(C117&lt;1,"0",Seguros_Oblig!$K$2*('Crédito de Vivienda'!$C$12*90%))</f>
        <v>#VALUE!</v>
      </c>
      <c r="L118" s="7" t="e">
        <f>IF(B118=" ","0",PMT('Crédito de Vivienda'!$E$17,'Crédito de Vivienda'!$C$18,-'Crédito de Vivienda'!$C$15,,))</f>
        <v>#VALUE!</v>
      </c>
      <c r="M118" s="9" t="e">
        <f t="shared" si="10"/>
        <v>#VALUE!</v>
      </c>
      <c r="N118" s="7" t="e">
        <f>IF(C117&lt;1,"0",'Crédito de Vivienda'!$C$40)</f>
        <v>#VALUE!</v>
      </c>
      <c r="O118" s="9" t="e">
        <f t="shared" si="11"/>
        <v>#VALUE!</v>
      </c>
    </row>
    <row r="119" spans="2:15" ht="15.5" x14ac:dyDescent="0.35">
      <c r="B119" s="6" t="e">
        <f t="shared" si="7"/>
        <v>#VALUE!</v>
      </c>
      <c r="C119" s="7" t="e">
        <f t="shared" si="8"/>
        <v>#VALUE!</v>
      </c>
      <c r="D119" s="7" t="e">
        <f t="shared" si="12"/>
        <v>#VALUE!</v>
      </c>
      <c r="E119" s="7" t="e">
        <f>C118*'Crédito de Vivienda'!$E$17</f>
        <v>#VALUE!</v>
      </c>
      <c r="F119" s="282" t="e">
        <f>IF(C118&lt;1,"0",IF('Crédito de Vivienda'!$D$28="Si",($C$17*(VLOOKUP('Crédito de Vivienda'!$C$24,Seguros_Oblig!$A$3:$F$55,6,FALSE))),IF('Crédito de Vivienda'!$C$10="TARIFA 1",(C118*(VLOOKUP('Crédito de Vivienda'!$C$24,Seguros_Oblig!$A$3:$B$55,2,FALSE))),(C118*(VLOOKUP('Crédito de Vivienda'!$C$24,Seguros_Oblig!$A$3:$D$55,4,FALSE))))))</f>
        <v>#VALUE!</v>
      </c>
      <c r="G119" s="8" t="e">
        <f>IF('Crédito de Vivienda'!$C$10="TARIFA 1",(C118*(VLOOKUP('Crédito de Vivienda'!$C$25,Seguros_Oblig!$A$3:$B$55,2,FALSE))),(C118*(VLOOKUP('Crédito de Vivienda'!$C$25,Seguros_Oblig!$A$3:$D$55,4,FALSE))))</f>
        <v>#VALUE!</v>
      </c>
      <c r="H119" s="8" t="e">
        <f>IF('Crédito de Vivienda'!$C$10="TARIFA 1",(C118*(VLOOKUP('Crédito de Vivienda'!$C$26,Seguros_Oblig!$A$3:$B$55,2,FALSE))),(C118*(VLOOKUP('Crédito de Vivienda'!$C$26,Seguros_Oblig!$A$3:$D$55,4,FALSE))))</f>
        <v>#VALUE!</v>
      </c>
      <c r="I119" s="8" t="e">
        <f>IF('Crédito de Vivienda'!$C$10="TARIFA 1",(C118*(VLOOKUP('Crédito de Vivienda'!$C$27,Seguros_Oblig!$A$3:$B$55,2,FALSE))),(C118*(VLOOKUP('Crédito de Vivienda'!$C$27,Seguros_Oblig!$A$3:$D$55,4,FALSE))))</f>
        <v>#VALUE!</v>
      </c>
      <c r="J119" s="10">
        <f t="shared" si="9"/>
        <v>0</v>
      </c>
      <c r="K119" s="7" t="e">
        <f>IF(C118&lt;1,"0",Seguros_Oblig!$K$2*('Crédito de Vivienda'!$C$12*90%))</f>
        <v>#VALUE!</v>
      </c>
      <c r="L119" s="7" t="e">
        <f>IF(B119=" ","0",PMT('Crédito de Vivienda'!$E$17,'Crédito de Vivienda'!$C$18,-'Crédito de Vivienda'!$C$15,,))</f>
        <v>#VALUE!</v>
      </c>
      <c r="M119" s="9" t="e">
        <f t="shared" si="10"/>
        <v>#VALUE!</v>
      </c>
      <c r="N119" s="7" t="e">
        <f>IF(C118&lt;1,"0",'Crédito de Vivienda'!$C$40)</f>
        <v>#VALUE!</v>
      </c>
      <c r="O119" s="9" t="e">
        <f t="shared" si="11"/>
        <v>#VALUE!</v>
      </c>
    </row>
    <row r="120" spans="2:15" ht="15.5" x14ac:dyDescent="0.35">
      <c r="B120" s="6" t="e">
        <f t="shared" si="7"/>
        <v>#VALUE!</v>
      </c>
      <c r="C120" s="7" t="e">
        <f t="shared" si="8"/>
        <v>#VALUE!</v>
      </c>
      <c r="D120" s="7" t="e">
        <f t="shared" si="12"/>
        <v>#VALUE!</v>
      </c>
      <c r="E120" s="7" t="e">
        <f>C119*'Crédito de Vivienda'!$E$17</f>
        <v>#VALUE!</v>
      </c>
      <c r="F120" s="282" t="e">
        <f>IF(C119&lt;1,"0",IF('Crédito de Vivienda'!$D$28="Si",($C$17*(VLOOKUP('Crédito de Vivienda'!$C$24,Seguros_Oblig!$A$3:$F$55,6,FALSE))),IF('Crédito de Vivienda'!$C$10="TARIFA 1",(C119*(VLOOKUP('Crédito de Vivienda'!$C$24,Seguros_Oblig!$A$3:$B$55,2,FALSE))),(C119*(VLOOKUP('Crédito de Vivienda'!$C$24,Seguros_Oblig!$A$3:$D$55,4,FALSE))))))</f>
        <v>#VALUE!</v>
      </c>
      <c r="G120" s="8" t="e">
        <f>IF('Crédito de Vivienda'!$C$10="TARIFA 1",(C119*(VLOOKUP('Crédito de Vivienda'!$C$25,Seguros_Oblig!$A$3:$B$55,2,FALSE))),(C119*(VLOOKUP('Crédito de Vivienda'!$C$25,Seguros_Oblig!$A$3:$D$55,4,FALSE))))</f>
        <v>#VALUE!</v>
      </c>
      <c r="H120" s="8" t="e">
        <f>IF('Crédito de Vivienda'!$C$10="TARIFA 1",(C119*(VLOOKUP('Crédito de Vivienda'!$C$26,Seguros_Oblig!$A$3:$B$55,2,FALSE))),(C119*(VLOOKUP('Crédito de Vivienda'!$C$26,Seguros_Oblig!$A$3:$D$55,4,FALSE))))</f>
        <v>#VALUE!</v>
      </c>
      <c r="I120" s="8" t="e">
        <f>IF('Crédito de Vivienda'!$C$10="TARIFA 1",(C119*(VLOOKUP('Crédito de Vivienda'!$C$27,Seguros_Oblig!$A$3:$B$55,2,FALSE))),(C119*(VLOOKUP('Crédito de Vivienda'!$C$27,Seguros_Oblig!$A$3:$D$55,4,FALSE))))</f>
        <v>#VALUE!</v>
      </c>
      <c r="J120" s="10">
        <f t="shared" si="9"/>
        <v>0</v>
      </c>
      <c r="K120" s="7" t="e">
        <f>IF(C119&lt;1,"0",Seguros_Oblig!$K$2*('Crédito de Vivienda'!$C$12*90%))</f>
        <v>#VALUE!</v>
      </c>
      <c r="L120" s="7" t="e">
        <f>IF(B120=" ","0",PMT('Crédito de Vivienda'!$E$17,'Crédito de Vivienda'!$C$18,-'Crédito de Vivienda'!$C$15,,))</f>
        <v>#VALUE!</v>
      </c>
      <c r="M120" s="9" t="e">
        <f t="shared" si="10"/>
        <v>#VALUE!</v>
      </c>
      <c r="N120" s="7" t="e">
        <f>IF(C119&lt;1,"0",'Crédito de Vivienda'!$C$40)</f>
        <v>#VALUE!</v>
      </c>
      <c r="O120" s="9" t="e">
        <f t="shared" si="11"/>
        <v>#VALUE!</v>
      </c>
    </row>
    <row r="121" spans="2:15" ht="15.5" x14ac:dyDescent="0.35">
      <c r="B121" s="6" t="e">
        <f t="shared" si="7"/>
        <v>#VALUE!</v>
      </c>
      <c r="C121" s="7" t="e">
        <f t="shared" si="8"/>
        <v>#VALUE!</v>
      </c>
      <c r="D121" s="7" t="e">
        <f t="shared" si="12"/>
        <v>#VALUE!</v>
      </c>
      <c r="E121" s="7" t="e">
        <f>C120*'Crédito de Vivienda'!$E$17</f>
        <v>#VALUE!</v>
      </c>
      <c r="F121" s="282" t="e">
        <f>IF(C120&lt;1,"0",IF('Crédito de Vivienda'!$D$28="Si",($C$17*(VLOOKUP('Crédito de Vivienda'!$C$24,Seguros_Oblig!$A$3:$F$55,6,FALSE))),IF('Crédito de Vivienda'!$C$10="TARIFA 1",(C120*(VLOOKUP('Crédito de Vivienda'!$C$24,Seguros_Oblig!$A$3:$B$55,2,FALSE))),(C120*(VLOOKUP('Crédito de Vivienda'!$C$24,Seguros_Oblig!$A$3:$D$55,4,FALSE))))))</f>
        <v>#VALUE!</v>
      </c>
      <c r="G121" s="8" t="e">
        <f>IF('Crédito de Vivienda'!$C$10="TARIFA 1",(C120*(VLOOKUP('Crédito de Vivienda'!$C$25,Seguros_Oblig!$A$3:$B$55,2,FALSE))),(C120*(VLOOKUP('Crédito de Vivienda'!$C$25,Seguros_Oblig!$A$3:$D$55,4,FALSE))))</f>
        <v>#VALUE!</v>
      </c>
      <c r="H121" s="8" t="e">
        <f>IF('Crédito de Vivienda'!$C$10="TARIFA 1",(C120*(VLOOKUP('Crédito de Vivienda'!$C$26,Seguros_Oblig!$A$3:$B$55,2,FALSE))),(C120*(VLOOKUP('Crédito de Vivienda'!$C$26,Seguros_Oblig!$A$3:$D$55,4,FALSE))))</f>
        <v>#VALUE!</v>
      </c>
      <c r="I121" s="8" t="e">
        <f>IF('Crédito de Vivienda'!$C$10="TARIFA 1",(C120*(VLOOKUP('Crédito de Vivienda'!$C$27,Seguros_Oblig!$A$3:$B$55,2,FALSE))),(C120*(VLOOKUP('Crédito de Vivienda'!$C$27,Seguros_Oblig!$A$3:$D$55,4,FALSE))))</f>
        <v>#VALUE!</v>
      </c>
      <c r="J121" s="10">
        <f t="shared" si="9"/>
        <v>0</v>
      </c>
      <c r="K121" s="7" t="e">
        <f>IF(C120&lt;1,"0",Seguros_Oblig!$K$2*('Crédito de Vivienda'!$C$12*90%))</f>
        <v>#VALUE!</v>
      </c>
      <c r="L121" s="7" t="e">
        <f>IF(B121=" ","0",PMT('Crédito de Vivienda'!$E$17,'Crédito de Vivienda'!$C$18,-'Crédito de Vivienda'!$C$15,,))</f>
        <v>#VALUE!</v>
      </c>
      <c r="M121" s="9" t="e">
        <f t="shared" si="10"/>
        <v>#VALUE!</v>
      </c>
      <c r="N121" s="7" t="e">
        <f>IF(C120&lt;1,"0",'Crédito de Vivienda'!$C$40)</f>
        <v>#VALUE!</v>
      </c>
      <c r="O121" s="9" t="e">
        <f t="shared" si="11"/>
        <v>#VALUE!</v>
      </c>
    </row>
    <row r="122" spans="2:15" ht="15.5" x14ac:dyDescent="0.35">
      <c r="B122" s="6" t="e">
        <f t="shared" si="7"/>
        <v>#VALUE!</v>
      </c>
      <c r="C122" s="7" t="e">
        <f t="shared" si="8"/>
        <v>#VALUE!</v>
      </c>
      <c r="D122" s="7" t="e">
        <f t="shared" si="12"/>
        <v>#VALUE!</v>
      </c>
      <c r="E122" s="7" t="e">
        <f>C121*'Crédito de Vivienda'!$E$17</f>
        <v>#VALUE!</v>
      </c>
      <c r="F122" s="282" t="e">
        <f>IF(C121&lt;1,"0",IF('Crédito de Vivienda'!$D$28="Si",($C$17*(VLOOKUP('Crédito de Vivienda'!$C$24,Seguros_Oblig!$A$3:$F$55,6,FALSE))),IF('Crédito de Vivienda'!$C$10="TARIFA 1",(C121*(VLOOKUP('Crédito de Vivienda'!$C$24,Seguros_Oblig!$A$3:$B$55,2,FALSE))),(C121*(VLOOKUP('Crédito de Vivienda'!$C$24,Seguros_Oblig!$A$3:$D$55,4,FALSE))))))</f>
        <v>#VALUE!</v>
      </c>
      <c r="G122" s="8" t="e">
        <f>IF('Crédito de Vivienda'!$C$10="TARIFA 1",(C121*(VLOOKUP('Crédito de Vivienda'!$C$25,Seguros_Oblig!$A$3:$B$55,2,FALSE))),(C121*(VLOOKUP('Crédito de Vivienda'!$C$25,Seguros_Oblig!$A$3:$D$55,4,FALSE))))</f>
        <v>#VALUE!</v>
      </c>
      <c r="H122" s="8" t="e">
        <f>IF('Crédito de Vivienda'!$C$10="TARIFA 1",(C121*(VLOOKUP('Crédito de Vivienda'!$C$26,Seguros_Oblig!$A$3:$B$55,2,FALSE))),(C121*(VLOOKUP('Crédito de Vivienda'!$C$26,Seguros_Oblig!$A$3:$D$55,4,FALSE))))</f>
        <v>#VALUE!</v>
      </c>
      <c r="I122" s="8" t="e">
        <f>IF('Crédito de Vivienda'!$C$10="TARIFA 1",(C121*(VLOOKUP('Crédito de Vivienda'!$C$27,Seguros_Oblig!$A$3:$B$55,2,FALSE))),(C121*(VLOOKUP('Crédito de Vivienda'!$C$27,Seguros_Oblig!$A$3:$D$55,4,FALSE))))</f>
        <v>#VALUE!</v>
      </c>
      <c r="J122" s="10">
        <f t="shared" si="9"/>
        <v>0</v>
      </c>
      <c r="K122" s="7" t="e">
        <f>IF(C121&lt;1,"0",Seguros_Oblig!$K$2*('Crédito de Vivienda'!$C$12*90%))</f>
        <v>#VALUE!</v>
      </c>
      <c r="L122" s="7" t="e">
        <f>IF(B122=" ","0",PMT('Crédito de Vivienda'!$E$17,'Crédito de Vivienda'!$C$18,-'Crédito de Vivienda'!$C$15,,))</f>
        <v>#VALUE!</v>
      </c>
      <c r="M122" s="9" t="e">
        <f t="shared" si="10"/>
        <v>#VALUE!</v>
      </c>
      <c r="N122" s="7" t="e">
        <f>IF(C121&lt;1,"0",'Crédito de Vivienda'!$C$40)</f>
        <v>#VALUE!</v>
      </c>
      <c r="O122" s="9" t="e">
        <f t="shared" si="11"/>
        <v>#VALUE!</v>
      </c>
    </row>
    <row r="123" spans="2:15" ht="15.5" x14ac:dyDescent="0.35">
      <c r="B123" s="6" t="e">
        <f t="shared" si="7"/>
        <v>#VALUE!</v>
      </c>
      <c r="C123" s="7" t="e">
        <f t="shared" si="8"/>
        <v>#VALUE!</v>
      </c>
      <c r="D123" s="7" t="e">
        <f t="shared" si="12"/>
        <v>#VALUE!</v>
      </c>
      <c r="E123" s="7" t="e">
        <f>C122*'Crédito de Vivienda'!$E$17</f>
        <v>#VALUE!</v>
      </c>
      <c r="F123" s="282" t="e">
        <f>IF(C122&lt;1,"0",IF('Crédito de Vivienda'!$D$28="Si",($C$17*(VLOOKUP('Crédito de Vivienda'!$C$24,Seguros_Oblig!$A$3:$F$55,6,FALSE))),IF('Crédito de Vivienda'!$C$10="TARIFA 1",(C122*(VLOOKUP('Crédito de Vivienda'!$C$24,Seguros_Oblig!$A$3:$B$55,2,FALSE))),(C122*(VLOOKUP('Crédito de Vivienda'!$C$24,Seguros_Oblig!$A$3:$D$55,4,FALSE))))))</f>
        <v>#VALUE!</v>
      </c>
      <c r="G123" s="8" t="e">
        <f>IF('Crédito de Vivienda'!$C$10="TARIFA 1",(C122*(VLOOKUP('Crédito de Vivienda'!$C$25,Seguros_Oblig!$A$3:$B$55,2,FALSE))),(C122*(VLOOKUP('Crédito de Vivienda'!$C$25,Seguros_Oblig!$A$3:$D$55,4,FALSE))))</f>
        <v>#VALUE!</v>
      </c>
      <c r="H123" s="8" t="e">
        <f>IF('Crédito de Vivienda'!$C$10="TARIFA 1",(C122*(VLOOKUP('Crédito de Vivienda'!$C$26,Seguros_Oblig!$A$3:$B$55,2,FALSE))),(C122*(VLOOKUP('Crédito de Vivienda'!$C$26,Seguros_Oblig!$A$3:$D$55,4,FALSE))))</f>
        <v>#VALUE!</v>
      </c>
      <c r="I123" s="8" t="e">
        <f>IF('Crédito de Vivienda'!$C$10="TARIFA 1",(C122*(VLOOKUP('Crédito de Vivienda'!$C$27,Seguros_Oblig!$A$3:$B$55,2,FALSE))),(C122*(VLOOKUP('Crédito de Vivienda'!$C$27,Seguros_Oblig!$A$3:$D$55,4,FALSE))))</f>
        <v>#VALUE!</v>
      </c>
      <c r="J123" s="10">
        <f t="shared" si="9"/>
        <v>0</v>
      </c>
      <c r="K123" s="7" t="e">
        <f>IF(C122&lt;1,"0",Seguros_Oblig!$K$2*('Crédito de Vivienda'!$C$12*90%))</f>
        <v>#VALUE!</v>
      </c>
      <c r="L123" s="7" t="e">
        <f>IF(B123=" ","0",PMT('Crédito de Vivienda'!$E$17,'Crédito de Vivienda'!$C$18,-'Crédito de Vivienda'!$C$15,,))</f>
        <v>#VALUE!</v>
      </c>
      <c r="M123" s="9" t="e">
        <f t="shared" si="10"/>
        <v>#VALUE!</v>
      </c>
      <c r="N123" s="7" t="e">
        <f>IF(C122&lt;1,"0",'Crédito de Vivienda'!$C$40)</f>
        <v>#VALUE!</v>
      </c>
      <c r="O123" s="9" t="e">
        <f t="shared" si="11"/>
        <v>#VALUE!</v>
      </c>
    </row>
    <row r="124" spans="2:15" ht="15.5" x14ac:dyDescent="0.35">
      <c r="B124" s="6" t="e">
        <f t="shared" si="7"/>
        <v>#VALUE!</v>
      </c>
      <c r="C124" s="7" t="e">
        <f t="shared" si="8"/>
        <v>#VALUE!</v>
      </c>
      <c r="D124" s="7" t="e">
        <f t="shared" si="12"/>
        <v>#VALUE!</v>
      </c>
      <c r="E124" s="7" t="e">
        <f>C123*'Crédito de Vivienda'!$E$17</f>
        <v>#VALUE!</v>
      </c>
      <c r="F124" s="282" t="e">
        <f>IF(C123&lt;1,"0",IF('Crédito de Vivienda'!$D$28="Si",($C$17*(VLOOKUP('Crédito de Vivienda'!$C$24,Seguros_Oblig!$A$3:$F$55,6,FALSE))),IF('Crédito de Vivienda'!$C$10="TARIFA 1",(C123*(VLOOKUP('Crédito de Vivienda'!$C$24,Seguros_Oblig!$A$3:$B$55,2,FALSE))),(C123*(VLOOKUP('Crédito de Vivienda'!$C$24,Seguros_Oblig!$A$3:$D$55,4,FALSE))))))</f>
        <v>#VALUE!</v>
      </c>
      <c r="G124" s="8" t="e">
        <f>IF('Crédito de Vivienda'!$C$10="TARIFA 1",(C123*(VLOOKUP('Crédito de Vivienda'!$C$25,Seguros_Oblig!$A$3:$B$55,2,FALSE))),(C123*(VLOOKUP('Crédito de Vivienda'!$C$25,Seguros_Oblig!$A$3:$D$55,4,FALSE))))</f>
        <v>#VALUE!</v>
      </c>
      <c r="H124" s="8" t="e">
        <f>IF('Crédito de Vivienda'!$C$10="TARIFA 1",(C123*(VLOOKUP('Crédito de Vivienda'!$C$26,Seguros_Oblig!$A$3:$B$55,2,FALSE))),(C123*(VLOOKUP('Crédito de Vivienda'!$C$26,Seguros_Oblig!$A$3:$D$55,4,FALSE))))</f>
        <v>#VALUE!</v>
      </c>
      <c r="I124" s="8" t="e">
        <f>IF('Crédito de Vivienda'!$C$10="TARIFA 1",(C123*(VLOOKUP('Crédito de Vivienda'!$C$27,Seguros_Oblig!$A$3:$B$55,2,FALSE))),(C123*(VLOOKUP('Crédito de Vivienda'!$C$27,Seguros_Oblig!$A$3:$D$55,4,FALSE))))</f>
        <v>#VALUE!</v>
      </c>
      <c r="J124" s="10">
        <f t="shared" si="9"/>
        <v>0</v>
      </c>
      <c r="K124" s="7" t="e">
        <f>IF(C123&lt;1,"0",Seguros_Oblig!$K$2*('Crédito de Vivienda'!$C$12*90%))</f>
        <v>#VALUE!</v>
      </c>
      <c r="L124" s="7" t="e">
        <f>IF(B124=" ","0",PMT('Crédito de Vivienda'!$E$17,'Crédito de Vivienda'!$C$18,-'Crédito de Vivienda'!$C$15,,))</f>
        <v>#VALUE!</v>
      </c>
      <c r="M124" s="9" t="e">
        <f t="shared" si="10"/>
        <v>#VALUE!</v>
      </c>
      <c r="N124" s="7" t="e">
        <f>IF(C123&lt;1,"0",'Crédito de Vivienda'!$C$40)</f>
        <v>#VALUE!</v>
      </c>
      <c r="O124" s="9" t="e">
        <f t="shared" si="11"/>
        <v>#VALUE!</v>
      </c>
    </row>
    <row r="125" spans="2:15" ht="15.5" x14ac:dyDescent="0.35">
      <c r="B125" s="6" t="e">
        <f t="shared" si="7"/>
        <v>#VALUE!</v>
      </c>
      <c r="C125" s="7" t="e">
        <f t="shared" si="8"/>
        <v>#VALUE!</v>
      </c>
      <c r="D125" s="7" t="e">
        <f t="shared" si="12"/>
        <v>#VALUE!</v>
      </c>
      <c r="E125" s="7" t="e">
        <f>C124*'Crédito de Vivienda'!$E$17</f>
        <v>#VALUE!</v>
      </c>
      <c r="F125" s="282" t="e">
        <f>IF(C124&lt;1,"0",IF('Crédito de Vivienda'!$D$28="Si",($C$17*(VLOOKUP('Crédito de Vivienda'!$C$24,Seguros_Oblig!$A$3:$F$55,6,FALSE))),IF('Crédito de Vivienda'!$C$10="TARIFA 1",(C124*(VLOOKUP('Crédito de Vivienda'!$C$24,Seguros_Oblig!$A$3:$B$55,2,FALSE))),(C124*(VLOOKUP('Crédito de Vivienda'!$C$24,Seguros_Oblig!$A$3:$D$55,4,FALSE))))))</f>
        <v>#VALUE!</v>
      </c>
      <c r="G125" s="8" t="e">
        <f>IF('Crédito de Vivienda'!$C$10="TARIFA 1",(C124*(VLOOKUP('Crédito de Vivienda'!$C$25,Seguros_Oblig!$A$3:$B$55,2,FALSE))),(C124*(VLOOKUP('Crédito de Vivienda'!$C$25,Seguros_Oblig!$A$3:$D$55,4,FALSE))))</f>
        <v>#VALUE!</v>
      </c>
      <c r="H125" s="8" t="e">
        <f>IF('Crédito de Vivienda'!$C$10="TARIFA 1",(C124*(VLOOKUP('Crédito de Vivienda'!$C$26,Seguros_Oblig!$A$3:$B$55,2,FALSE))),(C124*(VLOOKUP('Crédito de Vivienda'!$C$26,Seguros_Oblig!$A$3:$D$55,4,FALSE))))</f>
        <v>#VALUE!</v>
      </c>
      <c r="I125" s="8" t="e">
        <f>IF('Crédito de Vivienda'!$C$10="TARIFA 1",(C124*(VLOOKUP('Crédito de Vivienda'!$C$27,Seguros_Oblig!$A$3:$B$55,2,FALSE))),(C124*(VLOOKUP('Crédito de Vivienda'!$C$27,Seguros_Oblig!$A$3:$D$55,4,FALSE))))</f>
        <v>#VALUE!</v>
      </c>
      <c r="J125" s="10">
        <f t="shared" si="9"/>
        <v>0</v>
      </c>
      <c r="K125" s="7" t="e">
        <f>IF(C124&lt;1,"0",Seguros_Oblig!$K$2*('Crédito de Vivienda'!$C$12*90%))</f>
        <v>#VALUE!</v>
      </c>
      <c r="L125" s="7" t="e">
        <f>IF(B125=" ","0",PMT('Crédito de Vivienda'!$E$17,'Crédito de Vivienda'!$C$18,-'Crédito de Vivienda'!$C$15,,))</f>
        <v>#VALUE!</v>
      </c>
      <c r="M125" s="9" t="e">
        <f t="shared" si="10"/>
        <v>#VALUE!</v>
      </c>
      <c r="N125" s="7" t="e">
        <f>IF(C124&lt;1,"0",'Crédito de Vivienda'!$C$40)</f>
        <v>#VALUE!</v>
      </c>
      <c r="O125" s="9" t="e">
        <f t="shared" si="11"/>
        <v>#VALUE!</v>
      </c>
    </row>
    <row r="126" spans="2:15" ht="15.5" x14ac:dyDescent="0.35">
      <c r="B126" s="6" t="e">
        <f t="shared" si="7"/>
        <v>#VALUE!</v>
      </c>
      <c r="C126" s="7" t="e">
        <f t="shared" si="8"/>
        <v>#VALUE!</v>
      </c>
      <c r="D126" s="7" t="e">
        <f t="shared" si="12"/>
        <v>#VALUE!</v>
      </c>
      <c r="E126" s="7" t="e">
        <f>C125*'Crédito de Vivienda'!$E$17</f>
        <v>#VALUE!</v>
      </c>
      <c r="F126" s="282" t="e">
        <f>IF(C125&lt;1,"0",IF('Crédito de Vivienda'!$D$28="Si",($C$17*(VLOOKUP('Crédito de Vivienda'!$C$24,Seguros_Oblig!$A$3:$F$55,6,FALSE))),IF('Crédito de Vivienda'!$C$10="TARIFA 1",(C125*(VLOOKUP('Crédito de Vivienda'!$C$24,Seguros_Oblig!$A$3:$B$55,2,FALSE))),(C125*(VLOOKUP('Crédito de Vivienda'!$C$24,Seguros_Oblig!$A$3:$D$55,4,FALSE))))))</f>
        <v>#VALUE!</v>
      </c>
      <c r="G126" s="8" t="e">
        <f>IF('Crédito de Vivienda'!$C$10="TARIFA 1",(C125*(VLOOKUP('Crédito de Vivienda'!$C$25,Seguros_Oblig!$A$3:$B$55,2,FALSE))),(C125*(VLOOKUP('Crédito de Vivienda'!$C$25,Seguros_Oblig!$A$3:$D$55,4,FALSE))))</f>
        <v>#VALUE!</v>
      </c>
      <c r="H126" s="8" t="e">
        <f>IF('Crédito de Vivienda'!$C$10="TARIFA 1",(C125*(VLOOKUP('Crédito de Vivienda'!$C$26,Seguros_Oblig!$A$3:$B$55,2,FALSE))),(C125*(VLOOKUP('Crédito de Vivienda'!$C$26,Seguros_Oblig!$A$3:$D$55,4,FALSE))))</f>
        <v>#VALUE!</v>
      </c>
      <c r="I126" s="8" t="e">
        <f>IF('Crédito de Vivienda'!$C$10="TARIFA 1",(C125*(VLOOKUP('Crédito de Vivienda'!$C$27,Seguros_Oblig!$A$3:$B$55,2,FALSE))),(C125*(VLOOKUP('Crédito de Vivienda'!$C$27,Seguros_Oblig!$A$3:$D$55,4,FALSE))))</f>
        <v>#VALUE!</v>
      </c>
      <c r="J126" s="10">
        <f t="shared" si="9"/>
        <v>0</v>
      </c>
      <c r="K126" s="7" t="e">
        <f>IF(C125&lt;1,"0",Seguros_Oblig!$K$2*('Crédito de Vivienda'!$C$12*90%))</f>
        <v>#VALUE!</v>
      </c>
      <c r="L126" s="7" t="e">
        <f>IF(B126=" ","0",PMT('Crédito de Vivienda'!$E$17,'Crédito de Vivienda'!$C$18,-'Crédito de Vivienda'!$C$15,,))</f>
        <v>#VALUE!</v>
      </c>
      <c r="M126" s="9" t="e">
        <f t="shared" si="10"/>
        <v>#VALUE!</v>
      </c>
      <c r="N126" s="7" t="e">
        <f>IF(C125&lt;1,"0",'Crédito de Vivienda'!$C$40)</f>
        <v>#VALUE!</v>
      </c>
      <c r="O126" s="9" t="e">
        <f t="shared" si="11"/>
        <v>#VALUE!</v>
      </c>
    </row>
    <row r="127" spans="2:15" ht="15.5" x14ac:dyDescent="0.35">
      <c r="B127" s="6" t="e">
        <f t="shared" si="7"/>
        <v>#VALUE!</v>
      </c>
      <c r="C127" s="7" t="e">
        <f t="shared" si="8"/>
        <v>#VALUE!</v>
      </c>
      <c r="D127" s="7" t="e">
        <f t="shared" si="12"/>
        <v>#VALUE!</v>
      </c>
      <c r="E127" s="7" t="e">
        <f>C126*'Crédito de Vivienda'!$E$17</f>
        <v>#VALUE!</v>
      </c>
      <c r="F127" s="282" t="e">
        <f>IF(C126&lt;1,"0",IF('Crédito de Vivienda'!$D$28="Si",($C$17*(VLOOKUP('Crédito de Vivienda'!$C$24,Seguros_Oblig!$A$3:$F$55,6,FALSE))),IF('Crédito de Vivienda'!$C$10="TARIFA 1",(C126*(VLOOKUP('Crédito de Vivienda'!$C$24,Seguros_Oblig!$A$3:$B$55,2,FALSE))),(C126*(VLOOKUP('Crédito de Vivienda'!$C$24,Seguros_Oblig!$A$3:$D$55,4,FALSE))))))</f>
        <v>#VALUE!</v>
      </c>
      <c r="G127" s="8" t="e">
        <f>IF('Crédito de Vivienda'!$C$10="TARIFA 1",(C126*(VLOOKUP('Crédito de Vivienda'!$C$25,Seguros_Oblig!$A$3:$B$55,2,FALSE))),(C126*(VLOOKUP('Crédito de Vivienda'!$C$25,Seguros_Oblig!$A$3:$D$55,4,FALSE))))</f>
        <v>#VALUE!</v>
      </c>
      <c r="H127" s="8" t="e">
        <f>IF('Crédito de Vivienda'!$C$10="TARIFA 1",(C126*(VLOOKUP('Crédito de Vivienda'!$C$26,Seguros_Oblig!$A$3:$B$55,2,FALSE))),(C126*(VLOOKUP('Crédito de Vivienda'!$C$26,Seguros_Oblig!$A$3:$D$55,4,FALSE))))</f>
        <v>#VALUE!</v>
      </c>
      <c r="I127" s="8" t="e">
        <f>IF('Crédito de Vivienda'!$C$10="TARIFA 1",(C126*(VLOOKUP('Crédito de Vivienda'!$C$27,Seguros_Oblig!$A$3:$B$55,2,FALSE))),(C126*(VLOOKUP('Crédito de Vivienda'!$C$27,Seguros_Oblig!$A$3:$D$55,4,FALSE))))</f>
        <v>#VALUE!</v>
      </c>
      <c r="J127" s="10">
        <f t="shared" si="9"/>
        <v>0</v>
      </c>
      <c r="K127" s="7" t="e">
        <f>IF(C126&lt;1,"0",Seguros_Oblig!$K$2*('Crédito de Vivienda'!$C$12*90%))</f>
        <v>#VALUE!</v>
      </c>
      <c r="L127" s="7" t="e">
        <f>IF(B127=" ","0",PMT('Crédito de Vivienda'!$E$17,'Crédito de Vivienda'!$C$18,-'Crédito de Vivienda'!$C$15,,))</f>
        <v>#VALUE!</v>
      </c>
      <c r="M127" s="9" t="e">
        <f t="shared" si="10"/>
        <v>#VALUE!</v>
      </c>
      <c r="N127" s="7" t="e">
        <f>IF(C126&lt;1,"0",'Crédito de Vivienda'!$C$40)</f>
        <v>#VALUE!</v>
      </c>
      <c r="O127" s="9" t="e">
        <f t="shared" si="11"/>
        <v>#VALUE!</v>
      </c>
    </row>
    <row r="128" spans="2:15" ht="15.5" x14ac:dyDescent="0.35">
      <c r="B128" s="6" t="e">
        <f t="shared" si="7"/>
        <v>#VALUE!</v>
      </c>
      <c r="C128" s="7" t="e">
        <f t="shared" si="8"/>
        <v>#VALUE!</v>
      </c>
      <c r="D128" s="7" t="e">
        <f t="shared" si="12"/>
        <v>#VALUE!</v>
      </c>
      <c r="E128" s="7" t="e">
        <f>C127*'Crédito de Vivienda'!$E$17</f>
        <v>#VALUE!</v>
      </c>
      <c r="F128" s="282" t="e">
        <f>IF(C127&lt;1,"0",IF('Crédito de Vivienda'!$D$28="Si",($C$17*(VLOOKUP('Crédito de Vivienda'!$C$24,Seguros_Oblig!$A$3:$F$55,6,FALSE))),IF('Crédito de Vivienda'!$C$10="TARIFA 1",(C127*(VLOOKUP('Crédito de Vivienda'!$C$24,Seguros_Oblig!$A$3:$B$55,2,FALSE))),(C127*(VLOOKUP('Crédito de Vivienda'!$C$24,Seguros_Oblig!$A$3:$D$55,4,FALSE))))))</f>
        <v>#VALUE!</v>
      </c>
      <c r="G128" s="8" t="e">
        <f>IF('Crédito de Vivienda'!$C$10="TARIFA 1",(C127*(VLOOKUP('Crédito de Vivienda'!$C$25,Seguros_Oblig!$A$3:$B$55,2,FALSE))),(C127*(VLOOKUP('Crédito de Vivienda'!$C$25,Seguros_Oblig!$A$3:$D$55,4,FALSE))))</f>
        <v>#VALUE!</v>
      </c>
      <c r="H128" s="8" t="e">
        <f>IF('Crédito de Vivienda'!$C$10="TARIFA 1",(C127*(VLOOKUP('Crédito de Vivienda'!$C$26,Seguros_Oblig!$A$3:$B$55,2,FALSE))),(C127*(VLOOKUP('Crédito de Vivienda'!$C$26,Seguros_Oblig!$A$3:$D$55,4,FALSE))))</f>
        <v>#VALUE!</v>
      </c>
      <c r="I128" s="8" t="e">
        <f>IF('Crédito de Vivienda'!$C$10="TARIFA 1",(C127*(VLOOKUP('Crédito de Vivienda'!$C$27,Seguros_Oblig!$A$3:$B$55,2,FALSE))),(C127*(VLOOKUP('Crédito de Vivienda'!$C$27,Seguros_Oblig!$A$3:$D$55,4,FALSE))))</f>
        <v>#VALUE!</v>
      </c>
      <c r="J128" s="10">
        <f t="shared" si="9"/>
        <v>0</v>
      </c>
      <c r="K128" s="7" t="e">
        <f>IF(C127&lt;1,"0",Seguros_Oblig!$K$2*('Crédito de Vivienda'!$C$12*90%))</f>
        <v>#VALUE!</v>
      </c>
      <c r="L128" s="7" t="e">
        <f>IF(B128=" ","0",PMT('Crédito de Vivienda'!$E$17,'Crédito de Vivienda'!$C$18,-'Crédito de Vivienda'!$C$15,,))</f>
        <v>#VALUE!</v>
      </c>
      <c r="M128" s="9" t="e">
        <f t="shared" si="10"/>
        <v>#VALUE!</v>
      </c>
      <c r="N128" s="7" t="e">
        <f>IF(C127&lt;1,"0",'Crédito de Vivienda'!$C$40)</f>
        <v>#VALUE!</v>
      </c>
      <c r="O128" s="9" t="e">
        <f t="shared" si="11"/>
        <v>#VALUE!</v>
      </c>
    </row>
    <row r="129" spans="2:15" ht="15.5" x14ac:dyDescent="0.35">
      <c r="B129" s="6" t="e">
        <f t="shared" si="7"/>
        <v>#VALUE!</v>
      </c>
      <c r="C129" s="7" t="e">
        <f t="shared" si="8"/>
        <v>#VALUE!</v>
      </c>
      <c r="D129" s="7" t="e">
        <f t="shared" si="12"/>
        <v>#VALUE!</v>
      </c>
      <c r="E129" s="7" t="e">
        <f>C128*'Crédito de Vivienda'!$E$17</f>
        <v>#VALUE!</v>
      </c>
      <c r="F129" s="282" t="e">
        <f>IF(C128&lt;1,"0",IF('Crédito de Vivienda'!$D$28="Si",($C$17*(VLOOKUP('Crédito de Vivienda'!$C$24,Seguros_Oblig!$A$3:$F$55,6,FALSE))),IF('Crédito de Vivienda'!$C$10="TARIFA 1",(C128*(VLOOKUP('Crédito de Vivienda'!$C$24,Seguros_Oblig!$A$3:$B$55,2,FALSE))),(C128*(VLOOKUP('Crédito de Vivienda'!$C$24,Seguros_Oblig!$A$3:$D$55,4,FALSE))))))</f>
        <v>#VALUE!</v>
      </c>
      <c r="G129" s="8" t="e">
        <f>IF('Crédito de Vivienda'!$C$10="TARIFA 1",(C128*(VLOOKUP('Crédito de Vivienda'!$C$25,Seguros_Oblig!$A$3:$B$55,2,FALSE))),(C128*(VLOOKUP('Crédito de Vivienda'!$C$25,Seguros_Oblig!$A$3:$D$55,4,FALSE))))</f>
        <v>#VALUE!</v>
      </c>
      <c r="H129" s="8" t="e">
        <f>IF('Crédito de Vivienda'!$C$10="TARIFA 1",(C128*(VLOOKUP('Crédito de Vivienda'!$C$26,Seguros_Oblig!$A$3:$B$55,2,FALSE))),(C128*(VLOOKUP('Crédito de Vivienda'!$C$26,Seguros_Oblig!$A$3:$D$55,4,FALSE))))</f>
        <v>#VALUE!</v>
      </c>
      <c r="I129" s="8" t="e">
        <f>IF('Crédito de Vivienda'!$C$10="TARIFA 1",(C128*(VLOOKUP('Crédito de Vivienda'!$C$27,Seguros_Oblig!$A$3:$B$55,2,FALSE))),(C128*(VLOOKUP('Crédito de Vivienda'!$C$27,Seguros_Oblig!$A$3:$D$55,4,FALSE))))</f>
        <v>#VALUE!</v>
      </c>
      <c r="J129" s="10">
        <f t="shared" si="9"/>
        <v>0</v>
      </c>
      <c r="K129" s="7" t="e">
        <f>IF(C128&lt;1,"0",Seguros_Oblig!$K$2*('Crédito de Vivienda'!$C$12*90%))</f>
        <v>#VALUE!</v>
      </c>
      <c r="L129" s="7" t="e">
        <f>IF(B129=" ","0",PMT('Crédito de Vivienda'!$E$17,'Crédito de Vivienda'!$C$18,-'Crédito de Vivienda'!$C$15,,))</f>
        <v>#VALUE!</v>
      </c>
      <c r="M129" s="9" t="e">
        <f t="shared" si="10"/>
        <v>#VALUE!</v>
      </c>
      <c r="N129" s="7" t="e">
        <f>IF(C128&lt;1,"0",'Crédito de Vivienda'!$C$40)</f>
        <v>#VALUE!</v>
      </c>
      <c r="O129" s="9" t="e">
        <f t="shared" si="11"/>
        <v>#VALUE!</v>
      </c>
    </row>
    <row r="130" spans="2:15" ht="15.5" x14ac:dyDescent="0.35">
      <c r="B130" s="6" t="e">
        <f t="shared" si="7"/>
        <v>#VALUE!</v>
      </c>
      <c r="C130" s="7" t="e">
        <f t="shared" si="8"/>
        <v>#VALUE!</v>
      </c>
      <c r="D130" s="7" t="e">
        <f t="shared" si="12"/>
        <v>#VALUE!</v>
      </c>
      <c r="E130" s="7" t="e">
        <f>C129*'Crédito de Vivienda'!$E$17</f>
        <v>#VALUE!</v>
      </c>
      <c r="F130" s="282" t="e">
        <f>IF(C129&lt;1,"0",IF('Crédito de Vivienda'!$D$28="Si",($C$17*(VLOOKUP('Crédito de Vivienda'!$C$24,Seguros_Oblig!$A$3:$F$55,6,FALSE))),IF('Crédito de Vivienda'!$C$10="TARIFA 1",(C129*(VLOOKUP('Crédito de Vivienda'!$C$24,Seguros_Oblig!$A$3:$B$55,2,FALSE))),(C129*(VLOOKUP('Crédito de Vivienda'!$C$24,Seguros_Oblig!$A$3:$D$55,4,FALSE))))))</f>
        <v>#VALUE!</v>
      </c>
      <c r="G130" s="8" t="e">
        <f>IF('Crédito de Vivienda'!$C$10="TARIFA 1",(C129*(VLOOKUP('Crédito de Vivienda'!$C$25,Seguros_Oblig!$A$3:$B$55,2,FALSE))),(C129*(VLOOKUP('Crédito de Vivienda'!$C$25,Seguros_Oblig!$A$3:$D$55,4,FALSE))))</f>
        <v>#VALUE!</v>
      </c>
      <c r="H130" s="8" t="e">
        <f>IF('Crédito de Vivienda'!$C$10="TARIFA 1",(C129*(VLOOKUP('Crédito de Vivienda'!$C$26,Seguros_Oblig!$A$3:$B$55,2,FALSE))),(C129*(VLOOKUP('Crédito de Vivienda'!$C$26,Seguros_Oblig!$A$3:$D$55,4,FALSE))))</f>
        <v>#VALUE!</v>
      </c>
      <c r="I130" s="8" t="e">
        <f>IF('Crédito de Vivienda'!$C$10="TARIFA 1",(C129*(VLOOKUP('Crédito de Vivienda'!$C$27,Seguros_Oblig!$A$3:$B$55,2,FALSE))),(C129*(VLOOKUP('Crédito de Vivienda'!$C$27,Seguros_Oblig!$A$3:$D$55,4,FALSE))))</f>
        <v>#VALUE!</v>
      </c>
      <c r="J130" s="10">
        <f t="shared" si="9"/>
        <v>0</v>
      </c>
      <c r="K130" s="7" t="e">
        <f>IF(C129&lt;1,"0",Seguros_Oblig!$K$2*('Crédito de Vivienda'!$C$12*90%))</f>
        <v>#VALUE!</v>
      </c>
      <c r="L130" s="7" t="e">
        <f>IF(B130=" ","0",PMT('Crédito de Vivienda'!$E$17,'Crédito de Vivienda'!$C$18,-'Crédito de Vivienda'!$C$15,,))</f>
        <v>#VALUE!</v>
      </c>
      <c r="M130" s="9" t="e">
        <f t="shared" si="10"/>
        <v>#VALUE!</v>
      </c>
      <c r="N130" s="7" t="e">
        <f>IF(C129&lt;1,"0",'Crédito de Vivienda'!$C$40)</f>
        <v>#VALUE!</v>
      </c>
      <c r="O130" s="9" t="e">
        <f t="shared" si="11"/>
        <v>#VALUE!</v>
      </c>
    </row>
    <row r="131" spans="2:15" ht="15.5" x14ac:dyDescent="0.35">
      <c r="B131" s="6" t="e">
        <f t="shared" si="7"/>
        <v>#VALUE!</v>
      </c>
      <c r="C131" s="7" t="e">
        <f t="shared" si="8"/>
        <v>#VALUE!</v>
      </c>
      <c r="D131" s="7" t="e">
        <f t="shared" si="12"/>
        <v>#VALUE!</v>
      </c>
      <c r="E131" s="7" t="e">
        <f>C130*'Crédito de Vivienda'!$E$17</f>
        <v>#VALUE!</v>
      </c>
      <c r="F131" s="282" t="e">
        <f>IF(C130&lt;1,"0",IF('Crédito de Vivienda'!$D$28="Si",($C$17*(VLOOKUP('Crédito de Vivienda'!$C$24,Seguros_Oblig!$A$3:$F$55,6,FALSE))),IF('Crédito de Vivienda'!$C$10="TARIFA 1",(C130*(VLOOKUP('Crédito de Vivienda'!$C$24,Seguros_Oblig!$A$3:$B$55,2,FALSE))),(C130*(VLOOKUP('Crédito de Vivienda'!$C$24,Seguros_Oblig!$A$3:$D$55,4,FALSE))))))</f>
        <v>#VALUE!</v>
      </c>
      <c r="G131" s="8" t="e">
        <f>IF('Crédito de Vivienda'!$C$10="TARIFA 1",(C130*(VLOOKUP('Crédito de Vivienda'!$C$25,Seguros_Oblig!$A$3:$B$55,2,FALSE))),(C130*(VLOOKUP('Crédito de Vivienda'!$C$25,Seguros_Oblig!$A$3:$D$55,4,FALSE))))</f>
        <v>#VALUE!</v>
      </c>
      <c r="H131" s="8" t="e">
        <f>IF('Crédito de Vivienda'!$C$10="TARIFA 1",(C130*(VLOOKUP('Crédito de Vivienda'!$C$26,Seguros_Oblig!$A$3:$B$55,2,FALSE))),(C130*(VLOOKUP('Crédito de Vivienda'!$C$26,Seguros_Oblig!$A$3:$D$55,4,FALSE))))</f>
        <v>#VALUE!</v>
      </c>
      <c r="I131" s="8" t="e">
        <f>IF('Crédito de Vivienda'!$C$10="TARIFA 1",(C130*(VLOOKUP('Crédito de Vivienda'!$C$27,Seguros_Oblig!$A$3:$B$55,2,FALSE))),(C130*(VLOOKUP('Crédito de Vivienda'!$C$27,Seguros_Oblig!$A$3:$D$55,4,FALSE))))</f>
        <v>#VALUE!</v>
      </c>
      <c r="J131" s="10">
        <f t="shared" si="9"/>
        <v>0</v>
      </c>
      <c r="K131" s="7" t="e">
        <f>IF(C130&lt;1,"0",Seguros_Oblig!$K$2*('Crédito de Vivienda'!$C$12*90%))</f>
        <v>#VALUE!</v>
      </c>
      <c r="L131" s="7" t="e">
        <f>IF(B131=" ","0",PMT('Crédito de Vivienda'!$E$17,'Crédito de Vivienda'!$C$18,-'Crédito de Vivienda'!$C$15,,))</f>
        <v>#VALUE!</v>
      </c>
      <c r="M131" s="9" t="e">
        <f t="shared" si="10"/>
        <v>#VALUE!</v>
      </c>
      <c r="N131" s="7" t="e">
        <f>IF(C130&lt;1,"0",'Crédito de Vivienda'!$C$40)</f>
        <v>#VALUE!</v>
      </c>
      <c r="O131" s="9" t="e">
        <f t="shared" si="11"/>
        <v>#VALUE!</v>
      </c>
    </row>
    <row r="132" spans="2:15" ht="15.5" x14ac:dyDescent="0.35">
      <c r="B132" s="6" t="e">
        <f t="shared" si="7"/>
        <v>#VALUE!</v>
      </c>
      <c r="C132" s="7" t="e">
        <f t="shared" si="8"/>
        <v>#VALUE!</v>
      </c>
      <c r="D132" s="7" t="e">
        <f t="shared" si="12"/>
        <v>#VALUE!</v>
      </c>
      <c r="E132" s="7" t="e">
        <f>C131*'Crédito de Vivienda'!$E$17</f>
        <v>#VALUE!</v>
      </c>
      <c r="F132" s="282" t="e">
        <f>IF(C131&lt;1,"0",IF('Crédito de Vivienda'!$D$28="Si",($C$17*(VLOOKUP('Crédito de Vivienda'!$C$24,Seguros_Oblig!$A$3:$F$55,6,FALSE))),IF('Crédito de Vivienda'!$C$10="TARIFA 1",(C131*(VLOOKUP('Crédito de Vivienda'!$C$24,Seguros_Oblig!$A$3:$B$55,2,FALSE))),(C131*(VLOOKUP('Crédito de Vivienda'!$C$24,Seguros_Oblig!$A$3:$D$55,4,FALSE))))))</f>
        <v>#VALUE!</v>
      </c>
      <c r="G132" s="8" t="e">
        <f>IF('Crédito de Vivienda'!$C$10="TARIFA 1",(C131*(VLOOKUP('Crédito de Vivienda'!$C$25,Seguros_Oblig!$A$3:$B$55,2,FALSE))),(C131*(VLOOKUP('Crédito de Vivienda'!$C$25,Seguros_Oblig!$A$3:$D$55,4,FALSE))))</f>
        <v>#VALUE!</v>
      </c>
      <c r="H132" s="8" t="e">
        <f>IF('Crédito de Vivienda'!$C$10="TARIFA 1",(C131*(VLOOKUP('Crédito de Vivienda'!$C$26,Seguros_Oblig!$A$3:$B$55,2,FALSE))),(C131*(VLOOKUP('Crédito de Vivienda'!$C$26,Seguros_Oblig!$A$3:$D$55,4,FALSE))))</f>
        <v>#VALUE!</v>
      </c>
      <c r="I132" s="8" t="e">
        <f>IF('Crédito de Vivienda'!$C$10="TARIFA 1",(C131*(VLOOKUP('Crédito de Vivienda'!$C$27,Seguros_Oblig!$A$3:$B$55,2,FALSE))),(C131*(VLOOKUP('Crédito de Vivienda'!$C$27,Seguros_Oblig!$A$3:$D$55,4,FALSE))))</f>
        <v>#VALUE!</v>
      </c>
      <c r="J132" s="10">
        <f t="shared" si="9"/>
        <v>0</v>
      </c>
      <c r="K132" s="7" t="e">
        <f>IF(C131&lt;1,"0",Seguros_Oblig!$K$2*('Crédito de Vivienda'!$C$12*90%))</f>
        <v>#VALUE!</v>
      </c>
      <c r="L132" s="7" t="e">
        <f>IF(B132=" ","0",PMT('Crédito de Vivienda'!$E$17,'Crédito de Vivienda'!$C$18,-'Crédito de Vivienda'!$C$15,,))</f>
        <v>#VALUE!</v>
      </c>
      <c r="M132" s="9" t="e">
        <f t="shared" si="10"/>
        <v>#VALUE!</v>
      </c>
      <c r="N132" s="7" t="e">
        <f>IF(C131&lt;1,"0",'Crédito de Vivienda'!$C$40)</f>
        <v>#VALUE!</v>
      </c>
      <c r="O132" s="9" t="e">
        <f t="shared" si="11"/>
        <v>#VALUE!</v>
      </c>
    </row>
    <row r="133" spans="2:15" ht="15.5" x14ac:dyDescent="0.35">
      <c r="B133" s="6" t="e">
        <f t="shared" si="7"/>
        <v>#VALUE!</v>
      </c>
      <c r="C133" s="7" t="e">
        <f t="shared" si="8"/>
        <v>#VALUE!</v>
      </c>
      <c r="D133" s="7" t="e">
        <f t="shared" si="12"/>
        <v>#VALUE!</v>
      </c>
      <c r="E133" s="7" t="e">
        <f>C132*'Crédito de Vivienda'!$E$17</f>
        <v>#VALUE!</v>
      </c>
      <c r="F133" s="282" t="e">
        <f>IF(C132&lt;1,"0",IF('Crédito de Vivienda'!$D$28="Si",($C$17*(VLOOKUP('Crédito de Vivienda'!$C$24,Seguros_Oblig!$A$3:$F$55,6,FALSE))),IF('Crédito de Vivienda'!$C$10="TARIFA 1",(C132*(VLOOKUP('Crédito de Vivienda'!$C$24,Seguros_Oblig!$A$3:$B$55,2,FALSE))),(C132*(VLOOKUP('Crédito de Vivienda'!$C$24,Seguros_Oblig!$A$3:$D$55,4,FALSE))))))</f>
        <v>#VALUE!</v>
      </c>
      <c r="G133" s="8" t="e">
        <f>IF('Crédito de Vivienda'!$C$10="TARIFA 1",(C132*(VLOOKUP('Crédito de Vivienda'!$C$25,Seguros_Oblig!$A$3:$B$55,2,FALSE))),(C132*(VLOOKUP('Crédito de Vivienda'!$C$25,Seguros_Oblig!$A$3:$D$55,4,FALSE))))</f>
        <v>#VALUE!</v>
      </c>
      <c r="H133" s="8" t="e">
        <f>IF('Crédito de Vivienda'!$C$10="TARIFA 1",(C132*(VLOOKUP('Crédito de Vivienda'!$C$26,Seguros_Oblig!$A$3:$B$55,2,FALSE))),(C132*(VLOOKUP('Crédito de Vivienda'!$C$26,Seguros_Oblig!$A$3:$D$55,4,FALSE))))</f>
        <v>#VALUE!</v>
      </c>
      <c r="I133" s="8" t="e">
        <f>IF('Crédito de Vivienda'!$C$10="TARIFA 1",(C132*(VLOOKUP('Crédito de Vivienda'!$C$27,Seguros_Oblig!$A$3:$B$55,2,FALSE))),(C132*(VLOOKUP('Crédito de Vivienda'!$C$27,Seguros_Oblig!$A$3:$D$55,4,FALSE))))</f>
        <v>#VALUE!</v>
      </c>
      <c r="J133" s="10">
        <f t="shared" si="9"/>
        <v>0</v>
      </c>
      <c r="K133" s="7" t="e">
        <f>IF(C132&lt;1,"0",Seguros_Oblig!$K$2*('Crédito de Vivienda'!$C$12*90%))</f>
        <v>#VALUE!</v>
      </c>
      <c r="L133" s="7" t="e">
        <f>IF(B133=" ","0",PMT('Crédito de Vivienda'!$E$17,'Crédito de Vivienda'!$C$18,-'Crédito de Vivienda'!$C$15,,))</f>
        <v>#VALUE!</v>
      </c>
      <c r="M133" s="9" t="e">
        <f t="shared" si="10"/>
        <v>#VALUE!</v>
      </c>
      <c r="N133" s="7" t="e">
        <f>IF(C132&lt;1,"0",'Crédito de Vivienda'!$C$40)</f>
        <v>#VALUE!</v>
      </c>
      <c r="O133" s="9" t="e">
        <f t="shared" si="11"/>
        <v>#VALUE!</v>
      </c>
    </row>
    <row r="134" spans="2:15" ht="15.5" x14ac:dyDescent="0.35">
      <c r="B134" s="6" t="e">
        <f t="shared" si="7"/>
        <v>#VALUE!</v>
      </c>
      <c r="C134" s="7" t="e">
        <f t="shared" si="8"/>
        <v>#VALUE!</v>
      </c>
      <c r="D134" s="7" t="e">
        <f t="shared" si="12"/>
        <v>#VALUE!</v>
      </c>
      <c r="E134" s="7" t="e">
        <f>C133*'Crédito de Vivienda'!$E$17</f>
        <v>#VALUE!</v>
      </c>
      <c r="F134" s="282" t="e">
        <f>IF(C133&lt;1,"0",IF('Crédito de Vivienda'!$D$28="Si",($C$17*(VLOOKUP('Crédito de Vivienda'!$C$24,Seguros_Oblig!$A$3:$F$55,6,FALSE))),IF('Crédito de Vivienda'!$C$10="TARIFA 1",(C133*(VLOOKUP('Crédito de Vivienda'!$C$24,Seguros_Oblig!$A$3:$B$55,2,FALSE))),(C133*(VLOOKUP('Crédito de Vivienda'!$C$24,Seguros_Oblig!$A$3:$D$55,4,FALSE))))))</f>
        <v>#VALUE!</v>
      </c>
      <c r="G134" s="8" t="e">
        <f>IF('Crédito de Vivienda'!$C$10="TARIFA 1",(C133*(VLOOKUP('Crédito de Vivienda'!$C$25,Seguros_Oblig!$A$3:$B$55,2,FALSE))),(C133*(VLOOKUP('Crédito de Vivienda'!$C$25,Seguros_Oblig!$A$3:$D$55,4,FALSE))))</f>
        <v>#VALUE!</v>
      </c>
      <c r="H134" s="8" t="e">
        <f>IF('Crédito de Vivienda'!$C$10="TARIFA 1",(C133*(VLOOKUP('Crédito de Vivienda'!$C$26,Seguros_Oblig!$A$3:$B$55,2,FALSE))),(C133*(VLOOKUP('Crédito de Vivienda'!$C$26,Seguros_Oblig!$A$3:$D$55,4,FALSE))))</f>
        <v>#VALUE!</v>
      </c>
      <c r="I134" s="8" t="e">
        <f>IF('Crédito de Vivienda'!$C$10="TARIFA 1",(C133*(VLOOKUP('Crédito de Vivienda'!$C$27,Seguros_Oblig!$A$3:$B$55,2,FALSE))),(C133*(VLOOKUP('Crédito de Vivienda'!$C$27,Seguros_Oblig!$A$3:$D$55,4,FALSE))))</f>
        <v>#VALUE!</v>
      </c>
      <c r="J134" s="10">
        <f t="shared" si="9"/>
        <v>0</v>
      </c>
      <c r="K134" s="7" t="e">
        <f>IF(C133&lt;1,"0",Seguros_Oblig!$K$2*('Crédito de Vivienda'!$C$12*90%))</f>
        <v>#VALUE!</v>
      </c>
      <c r="L134" s="7" t="e">
        <f>IF(B134=" ","0",PMT('Crédito de Vivienda'!$E$17,'Crédito de Vivienda'!$C$18,-'Crédito de Vivienda'!$C$15,,))</f>
        <v>#VALUE!</v>
      </c>
      <c r="M134" s="9" t="e">
        <f t="shared" si="10"/>
        <v>#VALUE!</v>
      </c>
      <c r="N134" s="7" t="e">
        <f>IF(C133&lt;1,"0",'Crédito de Vivienda'!$C$40)</f>
        <v>#VALUE!</v>
      </c>
      <c r="O134" s="9" t="e">
        <f t="shared" si="11"/>
        <v>#VALUE!</v>
      </c>
    </row>
    <row r="135" spans="2:15" ht="15.5" x14ac:dyDescent="0.35">
      <c r="B135" s="6" t="e">
        <f t="shared" si="7"/>
        <v>#VALUE!</v>
      </c>
      <c r="C135" s="7" t="e">
        <f t="shared" si="8"/>
        <v>#VALUE!</v>
      </c>
      <c r="D135" s="7" t="e">
        <f t="shared" si="12"/>
        <v>#VALUE!</v>
      </c>
      <c r="E135" s="7" t="e">
        <f>C134*'Crédito de Vivienda'!$E$17</f>
        <v>#VALUE!</v>
      </c>
      <c r="F135" s="282" t="e">
        <f>IF(C134&lt;1,"0",IF('Crédito de Vivienda'!$D$28="Si",($C$17*(VLOOKUP('Crédito de Vivienda'!$C$24,Seguros_Oblig!$A$3:$F$55,6,FALSE))),IF('Crédito de Vivienda'!$C$10="TARIFA 1",(C134*(VLOOKUP('Crédito de Vivienda'!$C$24,Seguros_Oblig!$A$3:$B$55,2,FALSE))),(C134*(VLOOKUP('Crédito de Vivienda'!$C$24,Seguros_Oblig!$A$3:$D$55,4,FALSE))))))</f>
        <v>#VALUE!</v>
      </c>
      <c r="G135" s="8" t="e">
        <f>IF('Crédito de Vivienda'!$C$10="TARIFA 1",(C134*(VLOOKUP('Crédito de Vivienda'!$C$25,Seguros_Oblig!$A$3:$B$55,2,FALSE))),(C134*(VLOOKUP('Crédito de Vivienda'!$C$25,Seguros_Oblig!$A$3:$D$55,4,FALSE))))</f>
        <v>#VALUE!</v>
      </c>
      <c r="H135" s="8" t="e">
        <f>IF('Crédito de Vivienda'!$C$10="TARIFA 1",(C134*(VLOOKUP('Crédito de Vivienda'!$C$26,Seguros_Oblig!$A$3:$B$55,2,FALSE))),(C134*(VLOOKUP('Crédito de Vivienda'!$C$26,Seguros_Oblig!$A$3:$D$55,4,FALSE))))</f>
        <v>#VALUE!</v>
      </c>
      <c r="I135" s="8" t="e">
        <f>IF('Crédito de Vivienda'!$C$10="TARIFA 1",(C134*(VLOOKUP('Crédito de Vivienda'!$C$27,Seguros_Oblig!$A$3:$B$55,2,FALSE))),(C134*(VLOOKUP('Crédito de Vivienda'!$C$27,Seguros_Oblig!$A$3:$D$55,4,FALSE))))</f>
        <v>#VALUE!</v>
      </c>
      <c r="J135" s="10">
        <f t="shared" si="9"/>
        <v>0</v>
      </c>
      <c r="K135" s="7" t="e">
        <f>IF(C134&lt;1,"0",Seguros_Oblig!$K$2*('Crédito de Vivienda'!$C$12*90%))</f>
        <v>#VALUE!</v>
      </c>
      <c r="L135" s="7" t="e">
        <f>IF(B135=" ","0",PMT('Crédito de Vivienda'!$E$17,'Crédito de Vivienda'!$C$18,-'Crédito de Vivienda'!$C$15,,))</f>
        <v>#VALUE!</v>
      </c>
      <c r="M135" s="9" t="e">
        <f t="shared" si="10"/>
        <v>#VALUE!</v>
      </c>
      <c r="N135" s="7" t="e">
        <f>IF(C134&lt;1,"0",'Crédito de Vivienda'!$C$40)</f>
        <v>#VALUE!</v>
      </c>
      <c r="O135" s="9" t="e">
        <f t="shared" si="11"/>
        <v>#VALUE!</v>
      </c>
    </row>
    <row r="136" spans="2:15" ht="15.5" x14ac:dyDescent="0.35">
      <c r="B136" s="6" t="e">
        <f t="shared" si="7"/>
        <v>#VALUE!</v>
      </c>
      <c r="C136" s="7" t="e">
        <f t="shared" si="8"/>
        <v>#VALUE!</v>
      </c>
      <c r="D136" s="7" t="e">
        <f t="shared" si="12"/>
        <v>#VALUE!</v>
      </c>
      <c r="E136" s="7" t="e">
        <f>C135*'Crédito de Vivienda'!$E$17</f>
        <v>#VALUE!</v>
      </c>
      <c r="F136" s="282" t="e">
        <f>IF(C135&lt;1,"0",IF('Crédito de Vivienda'!$D$28="Si",($C$17*(VLOOKUP('Crédito de Vivienda'!$C$24,Seguros_Oblig!$A$3:$F$55,6,FALSE))),IF('Crédito de Vivienda'!$C$10="TARIFA 1",(C135*(VLOOKUP('Crédito de Vivienda'!$C$24,Seguros_Oblig!$A$3:$B$55,2,FALSE))),(C135*(VLOOKUP('Crédito de Vivienda'!$C$24,Seguros_Oblig!$A$3:$D$55,4,FALSE))))))</f>
        <v>#VALUE!</v>
      </c>
      <c r="G136" s="8" t="e">
        <f>IF('Crédito de Vivienda'!$C$10="TARIFA 1",(C135*(VLOOKUP('Crédito de Vivienda'!$C$25,Seguros_Oblig!$A$3:$B$55,2,FALSE))),(C135*(VLOOKUP('Crédito de Vivienda'!$C$25,Seguros_Oblig!$A$3:$D$55,4,FALSE))))</f>
        <v>#VALUE!</v>
      </c>
      <c r="H136" s="8" t="e">
        <f>IF('Crédito de Vivienda'!$C$10="TARIFA 1",(C135*(VLOOKUP('Crédito de Vivienda'!$C$26,Seguros_Oblig!$A$3:$B$55,2,FALSE))),(C135*(VLOOKUP('Crédito de Vivienda'!$C$26,Seguros_Oblig!$A$3:$D$55,4,FALSE))))</f>
        <v>#VALUE!</v>
      </c>
      <c r="I136" s="8" t="e">
        <f>IF('Crédito de Vivienda'!$C$10="TARIFA 1",(C135*(VLOOKUP('Crédito de Vivienda'!$C$27,Seguros_Oblig!$A$3:$B$55,2,FALSE))),(C135*(VLOOKUP('Crédito de Vivienda'!$C$27,Seguros_Oblig!$A$3:$D$55,4,FALSE))))</f>
        <v>#VALUE!</v>
      </c>
      <c r="J136" s="10">
        <f t="shared" si="9"/>
        <v>0</v>
      </c>
      <c r="K136" s="7" t="e">
        <f>IF(C135&lt;1,"0",Seguros_Oblig!$K$2*('Crédito de Vivienda'!$C$12*90%))</f>
        <v>#VALUE!</v>
      </c>
      <c r="L136" s="7" t="e">
        <f>IF(B136=" ","0",PMT('Crédito de Vivienda'!$E$17,'Crédito de Vivienda'!$C$18,-'Crédito de Vivienda'!$C$15,,))</f>
        <v>#VALUE!</v>
      </c>
      <c r="M136" s="9" t="e">
        <f t="shared" si="10"/>
        <v>#VALUE!</v>
      </c>
      <c r="N136" s="7" t="e">
        <f>IF(C135&lt;1,"0",'Crédito de Vivienda'!$C$40)</f>
        <v>#VALUE!</v>
      </c>
      <c r="O136" s="9" t="e">
        <f t="shared" si="11"/>
        <v>#VALUE!</v>
      </c>
    </row>
    <row r="137" spans="2:15" ht="15.5" x14ac:dyDescent="0.35">
      <c r="B137" s="6" t="e">
        <f t="shared" si="7"/>
        <v>#VALUE!</v>
      </c>
      <c r="C137" s="7" t="e">
        <f t="shared" si="8"/>
        <v>#VALUE!</v>
      </c>
      <c r="D137" s="7" t="e">
        <f t="shared" si="12"/>
        <v>#VALUE!</v>
      </c>
      <c r="E137" s="7" t="e">
        <f>C136*'Crédito de Vivienda'!$E$17</f>
        <v>#VALUE!</v>
      </c>
      <c r="F137" s="282" t="e">
        <f>IF(C136&lt;1,"0",IF('Crédito de Vivienda'!$D$28="Si",($C$17*(VLOOKUP('Crédito de Vivienda'!$C$24,Seguros_Oblig!$A$3:$F$55,6,FALSE))),IF('Crédito de Vivienda'!$C$10="TARIFA 1",(C136*(VLOOKUP('Crédito de Vivienda'!$C$24,Seguros_Oblig!$A$3:$B$55,2,FALSE))),(C136*(VLOOKUP('Crédito de Vivienda'!$C$24,Seguros_Oblig!$A$3:$D$55,4,FALSE))))))</f>
        <v>#VALUE!</v>
      </c>
      <c r="G137" s="8" t="e">
        <f>IF('Crédito de Vivienda'!$C$10="TARIFA 1",(C136*(VLOOKUP('Crédito de Vivienda'!$C$25,Seguros_Oblig!$A$3:$B$55,2,FALSE))),(C136*(VLOOKUP('Crédito de Vivienda'!$C$25,Seguros_Oblig!$A$3:$D$55,4,FALSE))))</f>
        <v>#VALUE!</v>
      </c>
      <c r="H137" s="8" t="e">
        <f>IF('Crédito de Vivienda'!$C$10="TARIFA 1",(C136*(VLOOKUP('Crédito de Vivienda'!$C$26,Seguros_Oblig!$A$3:$B$55,2,FALSE))),(C136*(VLOOKUP('Crédito de Vivienda'!$C$26,Seguros_Oblig!$A$3:$D$55,4,FALSE))))</f>
        <v>#VALUE!</v>
      </c>
      <c r="I137" s="8" t="e">
        <f>IF('Crédito de Vivienda'!$C$10="TARIFA 1",(C136*(VLOOKUP('Crédito de Vivienda'!$C$27,Seguros_Oblig!$A$3:$B$55,2,FALSE))),(C136*(VLOOKUP('Crédito de Vivienda'!$C$27,Seguros_Oblig!$A$3:$D$55,4,FALSE))))</f>
        <v>#VALUE!</v>
      </c>
      <c r="J137" s="10">
        <f t="shared" si="9"/>
        <v>0</v>
      </c>
      <c r="K137" s="7" t="e">
        <f>IF(C136&lt;1,"0",Seguros_Oblig!$K$2*('Crédito de Vivienda'!$C$12*90%))</f>
        <v>#VALUE!</v>
      </c>
      <c r="L137" s="7" t="e">
        <f>IF(B137=" ","0",PMT('Crédito de Vivienda'!$E$17,'Crédito de Vivienda'!$C$18,-'Crédito de Vivienda'!$C$15,,))</f>
        <v>#VALUE!</v>
      </c>
      <c r="M137" s="9" t="e">
        <f t="shared" si="10"/>
        <v>#VALUE!</v>
      </c>
      <c r="N137" s="7" t="e">
        <f>IF(C136&lt;1,"0",'Crédito de Vivienda'!$C$40)</f>
        <v>#VALUE!</v>
      </c>
      <c r="O137" s="9" t="e">
        <f t="shared" si="11"/>
        <v>#VALUE!</v>
      </c>
    </row>
    <row r="138" spans="2:15" ht="15.5" x14ac:dyDescent="0.35">
      <c r="B138" s="6" t="e">
        <f t="shared" si="7"/>
        <v>#VALUE!</v>
      </c>
      <c r="C138" s="7" t="e">
        <f t="shared" si="8"/>
        <v>#VALUE!</v>
      </c>
      <c r="D138" s="7" t="e">
        <f t="shared" si="12"/>
        <v>#VALUE!</v>
      </c>
      <c r="E138" s="7" t="e">
        <f>C137*'Crédito de Vivienda'!$E$17</f>
        <v>#VALUE!</v>
      </c>
      <c r="F138" s="282" t="e">
        <f>IF(C137&lt;1,"0",IF('Crédito de Vivienda'!$D$28="Si",($C$17*(VLOOKUP('Crédito de Vivienda'!$C$24,Seguros_Oblig!$A$3:$F$55,6,FALSE))),IF('Crédito de Vivienda'!$C$10="TARIFA 1",(C137*(VLOOKUP('Crédito de Vivienda'!$C$24,Seguros_Oblig!$A$3:$B$55,2,FALSE))),(C137*(VLOOKUP('Crédito de Vivienda'!$C$24,Seguros_Oblig!$A$3:$D$55,4,FALSE))))))</f>
        <v>#VALUE!</v>
      </c>
      <c r="G138" s="8" t="e">
        <f>IF('Crédito de Vivienda'!$C$10="TARIFA 1",(C137*(VLOOKUP('Crédito de Vivienda'!$C$25,Seguros_Oblig!$A$3:$B$55,2,FALSE))),(C137*(VLOOKUP('Crédito de Vivienda'!$C$25,Seguros_Oblig!$A$3:$D$55,4,FALSE))))</f>
        <v>#VALUE!</v>
      </c>
      <c r="H138" s="8" t="e">
        <f>IF('Crédito de Vivienda'!$C$10="TARIFA 1",(C137*(VLOOKUP('Crédito de Vivienda'!$C$26,Seguros_Oblig!$A$3:$B$55,2,FALSE))),(C137*(VLOOKUP('Crédito de Vivienda'!$C$26,Seguros_Oblig!$A$3:$D$55,4,FALSE))))</f>
        <v>#VALUE!</v>
      </c>
      <c r="I138" s="8" t="e">
        <f>IF('Crédito de Vivienda'!$C$10="TARIFA 1",(C137*(VLOOKUP('Crédito de Vivienda'!$C$27,Seguros_Oblig!$A$3:$B$55,2,FALSE))),(C137*(VLOOKUP('Crédito de Vivienda'!$C$27,Seguros_Oblig!$A$3:$D$55,4,FALSE))))</f>
        <v>#VALUE!</v>
      </c>
      <c r="J138" s="10">
        <f t="shared" si="9"/>
        <v>0</v>
      </c>
      <c r="K138" s="7" t="e">
        <f>IF(C137&lt;1,"0",Seguros_Oblig!$K$2*('Crédito de Vivienda'!$C$12*90%))</f>
        <v>#VALUE!</v>
      </c>
      <c r="L138" s="7" t="e">
        <f>IF(B138=" ","0",PMT('Crédito de Vivienda'!$E$17,'Crédito de Vivienda'!$C$18,-'Crédito de Vivienda'!$C$15,,))</f>
        <v>#VALUE!</v>
      </c>
      <c r="M138" s="9" t="e">
        <f t="shared" si="10"/>
        <v>#VALUE!</v>
      </c>
      <c r="N138" s="7" t="e">
        <f>IF(C137&lt;1,"0",'Crédito de Vivienda'!$C$40)</f>
        <v>#VALUE!</v>
      </c>
      <c r="O138" s="9" t="e">
        <f t="shared" si="11"/>
        <v>#VALUE!</v>
      </c>
    </row>
    <row r="139" spans="2:15" ht="15.5" x14ac:dyDescent="0.35">
      <c r="B139" s="6" t="e">
        <f t="shared" si="7"/>
        <v>#VALUE!</v>
      </c>
      <c r="C139" s="7" t="e">
        <f t="shared" si="8"/>
        <v>#VALUE!</v>
      </c>
      <c r="D139" s="7" t="e">
        <f t="shared" si="12"/>
        <v>#VALUE!</v>
      </c>
      <c r="E139" s="7" t="e">
        <f>C138*'Crédito de Vivienda'!$E$17</f>
        <v>#VALUE!</v>
      </c>
      <c r="F139" s="282" t="e">
        <f>IF(C138&lt;1,"0",IF('Crédito de Vivienda'!$D$28="Si",($C$17*(VLOOKUP('Crédito de Vivienda'!$C$24,Seguros_Oblig!$A$3:$F$55,6,FALSE))),IF('Crédito de Vivienda'!$C$10="TARIFA 1",(C138*(VLOOKUP('Crédito de Vivienda'!$C$24,Seguros_Oblig!$A$3:$B$55,2,FALSE))),(C138*(VLOOKUP('Crédito de Vivienda'!$C$24,Seguros_Oblig!$A$3:$D$55,4,FALSE))))))</f>
        <v>#VALUE!</v>
      </c>
      <c r="G139" s="8" t="e">
        <f>IF('Crédito de Vivienda'!$C$10="TARIFA 1",(C138*(VLOOKUP('Crédito de Vivienda'!$C$25,Seguros_Oblig!$A$3:$B$55,2,FALSE))),(C138*(VLOOKUP('Crédito de Vivienda'!$C$25,Seguros_Oblig!$A$3:$D$55,4,FALSE))))</f>
        <v>#VALUE!</v>
      </c>
      <c r="H139" s="8" t="e">
        <f>IF('Crédito de Vivienda'!$C$10="TARIFA 1",(C138*(VLOOKUP('Crédito de Vivienda'!$C$26,Seguros_Oblig!$A$3:$B$55,2,FALSE))),(C138*(VLOOKUP('Crédito de Vivienda'!$C$26,Seguros_Oblig!$A$3:$D$55,4,FALSE))))</f>
        <v>#VALUE!</v>
      </c>
      <c r="I139" s="8" t="e">
        <f>IF('Crédito de Vivienda'!$C$10="TARIFA 1",(C138*(VLOOKUP('Crédito de Vivienda'!$C$27,Seguros_Oblig!$A$3:$B$55,2,FALSE))),(C138*(VLOOKUP('Crédito de Vivienda'!$C$27,Seguros_Oblig!$A$3:$D$55,4,FALSE))))</f>
        <v>#VALUE!</v>
      </c>
      <c r="J139" s="10">
        <f t="shared" si="9"/>
        <v>0</v>
      </c>
      <c r="K139" s="7" t="e">
        <f>IF(C138&lt;1,"0",Seguros_Oblig!$K$2*('Crédito de Vivienda'!$C$12*90%))</f>
        <v>#VALUE!</v>
      </c>
      <c r="L139" s="7" t="e">
        <f>IF(B139=" ","0",PMT('Crédito de Vivienda'!$E$17,'Crédito de Vivienda'!$C$18,-'Crédito de Vivienda'!$C$15,,))</f>
        <v>#VALUE!</v>
      </c>
      <c r="M139" s="9" t="e">
        <f t="shared" si="10"/>
        <v>#VALUE!</v>
      </c>
      <c r="N139" s="7" t="e">
        <f>IF(C138&lt;1,"0",'Crédito de Vivienda'!$C$40)</f>
        <v>#VALUE!</v>
      </c>
      <c r="O139" s="9" t="e">
        <f t="shared" si="11"/>
        <v>#VALUE!</v>
      </c>
    </row>
    <row r="140" spans="2:15" ht="15.5" x14ac:dyDescent="0.35">
      <c r="B140" s="6" t="e">
        <f t="shared" si="7"/>
        <v>#VALUE!</v>
      </c>
      <c r="C140" s="7" t="e">
        <f t="shared" si="8"/>
        <v>#VALUE!</v>
      </c>
      <c r="D140" s="7" t="e">
        <f t="shared" si="12"/>
        <v>#VALUE!</v>
      </c>
      <c r="E140" s="7" t="e">
        <f>C139*'Crédito de Vivienda'!$E$17</f>
        <v>#VALUE!</v>
      </c>
      <c r="F140" s="282" t="e">
        <f>IF(C139&lt;1,"0",IF('Crédito de Vivienda'!$D$28="Si",($C$17*(VLOOKUP('Crédito de Vivienda'!$C$24,Seguros_Oblig!$A$3:$F$55,6,FALSE))),IF('Crédito de Vivienda'!$C$10="TARIFA 1",(C139*(VLOOKUP('Crédito de Vivienda'!$C$24,Seguros_Oblig!$A$3:$B$55,2,FALSE))),(C139*(VLOOKUP('Crédito de Vivienda'!$C$24,Seguros_Oblig!$A$3:$D$55,4,FALSE))))))</f>
        <v>#VALUE!</v>
      </c>
      <c r="G140" s="8" t="e">
        <f>IF('Crédito de Vivienda'!$C$10="TARIFA 1",(C139*(VLOOKUP('Crédito de Vivienda'!$C$25,Seguros_Oblig!$A$3:$B$55,2,FALSE))),(C139*(VLOOKUP('Crédito de Vivienda'!$C$25,Seguros_Oblig!$A$3:$D$55,4,FALSE))))</f>
        <v>#VALUE!</v>
      </c>
      <c r="H140" s="8" t="e">
        <f>IF('Crédito de Vivienda'!$C$10="TARIFA 1",(C139*(VLOOKUP('Crédito de Vivienda'!$C$26,Seguros_Oblig!$A$3:$B$55,2,FALSE))),(C139*(VLOOKUP('Crédito de Vivienda'!$C$26,Seguros_Oblig!$A$3:$D$55,4,FALSE))))</f>
        <v>#VALUE!</v>
      </c>
      <c r="I140" s="8" t="e">
        <f>IF('Crédito de Vivienda'!$C$10="TARIFA 1",(C139*(VLOOKUP('Crédito de Vivienda'!$C$27,Seguros_Oblig!$A$3:$B$55,2,FALSE))),(C139*(VLOOKUP('Crédito de Vivienda'!$C$27,Seguros_Oblig!$A$3:$D$55,4,FALSE))))</f>
        <v>#VALUE!</v>
      </c>
      <c r="J140" s="10">
        <f t="shared" si="9"/>
        <v>0</v>
      </c>
      <c r="K140" s="7" t="e">
        <f>IF(C139&lt;1,"0",Seguros_Oblig!$K$2*('Crédito de Vivienda'!$C$12*90%))</f>
        <v>#VALUE!</v>
      </c>
      <c r="L140" s="7" t="e">
        <f>IF(B140=" ","0",PMT('Crédito de Vivienda'!$E$17,'Crédito de Vivienda'!$C$18,-'Crédito de Vivienda'!$C$15,,))</f>
        <v>#VALUE!</v>
      </c>
      <c r="M140" s="9" t="e">
        <f t="shared" si="10"/>
        <v>#VALUE!</v>
      </c>
      <c r="N140" s="7" t="e">
        <f>IF(C139&lt;1,"0",'Crédito de Vivienda'!$C$40)</f>
        <v>#VALUE!</v>
      </c>
      <c r="O140" s="9" t="e">
        <f t="shared" si="11"/>
        <v>#VALUE!</v>
      </c>
    </row>
    <row r="141" spans="2:15" ht="15.5" x14ac:dyDescent="0.35">
      <c r="B141" s="6" t="e">
        <f t="shared" si="7"/>
        <v>#VALUE!</v>
      </c>
      <c r="C141" s="7" t="e">
        <f t="shared" si="8"/>
        <v>#VALUE!</v>
      </c>
      <c r="D141" s="7" t="e">
        <f t="shared" si="12"/>
        <v>#VALUE!</v>
      </c>
      <c r="E141" s="7" t="e">
        <f>C140*'Crédito de Vivienda'!$E$17</f>
        <v>#VALUE!</v>
      </c>
      <c r="F141" s="282" t="e">
        <f>IF(C140&lt;1,"0",IF('Crédito de Vivienda'!$D$28="Si",($C$17*(VLOOKUP('Crédito de Vivienda'!$C$24,Seguros_Oblig!$A$3:$F$55,6,FALSE))),IF('Crédito de Vivienda'!$C$10="TARIFA 1",(C140*(VLOOKUP('Crédito de Vivienda'!$C$24,Seguros_Oblig!$A$3:$B$55,2,FALSE))),(C140*(VLOOKUP('Crédito de Vivienda'!$C$24,Seguros_Oblig!$A$3:$D$55,4,FALSE))))))</f>
        <v>#VALUE!</v>
      </c>
      <c r="G141" s="8" t="e">
        <f>IF('Crédito de Vivienda'!$C$10="TARIFA 1",(C140*(VLOOKUP('Crédito de Vivienda'!$C$25,Seguros_Oblig!$A$3:$B$55,2,FALSE))),(C140*(VLOOKUP('Crédito de Vivienda'!$C$25,Seguros_Oblig!$A$3:$D$55,4,FALSE))))</f>
        <v>#VALUE!</v>
      </c>
      <c r="H141" s="8" t="e">
        <f>IF('Crédito de Vivienda'!$C$10="TARIFA 1",(C140*(VLOOKUP('Crédito de Vivienda'!$C$26,Seguros_Oblig!$A$3:$B$55,2,FALSE))),(C140*(VLOOKUP('Crédito de Vivienda'!$C$26,Seguros_Oblig!$A$3:$D$55,4,FALSE))))</f>
        <v>#VALUE!</v>
      </c>
      <c r="I141" s="8" t="e">
        <f>IF('Crédito de Vivienda'!$C$10="TARIFA 1",(C140*(VLOOKUP('Crédito de Vivienda'!$C$27,Seguros_Oblig!$A$3:$B$55,2,FALSE))),(C140*(VLOOKUP('Crédito de Vivienda'!$C$27,Seguros_Oblig!$A$3:$D$55,4,FALSE))))</f>
        <v>#VALUE!</v>
      </c>
      <c r="J141" s="10">
        <f t="shared" si="9"/>
        <v>0</v>
      </c>
      <c r="K141" s="7" t="e">
        <f>IF(C140&lt;1,"0",Seguros_Oblig!$K$2*('Crédito de Vivienda'!$C$12*90%))</f>
        <v>#VALUE!</v>
      </c>
      <c r="L141" s="7" t="e">
        <f>IF(B141=" ","0",PMT('Crédito de Vivienda'!$E$17,'Crédito de Vivienda'!$C$18,-'Crédito de Vivienda'!$C$15,,))</f>
        <v>#VALUE!</v>
      </c>
      <c r="M141" s="9" t="e">
        <f t="shared" si="10"/>
        <v>#VALUE!</v>
      </c>
      <c r="N141" s="7" t="e">
        <f>IF(C140&lt;1,"0",'Crédito de Vivienda'!$C$40)</f>
        <v>#VALUE!</v>
      </c>
      <c r="O141" s="9" t="e">
        <f t="shared" si="11"/>
        <v>#VALUE!</v>
      </c>
    </row>
    <row r="142" spans="2:15" ht="15.5" x14ac:dyDescent="0.35">
      <c r="B142" s="6" t="e">
        <f t="shared" si="7"/>
        <v>#VALUE!</v>
      </c>
      <c r="C142" s="7" t="e">
        <f t="shared" si="8"/>
        <v>#VALUE!</v>
      </c>
      <c r="D142" s="7" t="e">
        <f t="shared" si="12"/>
        <v>#VALUE!</v>
      </c>
      <c r="E142" s="7" t="e">
        <f>C141*'Crédito de Vivienda'!$E$17</f>
        <v>#VALUE!</v>
      </c>
      <c r="F142" s="282" t="e">
        <f>IF(C141&lt;1,"0",IF('Crédito de Vivienda'!$D$28="Si",($C$17*(VLOOKUP('Crédito de Vivienda'!$C$24,Seguros_Oblig!$A$3:$F$55,6,FALSE))),IF('Crédito de Vivienda'!$C$10="TARIFA 1",(C141*(VLOOKUP('Crédito de Vivienda'!$C$24,Seguros_Oblig!$A$3:$B$55,2,FALSE))),(C141*(VLOOKUP('Crédito de Vivienda'!$C$24,Seguros_Oblig!$A$3:$D$55,4,FALSE))))))</f>
        <v>#VALUE!</v>
      </c>
      <c r="G142" s="8" t="e">
        <f>IF('Crédito de Vivienda'!$C$10="TARIFA 1",(C141*(VLOOKUP('Crédito de Vivienda'!$C$25,Seguros_Oblig!$A$3:$B$55,2,FALSE))),(C141*(VLOOKUP('Crédito de Vivienda'!$C$25,Seguros_Oblig!$A$3:$D$55,4,FALSE))))</f>
        <v>#VALUE!</v>
      </c>
      <c r="H142" s="8" t="e">
        <f>IF('Crédito de Vivienda'!$C$10="TARIFA 1",(C141*(VLOOKUP('Crédito de Vivienda'!$C$26,Seguros_Oblig!$A$3:$B$55,2,FALSE))),(C141*(VLOOKUP('Crédito de Vivienda'!$C$26,Seguros_Oblig!$A$3:$D$55,4,FALSE))))</f>
        <v>#VALUE!</v>
      </c>
      <c r="I142" s="8" t="e">
        <f>IF('Crédito de Vivienda'!$C$10="TARIFA 1",(C141*(VLOOKUP('Crédito de Vivienda'!$C$27,Seguros_Oblig!$A$3:$B$55,2,FALSE))),(C141*(VLOOKUP('Crédito de Vivienda'!$C$27,Seguros_Oblig!$A$3:$D$55,4,FALSE))))</f>
        <v>#VALUE!</v>
      </c>
      <c r="J142" s="10">
        <f t="shared" si="9"/>
        <v>0</v>
      </c>
      <c r="K142" s="7" t="e">
        <f>IF(C141&lt;1,"0",Seguros_Oblig!$K$2*('Crédito de Vivienda'!$C$12*90%))</f>
        <v>#VALUE!</v>
      </c>
      <c r="L142" s="7" t="e">
        <f>IF(B142=" ","0",PMT('Crédito de Vivienda'!$E$17,'Crédito de Vivienda'!$C$18,-'Crédito de Vivienda'!$C$15,,))</f>
        <v>#VALUE!</v>
      </c>
      <c r="M142" s="9" t="e">
        <f t="shared" si="10"/>
        <v>#VALUE!</v>
      </c>
      <c r="N142" s="7" t="e">
        <f>IF(C141&lt;1,"0",'Crédito de Vivienda'!$C$40)</f>
        <v>#VALUE!</v>
      </c>
      <c r="O142" s="9" t="e">
        <f t="shared" si="11"/>
        <v>#VALUE!</v>
      </c>
    </row>
    <row r="143" spans="2:15" ht="15.5" x14ac:dyDescent="0.35">
      <c r="B143" s="6" t="e">
        <f t="shared" si="7"/>
        <v>#VALUE!</v>
      </c>
      <c r="C143" s="7" t="e">
        <f t="shared" si="8"/>
        <v>#VALUE!</v>
      </c>
      <c r="D143" s="7" t="e">
        <f t="shared" si="12"/>
        <v>#VALUE!</v>
      </c>
      <c r="E143" s="7" t="e">
        <f>C142*'Crédito de Vivienda'!$E$17</f>
        <v>#VALUE!</v>
      </c>
      <c r="F143" s="282" t="e">
        <f>IF(C142&lt;1,"0",IF('Crédito de Vivienda'!$D$28="Si",($C$17*(VLOOKUP('Crédito de Vivienda'!$C$24,Seguros_Oblig!$A$3:$F$55,6,FALSE))),IF('Crédito de Vivienda'!$C$10="TARIFA 1",(C142*(VLOOKUP('Crédito de Vivienda'!$C$24,Seguros_Oblig!$A$3:$B$55,2,FALSE))),(C142*(VLOOKUP('Crédito de Vivienda'!$C$24,Seguros_Oblig!$A$3:$D$55,4,FALSE))))))</f>
        <v>#VALUE!</v>
      </c>
      <c r="G143" s="8" t="e">
        <f>IF('Crédito de Vivienda'!$C$10="TARIFA 1",(C142*(VLOOKUP('Crédito de Vivienda'!$C$25,Seguros_Oblig!$A$3:$B$55,2,FALSE))),(C142*(VLOOKUP('Crédito de Vivienda'!$C$25,Seguros_Oblig!$A$3:$D$55,4,FALSE))))</f>
        <v>#VALUE!</v>
      </c>
      <c r="H143" s="8" t="e">
        <f>IF('Crédito de Vivienda'!$C$10="TARIFA 1",(C142*(VLOOKUP('Crédito de Vivienda'!$C$26,Seguros_Oblig!$A$3:$B$55,2,FALSE))),(C142*(VLOOKUP('Crédito de Vivienda'!$C$26,Seguros_Oblig!$A$3:$D$55,4,FALSE))))</f>
        <v>#VALUE!</v>
      </c>
      <c r="I143" s="8" t="e">
        <f>IF('Crédito de Vivienda'!$C$10="TARIFA 1",(C142*(VLOOKUP('Crédito de Vivienda'!$C$27,Seguros_Oblig!$A$3:$B$55,2,FALSE))),(C142*(VLOOKUP('Crédito de Vivienda'!$C$27,Seguros_Oblig!$A$3:$D$55,4,FALSE))))</f>
        <v>#VALUE!</v>
      </c>
      <c r="J143" s="10">
        <f t="shared" si="9"/>
        <v>0</v>
      </c>
      <c r="K143" s="7" t="e">
        <f>IF(C142&lt;1,"0",Seguros_Oblig!$K$2*('Crédito de Vivienda'!$C$12*90%))</f>
        <v>#VALUE!</v>
      </c>
      <c r="L143" s="7" t="e">
        <f>IF(B143=" ","0",PMT('Crédito de Vivienda'!$E$17,'Crédito de Vivienda'!$C$18,-'Crédito de Vivienda'!$C$15,,))</f>
        <v>#VALUE!</v>
      </c>
      <c r="M143" s="9" t="e">
        <f t="shared" si="10"/>
        <v>#VALUE!</v>
      </c>
      <c r="N143" s="7" t="e">
        <f>IF(C142&lt;1,"0",'Crédito de Vivienda'!$C$40)</f>
        <v>#VALUE!</v>
      </c>
      <c r="O143" s="9" t="e">
        <f t="shared" si="11"/>
        <v>#VALUE!</v>
      </c>
    </row>
    <row r="144" spans="2:15" ht="15.5" x14ac:dyDescent="0.35">
      <c r="B144" s="6" t="e">
        <f t="shared" si="7"/>
        <v>#VALUE!</v>
      </c>
      <c r="C144" s="7" t="e">
        <f t="shared" si="8"/>
        <v>#VALUE!</v>
      </c>
      <c r="D144" s="7" t="e">
        <f t="shared" si="12"/>
        <v>#VALUE!</v>
      </c>
      <c r="E144" s="7" t="e">
        <f>C143*'Crédito de Vivienda'!$E$17</f>
        <v>#VALUE!</v>
      </c>
      <c r="F144" s="282" t="e">
        <f>IF(C143&lt;1,"0",IF('Crédito de Vivienda'!$D$28="Si",($C$17*(VLOOKUP('Crédito de Vivienda'!$C$24,Seguros_Oblig!$A$3:$F$55,6,FALSE))),IF('Crédito de Vivienda'!$C$10="TARIFA 1",(C143*(VLOOKUP('Crédito de Vivienda'!$C$24,Seguros_Oblig!$A$3:$B$55,2,FALSE))),(C143*(VLOOKUP('Crédito de Vivienda'!$C$24,Seguros_Oblig!$A$3:$D$55,4,FALSE))))))</f>
        <v>#VALUE!</v>
      </c>
      <c r="G144" s="8" t="e">
        <f>IF('Crédito de Vivienda'!$C$10="TARIFA 1",(C143*(VLOOKUP('Crédito de Vivienda'!$C$25,Seguros_Oblig!$A$3:$B$55,2,FALSE))),(C143*(VLOOKUP('Crédito de Vivienda'!$C$25,Seguros_Oblig!$A$3:$D$55,4,FALSE))))</f>
        <v>#VALUE!</v>
      </c>
      <c r="H144" s="8" t="e">
        <f>IF('Crédito de Vivienda'!$C$10="TARIFA 1",(C143*(VLOOKUP('Crédito de Vivienda'!$C$26,Seguros_Oblig!$A$3:$B$55,2,FALSE))),(C143*(VLOOKUP('Crédito de Vivienda'!$C$26,Seguros_Oblig!$A$3:$D$55,4,FALSE))))</f>
        <v>#VALUE!</v>
      </c>
      <c r="I144" s="8" t="e">
        <f>IF('Crédito de Vivienda'!$C$10="TARIFA 1",(C143*(VLOOKUP('Crédito de Vivienda'!$C$27,Seguros_Oblig!$A$3:$B$55,2,FALSE))),(C143*(VLOOKUP('Crédito de Vivienda'!$C$27,Seguros_Oblig!$A$3:$D$55,4,FALSE))))</f>
        <v>#VALUE!</v>
      </c>
      <c r="J144" s="10">
        <f t="shared" si="9"/>
        <v>0</v>
      </c>
      <c r="K144" s="7" t="e">
        <f>IF(C143&lt;1,"0",Seguros_Oblig!$K$2*('Crédito de Vivienda'!$C$12*90%))</f>
        <v>#VALUE!</v>
      </c>
      <c r="L144" s="7" t="e">
        <f>IF(B144=" ","0",PMT('Crédito de Vivienda'!$E$17,'Crédito de Vivienda'!$C$18,-'Crédito de Vivienda'!$C$15,,))</f>
        <v>#VALUE!</v>
      </c>
      <c r="M144" s="9" t="e">
        <f t="shared" si="10"/>
        <v>#VALUE!</v>
      </c>
      <c r="N144" s="7" t="e">
        <f>IF(C143&lt;1,"0",'Crédito de Vivienda'!$C$40)</f>
        <v>#VALUE!</v>
      </c>
      <c r="O144" s="9" t="e">
        <f t="shared" si="11"/>
        <v>#VALUE!</v>
      </c>
    </row>
    <row r="145" spans="2:15" ht="15.5" x14ac:dyDescent="0.35">
      <c r="B145" s="6" t="e">
        <f t="shared" si="7"/>
        <v>#VALUE!</v>
      </c>
      <c r="C145" s="7" t="e">
        <f t="shared" si="8"/>
        <v>#VALUE!</v>
      </c>
      <c r="D145" s="7" t="e">
        <f t="shared" si="12"/>
        <v>#VALUE!</v>
      </c>
      <c r="E145" s="7" t="e">
        <f>C144*'Crédito de Vivienda'!$E$17</f>
        <v>#VALUE!</v>
      </c>
      <c r="F145" s="282" t="e">
        <f>IF(C144&lt;1,"0",IF('Crédito de Vivienda'!$D$28="Si",($C$17*(VLOOKUP('Crédito de Vivienda'!$C$24,Seguros_Oblig!$A$3:$F$55,6,FALSE))),IF('Crédito de Vivienda'!$C$10="TARIFA 1",(C144*(VLOOKUP('Crédito de Vivienda'!$C$24,Seguros_Oblig!$A$3:$B$55,2,FALSE))),(C144*(VLOOKUP('Crédito de Vivienda'!$C$24,Seguros_Oblig!$A$3:$D$55,4,FALSE))))))</f>
        <v>#VALUE!</v>
      </c>
      <c r="G145" s="8" t="e">
        <f>IF('Crédito de Vivienda'!$C$10="TARIFA 1",(C144*(VLOOKUP('Crédito de Vivienda'!$C$25,Seguros_Oblig!$A$3:$B$55,2,FALSE))),(C144*(VLOOKUP('Crédito de Vivienda'!$C$25,Seguros_Oblig!$A$3:$D$55,4,FALSE))))</f>
        <v>#VALUE!</v>
      </c>
      <c r="H145" s="8" t="e">
        <f>IF('Crédito de Vivienda'!$C$10="TARIFA 1",(C144*(VLOOKUP('Crédito de Vivienda'!$C$26,Seguros_Oblig!$A$3:$B$55,2,FALSE))),(C144*(VLOOKUP('Crédito de Vivienda'!$C$26,Seguros_Oblig!$A$3:$D$55,4,FALSE))))</f>
        <v>#VALUE!</v>
      </c>
      <c r="I145" s="8" t="e">
        <f>IF('Crédito de Vivienda'!$C$10="TARIFA 1",(C144*(VLOOKUP('Crédito de Vivienda'!$C$27,Seguros_Oblig!$A$3:$B$55,2,FALSE))),(C144*(VLOOKUP('Crédito de Vivienda'!$C$27,Seguros_Oblig!$A$3:$D$55,4,FALSE))))</f>
        <v>#VALUE!</v>
      </c>
      <c r="J145" s="10">
        <f t="shared" si="9"/>
        <v>0</v>
      </c>
      <c r="K145" s="7" t="e">
        <f>IF(C144&lt;1,"0",Seguros_Oblig!$K$2*('Crédito de Vivienda'!$C$12*90%))</f>
        <v>#VALUE!</v>
      </c>
      <c r="L145" s="7" t="e">
        <f>IF(B145=" ","0",PMT('Crédito de Vivienda'!$E$17,'Crédito de Vivienda'!$C$18,-'Crédito de Vivienda'!$C$15,,))</f>
        <v>#VALUE!</v>
      </c>
      <c r="M145" s="9" t="e">
        <f t="shared" si="10"/>
        <v>#VALUE!</v>
      </c>
      <c r="N145" s="7" t="e">
        <f>IF(C144&lt;1,"0",'Crédito de Vivienda'!$C$40)</f>
        <v>#VALUE!</v>
      </c>
      <c r="O145" s="9" t="e">
        <f t="shared" si="11"/>
        <v>#VALUE!</v>
      </c>
    </row>
    <row r="146" spans="2:15" ht="15.5" x14ac:dyDescent="0.35">
      <c r="B146" s="6" t="e">
        <f t="shared" si="7"/>
        <v>#VALUE!</v>
      </c>
      <c r="C146" s="7" t="e">
        <f t="shared" si="8"/>
        <v>#VALUE!</v>
      </c>
      <c r="D146" s="7" t="e">
        <f t="shared" si="12"/>
        <v>#VALUE!</v>
      </c>
      <c r="E146" s="7" t="e">
        <f>C145*'Crédito de Vivienda'!$E$17</f>
        <v>#VALUE!</v>
      </c>
      <c r="F146" s="282" t="e">
        <f>IF(C145&lt;1,"0",IF('Crédito de Vivienda'!$D$28="Si",($C$17*(VLOOKUP('Crédito de Vivienda'!$C$24,Seguros_Oblig!$A$3:$F$55,6,FALSE))),IF('Crédito de Vivienda'!$C$10="TARIFA 1",(C145*(VLOOKUP('Crédito de Vivienda'!$C$24,Seguros_Oblig!$A$3:$B$55,2,FALSE))),(C145*(VLOOKUP('Crédito de Vivienda'!$C$24,Seguros_Oblig!$A$3:$D$55,4,FALSE))))))</f>
        <v>#VALUE!</v>
      </c>
      <c r="G146" s="8" t="e">
        <f>IF('Crédito de Vivienda'!$C$10="TARIFA 1",(C145*(VLOOKUP('Crédito de Vivienda'!$C$25,Seguros_Oblig!$A$3:$B$55,2,FALSE))),(C145*(VLOOKUP('Crédito de Vivienda'!$C$25,Seguros_Oblig!$A$3:$D$55,4,FALSE))))</f>
        <v>#VALUE!</v>
      </c>
      <c r="H146" s="8" t="e">
        <f>IF('Crédito de Vivienda'!$C$10="TARIFA 1",(C145*(VLOOKUP('Crédito de Vivienda'!$C$26,Seguros_Oblig!$A$3:$B$55,2,FALSE))),(C145*(VLOOKUP('Crédito de Vivienda'!$C$26,Seguros_Oblig!$A$3:$D$55,4,FALSE))))</f>
        <v>#VALUE!</v>
      </c>
      <c r="I146" s="8" t="e">
        <f>IF('Crédito de Vivienda'!$C$10="TARIFA 1",(C145*(VLOOKUP('Crédito de Vivienda'!$C$27,Seguros_Oblig!$A$3:$B$55,2,FALSE))),(C145*(VLOOKUP('Crédito de Vivienda'!$C$27,Seguros_Oblig!$A$3:$D$55,4,FALSE))))</f>
        <v>#VALUE!</v>
      </c>
      <c r="J146" s="10">
        <f t="shared" si="9"/>
        <v>0</v>
      </c>
      <c r="K146" s="7" t="e">
        <f>IF(C145&lt;1,"0",Seguros_Oblig!$K$2*('Crédito de Vivienda'!$C$12*90%))</f>
        <v>#VALUE!</v>
      </c>
      <c r="L146" s="7" t="e">
        <f>IF(B146=" ","0",PMT('Crédito de Vivienda'!$E$17,'Crédito de Vivienda'!$C$18,-'Crédito de Vivienda'!$C$15,,))</f>
        <v>#VALUE!</v>
      </c>
      <c r="M146" s="9" t="e">
        <f t="shared" si="10"/>
        <v>#VALUE!</v>
      </c>
      <c r="N146" s="7" t="e">
        <f>IF(C145&lt;1,"0",'Crédito de Vivienda'!$C$40)</f>
        <v>#VALUE!</v>
      </c>
      <c r="O146" s="9" t="e">
        <f t="shared" si="11"/>
        <v>#VALUE!</v>
      </c>
    </row>
    <row r="147" spans="2:15" ht="15.5" x14ac:dyDescent="0.35">
      <c r="B147" s="6" t="e">
        <f t="shared" ref="B147:B210" si="13">IF(C146&gt;1,B146+1," ")</f>
        <v>#VALUE!</v>
      </c>
      <c r="C147" s="7" t="e">
        <f t="shared" ref="C147:C210" si="14">C146-D147</f>
        <v>#VALUE!</v>
      </c>
      <c r="D147" s="7" t="e">
        <f t="shared" si="12"/>
        <v>#VALUE!</v>
      </c>
      <c r="E147" s="7" t="e">
        <f>C146*'Crédito de Vivienda'!$E$17</f>
        <v>#VALUE!</v>
      </c>
      <c r="F147" s="282" t="e">
        <f>IF(C146&lt;1,"0",IF('Crédito de Vivienda'!$D$28="Si",($C$17*(VLOOKUP('Crédito de Vivienda'!$C$24,Seguros_Oblig!$A$3:$F$55,6,FALSE))),IF('Crédito de Vivienda'!$C$10="TARIFA 1",(C146*(VLOOKUP('Crédito de Vivienda'!$C$24,Seguros_Oblig!$A$3:$B$55,2,FALSE))),(C146*(VLOOKUP('Crédito de Vivienda'!$C$24,Seguros_Oblig!$A$3:$D$55,4,FALSE))))))</f>
        <v>#VALUE!</v>
      </c>
      <c r="G147" s="8" t="e">
        <f>IF('Crédito de Vivienda'!$C$10="TARIFA 1",(C146*(VLOOKUP('Crédito de Vivienda'!$C$25,Seguros_Oblig!$A$3:$B$55,2,FALSE))),(C146*(VLOOKUP('Crédito de Vivienda'!$C$25,Seguros_Oblig!$A$3:$D$55,4,FALSE))))</f>
        <v>#VALUE!</v>
      </c>
      <c r="H147" s="8" t="e">
        <f>IF('Crédito de Vivienda'!$C$10="TARIFA 1",(C146*(VLOOKUP('Crédito de Vivienda'!$C$26,Seguros_Oblig!$A$3:$B$55,2,FALSE))),(C146*(VLOOKUP('Crédito de Vivienda'!$C$26,Seguros_Oblig!$A$3:$D$55,4,FALSE))))</f>
        <v>#VALUE!</v>
      </c>
      <c r="I147" s="8" t="e">
        <f>IF('Crédito de Vivienda'!$C$10="TARIFA 1",(C146*(VLOOKUP('Crédito de Vivienda'!$C$27,Seguros_Oblig!$A$3:$B$55,2,FALSE))),(C146*(VLOOKUP('Crédito de Vivienda'!$C$27,Seguros_Oblig!$A$3:$D$55,4,FALSE))))</f>
        <v>#VALUE!</v>
      </c>
      <c r="J147" s="10">
        <f t="shared" ref="J147:J210" si="15">_xlfn.AGGREGATE(9,6,F147:I147)</f>
        <v>0</v>
      </c>
      <c r="K147" s="7" t="e">
        <f>IF(C146&lt;1,"0",Seguros_Oblig!$K$2*('Crédito de Vivienda'!$C$12*90%))</f>
        <v>#VALUE!</v>
      </c>
      <c r="L147" s="7" t="e">
        <f>IF(B147=" ","0",PMT('Crédito de Vivienda'!$E$17,'Crédito de Vivienda'!$C$18,-'Crédito de Vivienda'!$C$15,,))</f>
        <v>#VALUE!</v>
      </c>
      <c r="M147" s="9" t="e">
        <f t="shared" ref="M147:M210" si="16">K147+L147+J147</f>
        <v>#VALUE!</v>
      </c>
      <c r="N147" s="7" t="e">
        <f>IF(C146&lt;1,"0",'Crédito de Vivienda'!$C$40)</f>
        <v>#VALUE!</v>
      </c>
      <c r="O147" s="9" t="e">
        <f t="shared" ref="O147:O210" si="17">M147+N147</f>
        <v>#VALUE!</v>
      </c>
    </row>
    <row r="148" spans="2:15" ht="15.5" x14ac:dyDescent="0.35">
      <c r="B148" s="6" t="e">
        <f t="shared" si="13"/>
        <v>#VALUE!</v>
      </c>
      <c r="C148" s="7" t="e">
        <f t="shared" si="14"/>
        <v>#VALUE!</v>
      </c>
      <c r="D148" s="7" t="e">
        <f t="shared" si="12"/>
        <v>#VALUE!</v>
      </c>
      <c r="E148" s="7" t="e">
        <f>C147*'Crédito de Vivienda'!$E$17</f>
        <v>#VALUE!</v>
      </c>
      <c r="F148" s="282" t="e">
        <f>IF(C147&lt;1,"0",IF('Crédito de Vivienda'!$D$28="Si",($C$17*(VLOOKUP('Crédito de Vivienda'!$C$24,Seguros_Oblig!$A$3:$F$55,6,FALSE))),IF('Crédito de Vivienda'!$C$10="TARIFA 1",(C147*(VLOOKUP('Crédito de Vivienda'!$C$24,Seguros_Oblig!$A$3:$B$55,2,FALSE))),(C147*(VLOOKUP('Crédito de Vivienda'!$C$24,Seguros_Oblig!$A$3:$D$55,4,FALSE))))))</f>
        <v>#VALUE!</v>
      </c>
      <c r="G148" s="8" t="e">
        <f>IF('Crédito de Vivienda'!$C$10="TARIFA 1",(C147*(VLOOKUP('Crédito de Vivienda'!$C$25,Seguros_Oblig!$A$3:$B$55,2,FALSE))),(C147*(VLOOKUP('Crédito de Vivienda'!$C$25,Seguros_Oblig!$A$3:$D$55,4,FALSE))))</f>
        <v>#VALUE!</v>
      </c>
      <c r="H148" s="8" t="e">
        <f>IF('Crédito de Vivienda'!$C$10="TARIFA 1",(C147*(VLOOKUP('Crédito de Vivienda'!$C$26,Seguros_Oblig!$A$3:$B$55,2,FALSE))),(C147*(VLOOKUP('Crédito de Vivienda'!$C$26,Seguros_Oblig!$A$3:$D$55,4,FALSE))))</f>
        <v>#VALUE!</v>
      </c>
      <c r="I148" s="8" t="e">
        <f>IF('Crédito de Vivienda'!$C$10="TARIFA 1",(C147*(VLOOKUP('Crédito de Vivienda'!$C$27,Seguros_Oblig!$A$3:$B$55,2,FALSE))),(C147*(VLOOKUP('Crédito de Vivienda'!$C$27,Seguros_Oblig!$A$3:$D$55,4,FALSE))))</f>
        <v>#VALUE!</v>
      </c>
      <c r="J148" s="10">
        <f t="shared" si="15"/>
        <v>0</v>
      </c>
      <c r="K148" s="7" t="e">
        <f>IF(C147&lt;1,"0",Seguros_Oblig!$K$2*('Crédito de Vivienda'!$C$12*90%))</f>
        <v>#VALUE!</v>
      </c>
      <c r="L148" s="7" t="e">
        <f>IF(B148=" ","0",PMT('Crédito de Vivienda'!$E$17,'Crédito de Vivienda'!$C$18,-'Crédito de Vivienda'!$C$15,,))</f>
        <v>#VALUE!</v>
      </c>
      <c r="M148" s="9" t="e">
        <f t="shared" si="16"/>
        <v>#VALUE!</v>
      </c>
      <c r="N148" s="7" t="e">
        <f>IF(C147&lt;1,"0",'Crédito de Vivienda'!$C$40)</f>
        <v>#VALUE!</v>
      </c>
      <c r="O148" s="9" t="e">
        <f t="shared" si="17"/>
        <v>#VALUE!</v>
      </c>
    </row>
    <row r="149" spans="2:15" ht="15.5" x14ac:dyDescent="0.35">
      <c r="B149" s="6" t="e">
        <f t="shared" si="13"/>
        <v>#VALUE!</v>
      </c>
      <c r="C149" s="7" t="e">
        <f t="shared" si="14"/>
        <v>#VALUE!</v>
      </c>
      <c r="D149" s="7" t="e">
        <f t="shared" si="12"/>
        <v>#VALUE!</v>
      </c>
      <c r="E149" s="7" t="e">
        <f>C148*'Crédito de Vivienda'!$E$17</f>
        <v>#VALUE!</v>
      </c>
      <c r="F149" s="282" t="e">
        <f>IF(C148&lt;1,"0",IF('Crédito de Vivienda'!$D$28="Si",($C$17*(VLOOKUP('Crédito de Vivienda'!$C$24,Seguros_Oblig!$A$3:$F$55,6,FALSE))),IF('Crédito de Vivienda'!$C$10="TARIFA 1",(C148*(VLOOKUP('Crédito de Vivienda'!$C$24,Seguros_Oblig!$A$3:$B$55,2,FALSE))),(C148*(VLOOKUP('Crédito de Vivienda'!$C$24,Seguros_Oblig!$A$3:$D$55,4,FALSE))))))</f>
        <v>#VALUE!</v>
      </c>
      <c r="G149" s="8" t="e">
        <f>IF('Crédito de Vivienda'!$C$10="TARIFA 1",(C148*(VLOOKUP('Crédito de Vivienda'!$C$25,Seguros_Oblig!$A$3:$B$55,2,FALSE))),(C148*(VLOOKUP('Crédito de Vivienda'!$C$25,Seguros_Oblig!$A$3:$D$55,4,FALSE))))</f>
        <v>#VALUE!</v>
      </c>
      <c r="H149" s="8" t="e">
        <f>IF('Crédito de Vivienda'!$C$10="TARIFA 1",(C148*(VLOOKUP('Crédito de Vivienda'!$C$26,Seguros_Oblig!$A$3:$B$55,2,FALSE))),(C148*(VLOOKUP('Crédito de Vivienda'!$C$26,Seguros_Oblig!$A$3:$D$55,4,FALSE))))</f>
        <v>#VALUE!</v>
      </c>
      <c r="I149" s="8" t="e">
        <f>IF('Crédito de Vivienda'!$C$10="TARIFA 1",(C148*(VLOOKUP('Crédito de Vivienda'!$C$27,Seguros_Oblig!$A$3:$B$55,2,FALSE))),(C148*(VLOOKUP('Crédito de Vivienda'!$C$27,Seguros_Oblig!$A$3:$D$55,4,FALSE))))</f>
        <v>#VALUE!</v>
      </c>
      <c r="J149" s="10">
        <f t="shared" si="15"/>
        <v>0</v>
      </c>
      <c r="K149" s="7" t="e">
        <f>IF(C148&lt;1,"0",Seguros_Oblig!$K$2*('Crédito de Vivienda'!$C$12*90%))</f>
        <v>#VALUE!</v>
      </c>
      <c r="L149" s="7" t="e">
        <f>IF(B149=" ","0",PMT('Crédito de Vivienda'!$E$17,'Crédito de Vivienda'!$C$18,-'Crédito de Vivienda'!$C$15,,))</f>
        <v>#VALUE!</v>
      </c>
      <c r="M149" s="9" t="e">
        <f t="shared" si="16"/>
        <v>#VALUE!</v>
      </c>
      <c r="N149" s="7" t="e">
        <f>IF(C148&lt;1,"0",'Crédito de Vivienda'!$C$40)</f>
        <v>#VALUE!</v>
      </c>
      <c r="O149" s="9" t="e">
        <f t="shared" si="17"/>
        <v>#VALUE!</v>
      </c>
    </row>
    <row r="150" spans="2:15" ht="15.5" x14ac:dyDescent="0.35">
      <c r="B150" s="6" t="e">
        <f t="shared" si="13"/>
        <v>#VALUE!</v>
      </c>
      <c r="C150" s="7" t="e">
        <f t="shared" si="14"/>
        <v>#VALUE!</v>
      </c>
      <c r="D150" s="7" t="e">
        <f t="shared" si="12"/>
        <v>#VALUE!</v>
      </c>
      <c r="E150" s="7" t="e">
        <f>C149*'Crédito de Vivienda'!$E$17</f>
        <v>#VALUE!</v>
      </c>
      <c r="F150" s="282" t="e">
        <f>IF(C149&lt;1,"0",IF('Crédito de Vivienda'!$D$28="Si",($C$17*(VLOOKUP('Crédito de Vivienda'!$C$24,Seguros_Oblig!$A$3:$F$55,6,FALSE))),IF('Crédito de Vivienda'!$C$10="TARIFA 1",(C149*(VLOOKUP('Crédito de Vivienda'!$C$24,Seguros_Oblig!$A$3:$B$55,2,FALSE))),(C149*(VLOOKUP('Crédito de Vivienda'!$C$24,Seguros_Oblig!$A$3:$D$55,4,FALSE))))))</f>
        <v>#VALUE!</v>
      </c>
      <c r="G150" s="8" t="e">
        <f>IF('Crédito de Vivienda'!$C$10="TARIFA 1",(C149*(VLOOKUP('Crédito de Vivienda'!$C$25,Seguros_Oblig!$A$3:$B$55,2,FALSE))),(C149*(VLOOKUP('Crédito de Vivienda'!$C$25,Seguros_Oblig!$A$3:$D$55,4,FALSE))))</f>
        <v>#VALUE!</v>
      </c>
      <c r="H150" s="8" t="e">
        <f>IF('Crédito de Vivienda'!$C$10="TARIFA 1",(C149*(VLOOKUP('Crédito de Vivienda'!$C$26,Seguros_Oblig!$A$3:$B$55,2,FALSE))),(C149*(VLOOKUP('Crédito de Vivienda'!$C$26,Seguros_Oblig!$A$3:$D$55,4,FALSE))))</f>
        <v>#VALUE!</v>
      </c>
      <c r="I150" s="8" t="e">
        <f>IF('Crédito de Vivienda'!$C$10="TARIFA 1",(C149*(VLOOKUP('Crédito de Vivienda'!$C$27,Seguros_Oblig!$A$3:$B$55,2,FALSE))),(C149*(VLOOKUP('Crédito de Vivienda'!$C$27,Seguros_Oblig!$A$3:$D$55,4,FALSE))))</f>
        <v>#VALUE!</v>
      </c>
      <c r="J150" s="10">
        <f t="shared" si="15"/>
        <v>0</v>
      </c>
      <c r="K150" s="7" t="e">
        <f>IF(C149&lt;1,"0",Seguros_Oblig!$K$2*('Crédito de Vivienda'!$C$12*90%))</f>
        <v>#VALUE!</v>
      </c>
      <c r="L150" s="7" t="e">
        <f>IF(B150=" ","0",PMT('Crédito de Vivienda'!$E$17,'Crédito de Vivienda'!$C$18,-'Crédito de Vivienda'!$C$15,,))</f>
        <v>#VALUE!</v>
      </c>
      <c r="M150" s="9" t="e">
        <f t="shared" si="16"/>
        <v>#VALUE!</v>
      </c>
      <c r="N150" s="7" t="e">
        <f>IF(C149&lt;1,"0",'Crédito de Vivienda'!$C$40)</f>
        <v>#VALUE!</v>
      </c>
      <c r="O150" s="9" t="e">
        <f t="shared" si="17"/>
        <v>#VALUE!</v>
      </c>
    </row>
    <row r="151" spans="2:15" ht="15.5" x14ac:dyDescent="0.35">
      <c r="B151" s="6" t="e">
        <f t="shared" si="13"/>
        <v>#VALUE!</v>
      </c>
      <c r="C151" s="7" t="e">
        <f t="shared" si="14"/>
        <v>#VALUE!</v>
      </c>
      <c r="D151" s="7" t="e">
        <f t="shared" si="12"/>
        <v>#VALUE!</v>
      </c>
      <c r="E151" s="7" t="e">
        <f>C150*'Crédito de Vivienda'!$E$17</f>
        <v>#VALUE!</v>
      </c>
      <c r="F151" s="282" t="e">
        <f>IF(C150&lt;1,"0",IF('Crédito de Vivienda'!$D$28="Si",($C$17*(VLOOKUP('Crédito de Vivienda'!$C$24,Seguros_Oblig!$A$3:$F$55,6,FALSE))),IF('Crédito de Vivienda'!$C$10="TARIFA 1",(C150*(VLOOKUP('Crédito de Vivienda'!$C$24,Seguros_Oblig!$A$3:$B$55,2,FALSE))),(C150*(VLOOKUP('Crédito de Vivienda'!$C$24,Seguros_Oblig!$A$3:$D$55,4,FALSE))))))</f>
        <v>#VALUE!</v>
      </c>
      <c r="G151" s="8" t="e">
        <f>IF('Crédito de Vivienda'!$C$10="TARIFA 1",(C150*(VLOOKUP('Crédito de Vivienda'!$C$25,Seguros_Oblig!$A$3:$B$55,2,FALSE))),(C150*(VLOOKUP('Crédito de Vivienda'!$C$25,Seguros_Oblig!$A$3:$D$55,4,FALSE))))</f>
        <v>#VALUE!</v>
      </c>
      <c r="H151" s="8" t="e">
        <f>IF('Crédito de Vivienda'!$C$10="TARIFA 1",(C150*(VLOOKUP('Crédito de Vivienda'!$C$26,Seguros_Oblig!$A$3:$B$55,2,FALSE))),(C150*(VLOOKUP('Crédito de Vivienda'!$C$26,Seguros_Oblig!$A$3:$D$55,4,FALSE))))</f>
        <v>#VALUE!</v>
      </c>
      <c r="I151" s="8" t="e">
        <f>IF('Crédito de Vivienda'!$C$10="TARIFA 1",(C150*(VLOOKUP('Crédito de Vivienda'!$C$27,Seguros_Oblig!$A$3:$B$55,2,FALSE))),(C150*(VLOOKUP('Crédito de Vivienda'!$C$27,Seguros_Oblig!$A$3:$D$55,4,FALSE))))</f>
        <v>#VALUE!</v>
      </c>
      <c r="J151" s="10">
        <f t="shared" si="15"/>
        <v>0</v>
      </c>
      <c r="K151" s="7" t="e">
        <f>IF(C150&lt;1,"0",Seguros_Oblig!$K$2*('Crédito de Vivienda'!$C$12*90%))</f>
        <v>#VALUE!</v>
      </c>
      <c r="L151" s="7" t="e">
        <f>IF(B151=" ","0",PMT('Crédito de Vivienda'!$E$17,'Crédito de Vivienda'!$C$18,-'Crédito de Vivienda'!$C$15,,))</f>
        <v>#VALUE!</v>
      </c>
      <c r="M151" s="9" t="e">
        <f t="shared" si="16"/>
        <v>#VALUE!</v>
      </c>
      <c r="N151" s="7" t="e">
        <f>IF(C150&lt;1,"0",'Crédito de Vivienda'!$C$40)</f>
        <v>#VALUE!</v>
      </c>
      <c r="O151" s="9" t="e">
        <f t="shared" si="17"/>
        <v>#VALUE!</v>
      </c>
    </row>
    <row r="152" spans="2:15" ht="15.5" x14ac:dyDescent="0.35">
      <c r="B152" s="6" t="e">
        <f t="shared" si="13"/>
        <v>#VALUE!</v>
      </c>
      <c r="C152" s="7" t="e">
        <f t="shared" si="14"/>
        <v>#VALUE!</v>
      </c>
      <c r="D152" s="7" t="e">
        <f t="shared" si="12"/>
        <v>#VALUE!</v>
      </c>
      <c r="E152" s="7" t="e">
        <f>C151*'Crédito de Vivienda'!$E$17</f>
        <v>#VALUE!</v>
      </c>
      <c r="F152" s="282" t="e">
        <f>IF(C151&lt;1,"0",IF('Crédito de Vivienda'!$D$28="Si",($C$17*(VLOOKUP('Crédito de Vivienda'!$C$24,Seguros_Oblig!$A$3:$F$55,6,FALSE))),IF('Crédito de Vivienda'!$C$10="TARIFA 1",(C151*(VLOOKUP('Crédito de Vivienda'!$C$24,Seguros_Oblig!$A$3:$B$55,2,FALSE))),(C151*(VLOOKUP('Crédito de Vivienda'!$C$24,Seguros_Oblig!$A$3:$D$55,4,FALSE))))))</f>
        <v>#VALUE!</v>
      </c>
      <c r="G152" s="8" t="e">
        <f>IF('Crédito de Vivienda'!$C$10="TARIFA 1",(C151*(VLOOKUP('Crédito de Vivienda'!$C$25,Seguros_Oblig!$A$3:$B$55,2,FALSE))),(C151*(VLOOKUP('Crédito de Vivienda'!$C$25,Seguros_Oblig!$A$3:$D$55,4,FALSE))))</f>
        <v>#VALUE!</v>
      </c>
      <c r="H152" s="8" t="e">
        <f>IF('Crédito de Vivienda'!$C$10="TARIFA 1",(C151*(VLOOKUP('Crédito de Vivienda'!$C$26,Seguros_Oblig!$A$3:$B$55,2,FALSE))),(C151*(VLOOKUP('Crédito de Vivienda'!$C$26,Seguros_Oblig!$A$3:$D$55,4,FALSE))))</f>
        <v>#VALUE!</v>
      </c>
      <c r="I152" s="8" t="e">
        <f>IF('Crédito de Vivienda'!$C$10="TARIFA 1",(C151*(VLOOKUP('Crédito de Vivienda'!$C$27,Seguros_Oblig!$A$3:$B$55,2,FALSE))),(C151*(VLOOKUP('Crédito de Vivienda'!$C$27,Seguros_Oblig!$A$3:$D$55,4,FALSE))))</f>
        <v>#VALUE!</v>
      </c>
      <c r="J152" s="10">
        <f t="shared" si="15"/>
        <v>0</v>
      </c>
      <c r="K152" s="7" t="e">
        <f>IF(C151&lt;1,"0",Seguros_Oblig!$K$2*('Crédito de Vivienda'!$C$12*90%))</f>
        <v>#VALUE!</v>
      </c>
      <c r="L152" s="7" t="e">
        <f>IF(B152=" ","0",PMT('Crédito de Vivienda'!$E$17,'Crédito de Vivienda'!$C$18,-'Crédito de Vivienda'!$C$15,,))</f>
        <v>#VALUE!</v>
      </c>
      <c r="M152" s="9" t="e">
        <f t="shared" si="16"/>
        <v>#VALUE!</v>
      </c>
      <c r="N152" s="7" t="e">
        <f>IF(C151&lt;1,"0",'Crédito de Vivienda'!$C$40)</f>
        <v>#VALUE!</v>
      </c>
      <c r="O152" s="9" t="e">
        <f t="shared" si="17"/>
        <v>#VALUE!</v>
      </c>
    </row>
    <row r="153" spans="2:15" ht="15.5" x14ac:dyDescent="0.35">
      <c r="B153" s="6" t="e">
        <f t="shared" si="13"/>
        <v>#VALUE!</v>
      </c>
      <c r="C153" s="7" t="e">
        <f t="shared" si="14"/>
        <v>#VALUE!</v>
      </c>
      <c r="D153" s="7" t="e">
        <f t="shared" si="12"/>
        <v>#VALUE!</v>
      </c>
      <c r="E153" s="7" t="e">
        <f>C152*'Crédito de Vivienda'!$E$17</f>
        <v>#VALUE!</v>
      </c>
      <c r="F153" s="282" t="e">
        <f>IF(C152&lt;1,"0",IF('Crédito de Vivienda'!$D$28="Si",($C$17*(VLOOKUP('Crédito de Vivienda'!$C$24,Seguros_Oblig!$A$3:$F$55,6,FALSE))),IF('Crédito de Vivienda'!$C$10="TARIFA 1",(C152*(VLOOKUP('Crédito de Vivienda'!$C$24,Seguros_Oblig!$A$3:$B$55,2,FALSE))),(C152*(VLOOKUP('Crédito de Vivienda'!$C$24,Seguros_Oblig!$A$3:$D$55,4,FALSE))))))</f>
        <v>#VALUE!</v>
      </c>
      <c r="G153" s="8" t="e">
        <f>IF('Crédito de Vivienda'!$C$10="TARIFA 1",(C152*(VLOOKUP('Crédito de Vivienda'!$C$25,Seguros_Oblig!$A$3:$B$55,2,FALSE))),(C152*(VLOOKUP('Crédito de Vivienda'!$C$25,Seguros_Oblig!$A$3:$D$55,4,FALSE))))</f>
        <v>#VALUE!</v>
      </c>
      <c r="H153" s="8" t="e">
        <f>IF('Crédito de Vivienda'!$C$10="TARIFA 1",(C152*(VLOOKUP('Crédito de Vivienda'!$C$26,Seguros_Oblig!$A$3:$B$55,2,FALSE))),(C152*(VLOOKUP('Crédito de Vivienda'!$C$26,Seguros_Oblig!$A$3:$D$55,4,FALSE))))</f>
        <v>#VALUE!</v>
      </c>
      <c r="I153" s="8" t="e">
        <f>IF('Crédito de Vivienda'!$C$10="TARIFA 1",(C152*(VLOOKUP('Crédito de Vivienda'!$C$27,Seguros_Oblig!$A$3:$B$55,2,FALSE))),(C152*(VLOOKUP('Crédito de Vivienda'!$C$27,Seguros_Oblig!$A$3:$D$55,4,FALSE))))</f>
        <v>#VALUE!</v>
      </c>
      <c r="J153" s="10">
        <f t="shared" si="15"/>
        <v>0</v>
      </c>
      <c r="K153" s="7" t="e">
        <f>IF(C152&lt;1,"0",Seguros_Oblig!$K$2*('Crédito de Vivienda'!$C$12*90%))</f>
        <v>#VALUE!</v>
      </c>
      <c r="L153" s="7" t="e">
        <f>IF(B153=" ","0",PMT('Crédito de Vivienda'!$E$17,'Crédito de Vivienda'!$C$18,-'Crédito de Vivienda'!$C$15,,))</f>
        <v>#VALUE!</v>
      </c>
      <c r="M153" s="9" t="e">
        <f t="shared" si="16"/>
        <v>#VALUE!</v>
      </c>
      <c r="N153" s="7" t="e">
        <f>IF(C152&lt;1,"0",'Crédito de Vivienda'!$C$40)</f>
        <v>#VALUE!</v>
      </c>
      <c r="O153" s="9" t="e">
        <f t="shared" si="17"/>
        <v>#VALUE!</v>
      </c>
    </row>
    <row r="154" spans="2:15" ht="15.5" x14ac:dyDescent="0.35">
      <c r="B154" s="6" t="e">
        <f t="shared" si="13"/>
        <v>#VALUE!</v>
      </c>
      <c r="C154" s="7" t="e">
        <f t="shared" si="14"/>
        <v>#VALUE!</v>
      </c>
      <c r="D154" s="7" t="e">
        <f t="shared" si="12"/>
        <v>#VALUE!</v>
      </c>
      <c r="E154" s="7" t="e">
        <f>C153*'Crédito de Vivienda'!$E$17</f>
        <v>#VALUE!</v>
      </c>
      <c r="F154" s="282" t="e">
        <f>IF(C153&lt;1,"0",IF('Crédito de Vivienda'!$D$28="Si",($C$17*(VLOOKUP('Crédito de Vivienda'!$C$24,Seguros_Oblig!$A$3:$F$55,6,FALSE))),IF('Crédito de Vivienda'!$C$10="TARIFA 1",(C153*(VLOOKUP('Crédito de Vivienda'!$C$24,Seguros_Oblig!$A$3:$B$55,2,FALSE))),(C153*(VLOOKUP('Crédito de Vivienda'!$C$24,Seguros_Oblig!$A$3:$D$55,4,FALSE))))))</f>
        <v>#VALUE!</v>
      </c>
      <c r="G154" s="8" t="e">
        <f>IF('Crédito de Vivienda'!$C$10="TARIFA 1",(C153*(VLOOKUP('Crédito de Vivienda'!$C$25,Seguros_Oblig!$A$3:$B$55,2,FALSE))),(C153*(VLOOKUP('Crédito de Vivienda'!$C$25,Seguros_Oblig!$A$3:$D$55,4,FALSE))))</f>
        <v>#VALUE!</v>
      </c>
      <c r="H154" s="8" t="e">
        <f>IF('Crédito de Vivienda'!$C$10="TARIFA 1",(C153*(VLOOKUP('Crédito de Vivienda'!$C$26,Seguros_Oblig!$A$3:$B$55,2,FALSE))),(C153*(VLOOKUP('Crédito de Vivienda'!$C$26,Seguros_Oblig!$A$3:$D$55,4,FALSE))))</f>
        <v>#VALUE!</v>
      </c>
      <c r="I154" s="8" t="e">
        <f>IF('Crédito de Vivienda'!$C$10="TARIFA 1",(C153*(VLOOKUP('Crédito de Vivienda'!$C$27,Seguros_Oblig!$A$3:$B$55,2,FALSE))),(C153*(VLOOKUP('Crédito de Vivienda'!$C$27,Seguros_Oblig!$A$3:$D$55,4,FALSE))))</f>
        <v>#VALUE!</v>
      </c>
      <c r="J154" s="10">
        <f t="shared" si="15"/>
        <v>0</v>
      </c>
      <c r="K154" s="7" t="e">
        <f>IF(C153&lt;1,"0",Seguros_Oblig!$K$2*('Crédito de Vivienda'!$C$12*90%))</f>
        <v>#VALUE!</v>
      </c>
      <c r="L154" s="7" t="e">
        <f>IF(B154=" ","0",PMT('Crédito de Vivienda'!$E$17,'Crédito de Vivienda'!$C$18,-'Crédito de Vivienda'!$C$15,,))</f>
        <v>#VALUE!</v>
      </c>
      <c r="M154" s="9" t="e">
        <f t="shared" si="16"/>
        <v>#VALUE!</v>
      </c>
      <c r="N154" s="7" t="e">
        <f>IF(C153&lt;1,"0",'Crédito de Vivienda'!$C$40)</f>
        <v>#VALUE!</v>
      </c>
      <c r="O154" s="9" t="e">
        <f t="shared" si="17"/>
        <v>#VALUE!</v>
      </c>
    </row>
    <row r="155" spans="2:15" ht="15.5" x14ac:dyDescent="0.35">
      <c r="B155" s="6" t="e">
        <f t="shared" si="13"/>
        <v>#VALUE!</v>
      </c>
      <c r="C155" s="7" t="e">
        <f t="shared" si="14"/>
        <v>#VALUE!</v>
      </c>
      <c r="D155" s="7" t="e">
        <f t="shared" si="12"/>
        <v>#VALUE!</v>
      </c>
      <c r="E155" s="7" t="e">
        <f>C154*'Crédito de Vivienda'!$E$17</f>
        <v>#VALUE!</v>
      </c>
      <c r="F155" s="282" t="e">
        <f>IF(C154&lt;1,"0",IF('Crédito de Vivienda'!$D$28="Si",($C$17*(VLOOKUP('Crédito de Vivienda'!$C$24,Seguros_Oblig!$A$3:$F$55,6,FALSE))),IF('Crédito de Vivienda'!$C$10="TARIFA 1",(C154*(VLOOKUP('Crédito de Vivienda'!$C$24,Seguros_Oblig!$A$3:$B$55,2,FALSE))),(C154*(VLOOKUP('Crédito de Vivienda'!$C$24,Seguros_Oblig!$A$3:$D$55,4,FALSE))))))</f>
        <v>#VALUE!</v>
      </c>
      <c r="G155" s="8" t="e">
        <f>IF('Crédito de Vivienda'!$C$10="TARIFA 1",(C154*(VLOOKUP('Crédito de Vivienda'!$C$25,Seguros_Oblig!$A$3:$B$55,2,FALSE))),(C154*(VLOOKUP('Crédito de Vivienda'!$C$25,Seguros_Oblig!$A$3:$D$55,4,FALSE))))</f>
        <v>#VALUE!</v>
      </c>
      <c r="H155" s="8" t="e">
        <f>IF('Crédito de Vivienda'!$C$10="TARIFA 1",(C154*(VLOOKUP('Crédito de Vivienda'!$C$26,Seguros_Oblig!$A$3:$B$55,2,FALSE))),(C154*(VLOOKUP('Crédito de Vivienda'!$C$26,Seguros_Oblig!$A$3:$D$55,4,FALSE))))</f>
        <v>#VALUE!</v>
      </c>
      <c r="I155" s="8" t="e">
        <f>IF('Crédito de Vivienda'!$C$10="TARIFA 1",(C154*(VLOOKUP('Crédito de Vivienda'!$C$27,Seguros_Oblig!$A$3:$B$55,2,FALSE))),(C154*(VLOOKUP('Crédito de Vivienda'!$C$27,Seguros_Oblig!$A$3:$D$55,4,FALSE))))</f>
        <v>#VALUE!</v>
      </c>
      <c r="J155" s="10">
        <f t="shared" si="15"/>
        <v>0</v>
      </c>
      <c r="K155" s="7" t="e">
        <f>IF(C154&lt;1,"0",Seguros_Oblig!$K$2*('Crédito de Vivienda'!$C$12*90%))</f>
        <v>#VALUE!</v>
      </c>
      <c r="L155" s="7" t="e">
        <f>IF(B155=" ","0",PMT('Crédito de Vivienda'!$E$17,'Crédito de Vivienda'!$C$18,-'Crédito de Vivienda'!$C$15,,))</f>
        <v>#VALUE!</v>
      </c>
      <c r="M155" s="9" t="e">
        <f t="shared" si="16"/>
        <v>#VALUE!</v>
      </c>
      <c r="N155" s="7" t="e">
        <f>IF(C154&lt;1,"0",'Crédito de Vivienda'!$C$40)</f>
        <v>#VALUE!</v>
      </c>
      <c r="O155" s="9" t="e">
        <f t="shared" si="17"/>
        <v>#VALUE!</v>
      </c>
    </row>
    <row r="156" spans="2:15" ht="15.5" x14ac:dyDescent="0.35">
      <c r="B156" s="6" t="e">
        <f t="shared" si="13"/>
        <v>#VALUE!</v>
      </c>
      <c r="C156" s="7" t="e">
        <f t="shared" si="14"/>
        <v>#VALUE!</v>
      </c>
      <c r="D156" s="7" t="e">
        <f t="shared" si="12"/>
        <v>#VALUE!</v>
      </c>
      <c r="E156" s="7" t="e">
        <f>C155*'Crédito de Vivienda'!$E$17</f>
        <v>#VALUE!</v>
      </c>
      <c r="F156" s="282" t="e">
        <f>IF(C155&lt;1,"0",IF('Crédito de Vivienda'!$D$28="Si",($C$17*(VLOOKUP('Crédito de Vivienda'!$C$24,Seguros_Oblig!$A$3:$F$55,6,FALSE))),IF('Crédito de Vivienda'!$C$10="TARIFA 1",(C155*(VLOOKUP('Crédito de Vivienda'!$C$24,Seguros_Oblig!$A$3:$B$55,2,FALSE))),(C155*(VLOOKUP('Crédito de Vivienda'!$C$24,Seguros_Oblig!$A$3:$D$55,4,FALSE))))))</f>
        <v>#VALUE!</v>
      </c>
      <c r="G156" s="8" t="e">
        <f>IF('Crédito de Vivienda'!$C$10="TARIFA 1",(C155*(VLOOKUP('Crédito de Vivienda'!$C$25,Seguros_Oblig!$A$3:$B$55,2,FALSE))),(C155*(VLOOKUP('Crédito de Vivienda'!$C$25,Seguros_Oblig!$A$3:$D$55,4,FALSE))))</f>
        <v>#VALUE!</v>
      </c>
      <c r="H156" s="8" t="e">
        <f>IF('Crédito de Vivienda'!$C$10="TARIFA 1",(C155*(VLOOKUP('Crédito de Vivienda'!$C$26,Seguros_Oblig!$A$3:$B$55,2,FALSE))),(C155*(VLOOKUP('Crédito de Vivienda'!$C$26,Seguros_Oblig!$A$3:$D$55,4,FALSE))))</f>
        <v>#VALUE!</v>
      </c>
      <c r="I156" s="8" t="e">
        <f>IF('Crédito de Vivienda'!$C$10="TARIFA 1",(C155*(VLOOKUP('Crédito de Vivienda'!$C$27,Seguros_Oblig!$A$3:$B$55,2,FALSE))),(C155*(VLOOKUP('Crédito de Vivienda'!$C$27,Seguros_Oblig!$A$3:$D$55,4,FALSE))))</f>
        <v>#VALUE!</v>
      </c>
      <c r="J156" s="10">
        <f t="shared" si="15"/>
        <v>0</v>
      </c>
      <c r="K156" s="7" t="e">
        <f>IF(C155&lt;1,"0",Seguros_Oblig!$K$2*('Crédito de Vivienda'!$C$12*90%))</f>
        <v>#VALUE!</v>
      </c>
      <c r="L156" s="7" t="e">
        <f>IF(B156=" ","0",PMT('Crédito de Vivienda'!$E$17,'Crédito de Vivienda'!$C$18,-'Crédito de Vivienda'!$C$15,,))</f>
        <v>#VALUE!</v>
      </c>
      <c r="M156" s="9" t="e">
        <f t="shared" si="16"/>
        <v>#VALUE!</v>
      </c>
      <c r="N156" s="7" t="e">
        <f>IF(C155&lt;1,"0",'Crédito de Vivienda'!$C$40)</f>
        <v>#VALUE!</v>
      </c>
      <c r="O156" s="9" t="e">
        <f t="shared" si="17"/>
        <v>#VALUE!</v>
      </c>
    </row>
    <row r="157" spans="2:15" ht="15.5" x14ac:dyDescent="0.35">
      <c r="B157" s="6" t="e">
        <f t="shared" si="13"/>
        <v>#VALUE!</v>
      </c>
      <c r="C157" s="7" t="e">
        <f t="shared" si="14"/>
        <v>#VALUE!</v>
      </c>
      <c r="D157" s="7" t="e">
        <f t="shared" si="12"/>
        <v>#VALUE!</v>
      </c>
      <c r="E157" s="7" t="e">
        <f>C156*'Crédito de Vivienda'!$E$17</f>
        <v>#VALUE!</v>
      </c>
      <c r="F157" s="282" t="e">
        <f>IF(C156&lt;1,"0",IF('Crédito de Vivienda'!$D$28="Si",($C$17*(VLOOKUP('Crédito de Vivienda'!$C$24,Seguros_Oblig!$A$3:$F$55,6,FALSE))),IF('Crédito de Vivienda'!$C$10="TARIFA 1",(C156*(VLOOKUP('Crédito de Vivienda'!$C$24,Seguros_Oblig!$A$3:$B$55,2,FALSE))),(C156*(VLOOKUP('Crédito de Vivienda'!$C$24,Seguros_Oblig!$A$3:$D$55,4,FALSE))))))</f>
        <v>#VALUE!</v>
      </c>
      <c r="G157" s="8" t="e">
        <f>IF('Crédito de Vivienda'!$C$10="TARIFA 1",(C156*(VLOOKUP('Crédito de Vivienda'!$C$25,Seguros_Oblig!$A$3:$B$55,2,FALSE))),(C156*(VLOOKUP('Crédito de Vivienda'!$C$25,Seguros_Oblig!$A$3:$D$55,4,FALSE))))</f>
        <v>#VALUE!</v>
      </c>
      <c r="H157" s="8" t="e">
        <f>IF('Crédito de Vivienda'!$C$10="TARIFA 1",(C156*(VLOOKUP('Crédito de Vivienda'!$C$26,Seguros_Oblig!$A$3:$B$55,2,FALSE))),(C156*(VLOOKUP('Crédito de Vivienda'!$C$26,Seguros_Oblig!$A$3:$D$55,4,FALSE))))</f>
        <v>#VALUE!</v>
      </c>
      <c r="I157" s="8" t="e">
        <f>IF('Crédito de Vivienda'!$C$10="TARIFA 1",(C156*(VLOOKUP('Crédito de Vivienda'!$C$27,Seguros_Oblig!$A$3:$B$55,2,FALSE))),(C156*(VLOOKUP('Crédito de Vivienda'!$C$27,Seguros_Oblig!$A$3:$D$55,4,FALSE))))</f>
        <v>#VALUE!</v>
      </c>
      <c r="J157" s="10">
        <f t="shared" si="15"/>
        <v>0</v>
      </c>
      <c r="K157" s="7" t="e">
        <f>IF(C156&lt;1,"0",Seguros_Oblig!$K$2*('Crédito de Vivienda'!$C$12*90%))</f>
        <v>#VALUE!</v>
      </c>
      <c r="L157" s="7" t="e">
        <f>IF(B157=" ","0",PMT('Crédito de Vivienda'!$E$17,'Crédito de Vivienda'!$C$18,-'Crédito de Vivienda'!$C$15,,))</f>
        <v>#VALUE!</v>
      </c>
      <c r="M157" s="9" t="e">
        <f t="shared" si="16"/>
        <v>#VALUE!</v>
      </c>
      <c r="N157" s="7" t="e">
        <f>IF(C156&lt;1,"0",'Crédito de Vivienda'!$C$40)</f>
        <v>#VALUE!</v>
      </c>
      <c r="O157" s="9" t="e">
        <f t="shared" si="17"/>
        <v>#VALUE!</v>
      </c>
    </row>
    <row r="158" spans="2:15" ht="15.5" x14ac:dyDescent="0.35">
      <c r="B158" s="6" t="e">
        <f t="shared" si="13"/>
        <v>#VALUE!</v>
      </c>
      <c r="C158" s="7" t="e">
        <f t="shared" si="14"/>
        <v>#VALUE!</v>
      </c>
      <c r="D158" s="7" t="e">
        <f t="shared" si="12"/>
        <v>#VALUE!</v>
      </c>
      <c r="E158" s="7" t="e">
        <f>C157*'Crédito de Vivienda'!$E$17</f>
        <v>#VALUE!</v>
      </c>
      <c r="F158" s="282" t="e">
        <f>IF(C157&lt;1,"0",IF('Crédito de Vivienda'!$D$28="Si",($C$17*(VLOOKUP('Crédito de Vivienda'!$C$24,Seguros_Oblig!$A$3:$F$55,6,FALSE))),IF('Crédito de Vivienda'!$C$10="TARIFA 1",(C157*(VLOOKUP('Crédito de Vivienda'!$C$24,Seguros_Oblig!$A$3:$B$55,2,FALSE))),(C157*(VLOOKUP('Crédito de Vivienda'!$C$24,Seguros_Oblig!$A$3:$D$55,4,FALSE))))))</f>
        <v>#VALUE!</v>
      </c>
      <c r="G158" s="8" t="e">
        <f>IF('Crédito de Vivienda'!$C$10="TARIFA 1",(C157*(VLOOKUP('Crédito de Vivienda'!$C$25,Seguros_Oblig!$A$3:$B$55,2,FALSE))),(C157*(VLOOKUP('Crédito de Vivienda'!$C$25,Seguros_Oblig!$A$3:$D$55,4,FALSE))))</f>
        <v>#VALUE!</v>
      </c>
      <c r="H158" s="8" t="e">
        <f>IF('Crédito de Vivienda'!$C$10="TARIFA 1",(C157*(VLOOKUP('Crédito de Vivienda'!$C$26,Seguros_Oblig!$A$3:$B$55,2,FALSE))),(C157*(VLOOKUP('Crédito de Vivienda'!$C$26,Seguros_Oblig!$A$3:$D$55,4,FALSE))))</f>
        <v>#VALUE!</v>
      </c>
      <c r="I158" s="8" t="e">
        <f>IF('Crédito de Vivienda'!$C$10="TARIFA 1",(C157*(VLOOKUP('Crédito de Vivienda'!$C$27,Seguros_Oblig!$A$3:$B$55,2,FALSE))),(C157*(VLOOKUP('Crédito de Vivienda'!$C$27,Seguros_Oblig!$A$3:$D$55,4,FALSE))))</f>
        <v>#VALUE!</v>
      </c>
      <c r="J158" s="10">
        <f t="shared" si="15"/>
        <v>0</v>
      </c>
      <c r="K158" s="7" t="e">
        <f>IF(C157&lt;1,"0",Seguros_Oblig!$K$2*('Crédito de Vivienda'!$C$12*90%))</f>
        <v>#VALUE!</v>
      </c>
      <c r="L158" s="7" t="e">
        <f>IF(B158=" ","0",PMT('Crédito de Vivienda'!$E$17,'Crédito de Vivienda'!$C$18,-'Crédito de Vivienda'!$C$15,,))</f>
        <v>#VALUE!</v>
      </c>
      <c r="M158" s="9" t="e">
        <f t="shared" si="16"/>
        <v>#VALUE!</v>
      </c>
      <c r="N158" s="7" t="e">
        <f>IF(C157&lt;1,"0",'Crédito de Vivienda'!$C$40)</f>
        <v>#VALUE!</v>
      </c>
      <c r="O158" s="9" t="e">
        <f t="shared" si="17"/>
        <v>#VALUE!</v>
      </c>
    </row>
    <row r="159" spans="2:15" ht="15.5" x14ac:dyDescent="0.35">
      <c r="B159" s="6" t="e">
        <f t="shared" si="13"/>
        <v>#VALUE!</v>
      </c>
      <c r="C159" s="7" t="e">
        <f t="shared" si="14"/>
        <v>#VALUE!</v>
      </c>
      <c r="D159" s="7" t="e">
        <f t="shared" ref="D159:D222" si="18">IF(C158&lt;1,"0",L159-E159)</f>
        <v>#VALUE!</v>
      </c>
      <c r="E159" s="7" t="e">
        <f>C158*'Crédito de Vivienda'!$E$17</f>
        <v>#VALUE!</v>
      </c>
      <c r="F159" s="282" t="e">
        <f>IF(C158&lt;1,"0",IF('Crédito de Vivienda'!$D$28="Si",($C$17*(VLOOKUP('Crédito de Vivienda'!$C$24,Seguros_Oblig!$A$3:$F$55,6,FALSE))),IF('Crédito de Vivienda'!$C$10="TARIFA 1",(C158*(VLOOKUP('Crédito de Vivienda'!$C$24,Seguros_Oblig!$A$3:$B$55,2,FALSE))),(C158*(VLOOKUP('Crédito de Vivienda'!$C$24,Seguros_Oblig!$A$3:$D$55,4,FALSE))))))</f>
        <v>#VALUE!</v>
      </c>
      <c r="G159" s="8" t="e">
        <f>IF('Crédito de Vivienda'!$C$10="TARIFA 1",(C158*(VLOOKUP('Crédito de Vivienda'!$C$25,Seguros_Oblig!$A$3:$B$55,2,FALSE))),(C158*(VLOOKUP('Crédito de Vivienda'!$C$25,Seguros_Oblig!$A$3:$D$55,4,FALSE))))</f>
        <v>#VALUE!</v>
      </c>
      <c r="H159" s="8" t="e">
        <f>IF('Crédito de Vivienda'!$C$10="TARIFA 1",(C158*(VLOOKUP('Crédito de Vivienda'!$C$26,Seguros_Oblig!$A$3:$B$55,2,FALSE))),(C158*(VLOOKUP('Crédito de Vivienda'!$C$26,Seguros_Oblig!$A$3:$D$55,4,FALSE))))</f>
        <v>#VALUE!</v>
      </c>
      <c r="I159" s="8" t="e">
        <f>IF('Crédito de Vivienda'!$C$10="TARIFA 1",(C158*(VLOOKUP('Crédito de Vivienda'!$C$27,Seguros_Oblig!$A$3:$B$55,2,FALSE))),(C158*(VLOOKUP('Crédito de Vivienda'!$C$27,Seguros_Oblig!$A$3:$D$55,4,FALSE))))</f>
        <v>#VALUE!</v>
      </c>
      <c r="J159" s="10">
        <f t="shared" si="15"/>
        <v>0</v>
      </c>
      <c r="K159" s="7" t="e">
        <f>IF(C158&lt;1,"0",Seguros_Oblig!$K$2*('Crédito de Vivienda'!$C$12*90%))</f>
        <v>#VALUE!</v>
      </c>
      <c r="L159" s="7" t="e">
        <f>IF(B159=" ","0",PMT('Crédito de Vivienda'!$E$17,'Crédito de Vivienda'!$C$18,-'Crédito de Vivienda'!$C$15,,))</f>
        <v>#VALUE!</v>
      </c>
      <c r="M159" s="9" t="e">
        <f t="shared" si="16"/>
        <v>#VALUE!</v>
      </c>
      <c r="N159" s="7" t="e">
        <f>IF(C158&lt;1,"0",'Crédito de Vivienda'!$C$40)</f>
        <v>#VALUE!</v>
      </c>
      <c r="O159" s="9" t="e">
        <f t="shared" si="17"/>
        <v>#VALUE!</v>
      </c>
    </row>
    <row r="160" spans="2:15" ht="15.5" x14ac:dyDescent="0.35">
      <c r="B160" s="6" t="e">
        <f t="shared" si="13"/>
        <v>#VALUE!</v>
      </c>
      <c r="C160" s="7" t="e">
        <f t="shared" si="14"/>
        <v>#VALUE!</v>
      </c>
      <c r="D160" s="7" t="e">
        <f t="shared" si="18"/>
        <v>#VALUE!</v>
      </c>
      <c r="E160" s="7" t="e">
        <f>C159*'Crédito de Vivienda'!$E$17</f>
        <v>#VALUE!</v>
      </c>
      <c r="F160" s="282" t="e">
        <f>IF(C159&lt;1,"0",IF('Crédito de Vivienda'!$D$28="Si",($C$17*(VLOOKUP('Crédito de Vivienda'!$C$24,Seguros_Oblig!$A$3:$F$55,6,FALSE))),IF('Crédito de Vivienda'!$C$10="TARIFA 1",(C159*(VLOOKUP('Crédito de Vivienda'!$C$24,Seguros_Oblig!$A$3:$B$55,2,FALSE))),(C159*(VLOOKUP('Crédito de Vivienda'!$C$24,Seguros_Oblig!$A$3:$D$55,4,FALSE))))))</f>
        <v>#VALUE!</v>
      </c>
      <c r="G160" s="8" t="e">
        <f>IF('Crédito de Vivienda'!$C$10="TARIFA 1",(C159*(VLOOKUP('Crédito de Vivienda'!$C$25,Seguros_Oblig!$A$3:$B$55,2,FALSE))),(C159*(VLOOKUP('Crédito de Vivienda'!$C$25,Seguros_Oblig!$A$3:$D$55,4,FALSE))))</f>
        <v>#VALUE!</v>
      </c>
      <c r="H160" s="8" t="e">
        <f>IF('Crédito de Vivienda'!$C$10="TARIFA 1",(C159*(VLOOKUP('Crédito de Vivienda'!$C$26,Seguros_Oblig!$A$3:$B$55,2,FALSE))),(C159*(VLOOKUP('Crédito de Vivienda'!$C$26,Seguros_Oblig!$A$3:$D$55,4,FALSE))))</f>
        <v>#VALUE!</v>
      </c>
      <c r="I160" s="8" t="e">
        <f>IF('Crédito de Vivienda'!$C$10="TARIFA 1",(C159*(VLOOKUP('Crédito de Vivienda'!$C$27,Seguros_Oblig!$A$3:$B$55,2,FALSE))),(C159*(VLOOKUP('Crédito de Vivienda'!$C$27,Seguros_Oblig!$A$3:$D$55,4,FALSE))))</f>
        <v>#VALUE!</v>
      </c>
      <c r="J160" s="10">
        <f t="shared" si="15"/>
        <v>0</v>
      </c>
      <c r="K160" s="7" t="e">
        <f>IF(C159&lt;1,"0",Seguros_Oblig!$K$2*('Crédito de Vivienda'!$C$12*90%))</f>
        <v>#VALUE!</v>
      </c>
      <c r="L160" s="7" t="e">
        <f>IF(B160=" ","0",PMT('Crédito de Vivienda'!$E$17,'Crédito de Vivienda'!$C$18,-'Crédito de Vivienda'!$C$15,,))</f>
        <v>#VALUE!</v>
      </c>
      <c r="M160" s="9" t="e">
        <f t="shared" si="16"/>
        <v>#VALUE!</v>
      </c>
      <c r="N160" s="7" t="e">
        <f>IF(C159&lt;1,"0",'Crédito de Vivienda'!$C$40)</f>
        <v>#VALUE!</v>
      </c>
      <c r="O160" s="9" t="e">
        <f t="shared" si="17"/>
        <v>#VALUE!</v>
      </c>
    </row>
    <row r="161" spans="2:15" ht="15.5" x14ac:dyDescent="0.35">
      <c r="B161" s="6" t="e">
        <f t="shared" si="13"/>
        <v>#VALUE!</v>
      </c>
      <c r="C161" s="7" t="e">
        <f t="shared" si="14"/>
        <v>#VALUE!</v>
      </c>
      <c r="D161" s="7" t="e">
        <f t="shared" si="18"/>
        <v>#VALUE!</v>
      </c>
      <c r="E161" s="7" t="e">
        <f>C160*'Crédito de Vivienda'!$E$17</f>
        <v>#VALUE!</v>
      </c>
      <c r="F161" s="282" t="e">
        <f>IF(C160&lt;1,"0",IF('Crédito de Vivienda'!$D$28="Si",($C$17*(VLOOKUP('Crédito de Vivienda'!$C$24,Seguros_Oblig!$A$3:$F$55,6,FALSE))),IF('Crédito de Vivienda'!$C$10="TARIFA 1",(C160*(VLOOKUP('Crédito de Vivienda'!$C$24,Seguros_Oblig!$A$3:$B$55,2,FALSE))),(C160*(VLOOKUP('Crédito de Vivienda'!$C$24,Seguros_Oblig!$A$3:$D$55,4,FALSE))))))</f>
        <v>#VALUE!</v>
      </c>
      <c r="G161" s="8" t="e">
        <f>IF('Crédito de Vivienda'!$C$10="TARIFA 1",(C160*(VLOOKUP('Crédito de Vivienda'!$C$25,Seguros_Oblig!$A$3:$B$55,2,FALSE))),(C160*(VLOOKUP('Crédito de Vivienda'!$C$25,Seguros_Oblig!$A$3:$D$55,4,FALSE))))</f>
        <v>#VALUE!</v>
      </c>
      <c r="H161" s="8" t="e">
        <f>IF('Crédito de Vivienda'!$C$10="TARIFA 1",(C160*(VLOOKUP('Crédito de Vivienda'!$C$26,Seguros_Oblig!$A$3:$B$55,2,FALSE))),(C160*(VLOOKUP('Crédito de Vivienda'!$C$26,Seguros_Oblig!$A$3:$D$55,4,FALSE))))</f>
        <v>#VALUE!</v>
      </c>
      <c r="I161" s="8" t="e">
        <f>IF('Crédito de Vivienda'!$C$10="TARIFA 1",(C160*(VLOOKUP('Crédito de Vivienda'!$C$27,Seguros_Oblig!$A$3:$B$55,2,FALSE))),(C160*(VLOOKUP('Crédito de Vivienda'!$C$27,Seguros_Oblig!$A$3:$D$55,4,FALSE))))</f>
        <v>#VALUE!</v>
      </c>
      <c r="J161" s="10">
        <f t="shared" si="15"/>
        <v>0</v>
      </c>
      <c r="K161" s="7" t="e">
        <f>IF(C160&lt;1,"0",Seguros_Oblig!$K$2*('Crédito de Vivienda'!$C$12*90%))</f>
        <v>#VALUE!</v>
      </c>
      <c r="L161" s="7" t="e">
        <f>IF(B161=" ","0",PMT('Crédito de Vivienda'!$E$17,'Crédito de Vivienda'!$C$18,-'Crédito de Vivienda'!$C$15,,))</f>
        <v>#VALUE!</v>
      </c>
      <c r="M161" s="9" t="e">
        <f t="shared" si="16"/>
        <v>#VALUE!</v>
      </c>
      <c r="N161" s="7" t="e">
        <f>IF(C160&lt;1,"0",'Crédito de Vivienda'!$C$40)</f>
        <v>#VALUE!</v>
      </c>
      <c r="O161" s="9" t="e">
        <f t="shared" si="17"/>
        <v>#VALUE!</v>
      </c>
    </row>
    <row r="162" spans="2:15" ht="15.5" x14ac:dyDescent="0.35">
      <c r="B162" s="6" t="e">
        <f t="shared" si="13"/>
        <v>#VALUE!</v>
      </c>
      <c r="C162" s="7" t="e">
        <f t="shared" si="14"/>
        <v>#VALUE!</v>
      </c>
      <c r="D162" s="7" t="e">
        <f t="shared" si="18"/>
        <v>#VALUE!</v>
      </c>
      <c r="E162" s="7" t="e">
        <f>C161*'Crédito de Vivienda'!$E$17</f>
        <v>#VALUE!</v>
      </c>
      <c r="F162" s="282" t="e">
        <f>IF(C161&lt;1,"0",IF('Crédito de Vivienda'!$D$28="Si",($C$17*(VLOOKUP('Crédito de Vivienda'!$C$24,Seguros_Oblig!$A$3:$F$55,6,FALSE))),IF('Crédito de Vivienda'!$C$10="TARIFA 1",(C161*(VLOOKUP('Crédito de Vivienda'!$C$24,Seguros_Oblig!$A$3:$B$55,2,FALSE))),(C161*(VLOOKUP('Crédito de Vivienda'!$C$24,Seguros_Oblig!$A$3:$D$55,4,FALSE))))))</f>
        <v>#VALUE!</v>
      </c>
      <c r="G162" s="8" t="e">
        <f>IF('Crédito de Vivienda'!$C$10="TARIFA 1",(C161*(VLOOKUP('Crédito de Vivienda'!$C$25,Seguros_Oblig!$A$3:$B$55,2,FALSE))),(C161*(VLOOKUP('Crédito de Vivienda'!$C$25,Seguros_Oblig!$A$3:$D$55,4,FALSE))))</f>
        <v>#VALUE!</v>
      </c>
      <c r="H162" s="8" t="e">
        <f>IF('Crédito de Vivienda'!$C$10="TARIFA 1",(C161*(VLOOKUP('Crédito de Vivienda'!$C$26,Seguros_Oblig!$A$3:$B$55,2,FALSE))),(C161*(VLOOKUP('Crédito de Vivienda'!$C$26,Seguros_Oblig!$A$3:$D$55,4,FALSE))))</f>
        <v>#VALUE!</v>
      </c>
      <c r="I162" s="8" t="e">
        <f>IF('Crédito de Vivienda'!$C$10="TARIFA 1",(C161*(VLOOKUP('Crédito de Vivienda'!$C$27,Seguros_Oblig!$A$3:$B$55,2,FALSE))),(C161*(VLOOKUP('Crédito de Vivienda'!$C$27,Seguros_Oblig!$A$3:$D$55,4,FALSE))))</f>
        <v>#VALUE!</v>
      </c>
      <c r="J162" s="10">
        <f t="shared" si="15"/>
        <v>0</v>
      </c>
      <c r="K162" s="7" t="e">
        <f>IF(C161&lt;1,"0",Seguros_Oblig!$K$2*('Crédito de Vivienda'!$C$12*90%))</f>
        <v>#VALUE!</v>
      </c>
      <c r="L162" s="7" t="e">
        <f>IF(B162=" ","0",PMT('Crédito de Vivienda'!$E$17,'Crédito de Vivienda'!$C$18,-'Crédito de Vivienda'!$C$15,,))</f>
        <v>#VALUE!</v>
      </c>
      <c r="M162" s="9" t="e">
        <f t="shared" si="16"/>
        <v>#VALUE!</v>
      </c>
      <c r="N162" s="7" t="e">
        <f>IF(C161&lt;1,"0",'Crédito de Vivienda'!$C$40)</f>
        <v>#VALUE!</v>
      </c>
      <c r="O162" s="9" t="e">
        <f t="shared" si="17"/>
        <v>#VALUE!</v>
      </c>
    </row>
    <row r="163" spans="2:15" ht="15.5" x14ac:dyDescent="0.35">
      <c r="B163" s="6" t="e">
        <f t="shared" si="13"/>
        <v>#VALUE!</v>
      </c>
      <c r="C163" s="7" t="e">
        <f t="shared" si="14"/>
        <v>#VALUE!</v>
      </c>
      <c r="D163" s="7" t="e">
        <f t="shared" si="18"/>
        <v>#VALUE!</v>
      </c>
      <c r="E163" s="7" t="e">
        <f>C162*'Crédito de Vivienda'!$E$17</f>
        <v>#VALUE!</v>
      </c>
      <c r="F163" s="282" t="e">
        <f>IF(C162&lt;1,"0",IF('Crédito de Vivienda'!$D$28="Si",($C$17*(VLOOKUP('Crédito de Vivienda'!$C$24,Seguros_Oblig!$A$3:$F$55,6,FALSE))),IF('Crédito de Vivienda'!$C$10="TARIFA 1",(C162*(VLOOKUP('Crédito de Vivienda'!$C$24,Seguros_Oblig!$A$3:$B$55,2,FALSE))),(C162*(VLOOKUP('Crédito de Vivienda'!$C$24,Seguros_Oblig!$A$3:$D$55,4,FALSE))))))</f>
        <v>#VALUE!</v>
      </c>
      <c r="G163" s="8" t="e">
        <f>IF('Crédito de Vivienda'!$C$10="TARIFA 1",(C162*(VLOOKUP('Crédito de Vivienda'!$C$25,Seguros_Oblig!$A$3:$B$55,2,FALSE))),(C162*(VLOOKUP('Crédito de Vivienda'!$C$25,Seguros_Oblig!$A$3:$D$55,4,FALSE))))</f>
        <v>#VALUE!</v>
      </c>
      <c r="H163" s="8" t="e">
        <f>IF('Crédito de Vivienda'!$C$10="TARIFA 1",(C162*(VLOOKUP('Crédito de Vivienda'!$C$26,Seguros_Oblig!$A$3:$B$55,2,FALSE))),(C162*(VLOOKUP('Crédito de Vivienda'!$C$26,Seguros_Oblig!$A$3:$D$55,4,FALSE))))</f>
        <v>#VALUE!</v>
      </c>
      <c r="I163" s="8" t="e">
        <f>IF('Crédito de Vivienda'!$C$10="TARIFA 1",(C162*(VLOOKUP('Crédito de Vivienda'!$C$27,Seguros_Oblig!$A$3:$B$55,2,FALSE))),(C162*(VLOOKUP('Crédito de Vivienda'!$C$27,Seguros_Oblig!$A$3:$D$55,4,FALSE))))</f>
        <v>#VALUE!</v>
      </c>
      <c r="J163" s="10">
        <f t="shared" si="15"/>
        <v>0</v>
      </c>
      <c r="K163" s="7" t="e">
        <f>IF(C162&lt;1,"0",Seguros_Oblig!$K$2*('Crédito de Vivienda'!$C$12*90%))</f>
        <v>#VALUE!</v>
      </c>
      <c r="L163" s="7" t="e">
        <f>IF(B163=" ","0",PMT('Crédito de Vivienda'!$E$17,'Crédito de Vivienda'!$C$18,-'Crédito de Vivienda'!$C$15,,))</f>
        <v>#VALUE!</v>
      </c>
      <c r="M163" s="9" t="e">
        <f t="shared" si="16"/>
        <v>#VALUE!</v>
      </c>
      <c r="N163" s="7" t="e">
        <f>IF(C162&lt;1,"0",'Crédito de Vivienda'!$C$40)</f>
        <v>#VALUE!</v>
      </c>
      <c r="O163" s="9" t="e">
        <f t="shared" si="17"/>
        <v>#VALUE!</v>
      </c>
    </row>
    <row r="164" spans="2:15" ht="15.5" x14ac:dyDescent="0.35">
      <c r="B164" s="6" t="e">
        <f t="shared" si="13"/>
        <v>#VALUE!</v>
      </c>
      <c r="C164" s="7" t="e">
        <f t="shared" si="14"/>
        <v>#VALUE!</v>
      </c>
      <c r="D164" s="7" t="e">
        <f t="shared" si="18"/>
        <v>#VALUE!</v>
      </c>
      <c r="E164" s="7" t="e">
        <f>C163*'Crédito de Vivienda'!$E$17</f>
        <v>#VALUE!</v>
      </c>
      <c r="F164" s="282" t="e">
        <f>IF(C163&lt;1,"0",IF('Crédito de Vivienda'!$D$28="Si",($C$17*(VLOOKUP('Crédito de Vivienda'!$C$24,Seguros_Oblig!$A$3:$F$55,6,FALSE))),IF('Crédito de Vivienda'!$C$10="TARIFA 1",(C163*(VLOOKUP('Crédito de Vivienda'!$C$24,Seguros_Oblig!$A$3:$B$55,2,FALSE))),(C163*(VLOOKUP('Crédito de Vivienda'!$C$24,Seguros_Oblig!$A$3:$D$55,4,FALSE))))))</f>
        <v>#VALUE!</v>
      </c>
      <c r="G164" s="8" t="e">
        <f>IF('Crédito de Vivienda'!$C$10="TARIFA 1",(C163*(VLOOKUP('Crédito de Vivienda'!$C$25,Seguros_Oblig!$A$3:$B$55,2,FALSE))),(C163*(VLOOKUP('Crédito de Vivienda'!$C$25,Seguros_Oblig!$A$3:$D$55,4,FALSE))))</f>
        <v>#VALUE!</v>
      </c>
      <c r="H164" s="8" t="e">
        <f>IF('Crédito de Vivienda'!$C$10="TARIFA 1",(C163*(VLOOKUP('Crédito de Vivienda'!$C$26,Seguros_Oblig!$A$3:$B$55,2,FALSE))),(C163*(VLOOKUP('Crédito de Vivienda'!$C$26,Seguros_Oblig!$A$3:$D$55,4,FALSE))))</f>
        <v>#VALUE!</v>
      </c>
      <c r="I164" s="8" t="e">
        <f>IF('Crédito de Vivienda'!$C$10="TARIFA 1",(C163*(VLOOKUP('Crédito de Vivienda'!$C$27,Seguros_Oblig!$A$3:$B$55,2,FALSE))),(C163*(VLOOKUP('Crédito de Vivienda'!$C$27,Seguros_Oblig!$A$3:$D$55,4,FALSE))))</f>
        <v>#VALUE!</v>
      </c>
      <c r="J164" s="10">
        <f t="shared" si="15"/>
        <v>0</v>
      </c>
      <c r="K164" s="7" t="e">
        <f>IF(C163&lt;1,"0",Seguros_Oblig!$K$2*('Crédito de Vivienda'!$C$12*90%))</f>
        <v>#VALUE!</v>
      </c>
      <c r="L164" s="7" t="e">
        <f>IF(B164=" ","0",PMT('Crédito de Vivienda'!$E$17,'Crédito de Vivienda'!$C$18,-'Crédito de Vivienda'!$C$15,,))</f>
        <v>#VALUE!</v>
      </c>
      <c r="M164" s="9" t="e">
        <f t="shared" si="16"/>
        <v>#VALUE!</v>
      </c>
      <c r="N164" s="7" t="e">
        <f>IF(C163&lt;1,"0",'Crédito de Vivienda'!$C$40)</f>
        <v>#VALUE!</v>
      </c>
      <c r="O164" s="9" t="e">
        <f t="shared" si="17"/>
        <v>#VALUE!</v>
      </c>
    </row>
    <row r="165" spans="2:15" ht="15.5" x14ac:dyDescent="0.35">
      <c r="B165" s="6" t="e">
        <f t="shared" si="13"/>
        <v>#VALUE!</v>
      </c>
      <c r="C165" s="7" t="e">
        <f t="shared" si="14"/>
        <v>#VALUE!</v>
      </c>
      <c r="D165" s="7" t="e">
        <f t="shared" si="18"/>
        <v>#VALUE!</v>
      </c>
      <c r="E165" s="7" t="e">
        <f>C164*'Crédito de Vivienda'!$E$17</f>
        <v>#VALUE!</v>
      </c>
      <c r="F165" s="282" t="e">
        <f>IF(C164&lt;1,"0",IF('Crédito de Vivienda'!$D$28="Si",($C$17*(VLOOKUP('Crédito de Vivienda'!$C$24,Seguros_Oblig!$A$3:$F$55,6,FALSE))),IF('Crédito de Vivienda'!$C$10="TARIFA 1",(C164*(VLOOKUP('Crédito de Vivienda'!$C$24,Seguros_Oblig!$A$3:$B$55,2,FALSE))),(C164*(VLOOKUP('Crédito de Vivienda'!$C$24,Seguros_Oblig!$A$3:$D$55,4,FALSE))))))</f>
        <v>#VALUE!</v>
      </c>
      <c r="G165" s="8" t="e">
        <f>IF('Crédito de Vivienda'!$C$10="TARIFA 1",(C164*(VLOOKUP('Crédito de Vivienda'!$C$25,Seguros_Oblig!$A$3:$B$55,2,FALSE))),(C164*(VLOOKUP('Crédito de Vivienda'!$C$25,Seguros_Oblig!$A$3:$D$55,4,FALSE))))</f>
        <v>#VALUE!</v>
      </c>
      <c r="H165" s="8" t="e">
        <f>IF('Crédito de Vivienda'!$C$10="TARIFA 1",(C164*(VLOOKUP('Crédito de Vivienda'!$C$26,Seguros_Oblig!$A$3:$B$55,2,FALSE))),(C164*(VLOOKUP('Crédito de Vivienda'!$C$26,Seguros_Oblig!$A$3:$D$55,4,FALSE))))</f>
        <v>#VALUE!</v>
      </c>
      <c r="I165" s="8" t="e">
        <f>IF('Crédito de Vivienda'!$C$10="TARIFA 1",(C164*(VLOOKUP('Crédito de Vivienda'!$C$27,Seguros_Oblig!$A$3:$B$55,2,FALSE))),(C164*(VLOOKUP('Crédito de Vivienda'!$C$27,Seguros_Oblig!$A$3:$D$55,4,FALSE))))</f>
        <v>#VALUE!</v>
      </c>
      <c r="J165" s="10">
        <f t="shared" si="15"/>
        <v>0</v>
      </c>
      <c r="K165" s="7" t="e">
        <f>IF(C164&lt;1,"0",Seguros_Oblig!$K$2*('Crédito de Vivienda'!$C$12*90%))</f>
        <v>#VALUE!</v>
      </c>
      <c r="L165" s="7" t="e">
        <f>IF(B165=" ","0",PMT('Crédito de Vivienda'!$E$17,'Crédito de Vivienda'!$C$18,-'Crédito de Vivienda'!$C$15,,))</f>
        <v>#VALUE!</v>
      </c>
      <c r="M165" s="9" t="e">
        <f t="shared" si="16"/>
        <v>#VALUE!</v>
      </c>
      <c r="N165" s="7" t="e">
        <f>IF(C164&lt;1,"0",'Crédito de Vivienda'!$C$40)</f>
        <v>#VALUE!</v>
      </c>
      <c r="O165" s="9" t="e">
        <f t="shared" si="17"/>
        <v>#VALUE!</v>
      </c>
    </row>
    <row r="166" spans="2:15" ht="15.5" x14ac:dyDescent="0.35">
      <c r="B166" s="6" t="e">
        <f t="shared" si="13"/>
        <v>#VALUE!</v>
      </c>
      <c r="C166" s="7" t="e">
        <f t="shared" si="14"/>
        <v>#VALUE!</v>
      </c>
      <c r="D166" s="7" t="e">
        <f t="shared" si="18"/>
        <v>#VALUE!</v>
      </c>
      <c r="E166" s="7" t="e">
        <f>C165*'Crédito de Vivienda'!$E$17</f>
        <v>#VALUE!</v>
      </c>
      <c r="F166" s="282" t="e">
        <f>IF(C165&lt;1,"0",IF('Crédito de Vivienda'!$D$28="Si",($C$17*(VLOOKUP('Crédito de Vivienda'!$C$24,Seguros_Oblig!$A$3:$F$55,6,FALSE))),IF('Crédito de Vivienda'!$C$10="TARIFA 1",(C165*(VLOOKUP('Crédito de Vivienda'!$C$24,Seguros_Oblig!$A$3:$B$55,2,FALSE))),(C165*(VLOOKUP('Crédito de Vivienda'!$C$24,Seguros_Oblig!$A$3:$D$55,4,FALSE))))))</f>
        <v>#VALUE!</v>
      </c>
      <c r="G166" s="8" t="e">
        <f>IF('Crédito de Vivienda'!$C$10="TARIFA 1",(C165*(VLOOKUP('Crédito de Vivienda'!$C$25,Seguros_Oblig!$A$3:$B$55,2,FALSE))),(C165*(VLOOKUP('Crédito de Vivienda'!$C$25,Seguros_Oblig!$A$3:$D$55,4,FALSE))))</f>
        <v>#VALUE!</v>
      </c>
      <c r="H166" s="8" t="e">
        <f>IF('Crédito de Vivienda'!$C$10="TARIFA 1",(C165*(VLOOKUP('Crédito de Vivienda'!$C$26,Seguros_Oblig!$A$3:$B$55,2,FALSE))),(C165*(VLOOKUP('Crédito de Vivienda'!$C$26,Seguros_Oblig!$A$3:$D$55,4,FALSE))))</f>
        <v>#VALUE!</v>
      </c>
      <c r="I166" s="8" t="e">
        <f>IF('Crédito de Vivienda'!$C$10="TARIFA 1",(C165*(VLOOKUP('Crédito de Vivienda'!$C$27,Seguros_Oblig!$A$3:$B$55,2,FALSE))),(C165*(VLOOKUP('Crédito de Vivienda'!$C$27,Seguros_Oblig!$A$3:$D$55,4,FALSE))))</f>
        <v>#VALUE!</v>
      </c>
      <c r="J166" s="10">
        <f t="shared" si="15"/>
        <v>0</v>
      </c>
      <c r="K166" s="7" t="e">
        <f>IF(C165&lt;1,"0",Seguros_Oblig!$K$2*('Crédito de Vivienda'!$C$12*90%))</f>
        <v>#VALUE!</v>
      </c>
      <c r="L166" s="7" t="e">
        <f>IF(B166=" ","0",PMT('Crédito de Vivienda'!$E$17,'Crédito de Vivienda'!$C$18,-'Crédito de Vivienda'!$C$15,,))</f>
        <v>#VALUE!</v>
      </c>
      <c r="M166" s="9" t="e">
        <f t="shared" si="16"/>
        <v>#VALUE!</v>
      </c>
      <c r="N166" s="7" t="e">
        <f>IF(C165&lt;1,"0",'Crédito de Vivienda'!$C$40)</f>
        <v>#VALUE!</v>
      </c>
      <c r="O166" s="9" t="e">
        <f t="shared" si="17"/>
        <v>#VALUE!</v>
      </c>
    </row>
    <row r="167" spans="2:15" ht="15.5" x14ac:dyDescent="0.35">
      <c r="B167" s="6" t="e">
        <f t="shared" si="13"/>
        <v>#VALUE!</v>
      </c>
      <c r="C167" s="7" t="e">
        <f t="shared" si="14"/>
        <v>#VALUE!</v>
      </c>
      <c r="D167" s="7" t="e">
        <f t="shared" si="18"/>
        <v>#VALUE!</v>
      </c>
      <c r="E167" s="7" t="e">
        <f>C166*'Crédito de Vivienda'!$E$17</f>
        <v>#VALUE!</v>
      </c>
      <c r="F167" s="282" t="e">
        <f>IF(C166&lt;1,"0",IF('Crédito de Vivienda'!$D$28="Si",($C$17*(VLOOKUP('Crédito de Vivienda'!$C$24,Seguros_Oblig!$A$3:$F$55,6,FALSE))),IF('Crédito de Vivienda'!$C$10="TARIFA 1",(C166*(VLOOKUP('Crédito de Vivienda'!$C$24,Seguros_Oblig!$A$3:$B$55,2,FALSE))),(C166*(VLOOKUP('Crédito de Vivienda'!$C$24,Seguros_Oblig!$A$3:$D$55,4,FALSE))))))</f>
        <v>#VALUE!</v>
      </c>
      <c r="G167" s="8" t="e">
        <f>IF('Crédito de Vivienda'!$C$10="TARIFA 1",(C166*(VLOOKUP('Crédito de Vivienda'!$C$25,Seguros_Oblig!$A$3:$B$55,2,FALSE))),(C166*(VLOOKUP('Crédito de Vivienda'!$C$25,Seguros_Oblig!$A$3:$D$55,4,FALSE))))</f>
        <v>#VALUE!</v>
      </c>
      <c r="H167" s="8" t="e">
        <f>IF('Crédito de Vivienda'!$C$10="TARIFA 1",(C166*(VLOOKUP('Crédito de Vivienda'!$C$26,Seguros_Oblig!$A$3:$B$55,2,FALSE))),(C166*(VLOOKUP('Crédito de Vivienda'!$C$26,Seguros_Oblig!$A$3:$D$55,4,FALSE))))</f>
        <v>#VALUE!</v>
      </c>
      <c r="I167" s="8" t="e">
        <f>IF('Crédito de Vivienda'!$C$10="TARIFA 1",(C166*(VLOOKUP('Crédito de Vivienda'!$C$27,Seguros_Oblig!$A$3:$B$55,2,FALSE))),(C166*(VLOOKUP('Crédito de Vivienda'!$C$27,Seguros_Oblig!$A$3:$D$55,4,FALSE))))</f>
        <v>#VALUE!</v>
      </c>
      <c r="J167" s="10">
        <f t="shared" si="15"/>
        <v>0</v>
      </c>
      <c r="K167" s="7" t="e">
        <f>IF(C166&lt;1,"0",Seguros_Oblig!$K$2*('Crédito de Vivienda'!$C$12*90%))</f>
        <v>#VALUE!</v>
      </c>
      <c r="L167" s="7" t="e">
        <f>IF(B167=" ","0",PMT('Crédito de Vivienda'!$E$17,'Crédito de Vivienda'!$C$18,-'Crédito de Vivienda'!$C$15,,))</f>
        <v>#VALUE!</v>
      </c>
      <c r="M167" s="9" t="e">
        <f t="shared" si="16"/>
        <v>#VALUE!</v>
      </c>
      <c r="N167" s="7" t="e">
        <f>IF(C166&lt;1,"0",'Crédito de Vivienda'!$C$40)</f>
        <v>#VALUE!</v>
      </c>
      <c r="O167" s="9" t="e">
        <f t="shared" si="17"/>
        <v>#VALUE!</v>
      </c>
    </row>
    <row r="168" spans="2:15" ht="15.5" x14ac:dyDescent="0.35">
      <c r="B168" s="6" t="e">
        <f t="shared" si="13"/>
        <v>#VALUE!</v>
      </c>
      <c r="C168" s="7" t="e">
        <f t="shared" si="14"/>
        <v>#VALUE!</v>
      </c>
      <c r="D168" s="7" t="e">
        <f t="shared" si="18"/>
        <v>#VALUE!</v>
      </c>
      <c r="E168" s="7" t="e">
        <f>C167*'Crédito de Vivienda'!$E$17</f>
        <v>#VALUE!</v>
      </c>
      <c r="F168" s="282" t="e">
        <f>IF(C167&lt;1,"0",IF('Crédito de Vivienda'!$D$28="Si",($C$17*(VLOOKUP('Crédito de Vivienda'!$C$24,Seguros_Oblig!$A$3:$F$55,6,FALSE))),IF('Crédito de Vivienda'!$C$10="TARIFA 1",(C167*(VLOOKUP('Crédito de Vivienda'!$C$24,Seguros_Oblig!$A$3:$B$55,2,FALSE))),(C167*(VLOOKUP('Crédito de Vivienda'!$C$24,Seguros_Oblig!$A$3:$D$55,4,FALSE))))))</f>
        <v>#VALUE!</v>
      </c>
      <c r="G168" s="8" t="e">
        <f>IF('Crédito de Vivienda'!$C$10="TARIFA 1",(C167*(VLOOKUP('Crédito de Vivienda'!$C$25,Seguros_Oblig!$A$3:$B$55,2,FALSE))),(C167*(VLOOKUP('Crédito de Vivienda'!$C$25,Seguros_Oblig!$A$3:$D$55,4,FALSE))))</f>
        <v>#VALUE!</v>
      </c>
      <c r="H168" s="8" t="e">
        <f>IF('Crédito de Vivienda'!$C$10="TARIFA 1",(C167*(VLOOKUP('Crédito de Vivienda'!$C$26,Seguros_Oblig!$A$3:$B$55,2,FALSE))),(C167*(VLOOKUP('Crédito de Vivienda'!$C$26,Seguros_Oblig!$A$3:$D$55,4,FALSE))))</f>
        <v>#VALUE!</v>
      </c>
      <c r="I168" s="8" t="e">
        <f>IF('Crédito de Vivienda'!$C$10="TARIFA 1",(C167*(VLOOKUP('Crédito de Vivienda'!$C$27,Seguros_Oblig!$A$3:$B$55,2,FALSE))),(C167*(VLOOKUP('Crédito de Vivienda'!$C$27,Seguros_Oblig!$A$3:$D$55,4,FALSE))))</f>
        <v>#VALUE!</v>
      </c>
      <c r="J168" s="10">
        <f t="shared" si="15"/>
        <v>0</v>
      </c>
      <c r="K168" s="7" t="e">
        <f>IF(C167&lt;1,"0",Seguros_Oblig!$K$2*('Crédito de Vivienda'!$C$12*90%))</f>
        <v>#VALUE!</v>
      </c>
      <c r="L168" s="7" t="e">
        <f>IF(B168=" ","0",PMT('Crédito de Vivienda'!$E$17,'Crédito de Vivienda'!$C$18,-'Crédito de Vivienda'!$C$15,,))</f>
        <v>#VALUE!</v>
      </c>
      <c r="M168" s="9" t="e">
        <f t="shared" si="16"/>
        <v>#VALUE!</v>
      </c>
      <c r="N168" s="7" t="e">
        <f>IF(C167&lt;1,"0",'Crédito de Vivienda'!$C$40)</f>
        <v>#VALUE!</v>
      </c>
      <c r="O168" s="9" t="e">
        <f t="shared" si="17"/>
        <v>#VALUE!</v>
      </c>
    </row>
    <row r="169" spans="2:15" ht="15.5" x14ac:dyDescent="0.35">
      <c r="B169" s="6" t="e">
        <f t="shared" si="13"/>
        <v>#VALUE!</v>
      </c>
      <c r="C169" s="7" t="e">
        <f t="shared" si="14"/>
        <v>#VALUE!</v>
      </c>
      <c r="D169" s="7" t="e">
        <f t="shared" si="18"/>
        <v>#VALUE!</v>
      </c>
      <c r="E169" s="7" t="e">
        <f>C168*'Crédito de Vivienda'!$E$17</f>
        <v>#VALUE!</v>
      </c>
      <c r="F169" s="282" t="e">
        <f>IF(C168&lt;1,"0",IF('Crédito de Vivienda'!$D$28="Si",($C$17*(VLOOKUP('Crédito de Vivienda'!$C$24,Seguros_Oblig!$A$3:$F$55,6,FALSE))),IF('Crédito de Vivienda'!$C$10="TARIFA 1",(C168*(VLOOKUP('Crédito de Vivienda'!$C$24,Seguros_Oblig!$A$3:$B$55,2,FALSE))),(C168*(VLOOKUP('Crédito de Vivienda'!$C$24,Seguros_Oblig!$A$3:$D$55,4,FALSE))))))</f>
        <v>#VALUE!</v>
      </c>
      <c r="G169" s="8" t="e">
        <f>IF('Crédito de Vivienda'!$C$10="TARIFA 1",(C168*(VLOOKUP('Crédito de Vivienda'!$C$25,Seguros_Oblig!$A$3:$B$55,2,FALSE))),(C168*(VLOOKUP('Crédito de Vivienda'!$C$25,Seguros_Oblig!$A$3:$D$55,4,FALSE))))</f>
        <v>#VALUE!</v>
      </c>
      <c r="H169" s="8" t="e">
        <f>IF('Crédito de Vivienda'!$C$10="TARIFA 1",(C168*(VLOOKUP('Crédito de Vivienda'!$C$26,Seguros_Oblig!$A$3:$B$55,2,FALSE))),(C168*(VLOOKUP('Crédito de Vivienda'!$C$26,Seguros_Oblig!$A$3:$D$55,4,FALSE))))</f>
        <v>#VALUE!</v>
      </c>
      <c r="I169" s="8" t="e">
        <f>IF('Crédito de Vivienda'!$C$10="TARIFA 1",(C168*(VLOOKUP('Crédito de Vivienda'!$C$27,Seguros_Oblig!$A$3:$B$55,2,FALSE))),(C168*(VLOOKUP('Crédito de Vivienda'!$C$27,Seguros_Oblig!$A$3:$D$55,4,FALSE))))</f>
        <v>#VALUE!</v>
      </c>
      <c r="J169" s="10">
        <f t="shared" si="15"/>
        <v>0</v>
      </c>
      <c r="K169" s="7" t="e">
        <f>IF(C168&lt;1,"0",Seguros_Oblig!$K$2*('Crédito de Vivienda'!$C$12*90%))</f>
        <v>#VALUE!</v>
      </c>
      <c r="L169" s="7" t="e">
        <f>IF(B169=" ","0",PMT('Crédito de Vivienda'!$E$17,'Crédito de Vivienda'!$C$18,-'Crédito de Vivienda'!$C$15,,))</f>
        <v>#VALUE!</v>
      </c>
      <c r="M169" s="9" t="e">
        <f t="shared" si="16"/>
        <v>#VALUE!</v>
      </c>
      <c r="N169" s="7" t="e">
        <f>IF(C168&lt;1,"0",'Crédito de Vivienda'!$C$40)</f>
        <v>#VALUE!</v>
      </c>
      <c r="O169" s="9" t="e">
        <f t="shared" si="17"/>
        <v>#VALUE!</v>
      </c>
    </row>
    <row r="170" spans="2:15" ht="15.5" x14ac:dyDescent="0.35">
      <c r="B170" s="6" t="e">
        <f t="shared" si="13"/>
        <v>#VALUE!</v>
      </c>
      <c r="C170" s="7" t="e">
        <f t="shared" si="14"/>
        <v>#VALUE!</v>
      </c>
      <c r="D170" s="7" t="e">
        <f t="shared" si="18"/>
        <v>#VALUE!</v>
      </c>
      <c r="E170" s="7" t="e">
        <f>C169*'Crédito de Vivienda'!$E$17</f>
        <v>#VALUE!</v>
      </c>
      <c r="F170" s="282" t="e">
        <f>IF(C169&lt;1,"0",IF('Crédito de Vivienda'!$D$28="Si",($C$17*(VLOOKUP('Crédito de Vivienda'!$C$24,Seguros_Oblig!$A$3:$F$55,6,FALSE))),IF('Crédito de Vivienda'!$C$10="TARIFA 1",(C169*(VLOOKUP('Crédito de Vivienda'!$C$24,Seguros_Oblig!$A$3:$B$55,2,FALSE))),(C169*(VLOOKUP('Crédito de Vivienda'!$C$24,Seguros_Oblig!$A$3:$D$55,4,FALSE))))))</f>
        <v>#VALUE!</v>
      </c>
      <c r="G170" s="8" t="e">
        <f>IF('Crédito de Vivienda'!$C$10="TARIFA 1",(C169*(VLOOKUP('Crédito de Vivienda'!$C$25,Seguros_Oblig!$A$3:$B$55,2,FALSE))),(C169*(VLOOKUP('Crédito de Vivienda'!$C$25,Seguros_Oblig!$A$3:$D$55,4,FALSE))))</f>
        <v>#VALUE!</v>
      </c>
      <c r="H170" s="8" t="e">
        <f>IF('Crédito de Vivienda'!$C$10="TARIFA 1",(C169*(VLOOKUP('Crédito de Vivienda'!$C$26,Seguros_Oblig!$A$3:$B$55,2,FALSE))),(C169*(VLOOKUP('Crédito de Vivienda'!$C$26,Seguros_Oblig!$A$3:$D$55,4,FALSE))))</f>
        <v>#VALUE!</v>
      </c>
      <c r="I170" s="8" t="e">
        <f>IF('Crédito de Vivienda'!$C$10="TARIFA 1",(C169*(VLOOKUP('Crédito de Vivienda'!$C$27,Seguros_Oblig!$A$3:$B$55,2,FALSE))),(C169*(VLOOKUP('Crédito de Vivienda'!$C$27,Seguros_Oblig!$A$3:$D$55,4,FALSE))))</f>
        <v>#VALUE!</v>
      </c>
      <c r="J170" s="10">
        <f t="shared" si="15"/>
        <v>0</v>
      </c>
      <c r="K170" s="7" t="e">
        <f>IF(C169&lt;1,"0",Seguros_Oblig!$K$2*('Crédito de Vivienda'!$C$12*90%))</f>
        <v>#VALUE!</v>
      </c>
      <c r="L170" s="7" t="e">
        <f>IF(B170=" ","0",PMT('Crédito de Vivienda'!$E$17,'Crédito de Vivienda'!$C$18,-'Crédito de Vivienda'!$C$15,,))</f>
        <v>#VALUE!</v>
      </c>
      <c r="M170" s="9" t="e">
        <f t="shared" si="16"/>
        <v>#VALUE!</v>
      </c>
      <c r="N170" s="7" t="e">
        <f>IF(C169&lt;1,"0",'Crédito de Vivienda'!$C$40)</f>
        <v>#VALUE!</v>
      </c>
      <c r="O170" s="9" t="e">
        <f t="shared" si="17"/>
        <v>#VALUE!</v>
      </c>
    </row>
    <row r="171" spans="2:15" ht="15.5" x14ac:dyDescent="0.35">
      <c r="B171" s="6" t="e">
        <f t="shared" si="13"/>
        <v>#VALUE!</v>
      </c>
      <c r="C171" s="7" t="e">
        <f t="shared" si="14"/>
        <v>#VALUE!</v>
      </c>
      <c r="D171" s="7" t="e">
        <f t="shared" si="18"/>
        <v>#VALUE!</v>
      </c>
      <c r="E171" s="7" t="e">
        <f>C170*'Crédito de Vivienda'!$E$17</f>
        <v>#VALUE!</v>
      </c>
      <c r="F171" s="282" t="e">
        <f>IF(C170&lt;1,"0",IF('Crédito de Vivienda'!$D$28="Si",($C$17*(VLOOKUP('Crédito de Vivienda'!$C$24,Seguros_Oblig!$A$3:$F$55,6,FALSE))),IF('Crédito de Vivienda'!$C$10="TARIFA 1",(C170*(VLOOKUP('Crédito de Vivienda'!$C$24,Seguros_Oblig!$A$3:$B$55,2,FALSE))),(C170*(VLOOKUP('Crédito de Vivienda'!$C$24,Seguros_Oblig!$A$3:$D$55,4,FALSE))))))</f>
        <v>#VALUE!</v>
      </c>
      <c r="G171" s="8" t="e">
        <f>IF('Crédito de Vivienda'!$C$10="TARIFA 1",(C170*(VLOOKUP('Crédito de Vivienda'!$C$25,Seguros_Oblig!$A$3:$B$55,2,FALSE))),(C170*(VLOOKUP('Crédito de Vivienda'!$C$25,Seguros_Oblig!$A$3:$D$55,4,FALSE))))</f>
        <v>#VALUE!</v>
      </c>
      <c r="H171" s="8" t="e">
        <f>IF('Crédito de Vivienda'!$C$10="TARIFA 1",(C170*(VLOOKUP('Crédito de Vivienda'!$C$26,Seguros_Oblig!$A$3:$B$55,2,FALSE))),(C170*(VLOOKUP('Crédito de Vivienda'!$C$26,Seguros_Oblig!$A$3:$D$55,4,FALSE))))</f>
        <v>#VALUE!</v>
      </c>
      <c r="I171" s="8" t="e">
        <f>IF('Crédito de Vivienda'!$C$10="TARIFA 1",(C170*(VLOOKUP('Crédito de Vivienda'!$C$27,Seguros_Oblig!$A$3:$B$55,2,FALSE))),(C170*(VLOOKUP('Crédito de Vivienda'!$C$27,Seguros_Oblig!$A$3:$D$55,4,FALSE))))</f>
        <v>#VALUE!</v>
      </c>
      <c r="J171" s="10">
        <f t="shared" si="15"/>
        <v>0</v>
      </c>
      <c r="K171" s="7" t="e">
        <f>IF(C170&lt;1,"0",Seguros_Oblig!$K$2*('Crédito de Vivienda'!$C$12*90%))</f>
        <v>#VALUE!</v>
      </c>
      <c r="L171" s="7" t="e">
        <f>IF(B171=" ","0",PMT('Crédito de Vivienda'!$E$17,'Crédito de Vivienda'!$C$18,-'Crédito de Vivienda'!$C$15,,))</f>
        <v>#VALUE!</v>
      </c>
      <c r="M171" s="9" t="e">
        <f t="shared" si="16"/>
        <v>#VALUE!</v>
      </c>
      <c r="N171" s="7" t="e">
        <f>IF(C170&lt;1,"0",'Crédito de Vivienda'!$C$40)</f>
        <v>#VALUE!</v>
      </c>
      <c r="O171" s="9" t="e">
        <f t="shared" si="17"/>
        <v>#VALUE!</v>
      </c>
    </row>
    <row r="172" spans="2:15" ht="15.5" x14ac:dyDescent="0.35">
      <c r="B172" s="6" t="e">
        <f t="shared" si="13"/>
        <v>#VALUE!</v>
      </c>
      <c r="C172" s="7" t="e">
        <f t="shared" si="14"/>
        <v>#VALUE!</v>
      </c>
      <c r="D172" s="7" t="e">
        <f t="shared" si="18"/>
        <v>#VALUE!</v>
      </c>
      <c r="E172" s="7" t="e">
        <f>C171*'Crédito de Vivienda'!$E$17</f>
        <v>#VALUE!</v>
      </c>
      <c r="F172" s="282" t="e">
        <f>IF(C171&lt;1,"0",IF('Crédito de Vivienda'!$D$28="Si",($C$17*(VLOOKUP('Crédito de Vivienda'!$C$24,Seguros_Oblig!$A$3:$F$55,6,FALSE))),IF('Crédito de Vivienda'!$C$10="TARIFA 1",(C171*(VLOOKUP('Crédito de Vivienda'!$C$24,Seguros_Oblig!$A$3:$B$55,2,FALSE))),(C171*(VLOOKUP('Crédito de Vivienda'!$C$24,Seguros_Oblig!$A$3:$D$55,4,FALSE))))))</f>
        <v>#VALUE!</v>
      </c>
      <c r="G172" s="8" t="e">
        <f>IF('Crédito de Vivienda'!$C$10="TARIFA 1",(C171*(VLOOKUP('Crédito de Vivienda'!$C$25,Seguros_Oblig!$A$3:$B$55,2,FALSE))),(C171*(VLOOKUP('Crédito de Vivienda'!$C$25,Seguros_Oblig!$A$3:$D$55,4,FALSE))))</f>
        <v>#VALUE!</v>
      </c>
      <c r="H172" s="8" t="e">
        <f>IF('Crédito de Vivienda'!$C$10="TARIFA 1",(C171*(VLOOKUP('Crédito de Vivienda'!$C$26,Seguros_Oblig!$A$3:$B$55,2,FALSE))),(C171*(VLOOKUP('Crédito de Vivienda'!$C$26,Seguros_Oblig!$A$3:$D$55,4,FALSE))))</f>
        <v>#VALUE!</v>
      </c>
      <c r="I172" s="8" t="e">
        <f>IF('Crédito de Vivienda'!$C$10="TARIFA 1",(C171*(VLOOKUP('Crédito de Vivienda'!$C$27,Seguros_Oblig!$A$3:$B$55,2,FALSE))),(C171*(VLOOKUP('Crédito de Vivienda'!$C$27,Seguros_Oblig!$A$3:$D$55,4,FALSE))))</f>
        <v>#VALUE!</v>
      </c>
      <c r="J172" s="10">
        <f t="shared" si="15"/>
        <v>0</v>
      </c>
      <c r="K172" s="7" t="e">
        <f>IF(C171&lt;1,"0",Seguros_Oblig!$K$2*('Crédito de Vivienda'!$C$12*90%))</f>
        <v>#VALUE!</v>
      </c>
      <c r="L172" s="7" t="e">
        <f>IF(B172=" ","0",PMT('Crédito de Vivienda'!$E$17,'Crédito de Vivienda'!$C$18,-'Crédito de Vivienda'!$C$15,,))</f>
        <v>#VALUE!</v>
      </c>
      <c r="M172" s="9" t="e">
        <f t="shared" si="16"/>
        <v>#VALUE!</v>
      </c>
      <c r="N172" s="7" t="e">
        <f>IF(C171&lt;1,"0",'Crédito de Vivienda'!$C$40)</f>
        <v>#VALUE!</v>
      </c>
      <c r="O172" s="9" t="e">
        <f t="shared" si="17"/>
        <v>#VALUE!</v>
      </c>
    </row>
    <row r="173" spans="2:15" ht="15.5" x14ac:dyDescent="0.35">
      <c r="B173" s="6" t="e">
        <f t="shared" si="13"/>
        <v>#VALUE!</v>
      </c>
      <c r="C173" s="7" t="e">
        <f t="shared" si="14"/>
        <v>#VALUE!</v>
      </c>
      <c r="D173" s="7" t="e">
        <f t="shared" si="18"/>
        <v>#VALUE!</v>
      </c>
      <c r="E173" s="7" t="e">
        <f>C172*'Crédito de Vivienda'!$E$17</f>
        <v>#VALUE!</v>
      </c>
      <c r="F173" s="282" t="e">
        <f>IF(C172&lt;1,"0",IF('Crédito de Vivienda'!$D$28="Si",($C$17*(VLOOKUP('Crédito de Vivienda'!$C$24,Seguros_Oblig!$A$3:$F$55,6,FALSE))),IF('Crédito de Vivienda'!$C$10="TARIFA 1",(C172*(VLOOKUP('Crédito de Vivienda'!$C$24,Seguros_Oblig!$A$3:$B$55,2,FALSE))),(C172*(VLOOKUP('Crédito de Vivienda'!$C$24,Seguros_Oblig!$A$3:$D$55,4,FALSE))))))</f>
        <v>#VALUE!</v>
      </c>
      <c r="G173" s="8" t="e">
        <f>IF('Crédito de Vivienda'!$C$10="TARIFA 1",(C172*(VLOOKUP('Crédito de Vivienda'!$C$25,Seguros_Oblig!$A$3:$B$55,2,FALSE))),(C172*(VLOOKUP('Crédito de Vivienda'!$C$25,Seguros_Oblig!$A$3:$D$55,4,FALSE))))</f>
        <v>#VALUE!</v>
      </c>
      <c r="H173" s="8" t="e">
        <f>IF('Crédito de Vivienda'!$C$10="TARIFA 1",(C172*(VLOOKUP('Crédito de Vivienda'!$C$26,Seguros_Oblig!$A$3:$B$55,2,FALSE))),(C172*(VLOOKUP('Crédito de Vivienda'!$C$26,Seguros_Oblig!$A$3:$D$55,4,FALSE))))</f>
        <v>#VALUE!</v>
      </c>
      <c r="I173" s="8" t="e">
        <f>IF('Crédito de Vivienda'!$C$10="TARIFA 1",(C172*(VLOOKUP('Crédito de Vivienda'!$C$27,Seguros_Oblig!$A$3:$B$55,2,FALSE))),(C172*(VLOOKUP('Crédito de Vivienda'!$C$27,Seguros_Oblig!$A$3:$D$55,4,FALSE))))</f>
        <v>#VALUE!</v>
      </c>
      <c r="J173" s="10">
        <f t="shared" si="15"/>
        <v>0</v>
      </c>
      <c r="K173" s="7" t="e">
        <f>IF(C172&lt;1,"0",Seguros_Oblig!$K$2*('Crédito de Vivienda'!$C$12*90%))</f>
        <v>#VALUE!</v>
      </c>
      <c r="L173" s="7" t="e">
        <f>IF(B173=" ","0",PMT('Crédito de Vivienda'!$E$17,'Crédito de Vivienda'!$C$18,-'Crédito de Vivienda'!$C$15,,))</f>
        <v>#VALUE!</v>
      </c>
      <c r="M173" s="9" t="e">
        <f t="shared" si="16"/>
        <v>#VALUE!</v>
      </c>
      <c r="N173" s="7" t="e">
        <f>IF(C172&lt;1,"0",'Crédito de Vivienda'!$C$40)</f>
        <v>#VALUE!</v>
      </c>
      <c r="O173" s="9" t="e">
        <f t="shared" si="17"/>
        <v>#VALUE!</v>
      </c>
    </row>
    <row r="174" spans="2:15" ht="15.5" x14ac:dyDescent="0.35">
      <c r="B174" s="6" t="e">
        <f t="shared" si="13"/>
        <v>#VALUE!</v>
      </c>
      <c r="C174" s="7" t="e">
        <f t="shared" si="14"/>
        <v>#VALUE!</v>
      </c>
      <c r="D174" s="7" t="e">
        <f t="shared" si="18"/>
        <v>#VALUE!</v>
      </c>
      <c r="E174" s="7" t="e">
        <f>C173*'Crédito de Vivienda'!$E$17</f>
        <v>#VALUE!</v>
      </c>
      <c r="F174" s="282" t="e">
        <f>IF(C173&lt;1,"0",IF('Crédito de Vivienda'!$D$28="Si",($C$17*(VLOOKUP('Crédito de Vivienda'!$C$24,Seguros_Oblig!$A$3:$F$55,6,FALSE))),IF('Crédito de Vivienda'!$C$10="TARIFA 1",(C173*(VLOOKUP('Crédito de Vivienda'!$C$24,Seguros_Oblig!$A$3:$B$55,2,FALSE))),(C173*(VLOOKUP('Crédito de Vivienda'!$C$24,Seguros_Oblig!$A$3:$D$55,4,FALSE))))))</f>
        <v>#VALUE!</v>
      </c>
      <c r="G174" s="8" t="e">
        <f>IF('Crédito de Vivienda'!$C$10="TARIFA 1",(C173*(VLOOKUP('Crédito de Vivienda'!$C$25,Seguros_Oblig!$A$3:$B$55,2,FALSE))),(C173*(VLOOKUP('Crédito de Vivienda'!$C$25,Seguros_Oblig!$A$3:$D$55,4,FALSE))))</f>
        <v>#VALUE!</v>
      </c>
      <c r="H174" s="8" t="e">
        <f>IF('Crédito de Vivienda'!$C$10="TARIFA 1",(C173*(VLOOKUP('Crédito de Vivienda'!$C$26,Seguros_Oblig!$A$3:$B$55,2,FALSE))),(C173*(VLOOKUP('Crédito de Vivienda'!$C$26,Seguros_Oblig!$A$3:$D$55,4,FALSE))))</f>
        <v>#VALUE!</v>
      </c>
      <c r="I174" s="8" t="e">
        <f>IF('Crédito de Vivienda'!$C$10="TARIFA 1",(C173*(VLOOKUP('Crédito de Vivienda'!$C$27,Seguros_Oblig!$A$3:$B$55,2,FALSE))),(C173*(VLOOKUP('Crédito de Vivienda'!$C$27,Seguros_Oblig!$A$3:$D$55,4,FALSE))))</f>
        <v>#VALUE!</v>
      </c>
      <c r="J174" s="10">
        <f t="shared" si="15"/>
        <v>0</v>
      </c>
      <c r="K174" s="7" t="e">
        <f>IF(C173&lt;1,"0",Seguros_Oblig!$K$2*('Crédito de Vivienda'!$C$12*90%))</f>
        <v>#VALUE!</v>
      </c>
      <c r="L174" s="7" t="e">
        <f>IF(B174=" ","0",PMT('Crédito de Vivienda'!$E$17,'Crédito de Vivienda'!$C$18,-'Crédito de Vivienda'!$C$15,,))</f>
        <v>#VALUE!</v>
      </c>
      <c r="M174" s="9" t="e">
        <f t="shared" si="16"/>
        <v>#VALUE!</v>
      </c>
      <c r="N174" s="7" t="e">
        <f>IF(C173&lt;1,"0",'Crédito de Vivienda'!$C$40)</f>
        <v>#VALUE!</v>
      </c>
      <c r="O174" s="9" t="e">
        <f t="shared" si="17"/>
        <v>#VALUE!</v>
      </c>
    </row>
    <row r="175" spans="2:15" ht="15.5" x14ac:dyDescent="0.35">
      <c r="B175" s="6" t="e">
        <f t="shared" si="13"/>
        <v>#VALUE!</v>
      </c>
      <c r="C175" s="7" t="e">
        <f t="shared" si="14"/>
        <v>#VALUE!</v>
      </c>
      <c r="D175" s="7" t="e">
        <f t="shared" si="18"/>
        <v>#VALUE!</v>
      </c>
      <c r="E175" s="7" t="e">
        <f>C174*'Crédito de Vivienda'!$E$17</f>
        <v>#VALUE!</v>
      </c>
      <c r="F175" s="282" t="e">
        <f>IF(C174&lt;1,"0",IF('Crédito de Vivienda'!$D$28="Si",($C$17*(VLOOKUP('Crédito de Vivienda'!$C$24,Seguros_Oblig!$A$3:$F$55,6,FALSE))),IF('Crédito de Vivienda'!$C$10="TARIFA 1",(C174*(VLOOKUP('Crédito de Vivienda'!$C$24,Seguros_Oblig!$A$3:$B$55,2,FALSE))),(C174*(VLOOKUP('Crédito de Vivienda'!$C$24,Seguros_Oblig!$A$3:$D$55,4,FALSE))))))</f>
        <v>#VALUE!</v>
      </c>
      <c r="G175" s="8" t="e">
        <f>IF('Crédito de Vivienda'!$C$10="TARIFA 1",(C174*(VLOOKUP('Crédito de Vivienda'!$C$25,Seguros_Oblig!$A$3:$B$55,2,FALSE))),(C174*(VLOOKUP('Crédito de Vivienda'!$C$25,Seguros_Oblig!$A$3:$D$55,4,FALSE))))</f>
        <v>#VALUE!</v>
      </c>
      <c r="H175" s="8" t="e">
        <f>IF('Crédito de Vivienda'!$C$10="TARIFA 1",(C174*(VLOOKUP('Crédito de Vivienda'!$C$26,Seguros_Oblig!$A$3:$B$55,2,FALSE))),(C174*(VLOOKUP('Crédito de Vivienda'!$C$26,Seguros_Oblig!$A$3:$D$55,4,FALSE))))</f>
        <v>#VALUE!</v>
      </c>
      <c r="I175" s="8" t="e">
        <f>IF('Crédito de Vivienda'!$C$10="TARIFA 1",(C174*(VLOOKUP('Crédito de Vivienda'!$C$27,Seguros_Oblig!$A$3:$B$55,2,FALSE))),(C174*(VLOOKUP('Crédito de Vivienda'!$C$27,Seguros_Oblig!$A$3:$D$55,4,FALSE))))</f>
        <v>#VALUE!</v>
      </c>
      <c r="J175" s="10">
        <f t="shared" si="15"/>
        <v>0</v>
      </c>
      <c r="K175" s="7" t="e">
        <f>IF(C174&lt;1,"0",Seguros_Oblig!$K$2*('Crédito de Vivienda'!$C$12*90%))</f>
        <v>#VALUE!</v>
      </c>
      <c r="L175" s="7" t="e">
        <f>IF(B175=" ","0",PMT('Crédito de Vivienda'!$E$17,'Crédito de Vivienda'!$C$18,-'Crédito de Vivienda'!$C$15,,))</f>
        <v>#VALUE!</v>
      </c>
      <c r="M175" s="9" t="e">
        <f t="shared" si="16"/>
        <v>#VALUE!</v>
      </c>
      <c r="N175" s="7" t="e">
        <f>IF(C174&lt;1,"0",'Crédito de Vivienda'!$C$40)</f>
        <v>#VALUE!</v>
      </c>
      <c r="O175" s="9" t="e">
        <f t="shared" si="17"/>
        <v>#VALUE!</v>
      </c>
    </row>
    <row r="176" spans="2:15" ht="15.5" x14ac:dyDescent="0.35">
      <c r="B176" s="6" t="e">
        <f t="shared" si="13"/>
        <v>#VALUE!</v>
      </c>
      <c r="C176" s="7" t="e">
        <f t="shared" si="14"/>
        <v>#VALUE!</v>
      </c>
      <c r="D176" s="7" t="e">
        <f t="shared" si="18"/>
        <v>#VALUE!</v>
      </c>
      <c r="E176" s="7" t="e">
        <f>C175*'Crédito de Vivienda'!$E$17</f>
        <v>#VALUE!</v>
      </c>
      <c r="F176" s="282" t="e">
        <f>IF(C175&lt;1,"0",IF('Crédito de Vivienda'!$D$28="Si",($C$17*(VLOOKUP('Crédito de Vivienda'!$C$24,Seguros_Oblig!$A$3:$F$55,6,FALSE))),IF('Crédito de Vivienda'!$C$10="TARIFA 1",(C175*(VLOOKUP('Crédito de Vivienda'!$C$24,Seguros_Oblig!$A$3:$B$55,2,FALSE))),(C175*(VLOOKUP('Crédito de Vivienda'!$C$24,Seguros_Oblig!$A$3:$D$55,4,FALSE))))))</f>
        <v>#VALUE!</v>
      </c>
      <c r="G176" s="8" t="e">
        <f>IF('Crédito de Vivienda'!$C$10="TARIFA 1",(C175*(VLOOKUP('Crédito de Vivienda'!$C$25,Seguros_Oblig!$A$3:$B$55,2,FALSE))),(C175*(VLOOKUP('Crédito de Vivienda'!$C$25,Seguros_Oblig!$A$3:$D$55,4,FALSE))))</f>
        <v>#VALUE!</v>
      </c>
      <c r="H176" s="8" t="e">
        <f>IF('Crédito de Vivienda'!$C$10="TARIFA 1",(C175*(VLOOKUP('Crédito de Vivienda'!$C$26,Seguros_Oblig!$A$3:$B$55,2,FALSE))),(C175*(VLOOKUP('Crédito de Vivienda'!$C$26,Seguros_Oblig!$A$3:$D$55,4,FALSE))))</f>
        <v>#VALUE!</v>
      </c>
      <c r="I176" s="8" t="e">
        <f>IF('Crédito de Vivienda'!$C$10="TARIFA 1",(C175*(VLOOKUP('Crédito de Vivienda'!$C$27,Seguros_Oblig!$A$3:$B$55,2,FALSE))),(C175*(VLOOKUP('Crédito de Vivienda'!$C$27,Seguros_Oblig!$A$3:$D$55,4,FALSE))))</f>
        <v>#VALUE!</v>
      </c>
      <c r="J176" s="10">
        <f t="shared" si="15"/>
        <v>0</v>
      </c>
      <c r="K176" s="7" t="e">
        <f>IF(C175&lt;1,"0",Seguros_Oblig!$K$2*('Crédito de Vivienda'!$C$12*90%))</f>
        <v>#VALUE!</v>
      </c>
      <c r="L176" s="7" t="e">
        <f>IF(B176=" ","0",PMT('Crédito de Vivienda'!$E$17,'Crédito de Vivienda'!$C$18,-'Crédito de Vivienda'!$C$15,,))</f>
        <v>#VALUE!</v>
      </c>
      <c r="M176" s="9" t="e">
        <f t="shared" si="16"/>
        <v>#VALUE!</v>
      </c>
      <c r="N176" s="7" t="e">
        <f>IF(C175&lt;1,"0",'Crédito de Vivienda'!$C$40)</f>
        <v>#VALUE!</v>
      </c>
      <c r="O176" s="9" t="e">
        <f t="shared" si="17"/>
        <v>#VALUE!</v>
      </c>
    </row>
    <row r="177" spans="2:15" ht="15.5" x14ac:dyDescent="0.35">
      <c r="B177" s="6" t="e">
        <f t="shared" si="13"/>
        <v>#VALUE!</v>
      </c>
      <c r="C177" s="7" t="e">
        <f t="shared" si="14"/>
        <v>#VALUE!</v>
      </c>
      <c r="D177" s="7" t="e">
        <f t="shared" si="18"/>
        <v>#VALUE!</v>
      </c>
      <c r="E177" s="7" t="e">
        <f>C176*'Crédito de Vivienda'!$E$17</f>
        <v>#VALUE!</v>
      </c>
      <c r="F177" s="282" t="e">
        <f>IF(C176&lt;1,"0",IF('Crédito de Vivienda'!$D$28="Si",($C$17*(VLOOKUP('Crédito de Vivienda'!$C$24,Seguros_Oblig!$A$3:$F$55,6,FALSE))),IF('Crédito de Vivienda'!$C$10="TARIFA 1",(C176*(VLOOKUP('Crédito de Vivienda'!$C$24,Seguros_Oblig!$A$3:$B$55,2,FALSE))),(C176*(VLOOKUP('Crédito de Vivienda'!$C$24,Seguros_Oblig!$A$3:$D$55,4,FALSE))))))</f>
        <v>#VALUE!</v>
      </c>
      <c r="G177" s="8" t="e">
        <f>IF('Crédito de Vivienda'!$C$10="TARIFA 1",(C176*(VLOOKUP('Crédito de Vivienda'!$C$25,Seguros_Oblig!$A$3:$B$55,2,FALSE))),(C176*(VLOOKUP('Crédito de Vivienda'!$C$25,Seguros_Oblig!$A$3:$D$55,4,FALSE))))</f>
        <v>#VALUE!</v>
      </c>
      <c r="H177" s="8" t="e">
        <f>IF('Crédito de Vivienda'!$C$10="TARIFA 1",(C176*(VLOOKUP('Crédito de Vivienda'!$C$26,Seguros_Oblig!$A$3:$B$55,2,FALSE))),(C176*(VLOOKUP('Crédito de Vivienda'!$C$26,Seguros_Oblig!$A$3:$D$55,4,FALSE))))</f>
        <v>#VALUE!</v>
      </c>
      <c r="I177" s="8" t="e">
        <f>IF('Crédito de Vivienda'!$C$10="TARIFA 1",(C176*(VLOOKUP('Crédito de Vivienda'!$C$27,Seguros_Oblig!$A$3:$B$55,2,FALSE))),(C176*(VLOOKUP('Crédito de Vivienda'!$C$27,Seguros_Oblig!$A$3:$D$55,4,FALSE))))</f>
        <v>#VALUE!</v>
      </c>
      <c r="J177" s="10">
        <f t="shared" si="15"/>
        <v>0</v>
      </c>
      <c r="K177" s="7" t="e">
        <f>IF(C176&lt;1,"0",Seguros_Oblig!$K$2*('Crédito de Vivienda'!$C$12*90%))</f>
        <v>#VALUE!</v>
      </c>
      <c r="L177" s="7" t="e">
        <f>IF(B177=" ","0",PMT('Crédito de Vivienda'!$E$17,'Crédito de Vivienda'!$C$18,-'Crédito de Vivienda'!$C$15,,))</f>
        <v>#VALUE!</v>
      </c>
      <c r="M177" s="9" t="e">
        <f t="shared" si="16"/>
        <v>#VALUE!</v>
      </c>
      <c r="N177" s="7" t="e">
        <f>IF(C176&lt;1,"0",'Crédito de Vivienda'!$C$40)</f>
        <v>#VALUE!</v>
      </c>
      <c r="O177" s="9" t="e">
        <f t="shared" si="17"/>
        <v>#VALUE!</v>
      </c>
    </row>
    <row r="178" spans="2:15" ht="15.5" x14ac:dyDescent="0.35">
      <c r="B178" s="6" t="e">
        <f t="shared" si="13"/>
        <v>#VALUE!</v>
      </c>
      <c r="C178" s="7" t="e">
        <f t="shared" si="14"/>
        <v>#VALUE!</v>
      </c>
      <c r="D178" s="7" t="e">
        <f t="shared" si="18"/>
        <v>#VALUE!</v>
      </c>
      <c r="E178" s="7" t="e">
        <f>C177*'Crédito de Vivienda'!$E$17</f>
        <v>#VALUE!</v>
      </c>
      <c r="F178" s="282" t="e">
        <f>IF(C177&lt;1,"0",IF('Crédito de Vivienda'!$D$28="Si",($C$17*(VLOOKUP('Crédito de Vivienda'!$C$24,Seguros_Oblig!$A$3:$F$55,6,FALSE))),IF('Crédito de Vivienda'!$C$10="TARIFA 1",(C177*(VLOOKUP('Crédito de Vivienda'!$C$24,Seguros_Oblig!$A$3:$B$55,2,FALSE))),(C177*(VLOOKUP('Crédito de Vivienda'!$C$24,Seguros_Oblig!$A$3:$D$55,4,FALSE))))))</f>
        <v>#VALUE!</v>
      </c>
      <c r="G178" s="8" t="e">
        <f>IF('Crédito de Vivienda'!$C$10="TARIFA 1",(C177*(VLOOKUP('Crédito de Vivienda'!$C$25,Seguros_Oblig!$A$3:$B$55,2,FALSE))),(C177*(VLOOKUP('Crédito de Vivienda'!$C$25,Seguros_Oblig!$A$3:$D$55,4,FALSE))))</f>
        <v>#VALUE!</v>
      </c>
      <c r="H178" s="8" t="e">
        <f>IF('Crédito de Vivienda'!$C$10="TARIFA 1",(C177*(VLOOKUP('Crédito de Vivienda'!$C$26,Seguros_Oblig!$A$3:$B$55,2,FALSE))),(C177*(VLOOKUP('Crédito de Vivienda'!$C$26,Seguros_Oblig!$A$3:$D$55,4,FALSE))))</f>
        <v>#VALUE!</v>
      </c>
      <c r="I178" s="8" t="e">
        <f>IF('Crédito de Vivienda'!$C$10="TARIFA 1",(C177*(VLOOKUP('Crédito de Vivienda'!$C$27,Seguros_Oblig!$A$3:$B$55,2,FALSE))),(C177*(VLOOKUP('Crédito de Vivienda'!$C$27,Seguros_Oblig!$A$3:$D$55,4,FALSE))))</f>
        <v>#VALUE!</v>
      </c>
      <c r="J178" s="10">
        <f t="shared" si="15"/>
        <v>0</v>
      </c>
      <c r="K178" s="7" t="e">
        <f>IF(C177&lt;1,"0",Seguros_Oblig!$K$2*('Crédito de Vivienda'!$C$12*90%))</f>
        <v>#VALUE!</v>
      </c>
      <c r="L178" s="7" t="e">
        <f>IF(B178=" ","0",PMT('Crédito de Vivienda'!$E$17,'Crédito de Vivienda'!$C$18,-'Crédito de Vivienda'!$C$15,,))</f>
        <v>#VALUE!</v>
      </c>
      <c r="M178" s="9" t="e">
        <f t="shared" si="16"/>
        <v>#VALUE!</v>
      </c>
      <c r="N178" s="7" t="e">
        <f>IF(C177&lt;1,"0",'Crédito de Vivienda'!$C$40)</f>
        <v>#VALUE!</v>
      </c>
      <c r="O178" s="9" t="e">
        <f t="shared" si="17"/>
        <v>#VALUE!</v>
      </c>
    </row>
    <row r="179" spans="2:15" ht="15.5" x14ac:dyDescent="0.35">
      <c r="B179" s="6" t="e">
        <f t="shared" si="13"/>
        <v>#VALUE!</v>
      </c>
      <c r="C179" s="7" t="e">
        <f t="shared" si="14"/>
        <v>#VALUE!</v>
      </c>
      <c r="D179" s="7" t="e">
        <f t="shared" si="18"/>
        <v>#VALUE!</v>
      </c>
      <c r="E179" s="7" t="e">
        <f>C178*'Crédito de Vivienda'!$E$17</f>
        <v>#VALUE!</v>
      </c>
      <c r="F179" s="282" t="e">
        <f>IF(C178&lt;1,"0",IF('Crédito de Vivienda'!$D$28="Si",($C$17*(VLOOKUP('Crédito de Vivienda'!$C$24,Seguros_Oblig!$A$3:$F$55,6,FALSE))),IF('Crédito de Vivienda'!$C$10="TARIFA 1",(C178*(VLOOKUP('Crédito de Vivienda'!$C$24,Seguros_Oblig!$A$3:$B$55,2,FALSE))),(C178*(VLOOKUP('Crédito de Vivienda'!$C$24,Seguros_Oblig!$A$3:$D$55,4,FALSE))))))</f>
        <v>#VALUE!</v>
      </c>
      <c r="G179" s="8" t="e">
        <f>IF('Crédito de Vivienda'!$C$10="TARIFA 1",(C178*(VLOOKUP('Crédito de Vivienda'!$C$25,Seguros_Oblig!$A$3:$B$55,2,FALSE))),(C178*(VLOOKUP('Crédito de Vivienda'!$C$25,Seguros_Oblig!$A$3:$D$55,4,FALSE))))</f>
        <v>#VALUE!</v>
      </c>
      <c r="H179" s="8" t="e">
        <f>IF('Crédito de Vivienda'!$C$10="TARIFA 1",(C178*(VLOOKUP('Crédito de Vivienda'!$C$26,Seguros_Oblig!$A$3:$B$55,2,FALSE))),(C178*(VLOOKUP('Crédito de Vivienda'!$C$26,Seguros_Oblig!$A$3:$D$55,4,FALSE))))</f>
        <v>#VALUE!</v>
      </c>
      <c r="I179" s="8" t="e">
        <f>IF('Crédito de Vivienda'!$C$10="TARIFA 1",(C178*(VLOOKUP('Crédito de Vivienda'!$C$27,Seguros_Oblig!$A$3:$B$55,2,FALSE))),(C178*(VLOOKUP('Crédito de Vivienda'!$C$27,Seguros_Oblig!$A$3:$D$55,4,FALSE))))</f>
        <v>#VALUE!</v>
      </c>
      <c r="J179" s="10">
        <f t="shared" si="15"/>
        <v>0</v>
      </c>
      <c r="K179" s="7" t="e">
        <f>IF(C178&lt;1,"0",Seguros_Oblig!$K$2*('Crédito de Vivienda'!$C$12*90%))</f>
        <v>#VALUE!</v>
      </c>
      <c r="L179" s="7" t="e">
        <f>IF(B179=" ","0",PMT('Crédito de Vivienda'!$E$17,'Crédito de Vivienda'!$C$18,-'Crédito de Vivienda'!$C$15,,))</f>
        <v>#VALUE!</v>
      </c>
      <c r="M179" s="9" t="e">
        <f t="shared" si="16"/>
        <v>#VALUE!</v>
      </c>
      <c r="N179" s="7" t="e">
        <f>IF(C178&lt;1,"0",'Crédito de Vivienda'!$C$40)</f>
        <v>#VALUE!</v>
      </c>
      <c r="O179" s="9" t="e">
        <f t="shared" si="17"/>
        <v>#VALUE!</v>
      </c>
    </row>
    <row r="180" spans="2:15" ht="15.5" x14ac:dyDescent="0.35">
      <c r="B180" s="6" t="e">
        <f t="shared" si="13"/>
        <v>#VALUE!</v>
      </c>
      <c r="C180" s="7" t="e">
        <f t="shared" si="14"/>
        <v>#VALUE!</v>
      </c>
      <c r="D180" s="7" t="e">
        <f t="shared" si="18"/>
        <v>#VALUE!</v>
      </c>
      <c r="E180" s="7" t="e">
        <f>C179*'Crédito de Vivienda'!$E$17</f>
        <v>#VALUE!</v>
      </c>
      <c r="F180" s="282" t="e">
        <f>IF(C179&lt;1,"0",IF('Crédito de Vivienda'!$D$28="Si",($C$17*(VLOOKUP('Crédito de Vivienda'!$C$24,Seguros_Oblig!$A$3:$F$55,6,FALSE))),IF('Crédito de Vivienda'!$C$10="TARIFA 1",(C179*(VLOOKUP('Crédito de Vivienda'!$C$24,Seguros_Oblig!$A$3:$B$55,2,FALSE))),(C179*(VLOOKUP('Crédito de Vivienda'!$C$24,Seguros_Oblig!$A$3:$D$55,4,FALSE))))))</f>
        <v>#VALUE!</v>
      </c>
      <c r="G180" s="8" t="e">
        <f>IF('Crédito de Vivienda'!$C$10="TARIFA 1",(C179*(VLOOKUP('Crédito de Vivienda'!$C$25,Seguros_Oblig!$A$3:$B$55,2,FALSE))),(C179*(VLOOKUP('Crédito de Vivienda'!$C$25,Seguros_Oblig!$A$3:$D$55,4,FALSE))))</f>
        <v>#VALUE!</v>
      </c>
      <c r="H180" s="8" t="e">
        <f>IF('Crédito de Vivienda'!$C$10="TARIFA 1",(C179*(VLOOKUP('Crédito de Vivienda'!$C$26,Seguros_Oblig!$A$3:$B$55,2,FALSE))),(C179*(VLOOKUP('Crédito de Vivienda'!$C$26,Seguros_Oblig!$A$3:$D$55,4,FALSE))))</f>
        <v>#VALUE!</v>
      </c>
      <c r="I180" s="8" t="e">
        <f>IF('Crédito de Vivienda'!$C$10="TARIFA 1",(C179*(VLOOKUP('Crédito de Vivienda'!$C$27,Seguros_Oblig!$A$3:$B$55,2,FALSE))),(C179*(VLOOKUP('Crédito de Vivienda'!$C$27,Seguros_Oblig!$A$3:$D$55,4,FALSE))))</f>
        <v>#VALUE!</v>
      </c>
      <c r="J180" s="10">
        <f t="shared" si="15"/>
        <v>0</v>
      </c>
      <c r="K180" s="7" t="e">
        <f>IF(C179&lt;1,"0",Seguros_Oblig!$K$2*('Crédito de Vivienda'!$C$12*90%))</f>
        <v>#VALUE!</v>
      </c>
      <c r="L180" s="7" t="e">
        <f>IF(B180=" ","0",PMT('Crédito de Vivienda'!$E$17,'Crédito de Vivienda'!$C$18,-'Crédito de Vivienda'!$C$15,,))</f>
        <v>#VALUE!</v>
      </c>
      <c r="M180" s="9" t="e">
        <f t="shared" si="16"/>
        <v>#VALUE!</v>
      </c>
      <c r="N180" s="7" t="e">
        <f>IF(C179&lt;1,"0",'Crédito de Vivienda'!$C$40)</f>
        <v>#VALUE!</v>
      </c>
      <c r="O180" s="9" t="e">
        <f t="shared" si="17"/>
        <v>#VALUE!</v>
      </c>
    </row>
    <row r="181" spans="2:15" ht="15.5" x14ac:dyDescent="0.35">
      <c r="B181" s="6" t="e">
        <f t="shared" si="13"/>
        <v>#VALUE!</v>
      </c>
      <c r="C181" s="7" t="e">
        <f t="shared" si="14"/>
        <v>#VALUE!</v>
      </c>
      <c r="D181" s="7" t="e">
        <f t="shared" si="18"/>
        <v>#VALUE!</v>
      </c>
      <c r="E181" s="7" t="e">
        <f>C180*'Crédito de Vivienda'!$E$17</f>
        <v>#VALUE!</v>
      </c>
      <c r="F181" s="282" t="e">
        <f>IF(C180&lt;1,"0",IF('Crédito de Vivienda'!$D$28="Si",($C$17*(VLOOKUP('Crédito de Vivienda'!$C$24,Seguros_Oblig!$A$3:$F$55,6,FALSE))),IF('Crédito de Vivienda'!$C$10="TARIFA 1",(C180*(VLOOKUP('Crédito de Vivienda'!$C$24,Seguros_Oblig!$A$3:$B$55,2,FALSE))),(C180*(VLOOKUP('Crédito de Vivienda'!$C$24,Seguros_Oblig!$A$3:$D$55,4,FALSE))))))</f>
        <v>#VALUE!</v>
      </c>
      <c r="G181" s="8" t="e">
        <f>IF('Crédito de Vivienda'!$C$10="TARIFA 1",(C180*(VLOOKUP('Crédito de Vivienda'!$C$25,Seguros_Oblig!$A$3:$B$55,2,FALSE))),(C180*(VLOOKUP('Crédito de Vivienda'!$C$25,Seguros_Oblig!$A$3:$D$55,4,FALSE))))</f>
        <v>#VALUE!</v>
      </c>
      <c r="H181" s="8" t="e">
        <f>IF('Crédito de Vivienda'!$C$10="TARIFA 1",(C180*(VLOOKUP('Crédito de Vivienda'!$C$26,Seguros_Oblig!$A$3:$B$55,2,FALSE))),(C180*(VLOOKUP('Crédito de Vivienda'!$C$26,Seguros_Oblig!$A$3:$D$55,4,FALSE))))</f>
        <v>#VALUE!</v>
      </c>
      <c r="I181" s="8" t="e">
        <f>IF('Crédito de Vivienda'!$C$10="TARIFA 1",(C180*(VLOOKUP('Crédito de Vivienda'!$C$27,Seguros_Oblig!$A$3:$B$55,2,FALSE))),(C180*(VLOOKUP('Crédito de Vivienda'!$C$27,Seguros_Oblig!$A$3:$D$55,4,FALSE))))</f>
        <v>#VALUE!</v>
      </c>
      <c r="J181" s="10">
        <f t="shared" si="15"/>
        <v>0</v>
      </c>
      <c r="K181" s="7" t="e">
        <f>IF(C180&lt;1,"0",Seguros_Oblig!$K$2*('Crédito de Vivienda'!$C$12*90%))</f>
        <v>#VALUE!</v>
      </c>
      <c r="L181" s="7" t="e">
        <f>IF(B181=" ","0",PMT('Crédito de Vivienda'!$E$17,'Crédito de Vivienda'!$C$18,-'Crédito de Vivienda'!$C$15,,))</f>
        <v>#VALUE!</v>
      </c>
      <c r="M181" s="9" t="e">
        <f t="shared" si="16"/>
        <v>#VALUE!</v>
      </c>
      <c r="N181" s="7" t="e">
        <f>IF(C180&lt;1,"0",'Crédito de Vivienda'!$C$40)</f>
        <v>#VALUE!</v>
      </c>
      <c r="O181" s="9" t="e">
        <f t="shared" si="17"/>
        <v>#VALUE!</v>
      </c>
    </row>
    <row r="182" spans="2:15" ht="15.5" x14ac:dyDescent="0.35">
      <c r="B182" s="6" t="e">
        <f t="shared" si="13"/>
        <v>#VALUE!</v>
      </c>
      <c r="C182" s="7" t="e">
        <f t="shared" si="14"/>
        <v>#VALUE!</v>
      </c>
      <c r="D182" s="7" t="e">
        <f t="shared" si="18"/>
        <v>#VALUE!</v>
      </c>
      <c r="E182" s="7" t="e">
        <f>C181*'Crédito de Vivienda'!$E$17</f>
        <v>#VALUE!</v>
      </c>
      <c r="F182" s="282" t="e">
        <f>IF(C181&lt;1,"0",IF('Crédito de Vivienda'!$D$28="Si",($C$17*(VLOOKUP('Crédito de Vivienda'!$C$24,Seguros_Oblig!$A$3:$F$55,6,FALSE))),IF('Crédito de Vivienda'!$C$10="TARIFA 1",(C181*(VLOOKUP('Crédito de Vivienda'!$C$24,Seguros_Oblig!$A$3:$B$55,2,FALSE))),(C181*(VLOOKUP('Crédito de Vivienda'!$C$24,Seguros_Oblig!$A$3:$D$55,4,FALSE))))))</f>
        <v>#VALUE!</v>
      </c>
      <c r="G182" s="8" t="e">
        <f>IF('Crédito de Vivienda'!$C$10="TARIFA 1",(C181*(VLOOKUP('Crédito de Vivienda'!$C$25,Seguros_Oblig!$A$3:$B$55,2,FALSE))),(C181*(VLOOKUP('Crédito de Vivienda'!$C$25,Seguros_Oblig!$A$3:$D$55,4,FALSE))))</f>
        <v>#VALUE!</v>
      </c>
      <c r="H182" s="8" t="e">
        <f>IF('Crédito de Vivienda'!$C$10="TARIFA 1",(C181*(VLOOKUP('Crédito de Vivienda'!$C$26,Seguros_Oblig!$A$3:$B$55,2,FALSE))),(C181*(VLOOKUP('Crédito de Vivienda'!$C$26,Seguros_Oblig!$A$3:$D$55,4,FALSE))))</f>
        <v>#VALUE!</v>
      </c>
      <c r="I182" s="8" t="e">
        <f>IF('Crédito de Vivienda'!$C$10="TARIFA 1",(C181*(VLOOKUP('Crédito de Vivienda'!$C$27,Seguros_Oblig!$A$3:$B$55,2,FALSE))),(C181*(VLOOKUP('Crédito de Vivienda'!$C$27,Seguros_Oblig!$A$3:$D$55,4,FALSE))))</f>
        <v>#VALUE!</v>
      </c>
      <c r="J182" s="10">
        <f t="shared" si="15"/>
        <v>0</v>
      </c>
      <c r="K182" s="7" t="e">
        <f>IF(C181&lt;1,"0",Seguros_Oblig!$K$2*('Crédito de Vivienda'!$C$12*90%))</f>
        <v>#VALUE!</v>
      </c>
      <c r="L182" s="7" t="e">
        <f>IF(B182=" ","0",PMT('Crédito de Vivienda'!$E$17,'Crédito de Vivienda'!$C$18,-'Crédito de Vivienda'!$C$15,,))</f>
        <v>#VALUE!</v>
      </c>
      <c r="M182" s="9" t="e">
        <f t="shared" si="16"/>
        <v>#VALUE!</v>
      </c>
      <c r="N182" s="7" t="e">
        <f>IF(C181&lt;1,"0",'Crédito de Vivienda'!$C$40)</f>
        <v>#VALUE!</v>
      </c>
      <c r="O182" s="9" t="e">
        <f t="shared" si="17"/>
        <v>#VALUE!</v>
      </c>
    </row>
    <row r="183" spans="2:15" ht="15.5" x14ac:dyDescent="0.35">
      <c r="B183" s="6" t="e">
        <f t="shared" si="13"/>
        <v>#VALUE!</v>
      </c>
      <c r="C183" s="7" t="e">
        <f t="shared" si="14"/>
        <v>#VALUE!</v>
      </c>
      <c r="D183" s="7" t="e">
        <f t="shared" si="18"/>
        <v>#VALUE!</v>
      </c>
      <c r="E183" s="7" t="e">
        <f>C182*'Crédito de Vivienda'!$E$17</f>
        <v>#VALUE!</v>
      </c>
      <c r="F183" s="282" t="e">
        <f>IF(C182&lt;1,"0",IF('Crédito de Vivienda'!$D$28="Si",($C$17*(VLOOKUP('Crédito de Vivienda'!$C$24,Seguros_Oblig!$A$3:$F$55,6,FALSE))),IF('Crédito de Vivienda'!$C$10="TARIFA 1",(C182*(VLOOKUP('Crédito de Vivienda'!$C$24,Seguros_Oblig!$A$3:$B$55,2,FALSE))),(C182*(VLOOKUP('Crédito de Vivienda'!$C$24,Seguros_Oblig!$A$3:$D$55,4,FALSE))))))</f>
        <v>#VALUE!</v>
      </c>
      <c r="G183" s="8" t="e">
        <f>IF('Crédito de Vivienda'!$C$10="TARIFA 1",(C182*(VLOOKUP('Crédito de Vivienda'!$C$25,Seguros_Oblig!$A$3:$B$55,2,FALSE))),(C182*(VLOOKUP('Crédito de Vivienda'!$C$25,Seguros_Oblig!$A$3:$D$55,4,FALSE))))</f>
        <v>#VALUE!</v>
      </c>
      <c r="H183" s="8" t="e">
        <f>IF('Crédito de Vivienda'!$C$10="TARIFA 1",(C182*(VLOOKUP('Crédito de Vivienda'!$C$26,Seguros_Oblig!$A$3:$B$55,2,FALSE))),(C182*(VLOOKUP('Crédito de Vivienda'!$C$26,Seguros_Oblig!$A$3:$D$55,4,FALSE))))</f>
        <v>#VALUE!</v>
      </c>
      <c r="I183" s="8" t="e">
        <f>IF('Crédito de Vivienda'!$C$10="TARIFA 1",(C182*(VLOOKUP('Crédito de Vivienda'!$C$27,Seguros_Oblig!$A$3:$B$55,2,FALSE))),(C182*(VLOOKUP('Crédito de Vivienda'!$C$27,Seguros_Oblig!$A$3:$D$55,4,FALSE))))</f>
        <v>#VALUE!</v>
      </c>
      <c r="J183" s="10">
        <f t="shared" si="15"/>
        <v>0</v>
      </c>
      <c r="K183" s="7" t="e">
        <f>IF(C182&lt;1,"0",Seguros_Oblig!$K$2*('Crédito de Vivienda'!$C$12*90%))</f>
        <v>#VALUE!</v>
      </c>
      <c r="L183" s="7" t="e">
        <f>IF(B183=" ","0",PMT('Crédito de Vivienda'!$E$17,'Crédito de Vivienda'!$C$18,-'Crédito de Vivienda'!$C$15,,))</f>
        <v>#VALUE!</v>
      </c>
      <c r="M183" s="9" t="e">
        <f t="shared" si="16"/>
        <v>#VALUE!</v>
      </c>
      <c r="N183" s="7" t="e">
        <f>IF(C182&lt;1,"0",'Crédito de Vivienda'!$C$40)</f>
        <v>#VALUE!</v>
      </c>
      <c r="O183" s="9" t="e">
        <f t="shared" si="17"/>
        <v>#VALUE!</v>
      </c>
    </row>
    <row r="184" spans="2:15" ht="15.5" x14ac:dyDescent="0.35">
      <c r="B184" s="6" t="e">
        <f t="shared" si="13"/>
        <v>#VALUE!</v>
      </c>
      <c r="C184" s="7" t="e">
        <f t="shared" si="14"/>
        <v>#VALUE!</v>
      </c>
      <c r="D184" s="7" t="e">
        <f t="shared" si="18"/>
        <v>#VALUE!</v>
      </c>
      <c r="E184" s="7" t="e">
        <f>C183*'Crédito de Vivienda'!$E$17</f>
        <v>#VALUE!</v>
      </c>
      <c r="F184" s="282" t="e">
        <f>IF(C183&lt;1,"0",IF('Crédito de Vivienda'!$D$28="Si",($C$17*(VLOOKUP('Crédito de Vivienda'!$C$24,Seguros_Oblig!$A$3:$F$55,6,FALSE))),IF('Crédito de Vivienda'!$C$10="TARIFA 1",(C183*(VLOOKUP('Crédito de Vivienda'!$C$24,Seguros_Oblig!$A$3:$B$55,2,FALSE))),(C183*(VLOOKUP('Crédito de Vivienda'!$C$24,Seguros_Oblig!$A$3:$D$55,4,FALSE))))))</f>
        <v>#VALUE!</v>
      </c>
      <c r="G184" s="8" t="e">
        <f>IF('Crédito de Vivienda'!$C$10="TARIFA 1",(C183*(VLOOKUP('Crédito de Vivienda'!$C$25,Seguros_Oblig!$A$3:$B$55,2,FALSE))),(C183*(VLOOKUP('Crédito de Vivienda'!$C$25,Seguros_Oblig!$A$3:$D$55,4,FALSE))))</f>
        <v>#VALUE!</v>
      </c>
      <c r="H184" s="8" t="e">
        <f>IF('Crédito de Vivienda'!$C$10="TARIFA 1",(C183*(VLOOKUP('Crédito de Vivienda'!$C$26,Seguros_Oblig!$A$3:$B$55,2,FALSE))),(C183*(VLOOKUP('Crédito de Vivienda'!$C$26,Seguros_Oblig!$A$3:$D$55,4,FALSE))))</f>
        <v>#VALUE!</v>
      </c>
      <c r="I184" s="8" t="e">
        <f>IF('Crédito de Vivienda'!$C$10="TARIFA 1",(C183*(VLOOKUP('Crédito de Vivienda'!$C$27,Seguros_Oblig!$A$3:$B$55,2,FALSE))),(C183*(VLOOKUP('Crédito de Vivienda'!$C$27,Seguros_Oblig!$A$3:$D$55,4,FALSE))))</f>
        <v>#VALUE!</v>
      </c>
      <c r="J184" s="10">
        <f t="shared" si="15"/>
        <v>0</v>
      </c>
      <c r="K184" s="7" t="e">
        <f>IF(C183&lt;1,"0",Seguros_Oblig!$K$2*('Crédito de Vivienda'!$C$12*90%))</f>
        <v>#VALUE!</v>
      </c>
      <c r="L184" s="7" t="e">
        <f>IF(B184=" ","0",PMT('Crédito de Vivienda'!$E$17,'Crédito de Vivienda'!$C$18,-'Crédito de Vivienda'!$C$15,,))</f>
        <v>#VALUE!</v>
      </c>
      <c r="M184" s="9" t="e">
        <f t="shared" si="16"/>
        <v>#VALUE!</v>
      </c>
      <c r="N184" s="7" t="e">
        <f>IF(C183&lt;1,"0",'Crédito de Vivienda'!$C$40)</f>
        <v>#VALUE!</v>
      </c>
      <c r="O184" s="9" t="e">
        <f t="shared" si="17"/>
        <v>#VALUE!</v>
      </c>
    </row>
    <row r="185" spans="2:15" ht="15.5" x14ac:dyDescent="0.35">
      <c r="B185" s="6" t="e">
        <f t="shared" si="13"/>
        <v>#VALUE!</v>
      </c>
      <c r="C185" s="7" t="e">
        <f t="shared" si="14"/>
        <v>#VALUE!</v>
      </c>
      <c r="D185" s="7" t="e">
        <f t="shared" si="18"/>
        <v>#VALUE!</v>
      </c>
      <c r="E185" s="7" t="e">
        <f>C184*'Crédito de Vivienda'!$E$17</f>
        <v>#VALUE!</v>
      </c>
      <c r="F185" s="282" t="e">
        <f>IF(C184&lt;1,"0",IF('Crédito de Vivienda'!$D$28="Si",($C$17*(VLOOKUP('Crédito de Vivienda'!$C$24,Seguros_Oblig!$A$3:$F$55,6,FALSE))),IF('Crédito de Vivienda'!$C$10="TARIFA 1",(C184*(VLOOKUP('Crédito de Vivienda'!$C$24,Seguros_Oblig!$A$3:$B$55,2,FALSE))),(C184*(VLOOKUP('Crédito de Vivienda'!$C$24,Seguros_Oblig!$A$3:$D$55,4,FALSE))))))</f>
        <v>#VALUE!</v>
      </c>
      <c r="G185" s="8" t="e">
        <f>IF('Crédito de Vivienda'!$C$10="TARIFA 1",(C184*(VLOOKUP('Crédito de Vivienda'!$C$25,Seguros_Oblig!$A$3:$B$55,2,FALSE))),(C184*(VLOOKUP('Crédito de Vivienda'!$C$25,Seguros_Oblig!$A$3:$D$55,4,FALSE))))</f>
        <v>#VALUE!</v>
      </c>
      <c r="H185" s="8" t="e">
        <f>IF('Crédito de Vivienda'!$C$10="TARIFA 1",(C184*(VLOOKUP('Crédito de Vivienda'!$C$26,Seguros_Oblig!$A$3:$B$55,2,FALSE))),(C184*(VLOOKUP('Crédito de Vivienda'!$C$26,Seguros_Oblig!$A$3:$D$55,4,FALSE))))</f>
        <v>#VALUE!</v>
      </c>
      <c r="I185" s="8" t="e">
        <f>IF('Crédito de Vivienda'!$C$10="TARIFA 1",(C184*(VLOOKUP('Crédito de Vivienda'!$C$27,Seguros_Oblig!$A$3:$B$55,2,FALSE))),(C184*(VLOOKUP('Crédito de Vivienda'!$C$27,Seguros_Oblig!$A$3:$D$55,4,FALSE))))</f>
        <v>#VALUE!</v>
      </c>
      <c r="J185" s="10">
        <f t="shared" si="15"/>
        <v>0</v>
      </c>
      <c r="K185" s="7" t="e">
        <f>IF(C184&lt;1,"0",Seguros_Oblig!$K$2*('Crédito de Vivienda'!$C$12*90%))</f>
        <v>#VALUE!</v>
      </c>
      <c r="L185" s="7" t="e">
        <f>IF(B185=" ","0",PMT('Crédito de Vivienda'!$E$17,'Crédito de Vivienda'!$C$18,-'Crédito de Vivienda'!$C$15,,))</f>
        <v>#VALUE!</v>
      </c>
      <c r="M185" s="9" t="e">
        <f t="shared" si="16"/>
        <v>#VALUE!</v>
      </c>
      <c r="N185" s="7" t="e">
        <f>IF(C184&lt;1,"0",'Crédito de Vivienda'!$C$40)</f>
        <v>#VALUE!</v>
      </c>
      <c r="O185" s="9" t="e">
        <f t="shared" si="17"/>
        <v>#VALUE!</v>
      </c>
    </row>
    <row r="186" spans="2:15" ht="15.5" x14ac:dyDescent="0.35">
      <c r="B186" s="6" t="e">
        <f t="shared" si="13"/>
        <v>#VALUE!</v>
      </c>
      <c r="C186" s="7" t="e">
        <f t="shared" si="14"/>
        <v>#VALUE!</v>
      </c>
      <c r="D186" s="7" t="e">
        <f t="shared" si="18"/>
        <v>#VALUE!</v>
      </c>
      <c r="E186" s="7" t="e">
        <f>C185*'Crédito de Vivienda'!$E$17</f>
        <v>#VALUE!</v>
      </c>
      <c r="F186" s="282" t="e">
        <f>IF(C185&lt;1,"0",IF('Crédito de Vivienda'!$D$28="Si",($C$17*(VLOOKUP('Crédito de Vivienda'!$C$24,Seguros_Oblig!$A$3:$F$55,6,FALSE))),IF('Crédito de Vivienda'!$C$10="TARIFA 1",(C185*(VLOOKUP('Crédito de Vivienda'!$C$24,Seguros_Oblig!$A$3:$B$55,2,FALSE))),(C185*(VLOOKUP('Crédito de Vivienda'!$C$24,Seguros_Oblig!$A$3:$D$55,4,FALSE))))))</f>
        <v>#VALUE!</v>
      </c>
      <c r="G186" s="8" t="e">
        <f>IF('Crédito de Vivienda'!$C$10="TARIFA 1",(C185*(VLOOKUP('Crédito de Vivienda'!$C$25,Seguros_Oblig!$A$3:$B$55,2,FALSE))),(C185*(VLOOKUP('Crédito de Vivienda'!$C$25,Seguros_Oblig!$A$3:$D$55,4,FALSE))))</f>
        <v>#VALUE!</v>
      </c>
      <c r="H186" s="8" t="e">
        <f>IF('Crédito de Vivienda'!$C$10="TARIFA 1",(C185*(VLOOKUP('Crédito de Vivienda'!$C$26,Seguros_Oblig!$A$3:$B$55,2,FALSE))),(C185*(VLOOKUP('Crédito de Vivienda'!$C$26,Seguros_Oblig!$A$3:$D$55,4,FALSE))))</f>
        <v>#VALUE!</v>
      </c>
      <c r="I186" s="8" t="e">
        <f>IF('Crédito de Vivienda'!$C$10="TARIFA 1",(C185*(VLOOKUP('Crédito de Vivienda'!$C$27,Seguros_Oblig!$A$3:$B$55,2,FALSE))),(C185*(VLOOKUP('Crédito de Vivienda'!$C$27,Seguros_Oblig!$A$3:$D$55,4,FALSE))))</f>
        <v>#VALUE!</v>
      </c>
      <c r="J186" s="10">
        <f t="shared" si="15"/>
        <v>0</v>
      </c>
      <c r="K186" s="7" t="e">
        <f>IF(C185&lt;1,"0",Seguros_Oblig!$K$2*('Crédito de Vivienda'!$C$12*90%))</f>
        <v>#VALUE!</v>
      </c>
      <c r="L186" s="7" t="e">
        <f>IF(B186=" ","0",PMT('Crédito de Vivienda'!$E$17,'Crédito de Vivienda'!$C$18,-'Crédito de Vivienda'!$C$15,,))</f>
        <v>#VALUE!</v>
      </c>
      <c r="M186" s="9" t="e">
        <f t="shared" si="16"/>
        <v>#VALUE!</v>
      </c>
      <c r="N186" s="7" t="e">
        <f>IF(C185&lt;1,"0",'Crédito de Vivienda'!$C$40)</f>
        <v>#VALUE!</v>
      </c>
      <c r="O186" s="9" t="e">
        <f t="shared" si="17"/>
        <v>#VALUE!</v>
      </c>
    </row>
    <row r="187" spans="2:15" ht="15.5" x14ac:dyDescent="0.35">
      <c r="B187" s="6" t="e">
        <f t="shared" si="13"/>
        <v>#VALUE!</v>
      </c>
      <c r="C187" s="7" t="e">
        <f t="shared" si="14"/>
        <v>#VALUE!</v>
      </c>
      <c r="D187" s="7" t="e">
        <f t="shared" si="18"/>
        <v>#VALUE!</v>
      </c>
      <c r="E187" s="7" t="e">
        <f>C186*'Crédito de Vivienda'!$E$17</f>
        <v>#VALUE!</v>
      </c>
      <c r="F187" s="282" t="e">
        <f>IF(C186&lt;1,"0",IF('Crédito de Vivienda'!$D$28="Si",($C$17*(VLOOKUP('Crédito de Vivienda'!$C$24,Seguros_Oblig!$A$3:$F$55,6,FALSE))),IF('Crédito de Vivienda'!$C$10="TARIFA 1",(C186*(VLOOKUP('Crédito de Vivienda'!$C$24,Seguros_Oblig!$A$3:$B$55,2,FALSE))),(C186*(VLOOKUP('Crédito de Vivienda'!$C$24,Seguros_Oblig!$A$3:$D$55,4,FALSE))))))</f>
        <v>#VALUE!</v>
      </c>
      <c r="G187" s="8" t="e">
        <f>IF('Crédito de Vivienda'!$C$10="TARIFA 1",(C186*(VLOOKUP('Crédito de Vivienda'!$C$25,Seguros_Oblig!$A$3:$B$55,2,FALSE))),(C186*(VLOOKUP('Crédito de Vivienda'!$C$25,Seguros_Oblig!$A$3:$D$55,4,FALSE))))</f>
        <v>#VALUE!</v>
      </c>
      <c r="H187" s="8" t="e">
        <f>IF('Crédito de Vivienda'!$C$10="TARIFA 1",(C186*(VLOOKUP('Crédito de Vivienda'!$C$26,Seguros_Oblig!$A$3:$B$55,2,FALSE))),(C186*(VLOOKUP('Crédito de Vivienda'!$C$26,Seguros_Oblig!$A$3:$D$55,4,FALSE))))</f>
        <v>#VALUE!</v>
      </c>
      <c r="I187" s="8" t="e">
        <f>IF('Crédito de Vivienda'!$C$10="TARIFA 1",(C186*(VLOOKUP('Crédito de Vivienda'!$C$27,Seguros_Oblig!$A$3:$B$55,2,FALSE))),(C186*(VLOOKUP('Crédito de Vivienda'!$C$27,Seguros_Oblig!$A$3:$D$55,4,FALSE))))</f>
        <v>#VALUE!</v>
      </c>
      <c r="J187" s="10">
        <f t="shared" si="15"/>
        <v>0</v>
      </c>
      <c r="K187" s="7" t="e">
        <f>IF(C186&lt;1,"0",Seguros_Oblig!$K$2*('Crédito de Vivienda'!$C$12*90%))</f>
        <v>#VALUE!</v>
      </c>
      <c r="L187" s="7" t="e">
        <f>IF(B187=" ","0",PMT('Crédito de Vivienda'!$E$17,'Crédito de Vivienda'!$C$18,-'Crédito de Vivienda'!$C$15,,))</f>
        <v>#VALUE!</v>
      </c>
      <c r="M187" s="9" t="e">
        <f t="shared" si="16"/>
        <v>#VALUE!</v>
      </c>
      <c r="N187" s="7" t="e">
        <f>IF(C186&lt;1,"0",'Crédito de Vivienda'!$C$40)</f>
        <v>#VALUE!</v>
      </c>
      <c r="O187" s="9" t="e">
        <f t="shared" si="17"/>
        <v>#VALUE!</v>
      </c>
    </row>
    <row r="188" spans="2:15" ht="15.5" x14ac:dyDescent="0.35">
      <c r="B188" s="6" t="e">
        <f t="shared" si="13"/>
        <v>#VALUE!</v>
      </c>
      <c r="C188" s="7" t="e">
        <f t="shared" si="14"/>
        <v>#VALUE!</v>
      </c>
      <c r="D188" s="7" t="e">
        <f t="shared" si="18"/>
        <v>#VALUE!</v>
      </c>
      <c r="E188" s="7" t="e">
        <f>C187*'Crédito de Vivienda'!$E$17</f>
        <v>#VALUE!</v>
      </c>
      <c r="F188" s="282" t="e">
        <f>IF(C187&lt;1,"0",IF('Crédito de Vivienda'!$D$28="Si",($C$17*(VLOOKUP('Crédito de Vivienda'!$C$24,Seguros_Oblig!$A$3:$F$55,6,FALSE))),IF('Crédito de Vivienda'!$C$10="TARIFA 1",(C187*(VLOOKUP('Crédito de Vivienda'!$C$24,Seguros_Oblig!$A$3:$B$55,2,FALSE))),(C187*(VLOOKUP('Crédito de Vivienda'!$C$24,Seguros_Oblig!$A$3:$D$55,4,FALSE))))))</f>
        <v>#VALUE!</v>
      </c>
      <c r="G188" s="8" t="e">
        <f>IF('Crédito de Vivienda'!$C$10="TARIFA 1",(C187*(VLOOKUP('Crédito de Vivienda'!$C$25,Seguros_Oblig!$A$3:$B$55,2,FALSE))),(C187*(VLOOKUP('Crédito de Vivienda'!$C$25,Seguros_Oblig!$A$3:$D$55,4,FALSE))))</f>
        <v>#VALUE!</v>
      </c>
      <c r="H188" s="8" t="e">
        <f>IF('Crédito de Vivienda'!$C$10="TARIFA 1",(C187*(VLOOKUP('Crédito de Vivienda'!$C$26,Seguros_Oblig!$A$3:$B$55,2,FALSE))),(C187*(VLOOKUP('Crédito de Vivienda'!$C$26,Seguros_Oblig!$A$3:$D$55,4,FALSE))))</f>
        <v>#VALUE!</v>
      </c>
      <c r="I188" s="8" t="e">
        <f>IF('Crédito de Vivienda'!$C$10="TARIFA 1",(C187*(VLOOKUP('Crédito de Vivienda'!$C$27,Seguros_Oblig!$A$3:$B$55,2,FALSE))),(C187*(VLOOKUP('Crédito de Vivienda'!$C$27,Seguros_Oblig!$A$3:$D$55,4,FALSE))))</f>
        <v>#VALUE!</v>
      </c>
      <c r="J188" s="10">
        <f t="shared" si="15"/>
        <v>0</v>
      </c>
      <c r="K188" s="7" t="e">
        <f>IF(C187&lt;1,"0",Seguros_Oblig!$K$2*('Crédito de Vivienda'!$C$12*90%))</f>
        <v>#VALUE!</v>
      </c>
      <c r="L188" s="7" t="e">
        <f>IF(B188=" ","0",PMT('Crédito de Vivienda'!$E$17,'Crédito de Vivienda'!$C$18,-'Crédito de Vivienda'!$C$15,,))</f>
        <v>#VALUE!</v>
      </c>
      <c r="M188" s="9" t="e">
        <f t="shared" si="16"/>
        <v>#VALUE!</v>
      </c>
      <c r="N188" s="7" t="e">
        <f>IF(C187&lt;1,"0",'Crédito de Vivienda'!$C$40)</f>
        <v>#VALUE!</v>
      </c>
      <c r="O188" s="9" t="e">
        <f t="shared" si="17"/>
        <v>#VALUE!</v>
      </c>
    </row>
    <row r="189" spans="2:15" ht="15.5" x14ac:dyDescent="0.35">
      <c r="B189" s="6" t="e">
        <f t="shared" si="13"/>
        <v>#VALUE!</v>
      </c>
      <c r="C189" s="7" t="e">
        <f t="shared" si="14"/>
        <v>#VALUE!</v>
      </c>
      <c r="D189" s="7" t="e">
        <f t="shared" si="18"/>
        <v>#VALUE!</v>
      </c>
      <c r="E189" s="7" t="e">
        <f>C188*'Crédito de Vivienda'!$E$17</f>
        <v>#VALUE!</v>
      </c>
      <c r="F189" s="282" t="e">
        <f>IF(C188&lt;1,"0",IF('Crédito de Vivienda'!$D$28="Si",($C$17*(VLOOKUP('Crédito de Vivienda'!$C$24,Seguros_Oblig!$A$3:$F$55,6,FALSE))),IF('Crédito de Vivienda'!$C$10="TARIFA 1",(C188*(VLOOKUP('Crédito de Vivienda'!$C$24,Seguros_Oblig!$A$3:$B$55,2,FALSE))),(C188*(VLOOKUP('Crédito de Vivienda'!$C$24,Seguros_Oblig!$A$3:$D$55,4,FALSE))))))</f>
        <v>#VALUE!</v>
      </c>
      <c r="G189" s="8" t="e">
        <f>IF('Crédito de Vivienda'!$C$10="TARIFA 1",(C188*(VLOOKUP('Crédito de Vivienda'!$C$25,Seguros_Oblig!$A$3:$B$55,2,FALSE))),(C188*(VLOOKUP('Crédito de Vivienda'!$C$25,Seguros_Oblig!$A$3:$D$55,4,FALSE))))</f>
        <v>#VALUE!</v>
      </c>
      <c r="H189" s="8" t="e">
        <f>IF('Crédito de Vivienda'!$C$10="TARIFA 1",(C188*(VLOOKUP('Crédito de Vivienda'!$C$26,Seguros_Oblig!$A$3:$B$55,2,FALSE))),(C188*(VLOOKUP('Crédito de Vivienda'!$C$26,Seguros_Oblig!$A$3:$D$55,4,FALSE))))</f>
        <v>#VALUE!</v>
      </c>
      <c r="I189" s="8" t="e">
        <f>IF('Crédito de Vivienda'!$C$10="TARIFA 1",(C188*(VLOOKUP('Crédito de Vivienda'!$C$27,Seguros_Oblig!$A$3:$B$55,2,FALSE))),(C188*(VLOOKUP('Crédito de Vivienda'!$C$27,Seguros_Oblig!$A$3:$D$55,4,FALSE))))</f>
        <v>#VALUE!</v>
      </c>
      <c r="J189" s="10">
        <f t="shared" si="15"/>
        <v>0</v>
      </c>
      <c r="K189" s="7" t="e">
        <f>IF(C188&lt;1,"0",Seguros_Oblig!$K$2*('Crédito de Vivienda'!$C$12*90%))</f>
        <v>#VALUE!</v>
      </c>
      <c r="L189" s="7" t="e">
        <f>IF(B189=" ","0",PMT('Crédito de Vivienda'!$E$17,'Crédito de Vivienda'!$C$18,-'Crédito de Vivienda'!$C$15,,))</f>
        <v>#VALUE!</v>
      </c>
      <c r="M189" s="9" t="e">
        <f t="shared" si="16"/>
        <v>#VALUE!</v>
      </c>
      <c r="N189" s="7" t="e">
        <f>IF(C188&lt;1,"0",'Crédito de Vivienda'!$C$40)</f>
        <v>#VALUE!</v>
      </c>
      <c r="O189" s="9" t="e">
        <f t="shared" si="17"/>
        <v>#VALUE!</v>
      </c>
    </row>
    <row r="190" spans="2:15" ht="15.5" x14ac:dyDescent="0.35">
      <c r="B190" s="6" t="e">
        <f t="shared" si="13"/>
        <v>#VALUE!</v>
      </c>
      <c r="C190" s="7" t="e">
        <f t="shared" si="14"/>
        <v>#VALUE!</v>
      </c>
      <c r="D190" s="7" t="e">
        <f t="shared" si="18"/>
        <v>#VALUE!</v>
      </c>
      <c r="E190" s="7" t="e">
        <f>C189*'Crédito de Vivienda'!$E$17</f>
        <v>#VALUE!</v>
      </c>
      <c r="F190" s="282" t="e">
        <f>IF(C189&lt;1,"0",IF('Crédito de Vivienda'!$D$28="Si",($C$17*(VLOOKUP('Crédito de Vivienda'!$C$24,Seguros_Oblig!$A$3:$F$55,6,FALSE))),IF('Crédito de Vivienda'!$C$10="TARIFA 1",(C189*(VLOOKUP('Crédito de Vivienda'!$C$24,Seguros_Oblig!$A$3:$B$55,2,FALSE))),(C189*(VLOOKUP('Crédito de Vivienda'!$C$24,Seguros_Oblig!$A$3:$D$55,4,FALSE))))))</f>
        <v>#VALUE!</v>
      </c>
      <c r="G190" s="8" t="e">
        <f>IF('Crédito de Vivienda'!$C$10="TARIFA 1",(C189*(VLOOKUP('Crédito de Vivienda'!$C$25,Seguros_Oblig!$A$3:$B$55,2,FALSE))),(C189*(VLOOKUP('Crédito de Vivienda'!$C$25,Seguros_Oblig!$A$3:$D$55,4,FALSE))))</f>
        <v>#VALUE!</v>
      </c>
      <c r="H190" s="8" t="e">
        <f>IF('Crédito de Vivienda'!$C$10="TARIFA 1",(C189*(VLOOKUP('Crédito de Vivienda'!$C$26,Seguros_Oblig!$A$3:$B$55,2,FALSE))),(C189*(VLOOKUP('Crédito de Vivienda'!$C$26,Seguros_Oblig!$A$3:$D$55,4,FALSE))))</f>
        <v>#VALUE!</v>
      </c>
      <c r="I190" s="8" t="e">
        <f>IF('Crédito de Vivienda'!$C$10="TARIFA 1",(C189*(VLOOKUP('Crédito de Vivienda'!$C$27,Seguros_Oblig!$A$3:$B$55,2,FALSE))),(C189*(VLOOKUP('Crédito de Vivienda'!$C$27,Seguros_Oblig!$A$3:$D$55,4,FALSE))))</f>
        <v>#VALUE!</v>
      </c>
      <c r="J190" s="10">
        <f t="shared" si="15"/>
        <v>0</v>
      </c>
      <c r="K190" s="7" t="e">
        <f>IF(C189&lt;1,"0",Seguros_Oblig!$K$2*('Crédito de Vivienda'!$C$12*90%))</f>
        <v>#VALUE!</v>
      </c>
      <c r="L190" s="7" t="e">
        <f>IF(B190=" ","0",PMT('Crédito de Vivienda'!$E$17,'Crédito de Vivienda'!$C$18,-'Crédito de Vivienda'!$C$15,,))</f>
        <v>#VALUE!</v>
      </c>
      <c r="M190" s="9" t="e">
        <f t="shared" si="16"/>
        <v>#VALUE!</v>
      </c>
      <c r="N190" s="7" t="e">
        <f>IF(C189&lt;1,"0",'Crédito de Vivienda'!$C$40)</f>
        <v>#VALUE!</v>
      </c>
      <c r="O190" s="9" t="e">
        <f t="shared" si="17"/>
        <v>#VALUE!</v>
      </c>
    </row>
    <row r="191" spans="2:15" ht="15.5" x14ac:dyDescent="0.35">
      <c r="B191" s="6" t="e">
        <f t="shared" si="13"/>
        <v>#VALUE!</v>
      </c>
      <c r="C191" s="7" t="e">
        <f t="shared" si="14"/>
        <v>#VALUE!</v>
      </c>
      <c r="D191" s="7" t="e">
        <f t="shared" si="18"/>
        <v>#VALUE!</v>
      </c>
      <c r="E191" s="7" t="e">
        <f>C190*'Crédito de Vivienda'!$E$17</f>
        <v>#VALUE!</v>
      </c>
      <c r="F191" s="282" t="e">
        <f>IF(C190&lt;1,"0",IF('Crédito de Vivienda'!$D$28="Si",($C$17*(VLOOKUP('Crédito de Vivienda'!$C$24,Seguros_Oblig!$A$3:$F$55,6,FALSE))),IF('Crédito de Vivienda'!$C$10="TARIFA 1",(C190*(VLOOKUP('Crédito de Vivienda'!$C$24,Seguros_Oblig!$A$3:$B$55,2,FALSE))),(C190*(VLOOKUP('Crédito de Vivienda'!$C$24,Seguros_Oblig!$A$3:$D$55,4,FALSE))))))</f>
        <v>#VALUE!</v>
      </c>
      <c r="G191" s="8" t="e">
        <f>IF('Crédito de Vivienda'!$C$10="TARIFA 1",(C190*(VLOOKUP('Crédito de Vivienda'!$C$25,Seguros_Oblig!$A$3:$B$55,2,FALSE))),(C190*(VLOOKUP('Crédito de Vivienda'!$C$25,Seguros_Oblig!$A$3:$D$55,4,FALSE))))</f>
        <v>#VALUE!</v>
      </c>
      <c r="H191" s="8" t="e">
        <f>IF('Crédito de Vivienda'!$C$10="TARIFA 1",(C190*(VLOOKUP('Crédito de Vivienda'!$C$26,Seguros_Oblig!$A$3:$B$55,2,FALSE))),(C190*(VLOOKUP('Crédito de Vivienda'!$C$26,Seguros_Oblig!$A$3:$D$55,4,FALSE))))</f>
        <v>#VALUE!</v>
      </c>
      <c r="I191" s="8" t="e">
        <f>IF('Crédito de Vivienda'!$C$10="TARIFA 1",(C190*(VLOOKUP('Crédito de Vivienda'!$C$27,Seguros_Oblig!$A$3:$B$55,2,FALSE))),(C190*(VLOOKUP('Crédito de Vivienda'!$C$27,Seguros_Oblig!$A$3:$D$55,4,FALSE))))</f>
        <v>#VALUE!</v>
      </c>
      <c r="J191" s="10">
        <f t="shared" si="15"/>
        <v>0</v>
      </c>
      <c r="K191" s="7" t="e">
        <f>IF(C190&lt;1,"0",Seguros_Oblig!$K$2*('Crédito de Vivienda'!$C$12*90%))</f>
        <v>#VALUE!</v>
      </c>
      <c r="L191" s="7" t="e">
        <f>IF(B191=" ","0",PMT('Crédito de Vivienda'!$E$17,'Crédito de Vivienda'!$C$18,-'Crédito de Vivienda'!$C$15,,))</f>
        <v>#VALUE!</v>
      </c>
      <c r="M191" s="9" t="e">
        <f t="shared" si="16"/>
        <v>#VALUE!</v>
      </c>
      <c r="N191" s="7" t="e">
        <f>IF(C190&lt;1,"0",'Crédito de Vivienda'!$C$40)</f>
        <v>#VALUE!</v>
      </c>
      <c r="O191" s="9" t="e">
        <f t="shared" si="17"/>
        <v>#VALUE!</v>
      </c>
    </row>
    <row r="192" spans="2:15" ht="15.5" x14ac:dyDescent="0.35">
      <c r="B192" s="6" t="e">
        <f t="shared" si="13"/>
        <v>#VALUE!</v>
      </c>
      <c r="C192" s="7" t="e">
        <f t="shared" si="14"/>
        <v>#VALUE!</v>
      </c>
      <c r="D192" s="7" t="e">
        <f t="shared" si="18"/>
        <v>#VALUE!</v>
      </c>
      <c r="E192" s="7" t="e">
        <f>C191*'Crédito de Vivienda'!$E$17</f>
        <v>#VALUE!</v>
      </c>
      <c r="F192" s="282" t="e">
        <f>IF(C191&lt;1,"0",IF('Crédito de Vivienda'!$D$28="Si",($C$17*(VLOOKUP('Crédito de Vivienda'!$C$24,Seguros_Oblig!$A$3:$F$55,6,FALSE))),IF('Crédito de Vivienda'!$C$10="TARIFA 1",(C191*(VLOOKUP('Crédito de Vivienda'!$C$24,Seguros_Oblig!$A$3:$B$55,2,FALSE))),(C191*(VLOOKUP('Crédito de Vivienda'!$C$24,Seguros_Oblig!$A$3:$D$55,4,FALSE))))))</f>
        <v>#VALUE!</v>
      </c>
      <c r="G192" s="8" t="e">
        <f>IF('Crédito de Vivienda'!$C$10="TARIFA 1",(C191*(VLOOKUP('Crédito de Vivienda'!$C$25,Seguros_Oblig!$A$3:$B$55,2,FALSE))),(C191*(VLOOKUP('Crédito de Vivienda'!$C$25,Seguros_Oblig!$A$3:$D$55,4,FALSE))))</f>
        <v>#VALUE!</v>
      </c>
      <c r="H192" s="8" t="e">
        <f>IF('Crédito de Vivienda'!$C$10="TARIFA 1",(C191*(VLOOKUP('Crédito de Vivienda'!$C$26,Seguros_Oblig!$A$3:$B$55,2,FALSE))),(C191*(VLOOKUP('Crédito de Vivienda'!$C$26,Seguros_Oblig!$A$3:$D$55,4,FALSE))))</f>
        <v>#VALUE!</v>
      </c>
      <c r="I192" s="8" t="e">
        <f>IF('Crédito de Vivienda'!$C$10="TARIFA 1",(C191*(VLOOKUP('Crédito de Vivienda'!$C$27,Seguros_Oblig!$A$3:$B$55,2,FALSE))),(C191*(VLOOKUP('Crédito de Vivienda'!$C$27,Seguros_Oblig!$A$3:$D$55,4,FALSE))))</f>
        <v>#VALUE!</v>
      </c>
      <c r="J192" s="10">
        <f t="shared" si="15"/>
        <v>0</v>
      </c>
      <c r="K192" s="7" t="e">
        <f>IF(C191&lt;1,"0",Seguros_Oblig!$K$2*('Crédito de Vivienda'!$C$12*90%))</f>
        <v>#VALUE!</v>
      </c>
      <c r="L192" s="7" t="e">
        <f>IF(B192=" ","0",PMT('Crédito de Vivienda'!$E$17,'Crédito de Vivienda'!$C$18,-'Crédito de Vivienda'!$C$15,,))</f>
        <v>#VALUE!</v>
      </c>
      <c r="M192" s="9" t="e">
        <f t="shared" si="16"/>
        <v>#VALUE!</v>
      </c>
      <c r="N192" s="7" t="e">
        <f>IF(C191&lt;1,"0",'Crédito de Vivienda'!$C$40)</f>
        <v>#VALUE!</v>
      </c>
      <c r="O192" s="9" t="e">
        <f t="shared" si="17"/>
        <v>#VALUE!</v>
      </c>
    </row>
    <row r="193" spans="2:15" ht="15.5" x14ac:dyDescent="0.35">
      <c r="B193" s="6" t="e">
        <f t="shared" si="13"/>
        <v>#VALUE!</v>
      </c>
      <c r="C193" s="7" t="e">
        <f t="shared" si="14"/>
        <v>#VALUE!</v>
      </c>
      <c r="D193" s="7" t="e">
        <f t="shared" si="18"/>
        <v>#VALUE!</v>
      </c>
      <c r="E193" s="7" t="e">
        <f>C192*'Crédito de Vivienda'!$E$17</f>
        <v>#VALUE!</v>
      </c>
      <c r="F193" s="282" t="e">
        <f>IF(C192&lt;1,"0",IF('Crédito de Vivienda'!$D$28="Si",($C$17*(VLOOKUP('Crédito de Vivienda'!$C$24,Seguros_Oblig!$A$3:$F$55,6,FALSE))),IF('Crédito de Vivienda'!$C$10="TARIFA 1",(C192*(VLOOKUP('Crédito de Vivienda'!$C$24,Seguros_Oblig!$A$3:$B$55,2,FALSE))),(C192*(VLOOKUP('Crédito de Vivienda'!$C$24,Seguros_Oblig!$A$3:$D$55,4,FALSE))))))</f>
        <v>#VALUE!</v>
      </c>
      <c r="G193" s="8" t="e">
        <f>IF('Crédito de Vivienda'!$C$10="TARIFA 1",(C192*(VLOOKUP('Crédito de Vivienda'!$C$25,Seguros_Oblig!$A$3:$B$55,2,FALSE))),(C192*(VLOOKUP('Crédito de Vivienda'!$C$25,Seguros_Oblig!$A$3:$D$55,4,FALSE))))</f>
        <v>#VALUE!</v>
      </c>
      <c r="H193" s="8" t="e">
        <f>IF('Crédito de Vivienda'!$C$10="TARIFA 1",(C192*(VLOOKUP('Crédito de Vivienda'!$C$26,Seguros_Oblig!$A$3:$B$55,2,FALSE))),(C192*(VLOOKUP('Crédito de Vivienda'!$C$26,Seguros_Oblig!$A$3:$D$55,4,FALSE))))</f>
        <v>#VALUE!</v>
      </c>
      <c r="I193" s="8" t="e">
        <f>IF('Crédito de Vivienda'!$C$10="TARIFA 1",(C192*(VLOOKUP('Crédito de Vivienda'!$C$27,Seguros_Oblig!$A$3:$B$55,2,FALSE))),(C192*(VLOOKUP('Crédito de Vivienda'!$C$27,Seguros_Oblig!$A$3:$D$55,4,FALSE))))</f>
        <v>#VALUE!</v>
      </c>
      <c r="J193" s="10">
        <f t="shared" si="15"/>
        <v>0</v>
      </c>
      <c r="K193" s="7" t="e">
        <f>IF(C192&lt;1,"0",Seguros_Oblig!$K$2*('Crédito de Vivienda'!$C$12*90%))</f>
        <v>#VALUE!</v>
      </c>
      <c r="L193" s="7" t="e">
        <f>IF(B193=" ","0",PMT('Crédito de Vivienda'!$E$17,'Crédito de Vivienda'!$C$18,-'Crédito de Vivienda'!$C$15,,))</f>
        <v>#VALUE!</v>
      </c>
      <c r="M193" s="9" t="e">
        <f t="shared" si="16"/>
        <v>#VALUE!</v>
      </c>
      <c r="N193" s="7" t="e">
        <f>IF(C192&lt;1,"0",'Crédito de Vivienda'!$C$40)</f>
        <v>#VALUE!</v>
      </c>
      <c r="O193" s="9" t="e">
        <f t="shared" si="17"/>
        <v>#VALUE!</v>
      </c>
    </row>
    <row r="194" spans="2:15" ht="15.5" x14ac:dyDescent="0.35">
      <c r="B194" s="6" t="e">
        <f t="shared" si="13"/>
        <v>#VALUE!</v>
      </c>
      <c r="C194" s="7" t="e">
        <f t="shared" si="14"/>
        <v>#VALUE!</v>
      </c>
      <c r="D194" s="7" t="e">
        <f t="shared" si="18"/>
        <v>#VALUE!</v>
      </c>
      <c r="E194" s="7" t="e">
        <f>C193*'Crédito de Vivienda'!$E$17</f>
        <v>#VALUE!</v>
      </c>
      <c r="F194" s="282" t="e">
        <f>IF(C193&lt;1,"0",IF('Crédito de Vivienda'!$D$28="Si",($C$17*(VLOOKUP('Crédito de Vivienda'!$C$24,Seguros_Oblig!$A$3:$F$55,6,FALSE))),IF('Crédito de Vivienda'!$C$10="TARIFA 1",(C193*(VLOOKUP('Crédito de Vivienda'!$C$24,Seguros_Oblig!$A$3:$B$55,2,FALSE))),(C193*(VLOOKUP('Crédito de Vivienda'!$C$24,Seguros_Oblig!$A$3:$D$55,4,FALSE))))))</f>
        <v>#VALUE!</v>
      </c>
      <c r="G194" s="8" t="e">
        <f>IF('Crédito de Vivienda'!$C$10="TARIFA 1",(C193*(VLOOKUP('Crédito de Vivienda'!$C$25,Seguros_Oblig!$A$3:$B$55,2,FALSE))),(C193*(VLOOKUP('Crédito de Vivienda'!$C$25,Seguros_Oblig!$A$3:$D$55,4,FALSE))))</f>
        <v>#VALUE!</v>
      </c>
      <c r="H194" s="8" t="e">
        <f>IF('Crédito de Vivienda'!$C$10="TARIFA 1",(C193*(VLOOKUP('Crédito de Vivienda'!$C$26,Seguros_Oblig!$A$3:$B$55,2,FALSE))),(C193*(VLOOKUP('Crédito de Vivienda'!$C$26,Seguros_Oblig!$A$3:$D$55,4,FALSE))))</f>
        <v>#VALUE!</v>
      </c>
      <c r="I194" s="8" t="e">
        <f>IF('Crédito de Vivienda'!$C$10="TARIFA 1",(C193*(VLOOKUP('Crédito de Vivienda'!$C$27,Seguros_Oblig!$A$3:$B$55,2,FALSE))),(C193*(VLOOKUP('Crédito de Vivienda'!$C$27,Seguros_Oblig!$A$3:$D$55,4,FALSE))))</f>
        <v>#VALUE!</v>
      </c>
      <c r="J194" s="10">
        <f t="shared" si="15"/>
        <v>0</v>
      </c>
      <c r="K194" s="7" t="e">
        <f>IF(C193&lt;1,"0",Seguros_Oblig!$K$2*('Crédito de Vivienda'!$C$12*90%))</f>
        <v>#VALUE!</v>
      </c>
      <c r="L194" s="7" t="e">
        <f>IF(B194=" ","0",PMT('Crédito de Vivienda'!$E$17,'Crédito de Vivienda'!$C$18,-'Crédito de Vivienda'!$C$15,,))</f>
        <v>#VALUE!</v>
      </c>
      <c r="M194" s="9" t="e">
        <f t="shared" si="16"/>
        <v>#VALUE!</v>
      </c>
      <c r="N194" s="7" t="e">
        <f>IF(C193&lt;1,"0",'Crédito de Vivienda'!$C$40)</f>
        <v>#VALUE!</v>
      </c>
      <c r="O194" s="9" t="e">
        <f t="shared" si="17"/>
        <v>#VALUE!</v>
      </c>
    </row>
    <row r="195" spans="2:15" ht="15.5" x14ac:dyDescent="0.35">
      <c r="B195" s="6" t="e">
        <f t="shared" si="13"/>
        <v>#VALUE!</v>
      </c>
      <c r="C195" s="7" t="e">
        <f t="shared" si="14"/>
        <v>#VALUE!</v>
      </c>
      <c r="D195" s="7" t="e">
        <f t="shared" si="18"/>
        <v>#VALUE!</v>
      </c>
      <c r="E195" s="7" t="e">
        <f>C194*'Crédito de Vivienda'!$E$17</f>
        <v>#VALUE!</v>
      </c>
      <c r="F195" s="282" t="e">
        <f>IF(C194&lt;1,"0",IF('Crédito de Vivienda'!$D$28="Si",($C$17*(VLOOKUP('Crédito de Vivienda'!$C$24,Seguros_Oblig!$A$3:$F$55,6,FALSE))),IF('Crédito de Vivienda'!$C$10="TARIFA 1",(C194*(VLOOKUP('Crédito de Vivienda'!$C$24,Seguros_Oblig!$A$3:$B$55,2,FALSE))),(C194*(VLOOKUP('Crédito de Vivienda'!$C$24,Seguros_Oblig!$A$3:$D$55,4,FALSE))))))</f>
        <v>#VALUE!</v>
      </c>
      <c r="G195" s="8" t="e">
        <f>IF('Crédito de Vivienda'!$C$10="TARIFA 1",(C194*(VLOOKUP('Crédito de Vivienda'!$C$25,Seguros_Oblig!$A$3:$B$55,2,FALSE))),(C194*(VLOOKUP('Crédito de Vivienda'!$C$25,Seguros_Oblig!$A$3:$D$55,4,FALSE))))</f>
        <v>#VALUE!</v>
      </c>
      <c r="H195" s="8" t="e">
        <f>IF('Crédito de Vivienda'!$C$10="TARIFA 1",(C194*(VLOOKUP('Crédito de Vivienda'!$C$26,Seguros_Oblig!$A$3:$B$55,2,FALSE))),(C194*(VLOOKUP('Crédito de Vivienda'!$C$26,Seguros_Oblig!$A$3:$D$55,4,FALSE))))</f>
        <v>#VALUE!</v>
      </c>
      <c r="I195" s="8" t="e">
        <f>IF('Crédito de Vivienda'!$C$10="TARIFA 1",(C194*(VLOOKUP('Crédito de Vivienda'!$C$27,Seguros_Oblig!$A$3:$B$55,2,FALSE))),(C194*(VLOOKUP('Crédito de Vivienda'!$C$27,Seguros_Oblig!$A$3:$D$55,4,FALSE))))</f>
        <v>#VALUE!</v>
      </c>
      <c r="J195" s="10">
        <f t="shared" si="15"/>
        <v>0</v>
      </c>
      <c r="K195" s="7" t="e">
        <f>IF(C194&lt;1,"0",Seguros_Oblig!$K$2*('Crédito de Vivienda'!$C$12*90%))</f>
        <v>#VALUE!</v>
      </c>
      <c r="L195" s="7" t="e">
        <f>IF(B195=" ","0",PMT('Crédito de Vivienda'!$E$17,'Crédito de Vivienda'!$C$18,-'Crédito de Vivienda'!$C$15,,))</f>
        <v>#VALUE!</v>
      </c>
      <c r="M195" s="9" t="e">
        <f t="shared" si="16"/>
        <v>#VALUE!</v>
      </c>
      <c r="N195" s="7" t="e">
        <f>IF(C194&lt;1,"0",'Crédito de Vivienda'!$C$40)</f>
        <v>#VALUE!</v>
      </c>
      <c r="O195" s="9" t="e">
        <f t="shared" si="17"/>
        <v>#VALUE!</v>
      </c>
    </row>
    <row r="196" spans="2:15" ht="15.5" x14ac:dyDescent="0.35">
      <c r="B196" s="6" t="e">
        <f t="shared" si="13"/>
        <v>#VALUE!</v>
      </c>
      <c r="C196" s="7" t="e">
        <f t="shared" si="14"/>
        <v>#VALUE!</v>
      </c>
      <c r="D196" s="7" t="e">
        <f t="shared" si="18"/>
        <v>#VALUE!</v>
      </c>
      <c r="E196" s="7" t="e">
        <f>C195*'Crédito de Vivienda'!$E$17</f>
        <v>#VALUE!</v>
      </c>
      <c r="F196" s="282" t="e">
        <f>IF(C195&lt;1,"0",IF('Crédito de Vivienda'!$D$28="Si",($C$17*(VLOOKUP('Crédito de Vivienda'!$C$24,Seguros_Oblig!$A$3:$F$55,6,FALSE))),IF('Crédito de Vivienda'!$C$10="TARIFA 1",(C195*(VLOOKUP('Crédito de Vivienda'!$C$24,Seguros_Oblig!$A$3:$B$55,2,FALSE))),(C195*(VLOOKUP('Crédito de Vivienda'!$C$24,Seguros_Oblig!$A$3:$D$55,4,FALSE))))))</f>
        <v>#VALUE!</v>
      </c>
      <c r="G196" s="8" t="e">
        <f>IF('Crédito de Vivienda'!$C$10="TARIFA 1",(C195*(VLOOKUP('Crédito de Vivienda'!$C$25,Seguros_Oblig!$A$3:$B$55,2,FALSE))),(C195*(VLOOKUP('Crédito de Vivienda'!$C$25,Seguros_Oblig!$A$3:$D$55,4,FALSE))))</f>
        <v>#VALUE!</v>
      </c>
      <c r="H196" s="8" t="e">
        <f>IF('Crédito de Vivienda'!$C$10="TARIFA 1",(C195*(VLOOKUP('Crédito de Vivienda'!$C$26,Seguros_Oblig!$A$3:$B$55,2,FALSE))),(C195*(VLOOKUP('Crédito de Vivienda'!$C$26,Seguros_Oblig!$A$3:$D$55,4,FALSE))))</f>
        <v>#VALUE!</v>
      </c>
      <c r="I196" s="8" t="e">
        <f>IF('Crédito de Vivienda'!$C$10="TARIFA 1",(C195*(VLOOKUP('Crédito de Vivienda'!$C$27,Seguros_Oblig!$A$3:$B$55,2,FALSE))),(C195*(VLOOKUP('Crédito de Vivienda'!$C$27,Seguros_Oblig!$A$3:$D$55,4,FALSE))))</f>
        <v>#VALUE!</v>
      </c>
      <c r="J196" s="10">
        <f t="shared" si="15"/>
        <v>0</v>
      </c>
      <c r="K196" s="7" t="e">
        <f>IF(C195&lt;1,"0",Seguros_Oblig!$K$2*('Crédito de Vivienda'!$C$12*90%))</f>
        <v>#VALUE!</v>
      </c>
      <c r="L196" s="7" t="e">
        <f>IF(B196=" ","0",PMT('Crédito de Vivienda'!$E$17,'Crédito de Vivienda'!$C$18,-'Crédito de Vivienda'!$C$15,,))</f>
        <v>#VALUE!</v>
      </c>
      <c r="M196" s="9" t="e">
        <f t="shared" si="16"/>
        <v>#VALUE!</v>
      </c>
      <c r="N196" s="7" t="e">
        <f>IF(C195&lt;1,"0",'Crédito de Vivienda'!$C$40)</f>
        <v>#VALUE!</v>
      </c>
      <c r="O196" s="9" t="e">
        <f t="shared" si="17"/>
        <v>#VALUE!</v>
      </c>
    </row>
    <row r="197" spans="2:15" ht="15.5" x14ac:dyDescent="0.35">
      <c r="B197" s="6" t="e">
        <f t="shared" si="13"/>
        <v>#VALUE!</v>
      </c>
      <c r="C197" s="7" t="e">
        <f t="shared" si="14"/>
        <v>#VALUE!</v>
      </c>
      <c r="D197" s="7" t="e">
        <f t="shared" si="18"/>
        <v>#VALUE!</v>
      </c>
      <c r="E197" s="7" t="e">
        <f>C196*'Crédito de Vivienda'!$E$17</f>
        <v>#VALUE!</v>
      </c>
      <c r="F197" s="282" t="e">
        <f>IF(C196&lt;1,"0",IF('Crédito de Vivienda'!$D$28="Si",($C$17*(VLOOKUP('Crédito de Vivienda'!$C$24,Seguros_Oblig!$A$3:$F$55,6,FALSE))),IF('Crédito de Vivienda'!$C$10="TARIFA 1",(C196*(VLOOKUP('Crédito de Vivienda'!$C$24,Seguros_Oblig!$A$3:$B$55,2,FALSE))),(C196*(VLOOKUP('Crédito de Vivienda'!$C$24,Seguros_Oblig!$A$3:$D$55,4,FALSE))))))</f>
        <v>#VALUE!</v>
      </c>
      <c r="G197" s="8" t="e">
        <f>IF('Crédito de Vivienda'!$C$10="TARIFA 1",(C196*(VLOOKUP('Crédito de Vivienda'!$C$25,Seguros_Oblig!$A$3:$B$55,2,FALSE))),(C196*(VLOOKUP('Crédito de Vivienda'!$C$25,Seguros_Oblig!$A$3:$D$55,4,FALSE))))</f>
        <v>#VALUE!</v>
      </c>
      <c r="H197" s="8" t="e">
        <f>IF('Crédito de Vivienda'!$C$10="TARIFA 1",(C196*(VLOOKUP('Crédito de Vivienda'!$C$26,Seguros_Oblig!$A$3:$B$55,2,FALSE))),(C196*(VLOOKUP('Crédito de Vivienda'!$C$26,Seguros_Oblig!$A$3:$D$55,4,FALSE))))</f>
        <v>#VALUE!</v>
      </c>
      <c r="I197" s="8" t="e">
        <f>IF('Crédito de Vivienda'!$C$10="TARIFA 1",(C196*(VLOOKUP('Crédito de Vivienda'!$C$27,Seguros_Oblig!$A$3:$B$55,2,FALSE))),(C196*(VLOOKUP('Crédito de Vivienda'!$C$27,Seguros_Oblig!$A$3:$D$55,4,FALSE))))</f>
        <v>#VALUE!</v>
      </c>
      <c r="J197" s="10">
        <f t="shared" si="15"/>
        <v>0</v>
      </c>
      <c r="K197" s="7" t="e">
        <f>IF(C196&lt;1,"0",Seguros_Oblig!$K$2*('Crédito de Vivienda'!$C$12*90%))</f>
        <v>#VALUE!</v>
      </c>
      <c r="L197" s="7" t="e">
        <f>IF(B197=" ","0",PMT('Crédito de Vivienda'!$E$17,'Crédito de Vivienda'!$C$18,-'Crédito de Vivienda'!$C$15,,))</f>
        <v>#VALUE!</v>
      </c>
      <c r="M197" s="9" t="e">
        <f t="shared" si="16"/>
        <v>#VALUE!</v>
      </c>
      <c r="N197" s="7" t="e">
        <f>IF(C196&lt;1,"0",'Crédito de Vivienda'!$C$40)</f>
        <v>#VALUE!</v>
      </c>
      <c r="O197" s="9" t="e">
        <f t="shared" si="17"/>
        <v>#VALUE!</v>
      </c>
    </row>
    <row r="198" spans="2:15" ht="15.5" x14ac:dyDescent="0.35">
      <c r="B198" s="6" t="e">
        <f t="shared" si="13"/>
        <v>#VALUE!</v>
      </c>
      <c r="C198" s="7" t="e">
        <f t="shared" si="14"/>
        <v>#VALUE!</v>
      </c>
      <c r="D198" s="7" t="e">
        <f t="shared" si="18"/>
        <v>#VALUE!</v>
      </c>
      <c r="E198" s="7" t="e">
        <f>C197*'Crédito de Vivienda'!$E$17</f>
        <v>#VALUE!</v>
      </c>
      <c r="F198" s="282" t="e">
        <f>IF(C197&lt;1,"0",IF('Crédito de Vivienda'!$D$28="Si",($C$17*(VLOOKUP('Crédito de Vivienda'!$C$24,Seguros_Oblig!$A$3:$F$55,6,FALSE))),IF('Crédito de Vivienda'!$C$10="TARIFA 1",(C197*(VLOOKUP('Crédito de Vivienda'!$C$24,Seguros_Oblig!$A$3:$B$55,2,FALSE))),(C197*(VLOOKUP('Crédito de Vivienda'!$C$24,Seguros_Oblig!$A$3:$D$55,4,FALSE))))))</f>
        <v>#VALUE!</v>
      </c>
      <c r="G198" s="8" t="e">
        <f>IF('Crédito de Vivienda'!$C$10="TARIFA 1",(C197*(VLOOKUP('Crédito de Vivienda'!$C$25,Seguros_Oblig!$A$3:$B$55,2,FALSE))),(C197*(VLOOKUP('Crédito de Vivienda'!$C$25,Seguros_Oblig!$A$3:$D$55,4,FALSE))))</f>
        <v>#VALUE!</v>
      </c>
      <c r="H198" s="8" t="e">
        <f>IF('Crédito de Vivienda'!$C$10="TARIFA 1",(C197*(VLOOKUP('Crédito de Vivienda'!$C$26,Seguros_Oblig!$A$3:$B$55,2,FALSE))),(C197*(VLOOKUP('Crédito de Vivienda'!$C$26,Seguros_Oblig!$A$3:$D$55,4,FALSE))))</f>
        <v>#VALUE!</v>
      </c>
      <c r="I198" s="8" t="e">
        <f>IF('Crédito de Vivienda'!$C$10="TARIFA 1",(C197*(VLOOKUP('Crédito de Vivienda'!$C$27,Seguros_Oblig!$A$3:$B$55,2,FALSE))),(C197*(VLOOKUP('Crédito de Vivienda'!$C$27,Seguros_Oblig!$A$3:$D$55,4,FALSE))))</f>
        <v>#VALUE!</v>
      </c>
      <c r="J198" s="10">
        <f t="shared" si="15"/>
        <v>0</v>
      </c>
      <c r="K198" s="7" t="e">
        <f>IF(C197&lt;1,"0",Seguros_Oblig!$K$2*('Crédito de Vivienda'!$C$12*90%))</f>
        <v>#VALUE!</v>
      </c>
      <c r="L198" s="7" t="e">
        <f>IF(B198=" ","0",PMT('Crédito de Vivienda'!$E$17,'Crédito de Vivienda'!$C$18,-'Crédito de Vivienda'!$C$15,,))</f>
        <v>#VALUE!</v>
      </c>
      <c r="M198" s="9" t="e">
        <f t="shared" si="16"/>
        <v>#VALUE!</v>
      </c>
      <c r="N198" s="7" t="e">
        <f>IF(C197&lt;1,"0",'Crédito de Vivienda'!$C$40)</f>
        <v>#VALUE!</v>
      </c>
      <c r="O198" s="9" t="e">
        <f t="shared" si="17"/>
        <v>#VALUE!</v>
      </c>
    </row>
    <row r="199" spans="2:15" ht="15.5" x14ac:dyDescent="0.35">
      <c r="B199" s="6" t="e">
        <f t="shared" si="13"/>
        <v>#VALUE!</v>
      </c>
      <c r="C199" s="7" t="e">
        <f t="shared" si="14"/>
        <v>#VALUE!</v>
      </c>
      <c r="D199" s="7" t="e">
        <f t="shared" si="18"/>
        <v>#VALUE!</v>
      </c>
      <c r="E199" s="7" t="e">
        <f>C198*'Crédito de Vivienda'!$E$17</f>
        <v>#VALUE!</v>
      </c>
      <c r="F199" s="282" t="e">
        <f>IF(C198&lt;1,"0",IF('Crédito de Vivienda'!$D$28="Si",($C$17*(VLOOKUP('Crédito de Vivienda'!$C$24,Seguros_Oblig!$A$3:$F$55,6,FALSE))),IF('Crédito de Vivienda'!$C$10="TARIFA 1",(C198*(VLOOKUP('Crédito de Vivienda'!$C$24,Seguros_Oblig!$A$3:$B$55,2,FALSE))),(C198*(VLOOKUP('Crédito de Vivienda'!$C$24,Seguros_Oblig!$A$3:$D$55,4,FALSE))))))</f>
        <v>#VALUE!</v>
      </c>
      <c r="G199" s="8" t="e">
        <f>IF('Crédito de Vivienda'!$C$10="TARIFA 1",(C198*(VLOOKUP('Crédito de Vivienda'!$C$25,Seguros_Oblig!$A$3:$B$55,2,FALSE))),(C198*(VLOOKUP('Crédito de Vivienda'!$C$25,Seguros_Oblig!$A$3:$D$55,4,FALSE))))</f>
        <v>#VALUE!</v>
      </c>
      <c r="H199" s="8" t="e">
        <f>IF('Crédito de Vivienda'!$C$10="TARIFA 1",(C198*(VLOOKUP('Crédito de Vivienda'!$C$26,Seguros_Oblig!$A$3:$B$55,2,FALSE))),(C198*(VLOOKUP('Crédito de Vivienda'!$C$26,Seguros_Oblig!$A$3:$D$55,4,FALSE))))</f>
        <v>#VALUE!</v>
      </c>
      <c r="I199" s="8" t="e">
        <f>IF('Crédito de Vivienda'!$C$10="TARIFA 1",(C198*(VLOOKUP('Crédito de Vivienda'!$C$27,Seguros_Oblig!$A$3:$B$55,2,FALSE))),(C198*(VLOOKUP('Crédito de Vivienda'!$C$27,Seguros_Oblig!$A$3:$D$55,4,FALSE))))</f>
        <v>#VALUE!</v>
      </c>
      <c r="J199" s="10">
        <f t="shared" si="15"/>
        <v>0</v>
      </c>
      <c r="K199" s="7" t="e">
        <f>IF(C198&lt;1,"0",Seguros_Oblig!$K$2*('Crédito de Vivienda'!$C$12*90%))</f>
        <v>#VALUE!</v>
      </c>
      <c r="L199" s="7" t="e">
        <f>IF(B199=" ","0",PMT('Crédito de Vivienda'!$E$17,'Crédito de Vivienda'!$C$18,-'Crédito de Vivienda'!$C$15,,))</f>
        <v>#VALUE!</v>
      </c>
      <c r="M199" s="9" t="e">
        <f t="shared" si="16"/>
        <v>#VALUE!</v>
      </c>
      <c r="N199" s="7" t="e">
        <f>IF(C198&lt;1,"0",'Crédito de Vivienda'!$C$40)</f>
        <v>#VALUE!</v>
      </c>
      <c r="O199" s="9" t="e">
        <f t="shared" si="17"/>
        <v>#VALUE!</v>
      </c>
    </row>
    <row r="200" spans="2:15" ht="15.5" x14ac:dyDescent="0.35">
      <c r="B200" s="6" t="e">
        <f t="shared" si="13"/>
        <v>#VALUE!</v>
      </c>
      <c r="C200" s="7" t="e">
        <f t="shared" si="14"/>
        <v>#VALUE!</v>
      </c>
      <c r="D200" s="7" t="e">
        <f t="shared" si="18"/>
        <v>#VALUE!</v>
      </c>
      <c r="E200" s="7" t="e">
        <f>C199*'Crédito de Vivienda'!$E$17</f>
        <v>#VALUE!</v>
      </c>
      <c r="F200" s="282" t="e">
        <f>IF(C199&lt;1,"0",IF('Crédito de Vivienda'!$D$28="Si",($C$17*(VLOOKUP('Crédito de Vivienda'!$C$24,Seguros_Oblig!$A$3:$F$55,6,FALSE))),IF('Crédito de Vivienda'!$C$10="TARIFA 1",(C199*(VLOOKUP('Crédito de Vivienda'!$C$24,Seguros_Oblig!$A$3:$B$55,2,FALSE))),(C199*(VLOOKUP('Crédito de Vivienda'!$C$24,Seguros_Oblig!$A$3:$D$55,4,FALSE))))))</f>
        <v>#VALUE!</v>
      </c>
      <c r="G200" s="8" t="e">
        <f>IF('Crédito de Vivienda'!$C$10="TARIFA 1",(C199*(VLOOKUP('Crédito de Vivienda'!$C$25,Seguros_Oblig!$A$3:$B$55,2,FALSE))),(C199*(VLOOKUP('Crédito de Vivienda'!$C$25,Seguros_Oblig!$A$3:$D$55,4,FALSE))))</f>
        <v>#VALUE!</v>
      </c>
      <c r="H200" s="8" t="e">
        <f>IF('Crédito de Vivienda'!$C$10="TARIFA 1",(C199*(VLOOKUP('Crédito de Vivienda'!$C$26,Seguros_Oblig!$A$3:$B$55,2,FALSE))),(C199*(VLOOKUP('Crédito de Vivienda'!$C$26,Seguros_Oblig!$A$3:$D$55,4,FALSE))))</f>
        <v>#VALUE!</v>
      </c>
      <c r="I200" s="8" t="e">
        <f>IF('Crédito de Vivienda'!$C$10="TARIFA 1",(C199*(VLOOKUP('Crédito de Vivienda'!$C$27,Seguros_Oblig!$A$3:$B$55,2,FALSE))),(C199*(VLOOKUP('Crédito de Vivienda'!$C$27,Seguros_Oblig!$A$3:$D$55,4,FALSE))))</f>
        <v>#VALUE!</v>
      </c>
      <c r="J200" s="10">
        <f t="shared" si="15"/>
        <v>0</v>
      </c>
      <c r="K200" s="7" t="e">
        <f>IF(C199&lt;1,"0",Seguros_Oblig!$K$2*('Crédito de Vivienda'!$C$12*90%))</f>
        <v>#VALUE!</v>
      </c>
      <c r="L200" s="7" t="e">
        <f>IF(B200=" ","0",PMT('Crédito de Vivienda'!$E$17,'Crédito de Vivienda'!$C$18,-'Crédito de Vivienda'!$C$15,,))</f>
        <v>#VALUE!</v>
      </c>
      <c r="M200" s="9" t="e">
        <f t="shared" si="16"/>
        <v>#VALUE!</v>
      </c>
      <c r="N200" s="7" t="e">
        <f>IF(C199&lt;1,"0",'Crédito de Vivienda'!$C$40)</f>
        <v>#VALUE!</v>
      </c>
      <c r="O200" s="9" t="e">
        <f t="shared" si="17"/>
        <v>#VALUE!</v>
      </c>
    </row>
    <row r="201" spans="2:15" ht="15.5" x14ac:dyDescent="0.35">
      <c r="B201" s="6" t="e">
        <f t="shared" si="13"/>
        <v>#VALUE!</v>
      </c>
      <c r="C201" s="7" t="e">
        <f t="shared" si="14"/>
        <v>#VALUE!</v>
      </c>
      <c r="D201" s="7" t="e">
        <f t="shared" si="18"/>
        <v>#VALUE!</v>
      </c>
      <c r="E201" s="7" t="e">
        <f>C200*'Crédito de Vivienda'!$E$17</f>
        <v>#VALUE!</v>
      </c>
      <c r="F201" s="282" t="e">
        <f>IF(C200&lt;1,"0",IF('Crédito de Vivienda'!$D$28="Si",($C$17*(VLOOKUP('Crédito de Vivienda'!$C$24,Seguros_Oblig!$A$3:$F$55,6,FALSE))),IF('Crédito de Vivienda'!$C$10="TARIFA 1",(C200*(VLOOKUP('Crédito de Vivienda'!$C$24,Seguros_Oblig!$A$3:$B$55,2,FALSE))),(C200*(VLOOKUP('Crédito de Vivienda'!$C$24,Seguros_Oblig!$A$3:$D$55,4,FALSE))))))</f>
        <v>#VALUE!</v>
      </c>
      <c r="G201" s="8" t="e">
        <f>IF('Crédito de Vivienda'!$C$10="TARIFA 1",(C200*(VLOOKUP('Crédito de Vivienda'!$C$25,Seguros_Oblig!$A$3:$B$55,2,FALSE))),(C200*(VLOOKUP('Crédito de Vivienda'!$C$25,Seguros_Oblig!$A$3:$D$55,4,FALSE))))</f>
        <v>#VALUE!</v>
      </c>
      <c r="H201" s="8" t="e">
        <f>IF('Crédito de Vivienda'!$C$10="TARIFA 1",(C200*(VLOOKUP('Crédito de Vivienda'!$C$26,Seguros_Oblig!$A$3:$B$55,2,FALSE))),(C200*(VLOOKUP('Crédito de Vivienda'!$C$26,Seguros_Oblig!$A$3:$D$55,4,FALSE))))</f>
        <v>#VALUE!</v>
      </c>
      <c r="I201" s="8" t="e">
        <f>IF('Crédito de Vivienda'!$C$10="TARIFA 1",(C200*(VLOOKUP('Crédito de Vivienda'!$C$27,Seguros_Oblig!$A$3:$B$55,2,FALSE))),(C200*(VLOOKUP('Crédito de Vivienda'!$C$27,Seguros_Oblig!$A$3:$D$55,4,FALSE))))</f>
        <v>#VALUE!</v>
      </c>
      <c r="J201" s="10">
        <f t="shared" si="15"/>
        <v>0</v>
      </c>
      <c r="K201" s="7" t="e">
        <f>IF(C200&lt;1,"0",Seguros_Oblig!$K$2*('Crédito de Vivienda'!$C$12*90%))</f>
        <v>#VALUE!</v>
      </c>
      <c r="L201" s="7" t="e">
        <f>IF(B201=" ","0",PMT('Crédito de Vivienda'!$E$17,'Crédito de Vivienda'!$C$18,-'Crédito de Vivienda'!$C$15,,))</f>
        <v>#VALUE!</v>
      </c>
      <c r="M201" s="9" t="e">
        <f t="shared" si="16"/>
        <v>#VALUE!</v>
      </c>
      <c r="N201" s="7" t="e">
        <f>IF(C200&lt;1,"0",'Crédito de Vivienda'!$C$40)</f>
        <v>#VALUE!</v>
      </c>
      <c r="O201" s="9" t="e">
        <f t="shared" si="17"/>
        <v>#VALUE!</v>
      </c>
    </row>
    <row r="202" spans="2:15" ht="15.5" x14ac:dyDescent="0.35">
      <c r="B202" s="6" t="e">
        <f t="shared" si="13"/>
        <v>#VALUE!</v>
      </c>
      <c r="C202" s="7" t="e">
        <f t="shared" si="14"/>
        <v>#VALUE!</v>
      </c>
      <c r="D202" s="7" t="e">
        <f t="shared" si="18"/>
        <v>#VALUE!</v>
      </c>
      <c r="E202" s="7" t="e">
        <f>C201*'Crédito de Vivienda'!$E$17</f>
        <v>#VALUE!</v>
      </c>
      <c r="F202" s="282" t="e">
        <f>IF(C201&lt;1,"0",IF('Crédito de Vivienda'!$D$28="Si",($C$17*(VLOOKUP('Crédito de Vivienda'!$C$24,Seguros_Oblig!$A$3:$F$55,6,FALSE))),IF('Crédito de Vivienda'!$C$10="TARIFA 1",(C201*(VLOOKUP('Crédito de Vivienda'!$C$24,Seguros_Oblig!$A$3:$B$55,2,FALSE))),(C201*(VLOOKUP('Crédito de Vivienda'!$C$24,Seguros_Oblig!$A$3:$D$55,4,FALSE))))))</f>
        <v>#VALUE!</v>
      </c>
      <c r="G202" s="8" t="e">
        <f>IF('Crédito de Vivienda'!$C$10="TARIFA 1",(C201*(VLOOKUP('Crédito de Vivienda'!$C$25,Seguros_Oblig!$A$3:$B$55,2,FALSE))),(C201*(VLOOKUP('Crédito de Vivienda'!$C$25,Seguros_Oblig!$A$3:$D$55,4,FALSE))))</f>
        <v>#VALUE!</v>
      </c>
      <c r="H202" s="8" t="e">
        <f>IF('Crédito de Vivienda'!$C$10="TARIFA 1",(C201*(VLOOKUP('Crédito de Vivienda'!$C$26,Seguros_Oblig!$A$3:$B$55,2,FALSE))),(C201*(VLOOKUP('Crédito de Vivienda'!$C$26,Seguros_Oblig!$A$3:$D$55,4,FALSE))))</f>
        <v>#VALUE!</v>
      </c>
      <c r="I202" s="8" t="e">
        <f>IF('Crédito de Vivienda'!$C$10="TARIFA 1",(C201*(VLOOKUP('Crédito de Vivienda'!$C$27,Seguros_Oblig!$A$3:$B$55,2,FALSE))),(C201*(VLOOKUP('Crédito de Vivienda'!$C$27,Seguros_Oblig!$A$3:$D$55,4,FALSE))))</f>
        <v>#VALUE!</v>
      </c>
      <c r="J202" s="10">
        <f t="shared" si="15"/>
        <v>0</v>
      </c>
      <c r="K202" s="7" t="e">
        <f>IF(C201&lt;1,"0",Seguros_Oblig!$K$2*('Crédito de Vivienda'!$C$12*90%))</f>
        <v>#VALUE!</v>
      </c>
      <c r="L202" s="7" t="e">
        <f>IF(B202=" ","0",PMT('Crédito de Vivienda'!$E$17,'Crédito de Vivienda'!$C$18,-'Crédito de Vivienda'!$C$15,,))</f>
        <v>#VALUE!</v>
      </c>
      <c r="M202" s="9" t="e">
        <f t="shared" si="16"/>
        <v>#VALUE!</v>
      </c>
      <c r="N202" s="7" t="e">
        <f>IF(C201&lt;1,"0",'Crédito de Vivienda'!$C$40)</f>
        <v>#VALUE!</v>
      </c>
      <c r="O202" s="9" t="e">
        <f t="shared" si="17"/>
        <v>#VALUE!</v>
      </c>
    </row>
    <row r="203" spans="2:15" ht="15.5" x14ac:dyDescent="0.35">
      <c r="B203" s="6" t="e">
        <f t="shared" si="13"/>
        <v>#VALUE!</v>
      </c>
      <c r="C203" s="7" t="e">
        <f t="shared" si="14"/>
        <v>#VALUE!</v>
      </c>
      <c r="D203" s="7" t="e">
        <f t="shared" si="18"/>
        <v>#VALUE!</v>
      </c>
      <c r="E203" s="7" t="e">
        <f>C202*'Crédito de Vivienda'!$E$17</f>
        <v>#VALUE!</v>
      </c>
      <c r="F203" s="282" t="e">
        <f>IF(C202&lt;1,"0",IF('Crédito de Vivienda'!$D$28="Si",($C$17*(VLOOKUP('Crédito de Vivienda'!$C$24,Seguros_Oblig!$A$3:$F$55,6,FALSE))),IF('Crédito de Vivienda'!$C$10="TARIFA 1",(C202*(VLOOKUP('Crédito de Vivienda'!$C$24,Seguros_Oblig!$A$3:$B$55,2,FALSE))),(C202*(VLOOKUP('Crédito de Vivienda'!$C$24,Seguros_Oblig!$A$3:$D$55,4,FALSE))))))</f>
        <v>#VALUE!</v>
      </c>
      <c r="G203" s="8" t="e">
        <f>IF('Crédito de Vivienda'!$C$10="TARIFA 1",(C202*(VLOOKUP('Crédito de Vivienda'!$C$25,Seguros_Oblig!$A$3:$B$55,2,FALSE))),(C202*(VLOOKUP('Crédito de Vivienda'!$C$25,Seguros_Oblig!$A$3:$D$55,4,FALSE))))</f>
        <v>#VALUE!</v>
      </c>
      <c r="H203" s="8" t="e">
        <f>IF('Crédito de Vivienda'!$C$10="TARIFA 1",(C202*(VLOOKUP('Crédito de Vivienda'!$C$26,Seguros_Oblig!$A$3:$B$55,2,FALSE))),(C202*(VLOOKUP('Crédito de Vivienda'!$C$26,Seguros_Oblig!$A$3:$D$55,4,FALSE))))</f>
        <v>#VALUE!</v>
      </c>
      <c r="I203" s="8" t="e">
        <f>IF('Crédito de Vivienda'!$C$10="TARIFA 1",(C202*(VLOOKUP('Crédito de Vivienda'!$C$27,Seguros_Oblig!$A$3:$B$55,2,FALSE))),(C202*(VLOOKUP('Crédito de Vivienda'!$C$27,Seguros_Oblig!$A$3:$D$55,4,FALSE))))</f>
        <v>#VALUE!</v>
      </c>
      <c r="J203" s="10">
        <f t="shared" si="15"/>
        <v>0</v>
      </c>
      <c r="K203" s="7" t="e">
        <f>IF(C202&lt;1,"0",Seguros_Oblig!$K$2*('Crédito de Vivienda'!$C$12*90%))</f>
        <v>#VALUE!</v>
      </c>
      <c r="L203" s="7" t="e">
        <f>IF(B203=" ","0",PMT('Crédito de Vivienda'!$E$17,'Crédito de Vivienda'!$C$18,-'Crédito de Vivienda'!$C$15,,))</f>
        <v>#VALUE!</v>
      </c>
      <c r="M203" s="9" t="e">
        <f t="shared" si="16"/>
        <v>#VALUE!</v>
      </c>
      <c r="N203" s="7" t="e">
        <f>IF(C202&lt;1,"0",'Crédito de Vivienda'!$C$40)</f>
        <v>#VALUE!</v>
      </c>
      <c r="O203" s="9" t="e">
        <f t="shared" si="17"/>
        <v>#VALUE!</v>
      </c>
    </row>
    <row r="204" spans="2:15" ht="15.5" x14ac:dyDescent="0.35">
      <c r="B204" s="6" t="e">
        <f t="shared" si="13"/>
        <v>#VALUE!</v>
      </c>
      <c r="C204" s="7" t="e">
        <f t="shared" si="14"/>
        <v>#VALUE!</v>
      </c>
      <c r="D204" s="7" t="e">
        <f t="shared" si="18"/>
        <v>#VALUE!</v>
      </c>
      <c r="E204" s="7" t="e">
        <f>C203*'Crédito de Vivienda'!$E$17</f>
        <v>#VALUE!</v>
      </c>
      <c r="F204" s="282" t="e">
        <f>IF(C203&lt;1,"0",IF('Crédito de Vivienda'!$D$28="Si",($C$17*(VLOOKUP('Crédito de Vivienda'!$C$24,Seguros_Oblig!$A$3:$F$55,6,FALSE))),IF('Crédito de Vivienda'!$C$10="TARIFA 1",(C203*(VLOOKUP('Crédito de Vivienda'!$C$24,Seguros_Oblig!$A$3:$B$55,2,FALSE))),(C203*(VLOOKUP('Crédito de Vivienda'!$C$24,Seguros_Oblig!$A$3:$D$55,4,FALSE))))))</f>
        <v>#VALUE!</v>
      </c>
      <c r="G204" s="8" t="e">
        <f>IF('Crédito de Vivienda'!$C$10="TARIFA 1",(C203*(VLOOKUP('Crédito de Vivienda'!$C$25,Seguros_Oblig!$A$3:$B$55,2,FALSE))),(C203*(VLOOKUP('Crédito de Vivienda'!$C$25,Seguros_Oblig!$A$3:$D$55,4,FALSE))))</f>
        <v>#VALUE!</v>
      </c>
      <c r="H204" s="8" t="e">
        <f>IF('Crédito de Vivienda'!$C$10="TARIFA 1",(C203*(VLOOKUP('Crédito de Vivienda'!$C$26,Seguros_Oblig!$A$3:$B$55,2,FALSE))),(C203*(VLOOKUP('Crédito de Vivienda'!$C$26,Seguros_Oblig!$A$3:$D$55,4,FALSE))))</f>
        <v>#VALUE!</v>
      </c>
      <c r="I204" s="8" t="e">
        <f>IF('Crédito de Vivienda'!$C$10="TARIFA 1",(C203*(VLOOKUP('Crédito de Vivienda'!$C$27,Seguros_Oblig!$A$3:$B$55,2,FALSE))),(C203*(VLOOKUP('Crédito de Vivienda'!$C$27,Seguros_Oblig!$A$3:$D$55,4,FALSE))))</f>
        <v>#VALUE!</v>
      </c>
      <c r="J204" s="10">
        <f t="shared" si="15"/>
        <v>0</v>
      </c>
      <c r="K204" s="7" t="e">
        <f>IF(C203&lt;1,"0",Seguros_Oblig!$K$2*('Crédito de Vivienda'!$C$12*90%))</f>
        <v>#VALUE!</v>
      </c>
      <c r="L204" s="7" t="e">
        <f>IF(B204=" ","0",PMT('Crédito de Vivienda'!$E$17,'Crédito de Vivienda'!$C$18,-'Crédito de Vivienda'!$C$15,,))</f>
        <v>#VALUE!</v>
      </c>
      <c r="M204" s="9" t="e">
        <f t="shared" si="16"/>
        <v>#VALUE!</v>
      </c>
      <c r="N204" s="7" t="e">
        <f>IF(C203&lt;1,"0",'Crédito de Vivienda'!$C$40)</f>
        <v>#VALUE!</v>
      </c>
      <c r="O204" s="9" t="e">
        <f t="shared" si="17"/>
        <v>#VALUE!</v>
      </c>
    </row>
    <row r="205" spans="2:15" ht="15.5" x14ac:dyDescent="0.35">
      <c r="B205" s="6" t="e">
        <f t="shared" si="13"/>
        <v>#VALUE!</v>
      </c>
      <c r="C205" s="7" t="e">
        <f t="shared" si="14"/>
        <v>#VALUE!</v>
      </c>
      <c r="D205" s="7" t="e">
        <f t="shared" si="18"/>
        <v>#VALUE!</v>
      </c>
      <c r="E205" s="7" t="e">
        <f>C204*'Crédito de Vivienda'!$E$17</f>
        <v>#VALUE!</v>
      </c>
      <c r="F205" s="282" t="e">
        <f>IF(C204&lt;1,"0",IF('Crédito de Vivienda'!$D$28="Si",($C$17*(VLOOKUP('Crédito de Vivienda'!$C$24,Seguros_Oblig!$A$3:$F$55,6,FALSE))),IF('Crédito de Vivienda'!$C$10="TARIFA 1",(C204*(VLOOKUP('Crédito de Vivienda'!$C$24,Seguros_Oblig!$A$3:$B$55,2,FALSE))),(C204*(VLOOKUP('Crédito de Vivienda'!$C$24,Seguros_Oblig!$A$3:$D$55,4,FALSE))))))</f>
        <v>#VALUE!</v>
      </c>
      <c r="G205" s="8" t="e">
        <f>IF('Crédito de Vivienda'!$C$10="TARIFA 1",(C204*(VLOOKUP('Crédito de Vivienda'!$C$25,Seguros_Oblig!$A$3:$B$55,2,FALSE))),(C204*(VLOOKUP('Crédito de Vivienda'!$C$25,Seguros_Oblig!$A$3:$D$55,4,FALSE))))</f>
        <v>#VALUE!</v>
      </c>
      <c r="H205" s="8" t="e">
        <f>IF('Crédito de Vivienda'!$C$10="TARIFA 1",(C204*(VLOOKUP('Crédito de Vivienda'!$C$26,Seguros_Oblig!$A$3:$B$55,2,FALSE))),(C204*(VLOOKUP('Crédito de Vivienda'!$C$26,Seguros_Oblig!$A$3:$D$55,4,FALSE))))</f>
        <v>#VALUE!</v>
      </c>
      <c r="I205" s="8" t="e">
        <f>IF('Crédito de Vivienda'!$C$10="TARIFA 1",(C204*(VLOOKUP('Crédito de Vivienda'!$C$27,Seguros_Oblig!$A$3:$B$55,2,FALSE))),(C204*(VLOOKUP('Crédito de Vivienda'!$C$27,Seguros_Oblig!$A$3:$D$55,4,FALSE))))</f>
        <v>#VALUE!</v>
      </c>
      <c r="J205" s="10">
        <f t="shared" si="15"/>
        <v>0</v>
      </c>
      <c r="K205" s="7" t="e">
        <f>IF(C204&lt;1,"0",Seguros_Oblig!$K$2*('Crédito de Vivienda'!$C$12*90%))</f>
        <v>#VALUE!</v>
      </c>
      <c r="L205" s="7" t="e">
        <f>IF(B205=" ","0",PMT('Crédito de Vivienda'!$E$17,'Crédito de Vivienda'!$C$18,-'Crédito de Vivienda'!$C$15,,))</f>
        <v>#VALUE!</v>
      </c>
      <c r="M205" s="9" t="e">
        <f t="shared" si="16"/>
        <v>#VALUE!</v>
      </c>
      <c r="N205" s="7" t="e">
        <f>IF(C204&lt;1,"0",'Crédito de Vivienda'!$C$40)</f>
        <v>#VALUE!</v>
      </c>
      <c r="O205" s="9" t="e">
        <f t="shared" si="17"/>
        <v>#VALUE!</v>
      </c>
    </row>
    <row r="206" spans="2:15" ht="15.5" x14ac:dyDescent="0.35">
      <c r="B206" s="6" t="e">
        <f t="shared" si="13"/>
        <v>#VALUE!</v>
      </c>
      <c r="C206" s="7" t="e">
        <f t="shared" si="14"/>
        <v>#VALUE!</v>
      </c>
      <c r="D206" s="7" t="e">
        <f t="shared" si="18"/>
        <v>#VALUE!</v>
      </c>
      <c r="E206" s="7" t="e">
        <f>C205*'Crédito de Vivienda'!$E$17</f>
        <v>#VALUE!</v>
      </c>
      <c r="F206" s="282" t="e">
        <f>IF(C205&lt;1,"0",IF('Crédito de Vivienda'!$D$28="Si",($C$17*(VLOOKUP('Crédito de Vivienda'!$C$24,Seguros_Oblig!$A$3:$F$55,6,FALSE))),IF('Crédito de Vivienda'!$C$10="TARIFA 1",(C205*(VLOOKUP('Crédito de Vivienda'!$C$24,Seguros_Oblig!$A$3:$B$55,2,FALSE))),(C205*(VLOOKUP('Crédito de Vivienda'!$C$24,Seguros_Oblig!$A$3:$D$55,4,FALSE))))))</f>
        <v>#VALUE!</v>
      </c>
      <c r="G206" s="8" t="e">
        <f>IF('Crédito de Vivienda'!$C$10="TARIFA 1",(C205*(VLOOKUP('Crédito de Vivienda'!$C$25,Seguros_Oblig!$A$3:$B$55,2,FALSE))),(C205*(VLOOKUP('Crédito de Vivienda'!$C$25,Seguros_Oblig!$A$3:$D$55,4,FALSE))))</f>
        <v>#VALUE!</v>
      </c>
      <c r="H206" s="8" t="e">
        <f>IF('Crédito de Vivienda'!$C$10="TARIFA 1",(C205*(VLOOKUP('Crédito de Vivienda'!$C$26,Seguros_Oblig!$A$3:$B$55,2,FALSE))),(C205*(VLOOKUP('Crédito de Vivienda'!$C$26,Seguros_Oblig!$A$3:$D$55,4,FALSE))))</f>
        <v>#VALUE!</v>
      </c>
      <c r="I206" s="8" t="e">
        <f>IF('Crédito de Vivienda'!$C$10="TARIFA 1",(C205*(VLOOKUP('Crédito de Vivienda'!$C$27,Seguros_Oblig!$A$3:$B$55,2,FALSE))),(C205*(VLOOKUP('Crédito de Vivienda'!$C$27,Seguros_Oblig!$A$3:$D$55,4,FALSE))))</f>
        <v>#VALUE!</v>
      </c>
      <c r="J206" s="10">
        <f t="shared" si="15"/>
        <v>0</v>
      </c>
      <c r="K206" s="7" t="e">
        <f>IF(C205&lt;1,"0",Seguros_Oblig!$K$2*('Crédito de Vivienda'!$C$12*90%))</f>
        <v>#VALUE!</v>
      </c>
      <c r="L206" s="7" t="e">
        <f>IF(B206=" ","0",PMT('Crédito de Vivienda'!$E$17,'Crédito de Vivienda'!$C$18,-'Crédito de Vivienda'!$C$15,,))</f>
        <v>#VALUE!</v>
      </c>
      <c r="M206" s="9" t="e">
        <f t="shared" si="16"/>
        <v>#VALUE!</v>
      </c>
      <c r="N206" s="7" t="e">
        <f>IF(C205&lt;1,"0",'Crédito de Vivienda'!$C$40)</f>
        <v>#VALUE!</v>
      </c>
      <c r="O206" s="9" t="e">
        <f t="shared" si="17"/>
        <v>#VALUE!</v>
      </c>
    </row>
    <row r="207" spans="2:15" ht="15.5" x14ac:dyDescent="0.35">
      <c r="B207" s="6" t="e">
        <f t="shared" si="13"/>
        <v>#VALUE!</v>
      </c>
      <c r="C207" s="7" t="e">
        <f t="shared" si="14"/>
        <v>#VALUE!</v>
      </c>
      <c r="D207" s="7" t="e">
        <f t="shared" si="18"/>
        <v>#VALUE!</v>
      </c>
      <c r="E207" s="7" t="e">
        <f>C206*'Crédito de Vivienda'!$E$17</f>
        <v>#VALUE!</v>
      </c>
      <c r="F207" s="282" t="e">
        <f>IF(C206&lt;1,"0",IF('Crédito de Vivienda'!$D$28="Si",($C$17*(VLOOKUP('Crédito de Vivienda'!$C$24,Seguros_Oblig!$A$3:$F$55,6,FALSE))),IF('Crédito de Vivienda'!$C$10="TARIFA 1",(C206*(VLOOKUP('Crédito de Vivienda'!$C$24,Seguros_Oblig!$A$3:$B$55,2,FALSE))),(C206*(VLOOKUP('Crédito de Vivienda'!$C$24,Seguros_Oblig!$A$3:$D$55,4,FALSE))))))</f>
        <v>#VALUE!</v>
      </c>
      <c r="G207" s="8" t="e">
        <f>IF('Crédito de Vivienda'!$C$10="TARIFA 1",(C206*(VLOOKUP('Crédito de Vivienda'!$C$25,Seguros_Oblig!$A$3:$B$55,2,FALSE))),(C206*(VLOOKUP('Crédito de Vivienda'!$C$25,Seguros_Oblig!$A$3:$D$55,4,FALSE))))</f>
        <v>#VALUE!</v>
      </c>
      <c r="H207" s="8" t="e">
        <f>IF('Crédito de Vivienda'!$C$10="TARIFA 1",(C206*(VLOOKUP('Crédito de Vivienda'!$C$26,Seguros_Oblig!$A$3:$B$55,2,FALSE))),(C206*(VLOOKUP('Crédito de Vivienda'!$C$26,Seguros_Oblig!$A$3:$D$55,4,FALSE))))</f>
        <v>#VALUE!</v>
      </c>
      <c r="I207" s="8" t="e">
        <f>IF('Crédito de Vivienda'!$C$10="TARIFA 1",(C206*(VLOOKUP('Crédito de Vivienda'!$C$27,Seguros_Oblig!$A$3:$B$55,2,FALSE))),(C206*(VLOOKUP('Crédito de Vivienda'!$C$27,Seguros_Oblig!$A$3:$D$55,4,FALSE))))</f>
        <v>#VALUE!</v>
      </c>
      <c r="J207" s="10">
        <f t="shared" si="15"/>
        <v>0</v>
      </c>
      <c r="K207" s="7" t="e">
        <f>IF(C206&lt;1,"0",Seguros_Oblig!$K$2*('Crédito de Vivienda'!$C$12*90%))</f>
        <v>#VALUE!</v>
      </c>
      <c r="L207" s="7" t="e">
        <f>IF(B207=" ","0",PMT('Crédito de Vivienda'!$E$17,'Crédito de Vivienda'!$C$18,-'Crédito de Vivienda'!$C$15,,))</f>
        <v>#VALUE!</v>
      </c>
      <c r="M207" s="9" t="e">
        <f t="shared" si="16"/>
        <v>#VALUE!</v>
      </c>
      <c r="N207" s="7" t="e">
        <f>IF(C206&lt;1,"0",'Crédito de Vivienda'!$C$40)</f>
        <v>#VALUE!</v>
      </c>
      <c r="O207" s="9" t="e">
        <f t="shared" si="17"/>
        <v>#VALUE!</v>
      </c>
    </row>
    <row r="208" spans="2:15" ht="15.5" x14ac:dyDescent="0.35">
      <c r="B208" s="6" t="e">
        <f t="shared" si="13"/>
        <v>#VALUE!</v>
      </c>
      <c r="C208" s="7" t="e">
        <f t="shared" si="14"/>
        <v>#VALUE!</v>
      </c>
      <c r="D208" s="7" t="e">
        <f t="shared" si="18"/>
        <v>#VALUE!</v>
      </c>
      <c r="E208" s="7" t="e">
        <f>C207*'Crédito de Vivienda'!$E$17</f>
        <v>#VALUE!</v>
      </c>
      <c r="F208" s="282" t="e">
        <f>IF(C207&lt;1,"0",IF('Crédito de Vivienda'!$D$28="Si",($C$17*(VLOOKUP('Crédito de Vivienda'!$C$24,Seguros_Oblig!$A$3:$F$55,6,FALSE))),IF('Crédito de Vivienda'!$C$10="TARIFA 1",(C207*(VLOOKUP('Crédito de Vivienda'!$C$24,Seguros_Oblig!$A$3:$B$55,2,FALSE))),(C207*(VLOOKUP('Crédito de Vivienda'!$C$24,Seguros_Oblig!$A$3:$D$55,4,FALSE))))))</f>
        <v>#VALUE!</v>
      </c>
      <c r="G208" s="8" t="e">
        <f>IF('Crédito de Vivienda'!$C$10="TARIFA 1",(C207*(VLOOKUP('Crédito de Vivienda'!$C$25,Seguros_Oblig!$A$3:$B$55,2,FALSE))),(C207*(VLOOKUP('Crédito de Vivienda'!$C$25,Seguros_Oblig!$A$3:$D$55,4,FALSE))))</f>
        <v>#VALUE!</v>
      </c>
      <c r="H208" s="8" t="e">
        <f>IF('Crédito de Vivienda'!$C$10="TARIFA 1",(C207*(VLOOKUP('Crédito de Vivienda'!$C$26,Seguros_Oblig!$A$3:$B$55,2,FALSE))),(C207*(VLOOKUP('Crédito de Vivienda'!$C$26,Seguros_Oblig!$A$3:$D$55,4,FALSE))))</f>
        <v>#VALUE!</v>
      </c>
      <c r="I208" s="8" t="e">
        <f>IF('Crédito de Vivienda'!$C$10="TARIFA 1",(C207*(VLOOKUP('Crédito de Vivienda'!$C$27,Seguros_Oblig!$A$3:$B$55,2,FALSE))),(C207*(VLOOKUP('Crédito de Vivienda'!$C$27,Seguros_Oblig!$A$3:$D$55,4,FALSE))))</f>
        <v>#VALUE!</v>
      </c>
      <c r="J208" s="10">
        <f t="shared" si="15"/>
        <v>0</v>
      </c>
      <c r="K208" s="7" t="e">
        <f>IF(C207&lt;1,"0",Seguros_Oblig!$K$2*('Crédito de Vivienda'!$C$12*90%))</f>
        <v>#VALUE!</v>
      </c>
      <c r="L208" s="7" t="e">
        <f>IF(B208=" ","0",PMT('Crédito de Vivienda'!$E$17,'Crédito de Vivienda'!$C$18,-'Crédito de Vivienda'!$C$15,,))</f>
        <v>#VALUE!</v>
      </c>
      <c r="M208" s="9" t="e">
        <f t="shared" si="16"/>
        <v>#VALUE!</v>
      </c>
      <c r="N208" s="7" t="e">
        <f>IF(C207&lt;1,"0",'Crédito de Vivienda'!$C$40)</f>
        <v>#VALUE!</v>
      </c>
      <c r="O208" s="9" t="e">
        <f t="shared" si="17"/>
        <v>#VALUE!</v>
      </c>
    </row>
    <row r="209" spans="2:15" ht="15.5" x14ac:dyDescent="0.35">
      <c r="B209" s="6" t="e">
        <f t="shared" si="13"/>
        <v>#VALUE!</v>
      </c>
      <c r="C209" s="7" t="e">
        <f t="shared" si="14"/>
        <v>#VALUE!</v>
      </c>
      <c r="D209" s="7" t="e">
        <f t="shared" si="18"/>
        <v>#VALUE!</v>
      </c>
      <c r="E209" s="7" t="e">
        <f>C208*'Crédito de Vivienda'!$E$17</f>
        <v>#VALUE!</v>
      </c>
      <c r="F209" s="282" t="e">
        <f>IF(C208&lt;1,"0",IF('Crédito de Vivienda'!$D$28="Si",($C$17*(VLOOKUP('Crédito de Vivienda'!$C$24,Seguros_Oblig!$A$3:$F$55,6,FALSE))),IF('Crédito de Vivienda'!$C$10="TARIFA 1",(C208*(VLOOKUP('Crédito de Vivienda'!$C$24,Seguros_Oblig!$A$3:$B$55,2,FALSE))),(C208*(VLOOKUP('Crédito de Vivienda'!$C$24,Seguros_Oblig!$A$3:$D$55,4,FALSE))))))</f>
        <v>#VALUE!</v>
      </c>
      <c r="G209" s="8" t="e">
        <f>IF('Crédito de Vivienda'!$C$10="TARIFA 1",(C208*(VLOOKUP('Crédito de Vivienda'!$C$25,Seguros_Oblig!$A$3:$B$55,2,FALSE))),(C208*(VLOOKUP('Crédito de Vivienda'!$C$25,Seguros_Oblig!$A$3:$D$55,4,FALSE))))</f>
        <v>#VALUE!</v>
      </c>
      <c r="H209" s="8" t="e">
        <f>IF('Crédito de Vivienda'!$C$10="TARIFA 1",(C208*(VLOOKUP('Crédito de Vivienda'!$C$26,Seguros_Oblig!$A$3:$B$55,2,FALSE))),(C208*(VLOOKUP('Crédito de Vivienda'!$C$26,Seguros_Oblig!$A$3:$D$55,4,FALSE))))</f>
        <v>#VALUE!</v>
      </c>
      <c r="I209" s="8" t="e">
        <f>IF('Crédito de Vivienda'!$C$10="TARIFA 1",(C208*(VLOOKUP('Crédito de Vivienda'!$C$27,Seguros_Oblig!$A$3:$B$55,2,FALSE))),(C208*(VLOOKUP('Crédito de Vivienda'!$C$27,Seguros_Oblig!$A$3:$D$55,4,FALSE))))</f>
        <v>#VALUE!</v>
      </c>
      <c r="J209" s="10">
        <f t="shared" si="15"/>
        <v>0</v>
      </c>
      <c r="K209" s="7" t="e">
        <f>IF(C208&lt;1,"0",Seguros_Oblig!$K$2*('Crédito de Vivienda'!$C$12*90%))</f>
        <v>#VALUE!</v>
      </c>
      <c r="L209" s="7" t="e">
        <f>IF(B209=" ","0",PMT('Crédito de Vivienda'!$E$17,'Crédito de Vivienda'!$C$18,-'Crédito de Vivienda'!$C$15,,))</f>
        <v>#VALUE!</v>
      </c>
      <c r="M209" s="9" t="e">
        <f t="shared" si="16"/>
        <v>#VALUE!</v>
      </c>
      <c r="N209" s="7" t="e">
        <f>IF(C208&lt;1,"0",'Crédito de Vivienda'!$C$40)</f>
        <v>#VALUE!</v>
      </c>
      <c r="O209" s="9" t="e">
        <f t="shared" si="17"/>
        <v>#VALUE!</v>
      </c>
    </row>
    <row r="210" spans="2:15" ht="15.5" x14ac:dyDescent="0.35">
      <c r="B210" s="6" t="e">
        <f t="shared" si="13"/>
        <v>#VALUE!</v>
      </c>
      <c r="C210" s="7" t="e">
        <f t="shared" si="14"/>
        <v>#VALUE!</v>
      </c>
      <c r="D210" s="7" t="e">
        <f t="shared" si="18"/>
        <v>#VALUE!</v>
      </c>
      <c r="E210" s="7" t="e">
        <f>C209*'Crédito de Vivienda'!$E$17</f>
        <v>#VALUE!</v>
      </c>
      <c r="F210" s="282" t="e">
        <f>IF(C209&lt;1,"0",IF('Crédito de Vivienda'!$D$28="Si",($C$17*(VLOOKUP('Crédito de Vivienda'!$C$24,Seguros_Oblig!$A$3:$F$55,6,FALSE))),IF('Crédito de Vivienda'!$C$10="TARIFA 1",(C209*(VLOOKUP('Crédito de Vivienda'!$C$24,Seguros_Oblig!$A$3:$B$55,2,FALSE))),(C209*(VLOOKUP('Crédito de Vivienda'!$C$24,Seguros_Oblig!$A$3:$D$55,4,FALSE))))))</f>
        <v>#VALUE!</v>
      </c>
      <c r="G210" s="8" t="e">
        <f>IF('Crédito de Vivienda'!$C$10="TARIFA 1",(C209*(VLOOKUP('Crédito de Vivienda'!$C$25,Seguros_Oblig!$A$3:$B$55,2,FALSE))),(C209*(VLOOKUP('Crédito de Vivienda'!$C$25,Seguros_Oblig!$A$3:$D$55,4,FALSE))))</f>
        <v>#VALUE!</v>
      </c>
      <c r="H210" s="8" t="e">
        <f>IF('Crédito de Vivienda'!$C$10="TARIFA 1",(C209*(VLOOKUP('Crédito de Vivienda'!$C$26,Seguros_Oblig!$A$3:$B$55,2,FALSE))),(C209*(VLOOKUP('Crédito de Vivienda'!$C$26,Seguros_Oblig!$A$3:$D$55,4,FALSE))))</f>
        <v>#VALUE!</v>
      </c>
      <c r="I210" s="8" t="e">
        <f>IF('Crédito de Vivienda'!$C$10="TARIFA 1",(C209*(VLOOKUP('Crédito de Vivienda'!$C$27,Seguros_Oblig!$A$3:$B$55,2,FALSE))),(C209*(VLOOKUP('Crédito de Vivienda'!$C$27,Seguros_Oblig!$A$3:$D$55,4,FALSE))))</f>
        <v>#VALUE!</v>
      </c>
      <c r="J210" s="10">
        <f t="shared" si="15"/>
        <v>0</v>
      </c>
      <c r="K210" s="7" t="e">
        <f>IF(C209&lt;1,"0",Seguros_Oblig!$K$2*('Crédito de Vivienda'!$C$12*90%))</f>
        <v>#VALUE!</v>
      </c>
      <c r="L210" s="7" t="e">
        <f>IF(B210=" ","0",PMT('Crédito de Vivienda'!$E$17,'Crédito de Vivienda'!$C$18,-'Crédito de Vivienda'!$C$15,,))</f>
        <v>#VALUE!</v>
      </c>
      <c r="M210" s="9" t="e">
        <f t="shared" si="16"/>
        <v>#VALUE!</v>
      </c>
      <c r="N210" s="7" t="e">
        <f>IF(C209&lt;1,"0",'Crédito de Vivienda'!$C$40)</f>
        <v>#VALUE!</v>
      </c>
      <c r="O210" s="9" t="e">
        <f t="shared" si="17"/>
        <v>#VALUE!</v>
      </c>
    </row>
    <row r="211" spans="2:15" ht="15.5" x14ac:dyDescent="0.35">
      <c r="B211" s="6" t="e">
        <f t="shared" ref="B211:B257" si="19">IF(C210&gt;1,B210+1," ")</f>
        <v>#VALUE!</v>
      </c>
      <c r="C211" s="7" t="e">
        <f t="shared" ref="C211:C257" si="20">C210-D211</f>
        <v>#VALUE!</v>
      </c>
      <c r="D211" s="7" t="e">
        <f t="shared" si="18"/>
        <v>#VALUE!</v>
      </c>
      <c r="E211" s="7" t="e">
        <f>C210*'Crédito de Vivienda'!$E$17</f>
        <v>#VALUE!</v>
      </c>
      <c r="F211" s="282" t="e">
        <f>IF(C210&lt;1,"0",IF('Crédito de Vivienda'!$D$28="Si",($C$17*(VLOOKUP('Crédito de Vivienda'!$C$24,Seguros_Oblig!$A$3:$F$55,6,FALSE))),IF('Crédito de Vivienda'!$C$10="TARIFA 1",(C210*(VLOOKUP('Crédito de Vivienda'!$C$24,Seguros_Oblig!$A$3:$B$55,2,FALSE))),(C210*(VLOOKUP('Crédito de Vivienda'!$C$24,Seguros_Oblig!$A$3:$D$55,4,FALSE))))))</f>
        <v>#VALUE!</v>
      </c>
      <c r="G211" s="8" t="e">
        <f>IF('Crédito de Vivienda'!$C$10="TARIFA 1",(C210*(VLOOKUP('Crédito de Vivienda'!$C$25,Seguros_Oblig!$A$3:$B$55,2,FALSE))),(C210*(VLOOKUP('Crédito de Vivienda'!$C$25,Seguros_Oblig!$A$3:$D$55,4,FALSE))))</f>
        <v>#VALUE!</v>
      </c>
      <c r="H211" s="8" t="e">
        <f>IF('Crédito de Vivienda'!$C$10="TARIFA 1",(C210*(VLOOKUP('Crédito de Vivienda'!$C$26,Seguros_Oblig!$A$3:$B$55,2,FALSE))),(C210*(VLOOKUP('Crédito de Vivienda'!$C$26,Seguros_Oblig!$A$3:$D$55,4,FALSE))))</f>
        <v>#VALUE!</v>
      </c>
      <c r="I211" s="8" t="e">
        <f>IF('Crédito de Vivienda'!$C$10="TARIFA 1",(C210*(VLOOKUP('Crédito de Vivienda'!$C$27,Seguros_Oblig!$A$3:$B$55,2,FALSE))),(C210*(VLOOKUP('Crédito de Vivienda'!$C$27,Seguros_Oblig!$A$3:$D$55,4,FALSE))))</f>
        <v>#VALUE!</v>
      </c>
      <c r="J211" s="10">
        <f t="shared" ref="J211:J257" si="21">_xlfn.AGGREGATE(9,6,F211:I211)</f>
        <v>0</v>
      </c>
      <c r="K211" s="7" t="e">
        <f>IF(C210&lt;1,"0",Seguros_Oblig!$K$2*('Crédito de Vivienda'!$C$12*90%))</f>
        <v>#VALUE!</v>
      </c>
      <c r="L211" s="7" t="e">
        <f>IF(B211=" ","0",PMT('Crédito de Vivienda'!$E$17,'Crédito de Vivienda'!$C$18,-'Crédito de Vivienda'!$C$15,,))</f>
        <v>#VALUE!</v>
      </c>
      <c r="M211" s="9" t="e">
        <f t="shared" ref="M211:M257" si="22">K211+L211+J211</f>
        <v>#VALUE!</v>
      </c>
      <c r="N211" s="7" t="e">
        <f>IF(C210&lt;1,"0",'Crédito de Vivienda'!$C$40)</f>
        <v>#VALUE!</v>
      </c>
      <c r="O211" s="9" t="e">
        <f t="shared" ref="O211:O274" si="23">M211+N211</f>
        <v>#VALUE!</v>
      </c>
    </row>
    <row r="212" spans="2:15" ht="15.5" x14ac:dyDescent="0.35">
      <c r="B212" s="6" t="e">
        <f t="shared" si="19"/>
        <v>#VALUE!</v>
      </c>
      <c r="C212" s="7" t="e">
        <f t="shared" si="20"/>
        <v>#VALUE!</v>
      </c>
      <c r="D212" s="7" t="e">
        <f t="shared" si="18"/>
        <v>#VALUE!</v>
      </c>
      <c r="E212" s="7" t="e">
        <f>C211*'Crédito de Vivienda'!$E$17</f>
        <v>#VALUE!</v>
      </c>
      <c r="F212" s="282" t="e">
        <f>IF(C211&lt;1,"0",IF('Crédito de Vivienda'!$D$28="Si",($C$17*(VLOOKUP('Crédito de Vivienda'!$C$24,Seguros_Oblig!$A$3:$F$55,6,FALSE))),IF('Crédito de Vivienda'!$C$10="TARIFA 1",(C211*(VLOOKUP('Crédito de Vivienda'!$C$24,Seguros_Oblig!$A$3:$B$55,2,FALSE))),(C211*(VLOOKUP('Crédito de Vivienda'!$C$24,Seguros_Oblig!$A$3:$D$55,4,FALSE))))))</f>
        <v>#VALUE!</v>
      </c>
      <c r="G212" s="8" t="e">
        <f>IF('Crédito de Vivienda'!$C$10="TARIFA 1",(C211*(VLOOKUP('Crédito de Vivienda'!$C$25,Seguros_Oblig!$A$3:$B$55,2,FALSE))),(C211*(VLOOKUP('Crédito de Vivienda'!$C$25,Seguros_Oblig!$A$3:$D$55,4,FALSE))))</f>
        <v>#VALUE!</v>
      </c>
      <c r="H212" s="8" t="e">
        <f>IF('Crédito de Vivienda'!$C$10="TARIFA 1",(C211*(VLOOKUP('Crédito de Vivienda'!$C$26,Seguros_Oblig!$A$3:$B$55,2,FALSE))),(C211*(VLOOKUP('Crédito de Vivienda'!$C$26,Seguros_Oblig!$A$3:$D$55,4,FALSE))))</f>
        <v>#VALUE!</v>
      </c>
      <c r="I212" s="8" t="e">
        <f>IF('Crédito de Vivienda'!$C$10="TARIFA 1",(C211*(VLOOKUP('Crédito de Vivienda'!$C$27,Seguros_Oblig!$A$3:$B$55,2,FALSE))),(C211*(VLOOKUP('Crédito de Vivienda'!$C$27,Seguros_Oblig!$A$3:$D$55,4,FALSE))))</f>
        <v>#VALUE!</v>
      </c>
      <c r="J212" s="10">
        <f t="shared" si="21"/>
        <v>0</v>
      </c>
      <c r="K212" s="7" t="e">
        <f>IF(C211&lt;1,"0",Seguros_Oblig!$K$2*('Crédito de Vivienda'!$C$12*90%))</f>
        <v>#VALUE!</v>
      </c>
      <c r="L212" s="7" t="e">
        <f>IF(B212=" ","0",PMT('Crédito de Vivienda'!$E$17,'Crédito de Vivienda'!$C$18,-'Crédito de Vivienda'!$C$15,,))</f>
        <v>#VALUE!</v>
      </c>
      <c r="M212" s="9" t="e">
        <f t="shared" si="22"/>
        <v>#VALUE!</v>
      </c>
      <c r="N212" s="7" t="e">
        <f>IF(C211&lt;1,"0",'Crédito de Vivienda'!$C$40)</f>
        <v>#VALUE!</v>
      </c>
      <c r="O212" s="9" t="e">
        <f t="shared" si="23"/>
        <v>#VALUE!</v>
      </c>
    </row>
    <row r="213" spans="2:15" ht="15.5" x14ac:dyDescent="0.35">
      <c r="B213" s="6" t="e">
        <f t="shared" si="19"/>
        <v>#VALUE!</v>
      </c>
      <c r="C213" s="7" t="e">
        <f t="shared" si="20"/>
        <v>#VALUE!</v>
      </c>
      <c r="D213" s="7" t="e">
        <f t="shared" si="18"/>
        <v>#VALUE!</v>
      </c>
      <c r="E213" s="7" t="e">
        <f>C212*'Crédito de Vivienda'!$E$17</f>
        <v>#VALUE!</v>
      </c>
      <c r="F213" s="282" t="e">
        <f>IF(C212&lt;1,"0",IF('Crédito de Vivienda'!$D$28="Si",($C$17*(VLOOKUP('Crédito de Vivienda'!$C$24,Seguros_Oblig!$A$3:$F$55,6,FALSE))),IF('Crédito de Vivienda'!$C$10="TARIFA 1",(C212*(VLOOKUP('Crédito de Vivienda'!$C$24,Seguros_Oblig!$A$3:$B$55,2,FALSE))),(C212*(VLOOKUP('Crédito de Vivienda'!$C$24,Seguros_Oblig!$A$3:$D$55,4,FALSE))))))</f>
        <v>#VALUE!</v>
      </c>
      <c r="G213" s="8" t="e">
        <f>IF('Crédito de Vivienda'!$C$10="TARIFA 1",(C212*(VLOOKUP('Crédito de Vivienda'!$C$25,Seguros_Oblig!$A$3:$B$55,2,FALSE))),(C212*(VLOOKUP('Crédito de Vivienda'!$C$25,Seguros_Oblig!$A$3:$D$55,4,FALSE))))</f>
        <v>#VALUE!</v>
      </c>
      <c r="H213" s="8" t="e">
        <f>IF('Crédito de Vivienda'!$C$10="TARIFA 1",(C212*(VLOOKUP('Crédito de Vivienda'!$C$26,Seguros_Oblig!$A$3:$B$55,2,FALSE))),(C212*(VLOOKUP('Crédito de Vivienda'!$C$26,Seguros_Oblig!$A$3:$D$55,4,FALSE))))</f>
        <v>#VALUE!</v>
      </c>
      <c r="I213" s="8" t="e">
        <f>IF('Crédito de Vivienda'!$C$10="TARIFA 1",(C212*(VLOOKUP('Crédito de Vivienda'!$C$27,Seguros_Oblig!$A$3:$B$55,2,FALSE))),(C212*(VLOOKUP('Crédito de Vivienda'!$C$27,Seguros_Oblig!$A$3:$D$55,4,FALSE))))</f>
        <v>#VALUE!</v>
      </c>
      <c r="J213" s="10">
        <f t="shared" si="21"/>
        <v>0</v>
      </c>
      <c r="K213" s="7" t="e">
        <f>IF(C212&lt;1,"0",Seguros_Oblig!$K$2*('Crédito de Vivienda'!$C$12*90%))</f>
        <v>#VALUE!</v>
      </c>
      <c r="L213" s="7" t="e">
        <f>IF(B213=" ","0",PMT('Crédito de Vivienda'!$E$17,'Crédito de Vivienda'!$C$18,-'Crédito de Vivienda'!$C$15,,))</f>
        <v>#VALUE!</v>
      </c>
      <c r="M213" s="9" t="e">
        <f t="shared" si="22"/>
        <v>#VALUE!</v>
      </c>
      <c r="N213" s="7" t="e">
        <f>IF(C212&lt;1,"0",'Crédito de Vivienda'!$C$40)</f>
        <v>#VALUE!</v>
      </c>
      <c r="O213" s="9" t="e">
        <f t="shared" si="23"/>
        <v>#VALUE!</v>
      </c>
    </row>
    <row r="214" spans="2:15" ht="15.5" x14ac:dyDescent="0.35">
      <c r="B214" s="6" t="e">
        <f t="shared" si="19"/>
        <v>#VALUE!</v>
      </c>
      <c r="C214" s="7" t="e">
        <f t="shared" si="20"/>
        <v>#VALUE!</v>
      </c>
      <c r="D214" s="7" t="e">
        <f t="shared" si="18"/>
        <v>#VALUE!</v>
      </c>
      <c r="E214" s="7" t="e">
        <f>C213*'Crédito de Vivienda'!$E$17</f>
        <v>#VALUE!</v>
      </c>
      <c r="F214" s="282" t="e">
        <f>IF(C213&lt;1,"0",IF('Crédito de Vivienda'!$D$28="Si",($C$17*(VLOOKUP('Crédito de Vivienda'!$C$24,Seguros_Oblig!$A$3:$F$55,6,FALSE))),IF('Crédito de Vivienda'!$C$10="TARIFA 1",(C213*(VLOOKUP('Crédito de Vivienda'!$C$24,Seguros_Oblig!$A$3:$B$55,2,FALSE))),(C213*(VLOOKUP('Crédito de Vivienda'!$C$24,Seguros_Oblig!$A$3:$D$55,4,FALSE))))))</f>
        <v>#VALUE!</v>
      </c>
      <c r="G214" s="8" t="e">
        <f>IF('Crédito de Vivienda'!$C$10="TARIFA 1",(C213*(VLOOKUP('Crédito de Vivienda'!$C$25,Seguros_Oblig!$A$3:$B$55,2,FALSE))),(C213*(VLOOKUP('Crédito de Vivienda'!$C$25,Seguros_Oblig!$A$3:$D$55,4,FALSE))))</f>
        <v>#VALUE!</v>
      </c>
      <c r="H214" s="8" t="e">
        <f>IF('Crédito de Vivienda'!$C$10="TARIFA 1",(C213*(VLOOKUP('Crédito de Vivienda'!$C$26,Seguros_Oblig!$A$3:$B$55,2,FALSE))),(C213*(VLOOKUP('Crédito de Vivienda'!$C$26,Seguros_Oblig!$A$3:$D$55,4,FALSE))))</f>
        <v>#VALUE!</v>
      </c>
      <c r="I214" s="8" t="e">
        <f>IF('Crédito de Vivienda'!$C$10="TARIFA 1",(C213*(VLOOKUP('Crédito de Vivienda'!$C$27,Seguros_Oblig!$A$3:$B$55,2,FALSE))),(C213*(VLOOKUP('Crédito de Vivienda'!$C$27,Seguros_Oblig!$A$3:$D$55,4,FALSE))))</f>
        <v>#VALUE!</v>
      </c>
      <c r="J214" s="10">
        <f t="shared" si="21"/>
        <v>0</v>
      </c>
      <c r="K214" s="7" t="e">
        <f>IF(C213&lt;1,"0",Seguros_Oblig!$K$2*('Crédito de Vivienda'!$C$12*90%))</f>
        <v>#VALUE!</v>
      </c>
      <c r="L214" s="7" t="e">
        <f>IF(B214=" ","0",PMT('Crédito de Vivienda'!$E$17,'Crédito de Vivienda'!$C$18,-'Crédito de Vivienda'!$C$15,,))</f>
        <v>#VALUE!</v>
      </c>
      <c r="M214" s="9" t="e">
        <f t="shared" si="22"/>
        <v>#VALUE!</v>
      </c>
      <c r="N214" s="7" t="e">
        <f>IF(C213&lt;1,"0",'Crédito de Vivienda'!$C$40)</f>
        <v>#VALUE!</v>
      </c>
      <c r="O214" s="9" t="e">
        <f t="shared" si="23"/>
        <v>#VALUE!</v>
      </c>
    </row>
    <row r="215" spans="2:15" ht="15.5" x14ac:dyDescent="0.35">
      <c r="B215" s="6" t="e">
        <f t="shared" si="19"/>
        <v>#VALUE!</v>
      </c>
      <c r="C215" s="7" t="e">
        <f t="shared" si="20"/>
        <v>#VALUE!</v>
      </c>
      <c r="D215" s="7" t="e">
        <f t="shared" si="18"/>
        <v>#VALUE!</v>
      </c>
      <c r="E215" s="7" t="e">
        <f>C214*'Crédito de Vivienda'!$E$17</f>
        <v>#VALUE!</v>
      </c>
      <c r="F215" s="282" t="e">
        <f>IF(C214&lt;1,"0",IF('Crédito de Vivienda'!$D$28="Si",($C$17*(VLOOKUP('Crédito de Vivienda'!$C$24,Seguros_Oblig!$A$3:$F$55,6,FALSE))),IF('Crédito de Vivienda'!$C$10="TARIFA 1",(C214*(VLOOKUP('Crédito de Vivienda'!$C$24,Seguros_Oblig!$A$3:$B$55,2,FALSE))),(C214*(VLOOKUP('Crédito de Vivienda'!$C$24,Seguros_Oblig!$A$3:$D$55,4,FALSE))))))</f>
        <v>#VALUE!</v>
      </c>
      <c r="G215" s="8" t="e">
        <f>IF('Crédito de Vivienda'!$C$10="TARIFA 1",(C214*(VLOOKUP('Crédito de Vivienda'!$C$25,Seguros_Oblig!$A$3:$B$55,2,FALSE))),(C214*(VLOOKUP('Crédito de Vivienda'!$C$25,Seguros_Oblig!$A$3:$D$55,4,FALSE))))</f>
        <v>#VALUE!</v>
      </c>
      <c r="H215" s="8" t="e">
        <f>IF('Crédito de Vivienda'!$C$10="TARIFA 1",(C214*(VLOOKUP('Crédito de Vivienda'!$C$26,Seguros_Oblig!$A$3:$B$55,2,FALSE))),(C214*(VLOOKUP('Crédito de Vivienda'!$C$26,Seguros_Oblig!$A$3:$D$55,4,FALSE))))</f>
        <v>#VALUE!</v>
      </c>
      <c r="I215" s="8" t="e">
        <f>IF('Crédito de Vivienda'!$C$10="TARIFA 1",(C214*(VLOOKUP('Crédito de Vivienda'!$C$27,Seguros_Oblig!$A$3:$B$55,2,FALSE))),(C214*(VLOOKUP('Crédito de Vivienda'!$C$27,Seguros_Oblig!$A$3:$D$55,4,FALSE))))</f>
        <v>#VALUE!</v>
      </c>
      <c r="J215" s="10">
        <f t="shared" si="21"/>
        <v>0</v>
      </c>
      <c r="K215" s="7" t="e">
        <f>IF(C214&lt;1,"0",Seguros_Oblig!$K$2*('Crédito de Vivienda'!$C$12*90%))</f>
        <v>#VALUE!</v>
      </c>
      <c r="L215" s="7" t="e">
        <f>IF(B215=" ","0",PMT('Crédito de Vivienda'!$E$17,'Crédito de Vivienda'!$C$18,-'Crédito de Vivienda'!$C$15,,))</f>
        <v>#VALUE!</v>
      </c>
      <c r="M215" s="9" t="e">
        <f t="shared" si="22"/>
        <v>#VALUE!</v>
      </c>
      <c r="N215" s="7" t="e">
        <f>IF(C214&lt;1,"0",'Crédito de Vivienda'!$C$40)</f>
        <v>#VALUE!</v>
      </c>
      <c r="O215" s="9" t="e">
        <f t="shared" si="23"/>
        <v>#VALUE!</v>
      </c>
    </row>
    <row r="216" spans="2:15" ht="15.5" x14ac:dyDescent="0.35">
      <c r="B216" s="6" t="e">
        <f t="shared" si="19"/>
        <v>#VALUE!</v>
      </c>
      <c r="C216" s="7" t="e">
        <f t="shared" si="20"/>
        <v>#VALUE!</v>
      </c>
      <c r="D216" s="7" t="e">
        <f t="shared" si="18"/>
        <v>#VALUE!</v>
      </c>
      <c r="E216" s="7" t="e">
        <f>C215*'Crédito de Vivienda'!$E$17</f>
        <v>#VALUE!</v>
      </c>
      <c r="F216" s="282" t="e">
        <f>IF(C215&lt;1,"0",IF('Crédito de Vivienda'!$D$28="Si",($C$17*(VLOOKUP('Crédito de Vivienda'!$C$24,Seguros_Oblig!$A$3:$F$55,6,FALSE))),IF('Crédito de Vivienda'!$C$10="TARIFA 1",(C215*(VLOOKUP('Crédito de Vivienda'!$C$24,Seguros_Oblig!$A$3:$B$55,2,FALSE))),(C215*(VLOOKUP('Crédito de Vivienda'!$C$24,Seguros_Oblig!$A$3:$D$55,4,FALSE))))))</f>
        <v>#VALUE!</v>
      </c>
      <c r="G216" s="8" t="e">
        <f>IF('Crédito de Vivienda'!$C$10="TARIFA 1",(C215*(VLOOKUP('Crédito de Vivienda'!$C$25,Seguros_Oblig!$A$3:$B$55,2,FALSE))),(C215*(VLOOKUP('Crédito de Vivienda'!$C$25,Seguros_Oblig!$A$3:$D$55,4,FALSE))))</f>
        <v>#VALUE!</v>
      </c>
      <c r="H216" s="8" t="e">
        <f>IF('Crédito de Vivienda'!$C$10="TARIFA 1",(C215*(VLOOKUP('Crédito de Vivienda'!$C$26,Seguros_Oblig!$A$3:$B$55,2,FALSE))),(C215*(VLOOKUP('Crédito de Vivienda'!$C$26,Seguros_Oblig!$A$3:$D$55,4,FALSE))))</f>
        <v>#VALUE!</v>
      </c>
      <c r="I216" s="8" t="e">
        <f>IF('Crédito de Vivienda'!$C$10="TARIFA 1",(C215*(VLOOKUP('Crédito de Vivienda'!$C$27,Seguros_Oblig!$A$3:$B$55,2,FALSE))),(C215*(VLOOKUP('Crédito de Vivienda'!$C$27,Seguros_Oblig!$A$3:$D$55,4,FALSE))))</f>
        <v>#VALUE!</v>
      </c>
      <c r="J216" s="10">
        <f t="shared" si="21"/>
        <v>0</v>
      </c>
      <c r="K216" s="7" t="e">
        <f>IF(C215&lt;1,"0",Seguros_Oblig!$K$2*('Crédito de Vivienda'!$C$12*90%))</f>
        <v>#VALUE!</v>
      </c>
      <c r="L216" s="7" t="e">
        <f>IF(B216=" ","0",PMT('Crédito de Vivienda'!$E$17,'Crédito de Vivienda'!$C$18,-'Crédito de Vivienda'!$C$15,,))</f>
        <v>#VALUE!</v>
      </c>
      <c r="M216" s="9" t="e">
        <f t="shared" si="22"/>
        <v>#VALUE!</v>
      </c>
      <c r="N216" s="7" t="e">
        <f>IF(C215&lt;1,"0",'Crédito de Vivienda'!$C$40)</f>
        <v>#VALUE!</v>
      </c>
      <c r="O216" s="9" t="e">
        <f t="shared" si="23"/>
        <v>#VALUE!</v>
      </c>
    </row>
    <row r="217" spans="2:15" ht="15.5" x14ac:dyDescent="0.35">
      <c r="B217" s="6" t="e">
        <f t="shared" si="19"/>
        <v>#VALUE!</v>
      </c>
      <c r="C217" s="7" t="e">
        <f t="shared" si="20"/>
        <v>#VALUE!</v>
      </c>
      <c r="D217" s="7" t="e">
        <f t="shared" si="18"/>
        <v>#VALUE!</v>
      </c>
      <c r="E217" s="7" t="e">
        <f>C216*'Crédito de Vivienda'!$E$17</f>
        <v>#VALUE!</v>
      </c>
      <c r="F217" s="282" t="e">
        <f>IF(C216&lt;1,"0",IF('Crédito de Vivienda'!$D$28="Si",($C$17*(VLOOKUP('Crédito de Vivienda'!$C$24,Seguros_Oblig!$A$3:$F$55,6,FALSE))),IF('Crédito de Vivienda'!$C$10="TARIFA 1",(C216*(VLOOKUP('Crédito de Vivienda'!$C$24,Seguros_Oblig!$A$3:$B$55,2,FALSE))),(C216*(VLOOKUP('Crédito de Vivienda'!$C$24,Seguros_Oblig!$A$3:$D$55,4,FALSE))))))</f>
        <v>#VALUE!</v>
      </c>
      <c r="G217" s="8" t="e">
        <f>IF('Crédito de Vivienda'!$C$10="TARIFA 1",(C216*(VLOOKUP('Crédito de Vivienda'!$C$25,Seguros_Oblig!$A$3:$B$55,2,FALSE))),(C216*(VLOOKUP('Crédito de Vivienda'!$C$25,Seguros_Oblig!$A$3:$D$55,4,FALSE))))</f>
        <v>#VALUE!</v>
      </c>
      <c r="H217" s="8" t="e">
        <f>IF('Crédito de Vivienda'!$C$10="TARIFA 1",(C216*(VLOOKUP('Crédito de Vivienda'!$C$26,Seguros_Oblig!$A$3:$B$55,2,FALSE))),(C216*(VLOOKUP('Crédito de Vivienda'!$C$26,Seguros_Oblig!$A$3:$D$55,4,FALSE))))</f>
        <v>#VALUE!</v>
      </c>
      <c r="I217" s="8" t="e">
        <f>IF('Crédito de Vivienda'!$C$10="TARIFA 1",(C216*(VLOOKUP('Crédito de Vivienda'!$C$27,Seguros_Oblig!$A$3:$B$55,2,FALSE))),(C216*(VLOOKUP('Crédito de Vivienda'!$C$27,Seguros_Oblig!$A$3:$D$55,4,FALSE))))</f>
        <v>#VALUE!</v>
      </c>
      <c r="J217" s="10">
        <f t="shared" si="21"/>
        <v>0</v>
      </c>
      <c r="K217" s="7" t="e">
        <f>IF(C216&lt;1,"0",Seguros_Oblig!$K$2*('Crédito de Vivienda'!$C$12*90%))</f>
        <v>#VALUE!</v>
      </c>
      <c r="L217" s="7" t="e">
        <f>IF(B217=" ","0",PMT('Crédito de Vivienda'!$E$17,'Crédito de Vivienda'!$C$18,-'Crédito de Vivienda'!$C$15,,))</f>
        <v>#VALUE!</v>
      </c>
      <c r="M217" s="9" t="e">
        <f t="shared" si="22"/>
        <v>#VALUE!</v>
      </c>
      <c r="N217" s="7" t="e">
        <f>IF(C216&lt;1,"0",'Crédito de Vivienda'!$C$40)</f>
        <v>#VALUE!</v>
      </c>
      <c r="O217" s="9" t="e">
        <f t="shared" si="23"/>
        <v>#VALUE!</v>
      </c>
    </row>
    <row r="218" spans="2:15" ht="15.5" x14ac:dyDescent="0.35">
      <c r="B218" s="6" t="e">
        <f t="shared" si="19"/>
        <v>#VALUE!</v>
      </c>
      <c r="C218" s="7" t="e">
        <f t="shared" si="20"/>
        <v>#VALUE!</v>
      </c>
      <c r="D218" s="7" t="e">
        <f t="shared" si="18"/>
        <v>#VALUE!</v>
      </c>
      <c r="E218" s="7" t="e">
        <f>C217*'Crédito de Vivienda'!$E$17</f>
        <v>#VALUE!</v>
      </c>
      <c r="F218" s="282" t="e">
        <f>IF(C217&lt;1,"0",IF('Crédito de Vivienda'!$D$28="Si",($C$17*(VLOOKUP('Crédito de Vivienda'!$C$24,Seguros_Oblig!$A$3:$F$55,6,FALSE))),IF('Crédito de Vivienda'!$C$10="TARIFA 1",(C217*(VLOOKUP('Crédito de Vivienda'!$C$24,Seguros_Oblig!$A$3:$B$55,2,FALSE))),(C217*(VLOOKUP('Crédito de Vivienda'!$C$24,Seguros_Oblig!$A$3:$D$55,4,FALSE))))))</f>
        <v>#VALUE!</v>
      </c>
      <c r="G218" s="8" t="e">
        <f>IF('Crédito de Vivienda'!$C$10="TARIFA 1",(C217*(VLOOKUP('Crédito de Vivienda'!$C$25,Seguros_Oblig!$A$3:$B$55,2,FALSE))),(C217*(VLOOKUP('Crédito de Vivienda'!$C$25,Seguros_Oblig!$A$3:$D$55,4,FALSE))))</f>
        <v>#VALUE!</v>
      </c>
      <c r="H218" s="8" t="e">
        <f>IF('Crédito de Vivienda'!$C$10="TARIFA 1",(C217*(VLOOKUP('Crédito de Vivienda'!$C$26,Seguros_Oblig!$A$3:$B$55,2,FALSE))),(C217*(VLOOKUP('Crédito de Vivienda'!$C$26,Seguros_Oblig!$A$3:$D$55,4,FALSE))))</f>
        <v>#VALUE!</v>
      </c>
      <c r="I218" s="8" t="e">
        <f>IF('Crédito de Vivienda'!$C$10="TARIFA 1",(C217*(VLOOKUP('Crédito de Vivienda'!$C$27,Seguros_Oblig!$A$3:$B$55,2,FALSE))),(C217*(VLOOKUP('Crédito de Vivienda'!$C$27,Seguros_Oblig!$A$3:$D$55,4,FALSE))))</f>
        <v>#VALUE!</v>
      </c>
      <c r="J218" s="10">
        <f t="shared" si="21"/>
        <v>0</v>
      </c>
      <c r="K218" s="7" t="e">
        <f>IF(C217&lt;1,"0",Seguros_Oblig!$K$2*('Crédito de Vivienda'!$C$12*90%))</f>
        <v>#VALUE!</v>
      </c>
      <c r="L218" s="7" t="e">
        <f>IF(B218=" ","0",PMT('Crédito de Vivienda'!$E$17,'Crédito de Vivienda'!$C$18,-'Crédito de Vivienda'!$C$15,,))</f>
        <v>#VALUE!</v>
      </c>
      <c r="M218" s="9" t="e">
        <f t="shared" si="22"/>
        <v>#VALUE!</v>
      </c>
      <c r="N218" s="7" t="e">
        <f>IF(C217&lt;1,"0",'Crédito de Vivienda'!$C$40)</f>
        <v>#VALUE!</v>
      </c>
      <c r="O218" s="9" t="e">
        <f t="shared" si="23"/>
        <v>#VALUE!</v>
      </c>
    </row>
    <row r="219" spans="2:15" ht="15.5" x14ac:dyDescent="0.35">
      <c r="B219" s="6" t="e">
        <f t="shared" si="19"/>
        <v>#VALUE!</v>
      </c>
      <c r="C219" s="7" t="e">
        <f t="shared" si="20"/>
        <v>#VALUE!</v>
      </c>
      <c r="D219" s="7" t="e">
        <f t="shared" si="18"/>
        <v>#VALUE!</v>
      </c>
      <c r="E219" s="7" t="e">
        <f>C218*'Crédito de Vivienda'!$E$17</f>
        <v>#VALUE!</v>
      </c>
      <c r="F219" s="282" t="e">
        <f>IF(C218&lt;1,"0",IF('Crédito de Vivienda'!$D$28="Si",($C$17*(VLOOKUP('Crédito de Vivienda'!$C$24,Seguros_Oblig!$A$3:$F$55,6,FALSE))),IF('Crédito de Vivienda'!$C$10="TARIFA 1",(C218*(VLOOKUP('Crédito de Vivienda'!$C$24,Seguros_Oblig!$A$3:$B$55,2,FALSE))),(C218*(VLOOKUP('Crédito de Vivienda'!$C$24,Seguros_Oblig!$A$3:$D$55,4,FALSE))))))</f>
        <v>#VALUE!</v>
      </c>
      <c r="G219" s="8" t="e">
        <f>IF('Crédito de Vivienda'!$C$10="TARIFA 1",(C218*(VLOOKUP('Crédito de Vivienda'!$C$25,Seguros_Oblig!$A$3:$B$55,2,FALSE))),(C218*(VLOOKUP('Crédito de Vivienda'!$C$25,Seguros_Oblig!$A$3:$D$55,4,FALSE))))</f>
        <v>#VALUE!</v>
      </c>
      <c r="H219" s="8" t="e">
        <f>IF('Crédito de Vivienda'!$C$10="TARIFA 1",(C218*(VLOOKUP('Crédito de Vivienda'!$C$26,Seguros_Oblig!$A$3:$B$55,2,FALSE))),(C218*(VLOOKUP('Crédito de Vivienda'!$C$26,Seguros_Oblig!$A$3:$D$55,4,FALSE))))</f>
        <v>#VALUE!</v>
      </c>
      <c r="I219" s="8" t="e">
        <f>IF('Crédito de Vivienda'!$C$10="TARIFA 1",(C218*(VLOOKUP('Crédito de Vivienda'!$C$27,Seguros_Oblig!$A$3:$B$55,2,FALSE))),(C218*(VLOOKUP('Crédito de Vivienda'!$C$27,Seguros_Oblig!$A$3:$D$55,4,FALSE))))</f>
        <v>#VALUE!</v>
      </c>
      <c r="J219" s="10">
        <f t="shared" si="21"/>
        <v>0</v>
      </c>
      <c r="K219" s="7" t="e">
        <f>IF(C218&lt;1,"0",Seguros_Oblig!$K$2*('Crédito de Vivienda'!$C$12*90%))</f>
        <v>#VALUE!</v>
      </c>
      <c r="L219" s="7" t="e">
        <f>IF(B219=" ","0",PMT('Crédito de Vivienda'!$E$17,'Crédito de Vivienda'!$C$18,-'Crédito de Vivienda'!$C$15,,))</f>
        <v>#VALUE!</v>
      </c>
      <c r="M219" s="9" t="e">
        <f t="shared" si="22"/>
        <v>#VALUE!</v>
      </c>
      <c r="N219" s="7" t="e">
        <f>IF(C218&lt;1,"0",'Crédito de Vivienda'!$C$40)</f>
        <v>#VALUE!</v>
      </c>
      <c r="O219" s="9" t="e">
        <f t="shared" si="23"/>
        <v>#VALUE!</v>
      </c>
    </row>
    <row r="220" spans="2:15" ht="15.5" x14ac:dyDescent="0.35">
      <c r="B220" s="6" t="e">
        <f t="shared" si="19"/>
        <v>#VALUE!</v>
      </c>
      <c r="C220" s="7" t="e">
        <f t="shared" si="20"/>
        <v>#VALUE!</v>
      </c>
      <c r="D220" s="7" t="e">
        <f t="shared" si="18"/>
        <v>#VALUE!</v>
      </c>
      <c r="E220" s="7" t="e">
        <f>C219*'Crédito de Vivienda'!$E$17</f>
        <v>#VALUE!</v>
      </c>
      <c r="F220" s="282" t="e">
        <f>IF(C219&lt;1,"0",IF('Crédito de Vivienda'!$D$28="Si",($C$17*(VLOOKUP('Crédito de Vivienda'!$C$24,Seguros_Oblig!$A$3:$F$55,6,FALSE))),IF('Crédito de Vivienda'!$C$10="TARIFA 1",(C219*(VLOOKUP('Crédito de Vivienda'!$C$24,Seguros_Oblig!$A$3:$B$55,2,FALSE))),(C219*(VLOOKUP('Crédito de Vivienda'!$C$24,Seguros_Oblig!$A$3:$D$55,4,FALSE))))))</f>
        <v>#VALUE!</v>
      </c>
      <c r="G220" s="8" t="e">
        <f>IF('Crédito de Vivienda'!$C$10="TARIFA 1",(C219*(VLOOKUP('Crédito de Vivienda'!$C$25,Seguros_Oblig!$A$3:$B$55,2,FALSE))),(C219*(VLOOKUP('Crédito de Vivienda'!$C$25,Seguros_Oblig!$A$3:$D$55,4,FALSE))))</f>
        <v>#VALUE!</v>
      </c>
      <c r="H220" s="8" t="e">
        <f>IF('Crédito de Vivienda'!$C$10="TARIFA 1",(C219*(VLOOKUP('Crédito de Vivienda'!$C$26,Seguros_Oblig!$A$3:$B$55,2,FALSE))),(C219*(VLOOKUP('Crédito de Vivienda'!$C$26,Seguros_Oblig!$A$3:$D$55,4,FALSE))))</f>
        <v>#VALUE!</v>
      </c>
      <c r="I220" s="8" t="e">
        <f>IF('Crédito de Vivienda'!$C$10="TARIFA 1",(C219*(VLOOKUP('Crédito de Vivienda'!$C$27,Seguros_Oblig!$A$3:$B$55,2,FALSE))),(C219*(VLOOKUP('Crédito de Vivienda'!$C$27,Seguros_Oblig!$A$3:$D$55,4,FALSE))))</f>
        <v>#VALUE!</v>
      </c>
      <c r="J220" s="10">
        <f t="shared" si="21"/>
        <v>0</v>
      </c>
      <c r="K220" s="7" t="e">
        <f>IF(C219&lt;1,"0",Seguros_Oblig!$K$2*('Crédito de Vivienda'!$C$12*90%))</f>
        <v>#VALUE!</v>
      </c>
      <c r="L220" s="7" t="e">
        <f>IF(B220=" ","0",PMT('Crédito de Vivienda'!$E$17,'Crédito de Vivienda'!$C$18,-'Crédito de Vivienda'!$C$15,,))</f>
        <v>#VALUE!</v>
      </c>
      <c r="M220" s="9" t="e">
        <f t="shared" si="22"/>
        <v>#VALUE!</v>
      </c>
      <c r="N220" s="7" t="e">
        <f>IF(C219&lt;1,"0",'Crédito de Vivienda'!$C$40)</f>
        <v>#VALUE!</v>
      </c>
      <c r="O220" s="9" t="e">
        <f t="shared" si="23"/>
        <v>#VALUE!</v>
      </c>
    </row>
    <row r="221" spans="2:15" ht="15.5" x14ac:dyDescent="0.35">
      <c r="B221" s="6" t="e">
        <f t="shared" si="19"/>
        <v>#VALUE!</v>
      </c>
      <c r="C221" s="7" t="e">
        <f t="shared" si="20"/>
        <v>#VALUE!</v>
      </c>
      <c r="D221" s="7" t="e">
        <f t="shared" si="18"/>
        <v>#VALUE!</v>
      </c>
      <c r="E221" s="7" t="e">
        <f>C220*'Crédito de Vivienda'!$E$17</f>
        <v>#VALUE!</v>
      </c>
      <c r="F221" s="282" t="e">
        <f>IF(C220&lt;1,"0",IF('Crédito de Vivienda'!$D$28="Si",($C$17*(VLOOKUP('Crédito de Vivienda'!$C$24,Seguros_Oblig!$A$3:$F$55,6,FALSE))),IF('Crédito de Vivienda'!$C$10="TARIFA 1",(C220*(VLOOKUP('Crédito de Vivienda'!$C$24,Seguros_Oblig!$A$3:$B$55,2,FALSE))),(C220*(VLOOKUP('Crédito de Vivienda'!$C$24,Seguros_Oblig!$A$3:$D$55,4,FALSE))))))</f>
        <v>#VALUE!</v>
      </c>
      <c r="G221" s="8" t="e">
        <f>IF('Crédito de Vivienda'!$C$10="TARIFA 1",(C220*(VLOOKUP('Crédito de Vivienda'!$C$25,Seguros_Oblig!$A$3:$B$55,2,FALSE))),(C220*(VLOOKUP('Crédito de Vivienda'!$C$25,Seguros_Oblig!$A$3:$D$55,4,FALSE))))</f>
        <v>#VALUE!</v>
      </c>
      <c r="H221" s="8" t="e">
        <f>IF('Crédito de Vivienda'!$C$10="TARIFA 1",(C220*(VLOOKUP('Crédito de Vivienda'!$C$26,Seguros_Oblig!$A$3:$B$55,2,FALSE))),(C220*(VLOOKUP('Crédito de Vivienda'!$C$26,Seguros_Oblig!$A$3:$D$55,4,FALSE))))</f>
        <v>#VALUE!</v>
      </c>
      <c r="I221" s="8" t="e">
        <f>IF('Crédito de Vivienda'!$C$10="TARIFA 1",(C220*(VLOOKUP('Crédito de Vivienda'!$C$27,Seguros_Oblig!$A$3:$B$55,2,FALSE))),(C220*(VLOOKUP('Crédito de Vivienda'!$C$27,Seguros_Oblig!$A$3:$D$55,4,FALSE))))</f>
        <v>#VALUE!</v>
      </c>
      <c r="J221" s="10">
        <f t="shared" si="21"/>
        <v>0</v>
      </c>
      <c r="K221" s="7" t="e">
        <f>IF(C220&lt;1,"0",Seguros_Oblig!$K$2*('Crédito de Vivienda'!$C$12*90%))</f>
        <v>#VALUE!</v>
      </c>
      <c r="L221" s="7" t="e">
        <f>IF(B221=" ","0",PMT('Crédito de Vivienda'!$E$17,'Crédito de Vivienda'!$C$18,-'Crédito de Vivienda'!$C$15,,))</f>
        <v>#VALUE!</v>
      </c>
      <c r="M221" s="9" t="e">
        <f t="shared" si="22"/>
        <v>#VALUE!</v>
      </c>
      <c r="N221" s="7" t="e">
        <f>IF(C220&lt;1,"0",'Crédito de Vivienda'!$C$40)</f>
        <v>#VALUE!</v>
      </c>
      <c r="O221" s="9" t="e">
        <f t="shared" si="23"/>
        <v>#VALUE!</v>
      </c>
    </row>
    <row r="222" spans="2:15" ht="15.5" x14ac:dyDescent="0.35">
      <c r="B222" s="6" t="e">
        <f t="shared" si="19"/>
        <v>#VALUE!</v>
      </c>
      <c r="C222" s="7" t="e">
        <f t="shared" si="20"/>
        <v>#VALUE!</v>
      </c>
      <c r="D222" s="7" t="e">
        <f t="shared" si="18"/>
        <v>#VALUE!</v>
      </c>
      <c r="E222" s="7" t="e">
        <f>C221*'Crédito de Vivienda'!$E$17</f>
        <v>#VALUE!</v>
      </c>
      <c r="F222" s="282" t="e">
        <f>IF(C221&lt;1,"0",IF('Crédito de Vivienda'!$D$28="Si",($C$17*(VLOOKUP('Crédito de Vivienda'!$C$24,Seguros_Oblig!$A$3:$F$55,6,FALSE))),IF('Crédito de Vivienda'!$C$10="TARIFA 1",(C221*(VLOOKUP('Crédito de Vivienda'!$C$24,Seguros_Oblig!$A$3:$B$55,2,FALSE))),(C221*(VLOOKUP('Crédito de Vivienda'!$C$24,Seguros_Oblig!$A$3:$D$55,4,FALSE))))))</f>
        <v>#VALUE!</v>
      </c>
      <c r="G222" s="8" t="e">
        <f>IF('Crédito de Vivienda'!$C$10="TARIFA 1",(C221*(VLOOKUP('Crédito de Vivienda'!$C$25,Seguros_Oblig!$A$3:$B$55,2,FALSE))),(C221*(VLOOKUP('Crédito de Vivienda'!$C$25,Seguros_Oblig!$A$3:$D$55,4,FALSE))))</f>
        <v>#VALUE!</v>
      </c>
      <c r="H222" s="8" t="e">
        <f>IF('Crédito de Vivienda'!$C$10="TARIFA 1",(C221*(VLOOKUP('Crédito de Vivienda'!$C$26,Seguros_Oblig!$A$3:$B$55,2,FALSE))),(C221*(VLOOKUP('Crédito de Vivienda'!$C$26,Seguros_Oblig!$A$3:$D$55,4,FALSE))))</f>
        <v>#VALUE!</v>
      </c>
      <c r="I222" s="8" t="e">
        <f>IF('Crédito de Vivienda'!$C$10="TARIFA 1",(C221*(VLOOKUP('Crédito de Vivienda'!$C$27,Seguros_Oblig!$A$3:$B$55,2,FALSE))),(C221*(VLOOKUP('Crédito de Vivienda'!$C$27,Seguros_Oblig!$A$3:$D$55,4,FALSE))))</f>
        <v>#VALUE!</v>
      </c>
      <c r="J222" s="10">
        <f t="shared" si="21"/>
        <v>0</v>
      </c>
      <c r="K222" s="7" t="e">
        <f>IF(C221&lt;1,"0",Seguros_Oblig!$K$2*('Crédito de Vivienda'!$C$12*90%))</f>
        <v>#VALUE!</v>
      </c>
      <c r="L222" s="7" t="e">
        <f>IF(B222=" ","0",PMT('Crédito de Vivienda'!$E$17,'Crédito de Vivienda'!$C$18,-'Crédito de Vivienda'!$C$15,,))</f>
        <v>#VALUE!</v>
      </c>
      <c r="M222" s="9" t="e">
        <f t="shared" si="22"/>
        <v>#VALUE!</v>
      </c>
      <c r="N222" s="7" t="e">
        <f>IF(C221&lt;1,"0",'Crédito de Vivienda'!$C$40)</f>
        <v>#VALUE!</v>
      </c>
      <c r="O222" s="9" t="e">
        <f t="shared" si="23"/>
        <v>#VALUE!</v>
      </c>
    </row>
    <row r="223" spans="2:15" ht="15.5" x14ac:dyDescent="0.35">
      <c r="B223" s="6" t="e">
        <f t="shared" si="19"/>
        <v>#VALUE!</v>
      </c>
      <c r="C223" s="7" t="e">
        <f t="shared" si="20"/>
        <v>#VALUE!</v>
      </c>
      <c r="D223" s="7" t="e">
        <f t="shared" ref="D223:D286" si="24">IF(C222&lt;1,"0",L223-E223)</f>
        <v>#VALUE!</v>
      </c>
      <c r="E223" s="7" t="e">
        <f>C222*'Crédito de Vivienda'!$E$17</f>
        <v>#VALUE!</v>
      </c>
      <c r="F223" s="282" t="e">
        <f>IF(C222&lt;1,"0",IF('Crédito de Vivienda'!$D$28="Si",($C$17*(VLOOKUP('Crédito de Vivienda'!$C$24,Seguros_Oblig!$A$3:$F$55,6,FALSE))),IF('Crédito de Vivienda'!$C$10="TARIFA 1",(C222*(VLOOKUP('Crédito de Vivienda'!$C$24,Seguros_Oblig!$A$3:$B$55,2,FALSE))),(C222*(VLOOKUP('Crédito de Vivienda'!$C$24,Seguros_Oblig!$A$3:$D$55,4,FALSE))))))</f>
        <v>#VALUE!</v>
      </c>
      <c r="G223" s="8" t="e">
        <f>IF('Crédito de Vivienda'!$C$10="TARIFA 1",(C222*(VLOOKUP('Crédito de Vivienda'!$C$25,Seguros_Oblig!$A$3:$B$55,2,FALSE))),(C222*(VLOOKUP('Crédito de Vivienda'!$C$25,Seguros_Oblig!$A$3:$D$55,4,FALSE))))</f>
        <v>#VALUE!</v>
      </c>
      <c r="H223" s="8" t="e">
        <f>IF('Crédito de Vivienda'!$C$10="TARIFA 1",(C222*(VLOOKUP('Crédito de Vivienda'!$C$26,Seguros_Oblig!$A$3:$B$55,2,FALSE))),(C222*(VLOOKUP('Crédito de Vivienda'!$C$26,Seguros_Oblig!$A$3:$D$55,4,FALSE))))</f>
        <v>#VALUE!</v>
      </c>
      <c r="I223" s="8" t="e">
        <f>IF('Crédito de Vivienda'!$C$10="TARIFA 1",(C222*(VLOOKUP('Crédito de Vivienda'!$C$27,Seguros_Oblig!$A$3:$B$55,2,FALSE))),(C222*(VLOOKUP('Crédito de Vivienda'!$C$27,Seguros_Oblig!$A$3:$D$55,4,FALSE))))</f>
        <v>#VALUE!</v>
      </c>
      <c r="J223" s="10">
        <f t="shared" si="21"/>
        <v>0</v>
      </c>
      <c r="K223" s="7" t="e">
        <f>IF(C222&lt;1,"0",Seguros_Oblig!$K$2*('Crédito de Vivienda'!$C$12*90%))</f>
        <v>#VALUE!</v>
      </c>
      <c r="L223" s="7" t="e">
        <f>IF(B223=" ","0",PMT('Crédito de Vivienda'!$E$17,'Crédito de Vivienda'!$C$18,-'Crédito de Vivienda'!$C$15,,))</f>
        <v>#VALUE!</v>
      </c>
      <c r="M223" s="9" t="e">
        <f t="shared" si="22"/>
        <v>#VALUE!</v>
      </c>
      <c r="N223" s="7" t="e">
        <f>IF(C222&lt;1,"0",'Crédito de Vivienda'!$C$40)</f>
        <v>#VALUE!</v>
      </c>
      <c r="O223" s="9" t="e">
        <f t="shared" si="23"/>
        <v>#VALUE!</v>
      </c>
    </row>
    <row r="224" spans="2:15" ht="15.5" x14ac:dyDescent="0.35">
      <c r="B224" s="6" t="e">
        <f t="shared" si="19"/>
        <v>#VALUE!</v>
      </c>
      <c r="C224" s="7" t="e">
        <f t="shared" si="20"/>
        <v>#VALUE!</v>
      </c>
      <c r="D224" s="7" t="e">
        <f t="shared" si="24"/>
        <v>#VALUE!</v>
      </c>
      <c r="E224" s="7" t="e">
        <f>C223*'Crédito de Vivienda'!$E$17</f>
        <v>#VALUE!</v>
      </c>
      <c r="F224" s="282" t="e">
        <f>IF(C223&lt;1,"0",IF('Crédito de Vivienda'!$D$28="Si",($C$17*(VLOOKUP('Crédito de Vivienda'!$C$24,Seguros_Oblig!$A$3:$F$55,6,FALSE))),IF('Crédito de Vivienda'!$C$10="TARIFA 1",(C223*(VLOOKUP('Crédito de Vivienda'!$C$24,Seguros_Oblig!$A$3:$B$55,2,FALSE))),(C223*(VLOOKUP('Crédito de Vivienda'!$C$24,Seguros_Oblig!$A$3:$D$55,4,FALSE))))))</f>
        <v>#VALUE!</v>
      </c>
      <c r="G224" s="8" t="e">
        <f>IF('Crédito de Vivienda'!$C$10="TARIFA 1",(C223*(VLOOKUP('Crédito de Vivienda'!$C$25,Seguros_Oblig!$A$3:$B$55,2,FALSE))),(C223*(VLOOKUP('Crédito de Vivienda'!$C$25,Seguros_Oblig!$A$3:$D$55,4,FALSE))))</f>
        <v>#VALUE!</v>
      </c>
      <c r="H224" s="8" t="e">
        <f>IF('Crédito de Vivienda'!$C$10="TARIFA 1",(C223*(VLOOKUP('Crédito de Vivienda'!$C$26,Seguros_Oblig!$A$3:$B$55,2,FALSE))),(C223*(VLOOKUP('Crédito de Vivienda'!$C$26,Seguros_Oblig!$A$3:$D$55,4,FALSE))))</f>
        <v>#VALUE!</v>
      </c>
      <c r="I224" s="8" t="e">
        <f>IF('Crédito de Vivienda'!$C$10="TARIFA 1",(C223*(VLOOKUP('Crédito de Vivienda'!$C$27,Seguros_Oblig!$A$3:$B$55,2,FALSE))),(C223*(VLOOKUP('Crédito de Vivienda'!$C$27,Seguros_Oblig!$A$3:$D$55,4,FALSE))))</f>
        <v>#VALUE!</v>
      </c>
      <c r="J224" s="10">
        <f t="shared" si="21"/>
        <v>0</v>
      </c>
      <c r="K224" s="7" t="e">
        <f>IF(C223&lt;1,"0",Seguros_Oblig!$K$2*('Crédito de Vivienda'!$C$12*90%))</f>
        <v>#VALUE!</v>
      </c>
      <c r="L224" s="7" t="e">
        <f>IF(B224=" ","0",PMT('Crédito de Vivienda'!$E$17,'Crédito de Vivienda'!$C$18,-'Crédito de Vivienda'!$C$15,,))</f>
        <v>#VALUE!</v>
      </c>
      <c r="M224" s="9" t="e">
        <f t="shared" si="22"/>
        <v>#VALUE!</v>
      </c>
      <c r="N224" s="7" t="e">
        <f>IF(C223&lt;1,"0",'Crédito de Vivienda'!$C$40)</f>
        <v>#VALUE!</v>
      </c>
      <c r="O224" s="9" t="e">
        <f t="shared" si="23"/>
        <v>#VALUE!</v>
      </c>
    </row>
    <row r="225" spans="2:15" ht="15.5" x14ac:dyDescent="0.35">
      <c r="B225" s="6" t="e">
        <f t="shared" si="19"/>
        <v>#VALUE!</v>
      </c>
      <c r="C225" s="7" t="e">
        <f t="shared" si="20"/>
        <v>#VALUE!</v>
      </c>
      <c r="D225" s="7" t="e">
        <f t="shared" si="24"/>
        <v>#VALUE!</v>
      </c>
      <c r="E225" s="7" t="e">
        <f>C224*'Crédito de Vivienda'!$E$17</f>
        <v>#VALUE!</v>
      </c>
      <c r="F225" s="282" t="e">
        <f>IF(C224&lt;1,"0",IF('Crédito de Vivienda'!$D$28="Si",($C$17*(VLOOKUP('Crédito de Vivienda'!$C$24,Seguros_Oblig!$A$3:$F$55,6,FALSE))),IF('Crédito de Vivienda'!$C$10="TARIFA 1",(C224*(VLOOKUP('Crédito de Vivienda'!$C$24,Seguros_Oblig!$A$3:$B$55,2,FALSE))),(C224*(VLOOKUP('Crédito de Vivienda'!$C$24,Seguros_Oblig!$A$3:$D$55,4,FALSE))))))</f>
        <v>#VALUE!</v>
      </c>
      <c r="G225" s="8" t="e">
        <f>IF('Crédito de Vivienda'!$C$10="TARIFA 1",(C224*(VLOOKUP('Crédito de Vivienda'!$C$25,Seguros_Oblig!$A$3:$B$55,2,FALSE))),(C224*(VLOOKUP('Crédito de Vivienda'!$C$25,Seguros_Oblig!$A$3:$D$55,4,FALSE))))</f>
        <v>#VALUE!</v>
      </c>
      <c r="H225" s="8" t="e">
        <f>IF('Crédito de Vivienda'!$C$10="TARIFA 1",(C224*(VLOOKUP('Crédito de Vivienda'!$C$26,Seguros_Oblig!$A$3:$B$55,2,FALSE))),(C224*(VLOOKUP('Crédito de Vivienda'!$C$26,Seguros_Oblig!$A$3:$D$55,4,FALSE))))</f>
        <v>#VALUE!</v>
      </c>
      <c r="I225" s="8" t="e">
        <f>IF('Crédito de Vivienda'!$C$10="TARIFA 1",(C224*(VLOOKUP('Crédito de Vivienda'!$C$27,Seguros_Oblig!$A$3:$B$55,2,FALSE))),(C224*(VLOOKUP('Crédito de Vivienda'!$C$27,Seguros_Oblig!$A$3:$D$55,4,FALSE))))</f>
        <v>#VALUE!</v>
      </c>
      <c r="J225" s="10">
        <f t="shared" si="21"/>
        <v>0</v>
      </c>
      <c r="K225" s="7" t="e">
        <f>IF(C224&lt;1,"0",Seguros_Oblig!$K$2*('Crédito de Vivienda'!$C$12*90%))</f>
        <v>#VALUE!</v>
      </c>
      <c r="L225" s="7" t="e">
        <f>IF(B225=" ","0",PMT('Crédito de Vivienda'!$E$17,'Crédito de Vivienda'!$C$18,-'Crédito de Vivienda'!$C$15,,))</f>
        <v>#VALUE!</v>
      </c>
      <c r="M225" s="9" t="e">
        <f t="shared" si="22"/>
        <v>#VALUE!</v>
      </c>
      <c r="N225" s="7" t="e">
        <f>IF(C224&lt;1,"0",'Crédito de Vivienda'!$C$40)</f>
        <v>#VALUE!</v>
      </c>
      <c r="O225" s="9" t="e">
        <f t="shared" si="23"/>
        <v>#VALUE!</v>
      </c>
    </row>
    <row r="226" spans="2:15" ht="15.5" x14ac:dyDescent="0.35">
      <c r="B226" s="6" t="e">
        <f t="shared" si="19"/>
        <v>#VALUE!</v>
      </c>
      <c r="C226" s="7" t="e">
        <f t="shared" si="20"/>
        <v>#VALUE!</v>
      </c>
      <c r="D226" s="7" t="e">
        <f t="shared" si="24"/>
        <v>#VALUE!</v>
      </c>
      <c r="E226" s="7" t="e">
        <f>C225*'Crédito de Vivienda'!$E$17</f>
        <v>#VALUE!</v>
      </c>
      <c r="F226" s="282" t="e">
        <f>IF(C225&lt;1,"0",IF('Crédito de Vivienda'!$D$28="Si",($C$17*(VLOOKUP('Crédito de Vivienda'!$C$24,Seguros_Oblig!$A$3:$F$55,6,FALSE))),IF('Crédito de Vivienda'!$C$10="TARIFA 1",(C225*(VLOOKUP('Crédito de Vivienda'!$C$24,Seguros_Oblig!$A$3:$B$55,2,FALSE))),(C225*(VLOOKUP('Crédito de Vivienda'!$C$24,Seguros_Oblig!$A$3:$D$55,4,FALSE))))))</f>
        <v>#VALUE!</v>
      </c>
      <c r="G226" s="8" t="e">
        <f>IF('Crédito de Vivienda'!$C$10="TARIFA 1",(C225*(VLOOKUP('Crédito de Vivienda'!$C$25,Seguros_Oblig!$A$3:$B$55,2,FALSE))),(C225*(VLOOKUP('Crédito de Vivienda'!$C$25,Seguros_Oblig!$A$3:$D$55,4,FALSE))))</f>
        <v>#VALUE!</v>
      </c>
      <c r="H226" s="8" t="e">
        <f>IF('Crédito de Vivienda'!$C$10="TARIFA 1",(C225*(VLOOKUP('Crédito de Vivienda'!$C$26,Seguros_Oblig!$A$3:$B$55,2,FALSE))),(C225*(VLOOKUP('Crédito de Vivienda'!$C$26,Seguros_Oblig!$A$3:$D$55,4,FALSE))))</f>
        <v>#VALUE!</v>
      </c>
      <c r="I226" s="8" t="e">
        <f>IF('Crédito de Vivienda'!$C$10="TARIFA 1",(C225*(VLOOKUP('Crédito de Vivienda'!$C$27,Seguros_Oblig!$A$3:$B$55,2,FALSE))),(C225*(VLOOKUP('Crédito de Vivienda'!$C$27,Seguros_Oblig!$A$3:$D$55,4,FALSE))))</f>
        <v>#VALUE!</v>
      </c>
      <c r="J226" s="10">
        <f t="shared" si="21"/>
        <v>0</v>
      </c>
      <c r="K226" s="7" t="e">
        <f>IF(C225&lt;1,"0",Seguros_Oblig!$K$2*('Crédito de Vivienda'!$C$12*90%))</f>
        <v>#VALUE!</v>
      </c>
      <c r="L226" s="7" t="e">
        <f>IF(B226=" ","0",PMT('Crédito de Vivienda'!$E$17,'Crédito de Vivienda'!$C$18,-'Crédito de Vivienda'!$C$15,,))</f>
        <v>#VALUE!</v>
      </c>
      <c r="M226" s="9" t="e">
        <f t="shared" si="22"/>
        <v>#VALUE!</v>
      </c>
      <c r="N226" s="7" t="e">
        <f>IF(C225&lt;1,"0",'Crédito de Vivienda'!$C$40)</f>
        <v>#VALUE!</v>
      </c>
      <c r="O226" s="9" t="e">
        <f t="shared" si="23"/>
        <v>#VALUE!</v>
      </c>
    </row>
    <row r="227" spans="2:15" ht="15.5" x14ac:dyDescent="0.35">
      <c r="B227" s="6" t="e">
        <f t="shared" si="19"/>
        <v>#VALUE!</v>
      </c>
      <c r="C227" s="7" t="e">
        <f t="shared" si="20"/>
        <v>#VALUE!</v>
      </c>
      <c r="D227" s="7" t="e">
        <f t="shared" si="24"/>
        <v>#VALUE!</v>
      </c>
      <c r="E227" s="7" t="e">
        <f>C226*'Crédito de Vivienda'!$E$17</f>
        <v>#VALUE!</v>
      </c>
      <c r="F227" s="282" t="e">
        <f>IF(C226&lt;1,"0",IF('Crédito de Vivienda'!$D$28="Si",($C$17*(VLOOKUP('Crédito de Vivienda'!$C$24,Seguros_Oblig!$A$3:$F$55,6,FALSE))),IF('Crédito de Vivienda'!$C$10="TARIFA 1",(C226*(VLOOKUP('Crédito de Vivienda'!$C$24,Seguros_Oblig!$A$3:$B$55,2,FALSE))),(C226*(VLOOKUP('Crédito de Vivienda'!$C$24,Seguros_Oblig!$A$3:$D$55,4,FALSE))))))</f>
        <v>#VALUE!</v>
      </c>
      <c r="G227" s="8" t="e">
        <f>IF('Crédito de Vivienda'!$C$10="TARIFA 1",(C226*(VLOOKUP('Crédito de Vivienda'!$C$25,Seguros_Oblig!$A$3:$B$55,2,FALSE))),(C226*(VLOOKUP('Crédito de Vivienda'!$C$25,Seguros_Oblig!$A$3:$D$55,4,FALSE))))</f>
        <v>#VALUE!</v>
      </c>
      <c r="H227" s="8" t="e">
        <f>IF('Crédito de Vivienda'!$C$10="TARIFA 1",(C226*(VLOOKUP('Crédito de Vivienda'!$C$26,Seguros_Oblig!$A$3:$B$55,2,FALSE))),(C226*(VLOOKUP('Crédito de Vivienda'!$C$26,Seguros_Oblig!$A$3:$D$55,4,FALSE))))</f>
        <v>#VALUE!</v>
      </c>
      <c r="I227" s="8" t="e">
        <f>IF('Crédito de Vivienda'!$C$10="TARIFA 1",(C226*(VLOOKUP('Crédito de Vivienda'!$C$27,Seguros_Oblig!$A$3:$B$55,2,FALSE))),(C226*(VLOOKUP('Crédito de Vivienda'!$C$27,Seguros_Oblig!$A$3:$D$55,4,FALSE))))</f>
        <v>#VALUE!</v>
      </c>
      <c r="J227" s="10">
        <f t="shared" si="21"/>
        <v>0</v>
      </c>
      <c r="K227" s="7" t="e">
        <f>IF(C226&lt;1,"0",Seguros_Oblig!$K$2*('Crédito de Vivienda'!$C$12*90%))</f>
        <v>#VALUE!</v>
      </c>
      <c r="L227" s="7" t="e">
        <f>IF(B227=" ","0",PMT('Crédito de Vivienda'!$E$17,'Crédito de Vivienda'!$C$18,-'Crédito de Vivienda'!$C$15,,))</f>
        <v>#VALUE!</v>
      </c>
      <c r="M227" s="9" t="e">
        <f t="shared" si="22"/>
        <v>#VALUE!</v>
      </c>
      <c r="N227" s="7" t="e">
        <f>IF(C226&lt;1,"0",'Crédito de Vivienda'!$C$40)</f>
        <v>#VALUE!</v>
      </c>
      <c r="O227" s="9" t="e">
        <f t="shared" si="23"/>
        <v>#VALUE!</v>
      </c>
    </row>
    <row r="228" spans="2:15" ht="15.5" x14ac:dyDescent="0.35">
      <c r="B228" s="6" t="e">
        <f t="shared" si="19"/>
        <v>#VALUE!</v>
      </c>
      <c r="C228" s="7" t="e">
        <f t="shared" si="20"/>
        <v>#VALUE!</v>
      </c>
      <c r="D228" s="7" t="e">
        <f t="shared" si="24"/>
        <v>#VALUE!</v>
      </c>
      <c r="E228" s="7" t="e">
        <f>C227*'Crédito de Vivienda'!$E$17</f>
        <v>#VALUE!</v>
      </c>
      <c r="F228" s="282" t="e">
        <f>IF(C227&lt;1,"0",IF('Crédito de Vivienda'!$D$28="Si",($C$17*(VLOOKUP('Crédito de Vivienda'!$C$24,Seguros_Oblig!$A$3:$F$55,6,FALSE))),IF('Crédito de Vivienda'!$C$10="TARIFA 1",(C227*(VLOOKUP('Crédito de Vivienda'!$C$24,Seguros_Oblig!$A$3:$B$55,2,FALSE))),(C227*(VLOOKUP('Crédito de Vivienda'!$C$24,Seguros_Oblig!$A$3:$D$55,4,FALSE))))))</f>
        <v>#VALUE!</v>
      </c>
      <c r="G228" s="8" t="e">
        <f>IF('Crédito de Vivienda'!$C$10="TARIFA 1",(C227*(VLOOKUP('Crédito de Vivienda'!$C$25,Seguros_Oblig!$A$3:$B$55,2,FALSE))),(C227*(VLOOKUP('Crédito de Vivienda'!$C$25,Seguros_Oblig!$A$3:$D$55,4,FALSE))))</f>
        <v>#VALUE!</v>
      </c>
      <c r="H228" s="8" t="e">
        <f>IF('Crédito de Vivienda'!$C$10="TARIFA 1",(C227*(VLOOKUP('Crédito de Vivienda'!$C$26,Seguros_Oblig!$A$3:$B$55,2,FALSE))),(C227*(VLOOKUP('Crédito de Vivienda'!$C$26,Seguros_Oblig!$A$3:$D$55,4,FALSE))))</f>
        <v>#VALUE!</v>
      </c>
      <c r="I228" s="8" t="e">
        <f>IF('Crédito de Vivienda'!$C$10="TARIFA 1",(C227*(VLOOKUP('Crédito de Vivienda'!$C$27,Seguros_Oblig!$A$3:$B$55,2,FALSE))),(C227*(VLOOKUP('Crédito de Vivienda'!$C$27,Seguros_Oblig!$A$3:$D$55,4,FALSE))))</f>
        <v>#VALUE!</v>
      </c>
      <c r="J228" s="10">
        <f t="shared" si="21"/>
        <v>0</v>
      </c>
      <c r="K228" s="7" t="e">
        <f>IF(C227&lt;1,"0",Seguros_Oblig!$K$2*('Crédito de Vivienda'!$C$12*90%))</f>
        <v>#VALUE!</v>
      </c>
      <c r="L228" s="7" t="e">
        <f>IF(B228=" ","0",PMT('Crédito de Vivienda'!$E$17,'Crédito de Vivienda'!$C$18,-'Crédito de Vivienda'!$C$15,,))</f>
        <v>#VALUE!</v>
      </c>
      <c r="M228" s="9" t="e">
        <f t="shared" si="22"/>
        <v>#VALUE!</v>
      </c>
      <c r="N228" s="7" t="e">
        <f>IF(C227&lt;1,"0",'Crédito de Vivienda'!$C$40)</f>
        <v>#VALUE!</v>
      </c>
      <c r="O228" s="9" t="e">
        <f t="shared" si="23"/>
        <v>#VALUE!</v>
      </c>
    </row>
    <row r="229" spans="2:15" ht="15.5" x14ac:dyDescent="0.35">
      <c r="B229" s="6" t="e">
        <f t="shared" si="19"/>
        <v>#VALUE!</v>
      </c>
      <c r="C229" s="7" t="e">
        <f t="shared" si="20"/>
        <v>#VALUE!</v>
      </c>
      <c r="D229" s="7" t="e">
        <f t="shared" si="24"/>
        <v>#VALUE!</v>
      </c>
      <c r="E229" s="7" t="e">
        <f>C228*'Crédito de Vivienda'!$E$17</f>
        <v>#VALUE!</v>
      </c>
      <c r="F229" s="282" t="e">
        <f>IF(C228&lt;1,"0",IF('Crédito de Vivienda'!$D$28="Si",($C$17*(VLOOKUP('Crédito de Vivienda'!$C$24,Seguros_Oblig!$A$3:$F$55,6,FALSE))),IF('Crédito de Vivienda'!$C$10="TARIFA 1",(C228*(VLOOKUP('Crédito de Vivienda'!$C$24,Seguros_Oblig!$A$3:$B$55,2,FALSE))),(C228*(VLOOKUP('Crédito de Vivienda'!$C$24,Seguros_Oblig!$A$3:$D$55,4,FALSE))))))</f>
        <v>#VALUE!</v>
      </c>
      <c r="G229" s="8" t="e">
        <f>IF('Crédito de Vivienda'!$C$10="TARIFA 1",(C228*(VLOOKUP('Crédito de Vivienda'!$C$25,Seguros_Oblig!$A$3:$B$55,2,FALSE))),(C228*(VLOOKUP('Crédito de Vivienda'!$C$25,Seguros_Oblig!$A$3:$D$55,4,FALSE))))</f>
        <v>#VALUE!</v>
      </c>
      <c r="H229" s="8" t="e">
        <f>IF('Crédito de Vivienda'!$C$10="TARIFA 1",(C228*(VLOOKUP('Crédito de Vivienda'!$C$26,Seguros_Oblig!$A$3:$B$55,2,FALSE))),(C228*(VLOOKUP('Crédito de Vivienda'!$C$26,Seguros_Oblig!$A$3:$D$55,4,FALSE))))</f>
        <v>#VALUE!</v>
      </c>
      <c r="I229" s="8" t="e">
        <f>IF('Crédito de Vivienda'!$C$10="TARIFA 1",(C228*(VLOOKUP('Crédito de Vivienda'!$C$27,Seguros_Oblig!$A$3:$B$55,2,FALSE))),(C228*(VLOOKUP('Crédito de Vivienda'!$C$27,Seguros_Oblig!$A$3:$D$55,4,FALSE))))</f>
        <v>#VALUE!</v>
      </c>
      <c r="J229" s="10">
        <f t="shared" si="21"/>
        <v>0</v>
      </c>
      <c r="K229" s="7" t="e">
        <f>IF(C228&lt;1,"0",Seguros_Oblig!$K$2*('Crédito de Vivienda'!$C$12*90%))</f>
        <v>#VALUE!</v>
      </c>
      <c r="L229" s="7" t="e">
        <f>IF(B229=" ","0",PMT('Crédito de Vivienda'!$E$17,'Crédito de Vivienda'!$C$18,-'Crédito de Vivienda'!$C$15,,))</f>
        <v>#VALUE!</v>
      </c>
      <c r="M229" s="9" t="e">
        <f t="shared" si="22"/>
        <v>#VALUE!</v>
      </c>
      <c r="N229" s="7" t="e">
        <f>IF(C228&lt;1,"0",'Crédito de Vivienda'!$C$40)</f>
        <v>#VALUE!</v>
      </c>
      <c r="O229" s="9" t="e">
        <f t="shared" si="23"/>
        <v>#VALUE!</v>
      </c>
    </row>
    <row r="230" spans="2:15" ht="15.5" x14ac:dyDescent="0.35">
      <c r="B230" s="6" t="e">
        <f t="shared" si="19"/>
        <v>#VALUE!</v>
      </c>
      <c r="C230" s="7" t="e">
        <f t="shared" si="20"/>
        <v>#VALUE!</v>
      </c>
      <c r="D230" s="7" t="e">
        <f t="shared" si="24"/>
        <v>#VALUE!</v>
      </c>
      <c r="E230" s="7" t="e">
        <f>C229*'Crédito de Vivienda'!$E$17</f>
        <v>#VALUE!</v>
      </c>
      <c r="F230" s="282" t="e">
        <f>IF(C229&lt;1,"0",IF('Crédito de Vivienda'!$D$28="Si",($C$17*(VLOOKUP('Crédito de Vivienda'!$C$24,Seguros_Oblig!$A$3:$F$55,6,FALSE))),IF('Crédito de Vivienda'!$C$10="TARIFA 1",(C229*(VLOOKUP('Crédito de Vivienda'!$C$24,Seguros_Oblig!$A$3:$B$55,2,FALSE))),(C229*(VLOOKUP('Crédito de Vivienda'!$C$24,Seguros_Oblig!$A$3:$D$55,4,FALSE))))))</f>
        <v>#VALUE!</v>
      </c>
      <c r="G230" s="8" t="e">
        <f>IF('Crédito de Vivienda'!$C$10="TARIFA 1",(C229*(VLOOKUP('Crédito de Vivienda'!$C$25,Seguros_Oblig!$A$3:$B$55,2,FALSE))),(C229*(VLOOKUP('Crédito de Vivienda'!$C$25,Seguros_Oblig!$A$3:$D$55,4,FALSE))))</f>
        <v>#VALUE!</v>
      </c>
      <c r="H230" s="8" t="e">
        <f>IF('Crédito de Vivienda'!$C$10="TARIFA 1",(C229*(VLOOKUP('Crédito de Vivienda'!$C$26,Seguros_Oblig!$A$3:$B$55,2,FALSE))),(C229*(VLOOKUP('Crédito de Vivienda'!$C$26,Seguros_Oblig!$A$3:$D$55,4,FALSE))))</f>
        <v>#VALUE!</v>
      </c>
      <c r="I230" s="8" t="e">
        <f>IF('Crédito de Vivienda'!$C$10="TARIFA 1",(C229*(VLOOKUP('Crédito de Vivienda'!$C$27,Seguros_Oblig!$A$3:$B$55,2,FALSE))),(C229*(VLOOKUP('Crédito de Vivienda'!$C$27,Seguros_Oblig!$A$3:$D$55,4,FALSE))))</f>
        <v>#VALUE!</v>
      </c>
      <c r="J230" s="10">
        <f t="shared" si="21"/>
        <v>0</v>
      </c>
      <c r="K230" s="7" t="e">
        <f>IF(C229&lt;1,"0",Seguros_Oblig!$K$2*('Crédito de Vivienda'!$C$12*90%))</f>
        <v>#VALUE!</v>
      </c>
      <c r="L230" s="7" t="e">
        <f>IF(B230=" ","0",PMT('Crédito de Vivienda'!$E$17,'Crédito de Vivienda'!$C$18,-'Crédito de Vivienda'!$C$15,,))</f>
        <v>#VALUE!</v>
      </c>
      <c r="M230" s="9" t="e">
        <f t="shared" si="22"/>
        <v>#VALUE!</v>
      </c>
      <c r="N230" s="7" t="e">
        <f>IF(C229&lt;1,"0",'Crédito de Vivienda'!$C$40)</f>
        <v>#VALUE!</v>
      </c>
      <c r="O230" s="9" t="e">
        <f t="shared" si="23"/>
        <v>#VALUE!</v>
      </c>
    </row>
    <row r="231" spans="2:15" ht="15.5" x14ac:dyDescent="0.35">
      <c r="B231" s="6" t="e">
        <f t="shared" si="19"/>
        <v>#VALUE!</v>
      </c>
      <c r="C231" s="7" t="e">
        <f t="shared" si="20"/>
        <v>#VALUE!</v>
      </c>
      <c r="D231" s="7" t="e">
        <f t="shared" si="24"/>
        <v>#VALUE!</v>
      </c>
      <c r="E231" s="7" t="e">
        <f>C230*'Crédito de Vivienda'!$E$17</f>
        <v>#VALUE!</v>
      </c>
      <c r="F231" s="282" t="e">
        <f>IF(C230&lt;1,"0",IF('Crédito de Vivienda'!$D$28="Si",($C$17*(VLOOKUP('Crédito de Vivienda'!$C$24,Seguros_Oblig!$A$3:$F$55,6,FALSE))),IF('Crédito de Vivienda'!$C$10="TARIFA 1",(C230*(VLOOKUP('Crédito de Vivienda'!$C$24,Seguros_Oblig!$A$3:$B$55,2,FALSE))),(C230*(VLOOKUP('Crédito de Vivienda'!$C$24,Seguros_Oblig!$A$3:$D$55,4,FALSE))))))</f>
        <v>#VALUE!</v>
      </c>
      <c r="G231" s="8" t="e">
        <f>IF('Crédito de Vivienda'!$C$10="TARIFA 1",(C230*(VLOOKUP('Crédito de Vivienda'!$C$25,Seguros_Oblig!$A$3:$B$55,2,FALSE))),(C230*(VLOOKUP('Crédito de Vivienda'!$C$25,Seguros_Oblig!$A$3:$D$55,4,FALSE))))</f>
        <v>#VALUE!</v>
      </c>
      <c r="H231" s="8" t="e">
        <f>IF('Crédito de Vivienda'!$C$10="TARIFA 1",(C230*(VLOOKUP('Crédito de Vivienda'!$C$26,Seguros_Oblig!$A$3:$B$55,2,FALSE))),(C230*(VLOOKUP('Crédito de Vivienda'!$C$26,Seguros_Oblig!$A$3:$D$55,4,FALSE))))</f>
        <v>#VALUE!</v>
      </c>
      <c r="I231" s="8" t="e">
        <f>IF('Crédito de Vivienda'!$C$10="TARIFA 1",(C230*(VLOOKUP('Crédito de Vivienda'!$C$27,Seguros_Oblig!$A$3:$B$55,2,FALSE))),(C230*(VLOOKUP('Crédito de Vivienda'!$C$27,Seguros_Oblig!$A$3:$D$55,4,FALSE))))</f>
        <v>#VALUE!</v>
      </c>
      <c r="J231" s="10">
        <f t="shared" si="21"/>
        <v>0</v>
      </c>
      <c r="K231" s="7" t="e">
        <f>IF(C230&lt;1,"0",Seguros_Oblig!$K$2*('Crédito de Vivienda'!$C$12*90%))</f>
        <v>#VALUE!</v>
      </c>
      <c r="L231" s="7" t="e">
        <f>IF(B231=" ","0",PMT('Crédito de Vivienda'!$E$17,'Crédito de Vivienda'!$C$18,-'Crédito de Vivienda'!$C$15,,))</f>
        <v>#VALUE!</v>
      </c>
      <c r="M231" s="9" t="e">
        <f t="shared" si="22"/>
        <v>#VALUE!</v>
      </c>
      <c r="N231" s="7" t="e">
        <f>IF(C230&lt;1,"0",'Crédito de Vivienda'!$C$40)</f>
        <v>#VALUE!</v>
      </c>
      <c r="O231" s="9" t="e">
        <f t="shared" si="23"/>
        <v>#VALUE!</v>
      </c>
    </row>
    <row r="232" spans="2:15" ht="15.5" x14ac:dyDescent="0.35">
      <c r="B232" s="6" t="e">
        <f t="shared" si="19"/>
        <v>#VALUE!</v>
      </c>
      <c r="C232" s="7" t="e">
        <f t="shared" si="20"/>
        <v>#VALUE!</v>
      </c>
      <c r="D232" s="7" t="e">
        <f t="shared" si="24"/>
        <v>#VALUE!</v>
      </c>
      <c r="E232" s="7" t="e">
        <f>C231*'Crédito de Vivienda'!$E$17</f>
        <v>#VALUE!</v>
      </c>
      <c r="F232" s="282" t="e">
        <f>IF(C231&lt;1,"0",IF('Crédito de Vivienda'!$D$28="Si",($C$17*(VLOOKUP('Crédito de Vivienda'!$C$24,Seguros_Oblig!$A$3:$F$55,6,FALSE))),IF('Crédito de Vivienda'!$C$10="TARIFA 1",(C231*(VLOOKUP('Crédito de Vivienda'!$C$24,Seguros_Oblig!$A$3:$B$55,2,FALSE))),(C231*(VLOOKUP('Crédito de Vivienda'!$C$24,Seguros_Oblig!$A$3:$D$55,4,FALSE))))))</f>
        <v>#VALUE!</v>
      </c>
      <c r="G232" s="8" t="e">
        <f>IF('Crédito de Vivienda'!$C$10="TARIFA 1",(C231*(VLOOKUP('Crédito de Vivienda'!$C$25,Seguros_Oblig!$A$3:$B$55,2,FALSE))),(C231*(VLOOKUP('Crédito de Vivienda'!$C$25,Seguros_Oblig!$A$3:$D$55,4,FALSE))))</f>
        <v>#VALUE!</v>
      </c>
      <c r="H232" s="8" t="e">
        <f>IF('Crédito de Vivienda'!$C$10="TARIFA 1",(C231*(VLOOKUP('Crédito de Vivienda'!$C$26,Seguros_Oblig!$A$3:$B$55,2,FALSE))),(C231*(VLOOKUP('Crédito de Vivienda'!$C$26,Seguros_Oblig!$A$3:$D$55,4,FALSE))))</f>
        <v>#VALUE!</v>
      </c>
      <c r="I232" s="8" t="e">
        <f>IF('Crédito de Vivienda'!$C$10="TARIFA 1",(C231*(VLOOKUP('Crédito de Vivienda'!$C$27,Seguros_Oblig!$A$3:$B$55,2,FALSE))),(C231*(VLOOKUP('Crédito de Vivienda'!$C$27,Seguros_Oblig!$A$3:$D$55,4,FALSE))))</f>
        <v>#VALUE!</v>
      </c>
      <c r="J232" s="10">
        <f t="shared" si="21"/>
        <v>0</v>
      </c>
      <c r="K232" s="7" t="e">
        <f>IF(C231&lt;1,"0",Seguros_Oblig!$K$2*('Crédito de Vivienda'!$C$12*90%))</f>
        <v>#VALUE!</v>
      </c>
      <c r="L232" s="7" t="e">
        <f>IF(B232=" ","0",PMT('Crédito de Vivienda'!$E$17,'Crédito de Vivienda'!$C$18,-'Crédito de Vivienda'!$C$15,,))</f>
        <v>#VALUE!</v>
      </c>
      <c r="M232" s="9" t="e">
        <f t="shared" si="22"/>
        <v>#VALUE!</v>
      </c>
      <c r="N232" s="7" t="e">
        <f>IF(C231&lt;1,"0",'Crédito de Vivienda'!$C$40)</f>
        <v>#VALUE!</v>
      </c>
      <c r="O232" s="9" t="e">
        <f t="shared" si="23"/>
        <v>#VALUE!</v>
      </c>
    </row>
    <row r="233" spans="2:15" ht="15.5" x14ac:dyDescent="0.35">
      <c r="B233" s="6" t="e">
        <f t="shared" si="19"/>
        <v>#VALUE!</v>
      </c>
      <c r="C233" s="7" t="e">
        <f t="shared" si="20"/>
        <v>#VALUE!</v>
      </c>
      <c r="D233" s="7" t="e">
        <f t="shared" si="24"/>
        <v>#VALUE!</v>
      </c>
      <c r="E233" s="7" t="e">
        <f>C232*'Crédito de Vivienda'!$E$17</f>
        <v>#VALUE!</v>
      </c>
      <c r="F233" s="282" t="e">
        <f>IF(C232&lt;1,"0",IF('Crédito de Vivienda'!$D$28="Si",($C$17*(VLOOKUP('Crédito de Vivienda'!$C$24,Seguros_Oblig!$A$3:$F$55,6,FALSE))),IF('Crédito de Vivienda'!$C$10="TARIFA 1",(C232*(VLOOKUP('Crédito de Vivienda'!$C$24,Seguros_Oblig!$A$3:$B$55,2,FALSE))),(C232*(VLOOKUP('Crédito de Vivienda'!$C$24,Seguros_Oblig!$A$3:$D$55,4,FALSE))))))</f>
        <v>#VALUE!</v>
      </c>
      <c r="G233" s="8" t="e">
        <f>IF('Crédito de Vivienda'!$C$10="TARIFA 1",(C232*(VLOOKUP('Crédito de Vivienda'!$C$25,Seguros_Oblig!$A$3:$B$55,2,FALSE))),(C232*(VLOOKUP('Crédito de Vivienda'!$C$25,Seguros_Oblig!$A$3:$D$55,4,FALSE))))</f>
        <v>#VALUE!</v>
      </c>
      <c r="H233" s="8" t="e">
        <f>IF('Crédito de Vivienda'!$C$10="TARIFA 1",(C232*(VLOOKUP('Crédito de Vivienda'!$C$26,Seguros_Oblig!$A$3:$B$55,2,FALSE))),(C232*(VLOOKUP('Crédito de Vivienda'!$C$26,Seguros_Oblig!$A$3:$D$55,4,FALSE))))</f>
        <v>#VALUE!</v>
      </c>
      <c r="I233" s="8" t="e">
        <f>IF('Crédito de Vivienda'!$C$10="TARIFA 1",(C232*(VLOOKUP('Crédito de Vivienda'!$C$27,Seguros_Oblig!$A$3:$B$55,2,FALSE))),(C232*(VLOOKUP('Crédito de Vivienda'!$C$27,Seguros_Oblig!$A$3:$D$55,4,FALSE))))</f>
        <v>#VALUE!</v>
      </c>
      <c r="J233" s="10">
        <f t="shared" si="21"/>
        <v>0</v>
      </c>
      <c r="K233" s="7" t="e">
        <f>IF(C232&lt;1,"0",Seguros_Oblig!$K$2*('Crédito de Vivienda'!$C$12*90%))</f>
        <v>#VALUE!</v>
      </c>
      <c r="L233" s="7" t="e">
        <f>IF(B233=" ","0",PMT('Crédito de Vivienda'!$E$17,'Crédito de Vivienda'!$C$18,-'Crédito de Vivienda'!$C$15,,))</f>
        <v>#VALUE!</v>
      </c>
      <c r="M233" s="9" t="e">
        <f t="shared" si="22"/>
        <v>#VALUE!</v>
      </c>
      <c r="N233" s="7" t="e">
        <f>IF(C232&lt;1,"0",'Crédito de Vivienda'!$C$40)</f>
        <v>#VALUE!</v>
      </c>
      <c r="O233" s="9" t="e">
        <f t="shared" si="23"/>
        <v>#VALUE!</v>
      </c>
    </row>
    <row r="234" spans="2:15" ht="15.5" x14ac:dyDescent="0.35">
      <c r="B234" s="6" t="e">
        <f t="shared" si="19"/>
        <v>#VALUE!</v>
      </c>
      <c r="C234" s="7" t="e">
        <f t="shared" si="20"/>
        <v>#VALUE!</v>
      </c>
      <c r="D234" s="7" t="e">
        <f t="shared" si="24"/>
        <v>#VALUE!</v>
      </c>
      <c r="E234" s="7" t="e">
        <f>C233*'Crédito de Vivienda'!$E$17</f>
        <v>#VALUE!</v>
      </c>
      <c r="F234" s="282" t="e">
        <f>IF(C233&lt;1,"0",IF('Crédito de Vivienda'!$D$28="Si",($C$17*(VLOOKUP('Crédito de Vivienda'!$C$24,Seguros_Oblig!$A$3:$F$55,6,FALSE))),IF('Crédito de Vivienda'!$C$10="TARIFA 1",(C233*(VLOOKUP('Crédito de Vivienda'!$C$24,Seguros_Oblig!$A$3:$B$55,2,FALSE))),(C233*(VLOOKUP('Crédito de Vivienda'!$C$24,Seguros_Oblig!$A$3:$D$55,4,FALSE))))))</f>
        <v>#VALUE!</v>
      </c>
      <c r="G234" s="8" t="e">
        <f>IF('Crédito de Vivienda'!$C$10="TARIFA 1",(C233*(VLOOKUP('Crédito de Vivienda'!$C$25,Seguros_Oblig!$A$3:$B$55,2,FALSE))),(C233*(VLOOKUP('Crédito de Vivienda'!$C$25,Seguros_Oblig!$A$3:$D$55,4,FALSE))))</f>
        <v>#VALUE!</v>
      </c>
      <c r="H234" s="8" t="e">
        <f>IF('Crédito de Vivienda'!$C$10="TARIFA 1",(C233*(VLOOKUP('Crédito de Vivienda'!$C$26,Seguros_Oblig!$A$3:$B$55,2,FALSE))),(C233*(VLOOKUP('Crédito de Vivienda'!$C$26,Seguros_Oblig!$A$3:$D$55,4,FALSE))))</f>
        <v>#VALUE!</v>
      </c>
      <c r="I234" s="8" t="e">
        <f>IF('Crédito de Vivienda'!$C$10="TARIFA 1",(C233*(VLOOKUP('Crédito de Vivienda'!$C$27,Seguros_Oblig!$A$3:$B$55,2,FALSE))),(C233*(VLOOKUP('Crédito de Vivienda'!$C$27,Seguros_Oblig!$A$3:$D$55,4,FALSE))))</f>
        <v>#VALUE!</v>
      </c>
      <c r="J234" s="10">
        <f t="shared" si="21"/>
        <v>0</v>
      </c>
      <c r="K234" s="7" t="e">
        <f>IF(C233&lt;1,"0",Seguros_Oblig!$K$2*('Crédito de Vivienda'!$C$12*90%))</f>
        <v>#VALUE!</v>
      </c>
      <c r="L234" s="7" t="e">
        <f>IF(B234=" ","0",PMT('Crédito de Vivienda'!$E$17,'Crédito de Vivienda'!$C$18,-'Crédito de Vivienda'!$C$15,,))</f>
        <v>#VALUE!</v>
      </c>
      <c r="M234" s="9" t="e">
        <f t="shared" si="22"/>
        <v>#VALUE!</v>
      </c>
      <c r="N234" s="7" t="e">
        <f>IF(C233&lt;1,"0",'Crédito de Vivienda'!$C$40)</f>
        <v>#VALUE!</v>
      </c>
      <c r="O234" s="9" t="e">
        <f t="shared" si="23"/>
        <v>#VALUE!</v>
      </c>
    </row>
    <row r="235" spans="2:15" ht="15.5" x14ac:dyDescent="0.35">
      <c r="B235" s="6" t="e">
        <f t="shared" si="19"/>
        <v>#VALUE!</v>
      </c>
      <c r="C235" s="7" t="e">
        <f t="shared" si="20"/>
        <v>#VALUE!</v>
      </c>
      <c r="D235" s="7" t="e">
        <f t="shared" si="24"/>
        <v>#VALUE!</v>
      </c>
      <c r="E235" s="7" t="e">
        <f>C234*'Crédito de Vivienda'!$E$17</f>
        <v>#VALUE!</v>
      </c>
      <c r="F235" s="282" t="e">
        <f>IF(C234&lt;1,"0",IF('Crédito de Vivienda'!$D$28="Si",($C$17*(VLOOKUP('Crédito de Vivienda'!$C$24,Seguros_Oblig!$A$3:$F$55,6,FALSE))),IF('Crédito de Vivienda'!$C$10="TARIFA 1",(C234*(VLOOKUP('Crédito de Vivienda'!$C$24,Seguros_Oblig!$A$3:$B$55,2,FALSE))),(C234*(VLOOKUP('Crédito de Vivienda'!$C$24,Seguros_Oblig!$A$3:$D$55,4,FALSE))))))</f>
        <v>#VALUE!</v>
      </c>
      <c r="G235" s="8" t="e">
        <f>IF('Crédito de Vivienda'!$C$10="TARIFA 1",(C234*(VLOOKUP('Crédito de Vivienda'!$C$25,Seguros_Oblig!$A$3:$B$55,2,FALSE))),(C234*(VLOOKUP('Crédito de Vivienda'!$C$25,Seguros_Oblig!$A$3:$D$55,4,FALSE))))</f>
        <v>#VALUE!</v>
      </c>
      <c r="H235" s="8" t="e">
        <f>IF('Crédito de Vivienda'!$C$10="TARIFA 1",(C234*(VLOOKUP('Crédito de Vivienda'!$C$26,Seguros_Oblig!$A$3:$B$55,2,FALSE))),(C234*(VLOOKUP('Crédito de Vivienda'!$C$26,Seguros_Oblig!$A$3:$D$55,4,FALSE))))</f>
        <v>#VALUE!</v>
      </c>
      <c r="I235" s="8" t="e">
        <f>IF('Crédito de Vivienda'!$C$10="TARIFA 1",(C234*(VLOOKUP('Crédito de Vivienda'!$C$27,Seguros_Oblig!$A$3:$B$55,2,FALSE))),(C234*(VLOOKUP('Crédito de Vivienda'!$C$27,Seguros_Oblig!$A$3:$D$55,4,FALSE))))</f>
        <v>#VALUE!</v>
      </c>
      <c r="J235" s="10">
        <f t="shared" si="21"/>
        <v>0</v>
      </c>
      <c r="K235" s="7" t="e">
        <f>IF(C234&lt;1,"0",Seguros_Oblig!$K$2*('Crédito de Vivienda'!$C$12*90%))</f>
        <v>#VALUE!</v>
      </c>
      <c r="L235" s="7" t="e">
        <f>IF(B235=" ","0",PMT('Crédito de Vivienda'!$E$17,'Crédito de Vivienda'!$C$18,-'Crédito de Vivienda'!$C$15,,))</f>
        <v>#VALUE!</v>
      </c>
      <c r="M235" s="9" t="e">
        <f t="shared" si="22"/>
        <v>#VALUE!</v>
      </c>
      <c r="N235" s="7" t="e">
        <f>IF(C234&lt;1,"0",'Crédito de Vivienda'!$C$40)</f>
        <v>#VALUE!</v>
      </c>
      <c r="O235" s="9" t="e">
        <f t="shared" si="23"/>
        <v>#VALUE!</v>
      </c>
    </row>
    <row r="236" spans="2:15" ht="15.5" x14ac:dyDescent="0.35">
      <c r="B236" s="6" t="e">
        <f t="shared" si="19"/>
        <v>#VALUE!</v>
      </c>
      <c r="C236" s="7" t="e">
        <f t="shared" si="20"/>
        <v>#VALUE!</v>
      </c>
      <c r="D236" s="7" t="e">
        <f t="shared" si="24"/>
        <v>#VALUE!</v>
      </c>
      <c r="E236" s="7" t="e">
        <f>C235*'Crédito de Vivienda'!$E$17</f>
        <v>#VALUE!</v>
      </c>
      <c r="F236" s="282" t="e">
        <f>IF(C235&lt;1,"0",IF('Crédito de Vivienda'!$D$28="Si",($C$17*(VLOOKUP('Crédito de Vivienda'!$C$24,Seguros_Oblig!$A$3:$F$55,6,FALSE))),IF('Crédito de Vivienda'!$C$10="TARIFA 1",(C235*(VLOOKUP('Crédito de Vivienda'!$C$24,Seguros_Oblig!$A$3:$B$55,2,FALSE))),(C235*(VLOOKUP('Crédito de Vivienda'!$C$24,Seguros_Oblig!$A$3:$D$55,4,FALSE))))))</f>
        <v>#VALUE!</v>
      </c>
      <c r="G236" s="8" t="e">
        <f>IF('Crédito de Vivienda'!$C$10="TARIFA 1",(C235*(VLOOKUP('Crédito de Vivienda'!$C$25,Seguros_Oblig!$A$3:$B$55,2,FALSE))),(C235*(VLOOKUP('Crédito de Vivienda'!$C$25,Seguros_Oblig!$A$3:$D$55,4,FALSE))))</f>
        <v>#VALUE!</v>
      </c>
      <c r="H236" s="8" t="e">
        <f>IF('Crédito de Vivienda'!$C$10="TARIFA 1",(C235*(VLOOKUP('Crédito de Vivienda'!$C$26,Seguros_Oblig!$A$3:$B$55,2,FALSE))),(C235*(VLOOKUP('Crédito de Vivienda'!$C$26,Seguros_Oblig!$A$3:$D$55,4,FALSE))))</f>
        <v>#VALUE!</v>
      </c>
      <c r="I236" s="8" t="e">
        <f>IF('Crédito de Vivienda'!$C$10="TARIFA 1",(C235*(VLOOKUP('Crédito de Vivienda'!$C$27,Seguros_Oblig!$A$3:$B$55,2,FALSE))),(C235*(VLOOKUP('Crédito de Vivienda'!$C$27,Seguros_Oblig!$A$3:$D$55,4,FALSE))))</f>
        <v>#VALUE!</v>
      </c>
      <c r="J236" s="10">
        <f t="shared" si="21"/>
        <v>0</v>
      </c>
      <c r="K236" s="7" t="e">
        <f>IF(C235&lt;1,"0",Seguros_Oblig!$K$2*('Crédito de Vivienda'!$C$12*90%))</f>
        <v>#VALUE!</v>
      </c>
      <c r="L236" s="7" t="e">
        <f>IF(B236=" ","0",PMT('Crédito de Vivienda'!$E$17,'Crédito de Vivienda'!$C$18,-'Crédito de Vivienda'!$C$15,,))</f>
        <v>#VALUE!</v>
      </c>
      <c r="M236" s="9" t="e">
        <f t="shared" si="22"/>
        <v>#VALUE!</v>
      </c>
      <c r="N236" s="7" t="e">
        <f>IF(C235&lt;1,"0",'Crédito de Vivienda'!$C$40)</f>
        <v>#VALUE!</v>
      </c>
      <c r="O236" s="9" t="e">
        <f t="shared" si="23"/>
        <v>#VALUE!</v>
      </c>
    </row>
    <row r="237" spans="2:15" ht="15.5" x14ac:dyDescent="0.35">
      <c r="B237" s="6" t="e">
        <f t="shared" si="19"/>
        <v>#VALUE!</v>
      </c>
      <c r="C237" s="7" t="e">
        <f t="shared" si="20"/>
        <v>#VALUE!</v>
      </c>
      <c r="D237" s="7" t="e">
        <f t="shared" si="24"/>
        <v>#VALUE!</v>
      </c>
      <c r="E237" s="7" t="e">
        <f>C236*'Crédito de Vivienda'!$E$17</f>
        <v>#VALUE!</v>
      </c>
      <c r="F237" s="282" t="e">
        <f>IF(C236&lt;1,"0",IF('Crédito de Vivienda'!$D$28="Si",($C$17*(VLOOKUP('Crédito de Vivienda'!$C$24,Seguros_Oblig!$A$3:$F$55,6,FALSE))),IF('Crédito de Vivienda'!$C$10="TARIFA 1",(C236*(VLOOKUP('Crédito de Vivienda'!$C$24,Seguros_Oblig!$A$3:$B$55,2,FALSE))),(C236*(VLOOKUP('Crédito de Vivienda'!$C$24,Seguros_Oblig!$A$3:$D$55,4,FALSE))))))</f>
        <v>#VALUE!</v>
      </c>
      <c r="G237" s="8" t="e">
        <f>IF('Crédito de Vivienda'!$C$10="TARIFA 1",(C236*(VLOOKUP('Crédito de Vivienda'!$C$25,Seguros_Oblig!$A$3:$B$55,2,FALSE))),(C236*(VLOOKUP('Crédito de Vivienda'!$C$25,Seguros_Oblig!$A$3:$D$55,4,FALSE))))</f>
        <v>#VALUE!</v>
      </c>
      <c r="H237" s="8" t="e">
        <f>IF('Crédito de Vivienda'!$C$10="TARIFA 1",(C236*(VLOOKUP('Crédito de Vivienda'!$C$26,Seguros_Oblig!$A$3:$B$55,2,FALSE))),(C236*(VLOOKUP('Crédito de Vivienda'!$C$26,Seguros_Oblig!$A$3:$D$55,4,FALSE))))</f>
        <v>#VALUE!</v>
      </c>
      <c r="I237" s="8" t="e">
        <f>IF('Crédito de Vivienda'!$C$10="TARIFA 1",(C236*(VLOOKUP('Crédito de Vivienda'!$C$27,Seguros_Oblig!$A$3:$B$55,2,FALSE))),(C236*(VLOOKUP('Crédito de Vivienda'!$C$27,Seguros_Oblig!$A$3:$D$55,4,FALSE))))</f>
        <v>#VALUE!</v>
      </c>
      <c r="J237" s="10">
        <f t="shared" si="21"/>
        <v>0</v>
      </c>
      <c r="K237" s="7" t="e">
        <f>IF(C236&lt;1,"0",Seguros_Oblig!$K$2*('Crédito de Vivienda'!$C$12*90%))</f>
        <v>#VALUE!</v>
      </c>
      <c r="L237" s="7" t="e">
        <f>IF(B237=" ","0",PMT('Crédito de Vivienda'!$E$17,'Crédito de Vivienda'!$C$18,-'Crédito de Vivienda'!$C$15,,))</f>
        <v>#VALUE!</v>
      </c>
      <c r="M237" s="9" t="e">
        <f t="shared" si="22"/>
        <v>#VALUE!</v>
      </c>
      <c r="N237" s="7" t="e">
        <f>IF(C236&lt;1,"0",'Crédito de Vivienda'!$C$40)</f>
        <v>#VALUE!</v>
      </c>
      <c r="O237" s="9" t="e">
        <f t="shared" si="23"/>
        <v>#VALUE!</v>
      </c>
    </row>
    <row r="238" spans="2:15" ht="15.5" x14ac:dyDescent="0.35">
      <c r="B238" s="6" t="e">
        <f t="shared" si="19"/>
        <v>#VALUE!</v>
      </c>
      <c r="C238" s="7" t="e">
        <f t="shared" si="20"/>
        <v>#VALUE!</v>
      </c>
      <c r="D238" s="7" t="e">
        <f t="shared" si="24"/>
        <v>#VALUE!</v>
      </c>
      <c r="E238" s="7" t="e">
        <f>C237*'Crédito de Vivienda'!$E$17</f>
        <v>#VALUE!</v>
      </c>
      <c r="F238" s="282" t="e">
        <f>IF(C237&lt;1,"0",IF('Crédito de Vivienda'!$D$28="Si",($C$17*(VLOOKUP('Crédito de Vivienda'!$C$24,Seguros_Oblig!$A$3:$F$55,6,FALSE))),IF('Crédito de Vivienda'!$C$10="TARIFA 1",(C237*(VLOOKUP('Crédito de Vivienda'!$C$24,Seguros_Oblig!$A$3:$B$55,2,FALSE))),(C237*(VLOOKUP('Crédito de Vivienda'!$C$24,Seguros_Oblig!$A$3:$D$55,4,FALSE))))))</f>
        <v>#VALUE!</v>
      </c>
      <c r="G238" s="8" t="e">
        <f>IF('Crédito de Vivienda'!$C$10="TARIFA 1",(C237*(VLOOKUP('Crédito de Vivienda'!$C$25,Seguros_Oblig!$A$3:$B$55,2,FALSE))),(C237*(VLOOKUP('Crédito de Vivienda'!$C$25,Seguros_Oblig!$A$3:$D$55,4,FALSE))))</f>
        <v>#VALUE!</v>
      </c>
      <c r="H238" s="8" t="e">
        <f>IF('Crédito de Vivienda'!$C$10="TARIFA 1",(C237*(VLOOKUP('Crédito de Vivienda'!$C$26,Seguros_Oblig!$A$3:$B$55,2,FALSE))),(C237*(VLOOKUP('Crédito de Vivienda'!$C$26,Seguros_Oblig!$A$3:$D$55,4,FALSE))))</f>
        <v>#VALUE!</v>
      </c>
      <c r="I238" s="8" t="e">
        <f>IF('Crédito de Vivienda'!$C$10="TARIFA 1",(C237*(VLOOKUP('Crédito de Vivienda'!$C$27,Seguros_Oblig!$A$3:$B$55,2,FALSE))),(C237*(VLOOKUP('Crédito de Vivienda'!$C$27,Seguros_Oblig!$A$3:$D$55,4,FALSE))))</f>
        <v>#VALUE!</v>
      </c>
      <c r="J238" s="10">
        <f t="shared" si="21"/>
        <v>0</v>
      </c>
      <c r="K238" s="7" t="e">
        <f>IF(C237&lt;1,"0",Seguros_Oblig!$K$2*('Crédito de Vivienda'!$C$12*90%))</f>
        <v>#VALUE!</v>
      </c>
      <c r="L238" s="7" t="e">
        <f>IF(B238=" ","0",PMT('Crédito de Vivienda'!$E$17,'Crédito de Vivienda'!$C$18,-'Crédito de Vivienda'!$C$15,,))</f>
        <v>#VALUE!</v>
      </c>
      <c r="M238" s="9" t="e">
        <f t="shared" si="22"/>
        <v>#VALUE!</v>
      </c>
      <c r="N238" s="7" t="e">
        <f>IF(C237&lt;1,"0",'Crédito de Vivienda'!$C$40)</f>
        <v>#VALUE!</v>
      </c>
      <c r="O238" s="9" t="e">
        <f t="shared" si="23"/>
        <v>#VALUE!</v>
      </c>
    </row>
    <row r="239" spans="2:15" ht="15.5" x14ac:dyDescent="0.35">
      <c r="B239" s="6" t="e">
        <f t="shared" si="19"/>
        <v>#VALUE!</v>
      </c>
      <c r="C239" s="7" t="e">
        <f t="shared" si="20"/>
        <v>#VALUE!</v>
      </c>
      <c r="D239" s="7" t="e">
        <f t="shared" si="24"/>
        <v>#VALUE!</v>
      </c>
      <c r="E239" s="7" t="e">
        <f>C238*'Crédito de Vivienda'!$E$17</f>
        <v>#VALUE!</v>
      </c>
      <c r="F239" s="282" t="e">
        <f>IF(C238&lt;1,"0",IF('Crédito de Vivienda'!$D$28="Si",($C$17*(VLOOKUP('Crédito de Vivienda'!$C$24,Seguros_Oblig!$A$3:$F$55,6,FALSE))),IF('Crédito de Vivienda'!$C$10="TARIFA 1",(C238*(VLOOKUP('Crédito de Vivienda'!$C$24,Seguros_Oblig!$A$3:$B$55,2,FALSE))),(C238*(VLOOKUP('Crédito de Vivienda'!$C$24,Seguros_Oblig!$A$3:$D$55,4,FALSE))))))</f>
        <v>#VALUE!</v>
      </c>
      <c r="G239" s="8" t="e">
        <f>IF('Crédito de Vivienda'!$C$10="TARIFA 1",(C238*(VLOOKUP('Crédito de Vivienda'!$C$25,Seguros_Oblig!$A$3:$B$55,2,FALSE))),(C238*(VLOOKUP('Crédito de Vivienda'!$C$25,Seguros_Oblig!$A$3:$D$55,4,FALSE))))</f>
        <v>#VALUE!</v>
      </c>
      <c r="H239" s="8" t="e">
        <f>IF('Crédito de Vivienda'!$C$10="TARIFA 1",(C238*(VLOOKUP('Crédito de Vivienda'!$C$26,Seguros_Oblig!$A$3:$B$55,2,FALSE))),(C238*(VLOOKUP('Crédito de Vivienda'!$C$26,Seguros_Oblig!$A$3:$D$55,4,FALSE))))</f>
        <v>#VALUE!</v>
      </c>
      <c r="I239" s="8" t="e">
        <f>IF('Crédito de Vivienda'!$C$10="TARIFA 1",(C238*(VLOOKUP('Crédito de Vivienda'!$C$27,Seguros_Oblig!$A$3:$B$55,2,FALSE))),(C238*(VLOOKUP('Crédito de Vivienda'!$C$27,Seguros_Oblig!$A$3:$D$55,4,FALSE))))</f>
        <v>#VALUE!</v>
      </c>
      <c r="J239" s="10">
        <f t="shared" si="21"/>
        <v>0</v>
      </c>
      <c r="K239" s="7" t="e">
        <f>IF(C238&lt;1,"0",Seguros_Oblig!$K$2*('Crédito de Vivienda'!$C$12*90%))</f>
        <v>#VALUE!</v>
      </c>
      <c r="L239" s="7" t="e">
        <f>IF(B239=" ","0",PMT('Crédito de Vivienda'!$E$17,'Crédito de Vivienda'!$C$18,-'Crédito de Vivienda'!$C$15,,))</f>
        <v>#VALUE!</v>
      </c>
      <c r="M239" s="9" t="e">
        <f t="shared" si="22"/>
        <v>#VALUE!</v>
      </c>
      <c r="N239" s="7" t="e">
        <f>IF(C238&lt;1,"0",'Crédito de Vivienda'!$C$40)</f>
        <v>#VALUE!</v>
      </c>
      <c r="O239" s="9" t="e">
        <f t="shared" si="23"/>
        <v>#VALUE!</v>
      </c>
    </row>
    <row r="240" spans="2:15" ht="15.5" x14ac:dyDescent="0.35">
      <c r="B240" s="6" t="e">
        <f t="shared" si="19"/>
        <v>#VALUE!</v>
      </c>
      <c r="C240" s="7" t="e">
        <f t="shared" si="20"/>
        <v>#VALUE!</v>
      </c>
      <c r="D240" s="7" t="e">
        <f t="shared" si="24"/>
        <v>#VALUE!</v>
      </c>
      <c r="E240" s="7" t="e">
        <f>C239*'Crédito de Vivienda'!$E$17</f>
        <v>#VALUE!</v>
      </c>
      <c r="F240" s="282" t="e">
        <f>IF(C239&lt;1,"0",IF('Crédito de Vivienda'!$D$28="Si",($C$17*(VLOOKUP('Crédito de Vivienda'!$C$24,Seguros_Oblig!$A$3:$F$55,6,FALSE))),IF('Crédito de Vivienda'!$C$10="TARIFA 1",(C239*(VLOOKUP('Crédito de Vivienda'!$C$24,Seguros_Oblig!$A$3:$B$55,2,FALSE))),(C239*(VLOOKUP('Crédito de Vivienda'!$C$24,Seguros_Oblig!$A$3:$D$55,4,FALSE))))))</f>
        <v>#VALUE!</v>
      </c>
      <c r="G240" s="8" t="e">
        <f>IF('Crédito de Vivienda'!$C$10="TARIFA 1",(C239*(VLOOKUP('Crédito de Vivienda'!$C$25,Seguros_Oblig!$A$3:$B$55,2,FALSE))),(C239*(VLOOKUP('Crédito de Vivienda'!$C$25,Seguros_Oblig!$A$3:$D$55,4,FALSE))))</f>
        <v>#VALUE!</v>
      </c>
      <c r="H240" s="8" t="e">
        <f>IF('Crédito de Vivienda'!$C$10="TARIFA 1",(C239*(VLOOKUP('Crédito de Vivienda'!$C$26,Seguros_Oblig!$A$3:$B$55,2,FALSE))),(C239*(VLOOKUP('Crédito de Vivienda'!$C$26,Seguros_Oblig!$A$3:$D$55,4,FALSE))))</f>
        <v>#VALUE!</v>
      </c>
      <c r="I240" s="8" t="e">
        <f>IF('Crédito de Vivienda'!$C$10="TARIFA 1",(C239*(VLOOKUP('Crédito de Vivienda'!$C$27,Seguros_Oblig!$A$3:$B$55,2,FALSE))),(C239*(VLOOKUP('Crédito de Vivienda'!$C$27,Seguros_Oblig!$A$3:$D$55,4,FALSE))))</f>
        <v>#VALUE!</v>
      </c>
      <c r="J240" s="10">
        <f t="shared" si="21"/>
        <v>0</v>
      </c>
      <c r="K240" s="7" t="e">
        <f>IF(C239&lt;1,"0",Seguros_Oblig!$K$2*('Crédito de Vivienda'!$C$12*90%))</f>
        <v>#VALUE!</v>
      </c>
      <c r="L240" s="7" t="e">
        <f>IF(B240=" ","0",PMT('Crédito de Vivienda'!$E$17,'Crédito de Vivienda'!$C$18,-'Crédito de Vivienda'!$C$15,,))</f>
        <v>#VALUE!</v>
      </c>
      <c r="M240" s="9" t="e">
        <f t="shared" si="22"/>
        <v>#VALUE!</v>
      </c>
      <c r="N240" s="7" t="e">
        <f>IF(C239&lt;1,"0",'Crédito de Vivienda'!$C$40)</f>
        <v>#VALUE!</v>
      </c>
      <c r="O240" s="9" t="e">
        <f t="shared" si="23"/>
        <v>#VALUE!</v>
      </c>
    </row>
    <row r="241" spans="2:15" ht="15.5" x14ac:dyDescent="0.35">
      <c r="B241" s="6" t="e">
        <f t="shared" si="19"/>
        <v>#VALUE!</v>
      </c>
      <c r="C241" s="7" t="e">
        <f t="shared" si="20"/>
        <v>#VALUE!</v>
      </c>
      <c r="D241" s="7" t="e">
        <f t="shared" si="24"/>
        <v>#VALUE!</v>
      </c>
      <c r="E241" s="7" t="e">
        <f>C240*'Crédito de Vivienda'!$E$17</f>
        <v>#VALUE!</v>
      </c>
      <c r="F241" s="282" t="e">
        <f>IF(C240&lt;1,"0",IF('Crédito de Vivienda'!$D$28="Si",($C$17*(VLOOKUP('Crédito de Vivienda'!$C$24,Seguros_Oblig!$A$3:$F$55,6,FALSE))),IF('Crédito de Vivienda'!$C$10="TARIFA 1",(C240*(VLOOKUP('Crédito de Vivienda'!$C$24,Seguros_Oblig!$A$3:$B$55,2,FALSE))),(C240*(VLOOKUP('Crédito de Vivienda'!$C$24,Seguros_Oblig!$A$3:$D$55,4,FALSE))))))</f>
        <v>#VALUE!</v>
      </c>
      <c r="G241" s="8" t="e">
        <f>IF('Crédito de Vivienda'!$C$10="TARIFA 1",(C240*(VLOOKUP('Crédito de Vivienda'!$C$25,Seguros_Oblig!$A$3:$B$55,2,FALSE))),(C240*(VLOOKUP('Crédito de Vivienda'!$C$25,Seguros_Oblig!$A$3:$D$55,4,FALSE))))</f>
        <v>#VALUE!</v>
      </c>
      <c r="H241" s="8" t="e">
        <f>IF('Crédito de Vivienda'!$C$10="TARIFA 1",(C240*(VLOOKUP('Crédito de Vivienda'!$C$26,Seguros_Oblig!$A$3:$B$55,2,FALSE))),(C240*(VLOOKUP('Crédito de Vivienda'!$C$26,Seguros_Oblig!$A$3:$D$55,4,FALSE))))</f>
        <v>#VALUE!</v>
      </c>
      <c r="I241" s="8" t="e">
        <f>IF('Crédito de Vivienda'!$C$10="TARIFA 1",(C240*(VLOOKUP('Crédito de Vivienda'!$C$27,Seguros_Oblig!$A$3:$B$55,2,FALSE))),(C240*(VLOOKUP('Crédito de Vivienda'!$C$27,Seguros_Oblig!$A$3:$D$55,4,FALSE))))</f>
        <v>#VALUE!</v>
      </c>
      <c r="J241" s="10">
        <f t="shared" si="21"/>
        <v>0</v>
      </c>
      <c r="K241" s="7" t="e">
        <f>IF(C240&lt;1,"0",Seguros_Oblig!$K$2*('Crédito de Vivienda'!$C$12*90%))</f>
        <v>#VALUE!</v>
      </c>
      <c r="L241" s="7" t="e">
        <f>IF(B241=" ","0",PMT('Crédito de Vivienda'!$E$17,'Crédito de Vivienda'!$C$18,-'Crédito de Vivienda'!$C$15,,))</f>
        <v>#VALUE!</v>
      </c>
      <c r="M241" s="9" t="e">
        <f t="shared" si="22"/>
        <v>#VALUE!</v>
      </c>
      <c r="N241" s="7" t="e">
        <f>IF(C240&lt;1,"0",'Crédito de Vivienda'!$C$40)</f>
        <v>#VALUE!</v>
      </c>
      <c r="O241" s="9" t="e">
        <f t="shared" si="23"/>
        <v>#VALUE!</v>
      </c>
    </row>
    <row r="242" spans="2:15" ht="15.5" x14ac:dyDescent="0.35">
      <c r="B242" s="6" t="e">
        <f t="shared" si="19"/>
        <v>#VALUE!</v>
      </c>
      <c r="C242" s="7" t="e">
        <f t="shared" si="20"/>
        <v>#VALUE!</v>
      </c>
      <c r="D242" s="7" t="e">
        <f t="shared" si="24"/>
        <v>#VALUE!</v>
      </c>
      <c r="E242" s="7" t="e">
        <f>C241*'Crédito de Vivienda'!$E$17</f>
        <v>#VALUE!</v>
      </c>
      <c r="F242" s="282" t="e">
        <f>IF(C241&lt;1,"0",IF('Crédito de Vivienda'!$D$28="Si",($C$17*(VLOOKUP('Crédito de Vivienda'!$C$24,Seguros_Oblig!$A$3:$F$55,6,FALSE))),IF('Crédito de Vivienda'!$C$10="TARIFA 1",(C241*(VLOOKUP('Crédito de Vivienda'!$C$24,Seguros_Oblig!$A$3:$B$55,2,FALSE))),(C241*(VLOOKUP('Crédito de Vivienda'!$C$24,Seguros_Oblig!$A$3:$D$55,4,FALSE))))))</f>
        <v>#VALUE!</v>
      </c>
      <c r="G242" s="8" t="e">
        <f>IF('Crédito de Vivienda'!$C$10="TARIFA 1",(C241*(VLOOKUP('Crédito de Vivienda'!$C$25,Seguros_Oblig!$A$3:$B$55,2,FALSE))),(C241*(VLOOKUP('Crédito de Vivienda'!$C$25,Seguros_Oblig!$A$3:$D$55,4,FALSE))))</f>
        <v>#VALUE!</v>
      </c>
      <c r="H242" s="8" t="e">
        <f>IF('Crédito de Vivienda'!$C$10="TARIFA 1",(C241*(VLOOKUP('Crédito de Vivienda'!$C$26,Seguros_Oblig!$A$3:$B$55,2,FALSE))),(C241*(VLOOKUP('Crédito de Vivienda'!$C$26,Seguros_Oblig!$A$3:$D$55,4,FALSE))))</f>
        <v>#VALUE!</v>
      </c>
      <c r="I242" s="8" t="e">
        <f>IF('Crédito de Vivienda'!$C$10="TARIFA 1",(C241*(VLOOKUP('Crédito de Vivienda'!$C$27,Seguros_Oblig!$A$3:$B$55,2,FALSE))),(C241*(VLOOKUP('Crédito de Vivienda'!$C$27,Seguros_Oblig!$A$3:$D$55,4,FALSE))))</f>
        <v>#VALUE!</v>
      </c>
      <c r="J242" s="10">
        <f t="shared" si="21"/>
        <v>0</v>
      </c>
      <c r="K242" s="7" t="e">
        <f>IF(C241&lt;1,"0",Seguros_Oblig!$K$2*('Crédito de Vivienda'!$C$12*90%))</f>
        <v>#VALUE!</v>
      </c>
      <c r="L242" s="7" t="e">
        <f>IF(B242=" ","0",PMT('Crédito de Vivienda'!$E$17,'Crédito de Vivienda'!$C$18,-'Crédito de Vivienda'!$C$15,,))</f>
        <v>#VALUE!</v>
      </c>
      <c r="M242" s="9" t="e">
        <f t="shared" si="22"/>
        <v>#VALUE!</v>
      </c>
      <c r="N242" s="7" t="e">
        <f>IF(C241&lt;1,"0",'Crédito de Vivienda'!$C$40)</f>
        <v>#VALUE!</v>
      </c>
      <c r="O242" s="9" t="e">
        <f t="shared" si="23"/>
        <v>#VALUE!</v>
      </c>
    </row>
    <row r="243" spans="2:15" ht="15.5" x14ac:dyDescent="0.35">
      <c r="B243" s="6" t="e">
        <f t="shared" si="19"/>
        <v>#VALUE!</v>
      </c>
      <c r="C243" s="7" t="e">
        <f t="shared" si="20"/>
        <v>#VALUE!</v>
      </c>
      <c r="D243" s="7" t="e">
        <f t="shared" si="24"/>
        <v>#VALUE!</v>
      </c>
      <c r="E243" s="7" t="e">
        <f>C242*'Crédito de Vivienda'!$E$17</f>
        <v>#VALUE!</v>
      </c>
      <c r="F243" s="282" t="e">
        <f>IF(C242&lt;1,"0",IF('Crédito de Vivienda'!$D$28="Si",($C$17*(VLOOKUP('Crédito de Vivienda'!$C$24,Seguros_Oblig!$A$3:$F$55,6,FALSE))),IF('Crédito de Vivienda'!$C$10="TARIFA 1",(C242*(VLOOKUP('Crédito de Vivienda'!$C$24,Seguros_Oblig!$A$3:$B$55,2,FALSE))),(C242*(VLOOKUP('Crédito de Vivienda'!$C$24,Seguros_Oblig!$A$3:$D$55,4,FALSE))))))</f>
        <v>#VALUE!</v>
      </c>
      <c r="G243" s="8" t="e">
        <f>IF('Crédito de Vivienda'!$C$10="TARIFA 1",(C242*(VLOOKUP('Crédito de Vivienda'!$C$25,Seguros_Oblig!$A$3:$B$55,2,FALSE))),(C242*(VLOOKUP('Crédito de Vivienda'!$C$25,Seguros_Oblig!$A$3:$D$55,4,FALSE))))</f>
        <v>#VALUE!</v>
      </c>
      <c r="H243" s="8" t="e">
        <f>IF('Crédito de Vivienda'!$C$10="TARIFA 1",(C242*(VLOOKUP('Crédito de Vivienda'!$C$26,Seguros_Oblig!$A$3:$B$55,2,FALSE))),(C242*(VLOOKUP('Crédito de Vivienda'!$C$26,Seguros_Oblig!$A$3:$D$55,4,FALSE))))</f>
        <v>#VALUE!</v>
      </c>
      <c r="I243" s="8" t="e">
        <f>IF('Crédito de Vivienda'!$C$10="TARIFA 1",(C242*(VLOOKUP('Crédito de Vivienda'!$C$27,Seguros_Oblig!$A$3:$B$55,2,FALSE))),(C242*(VLOOKUP('Crédito de Vivienda'!$C$27,Seguros_Oblig!$A$3:$D$55,4,FALSE))))</f>
        <v>#VALUE!</v>
      </c>
      <c r="J243" s="10">
        <f t="shared" si="21"/>
        <v>0</v>
      </c>
      <c r="K243" s="7" t="e">
        <f>IF(C242&lt;1,"0",Seguros_Oblig!$K$2*('Crédito de Vivienda'!$C$12*90%))</f>
        <v>#VALUE!</v>
      </c>
      <c r="L243" s="7" t="e">
        <f>IF(B243=" ","0",PMT('Crédito de Vivienda'!$E$17,'Crédito de Vivienda'!$C$18,-'Crédito de Vivienda'!$C$15,,))</f>
        <v>#VALUE!</v>
      </c>
      <c r="M243" s="9" t="e">
        <f t="shared" si="22"/>
        <v>#VALUE!</v>
      </c>
      <c r="N243" s="7" t="e">
        <f>IF(C242&lt;1,"0",'Crédito de Vivienda'!$C$40)</f>
        <v>#VALUE!</v>
      </c>
      <c r="O243" s="9" t="e">
        <f t="shared" si="23"/>
        <v>#VALUE!</v>
      </c>
    </row>
    <row r="244" spans="2:15" ht="15.5" x14ac:dyDescent="0.35">
      <c r="B244" s="6" t="e">
        <f t="shared" si="19"/>
        <v>#VALUE!</v>
      </c>
      <c r="C244" s="7" t="e">
        <f t="shared" si="20"/>
        <v>#VALUE!</v>
      </c>
      <c r="D244" s="7" t="e">
        <f t="shared" si="24"/>
        <v>#VALUE!</v>
      </c>
      <c r="E244" s="7" t="e">
        <f>C243*'Crédito de Vivienda'!$E$17</f>
        <v>#VALUE!</v>
      </c>
      <c r="F244" s="282" t="e">
        <f>IF(C243&lt;1,"0",IF('Crédito de Vivienda'!$D$28="Si",($C$17*(VLOOKUP('Crédito de Vivienda'!$C$24,Seguros_Oblig!$A$3:$F$55,6,FALSE))),IF('Crédito de Vivienda'!$C$10="TARIFA 1",(C243*(VLOOKUP('Crédito de Vivienda'!$C$24,Seguros_Oblig!$A$3:$B$55,2,FALSE))),(C243*(VLOOKUP('Crédito de Vivienda'!$C$24,Seguros_Oblig!$A$3:$D$55,4,FALSE))))))</f>
        <v>#VALUE!</v>
      </c>
      <c r="G244" s="8" t="e">
        <f>IF('Crédito de Vivienda'!$C$10="TARIFA 1",(C243*(VLOOKUP('Crédito de Vivienda'!$C$25,Seguros_Oblig!$A$3:$B$55,2,FALSE))),(C243*(VLOOKUP('Crédito de Vivienda'!$C$25,Seguros_Oblig!$A$3:$D$55,4,FALSE))))</f>
        <v>#VALUE!</v>
      </c>
      <c r="H244" s="8" t="e">
        <f>IF('Crédito de Vivienda'!$C$10="TARIFA 1",(C243*(VLOOKUP('Crédito de Vivienda'!$C$26,Seguros_Oblig!$A$3:$B$55,2,FALSE))),(C243*(VLOOKUP('Crédito de Vivienda'!$C$26,Seguros_Oblig!$A$3:$D$55,4,FALSE))))</f>
        <v>#VALUE!</v>
      </c>
      <c r="I244" s="8" t="e">
        <f>IF('Crédito de Vivienda'!$C$10="TARIFA 1",(C243*(VLOOKUP('Crédito de Vivienda'!$C$27,Seguros_Oblig!$A$3:$B$55,2,FALSE))),(C243*(VLOOKUP('Crédito de Vivienda'!$C$27,Seguros_Oblig!$A$3:$D$55,4,FALSE))))</f>
        <v>#VALUE!</v>
      </c>
      <c r="J244" s="10">
        <f t="shared" si="21"/>
        <v>0</v>
      </c>
      <c r="K244" s="7" t="e">
        <f>IF(C243&lt;1,"0",Seguros_Oblig!$K$2*('Crédito de Vivienda'!$C$12*90%))</f>
        <v>#VALUE!</v>
      </c>
      <c r="L244" s="7" t="e">
        <f>IF(B244=" ","0",PMT('Crédito de Vivienda'!$E$17,'Crédito de Vivienda'!$C$18,-'Crédito de Vivienda'!$C$15,,))</f>
        <v>#VALUE!</v>
      </c>
      <c r="M244" s="9" t="e">
        <f t="shared" si="22"/>
        <v>#VALUE!</v>
      </c>
      <c r="N244" s="7" t="e">
        <f>IF(C243&lt;1,"0",'Crédito de Vivienda'!$C$40)</f>
        <v>#VALUE!</v>
      </c>
      <c r="O244" s="9" t="e">
        <f t="shared" si="23"/>
        <v>#VALUE!</v>
      </c>
    </row>
    <row r="245" spans="2:15" ht="15.5" x14ac:dyDescent="0.35">
      <c r="B245" s="6" t="e">
        <f t="shared" si="19"/>
        <v>#VALUE!</v>
      </c>
      <c r="C245" s="7" t="e">
        <f t="shared" si="20"/>
        <v>#VALUE!</v>
      </c>
      <c r="D245" s="7" t="e">
        <f t="shared" si="24"/>
        <v>#VALUE!</v>
      </c>
      <c r="E245" s="7" t="e">
        <f>C244*'Crédito de Vivienda'!$E$17</f>
        <v>#VALUE!</v>
      </c>
      <c r="F245" s="282" t="e">
        <f>IF(C244&lt;1,"0",IF('Crédito de Vivienda'!$D$28="Si",($C$17*(VLOOKUP('Crédito de Vivienda'!$C$24,Seguros_Oblig!$A$3:$F$55,6,FALSE))),IF('Crédito de Vivienda'!$C$10="TARIFA 1",(C244*(VLOOKUP('Crédito de Vivienda'!$C$24,Seguros_Oblig!$A$3:$B$55,2,FALSE))),(C244*(VLOOKUP('Crédito de Vivienda'!$C$24,Seguros_Oblig!$A$3:$D$55,4,FALSE))))))</f>
        <v>#VALUE!</v>
      </c>
      <c r="G245" s="8" t="e">
        <f>IF('Crédito de Vivienda'!$C$10="TARIFA 1",(C244*(VLOOKUP('Crédito de Vivienda'!$C$25,Seguros_Oblig!$A$3:$B$55,2,FALSE))),(C244*(VLOOKUP('Crédito de Vivienda'!$C$25,Seguros_Oblig!$A$3:$D$55,4,FALSE))))</f>
        <v>#VALUE!</v>
      </c>
      <c r="H245" s="8" t="e">
        <f>IF('Crédito de Vivienda'!$C$10="TARIFA 1",(C244*(VLOOKUP('Crédito de Vivienda'!$C$26,Seguros_Oblig!$A$3:$B$55,2,FALSE))),(C244*(VLOOKUP('Crédito de Vivienda'!$C$26,Seguros_Oblig!$A$3:$D$55,4,FALSE))))</f>
        <v>#VALUE!</v>
      </c>
      <c r="I245" s="8" t="e">
        <f>IF('Crédito de Vivienda'!$C$10="TARIFA 1",(C244*(VLOOKUP('Crédito de Vivienda'!$C$27,Seguros_Oblig!$A$3:$B$55,2,FALSE))),(C244*(VLOOKUP('Crédito de Vivienda'!$C$27,Seguros_Oblig!$A$3:$D$55,4,FALSE))))</f>
        <v>#VALUE!</v>
      </c>
      <c r="J245" s="10">
        <f t="shared" si="21"/>
        <v>0</v>
      </c>
      <c r="K245" s="7" t="e">
        <f>IF(C244&lt;1,"0",Seguros_Oblig!$K$2*('Crédito de Vivienda'!$C$12*90%))</f>
        <v>#VALUE!</v>
      </c>
      <c r="L245" s="7" t="e">
        <f>IF(B245=" ","0",PMT('Crédito de Vivienda'!$E$17,'Crédito de Vivienda'!$C$18,-'Crédito de Vivienda'!$C$15,,))</f>
        <v>#VALUE!</v>
      </c>
      <c r="M245" s="9" t="e">
        <f t="shared" si="22"/>
        <v>#VALUE!</v>
      </c>
      <c r="N245" s="7" t="e">
        <f>IF(C244&lt;1,"0",'Crédito de Vivienda'!$C$40)</f>
        <v>#VALUE!</v>
      </c>
      <c r="O245" s="9" t="e">
        <f t="shared" si="23"/>
        <v>#VALUE!</v>
      </c>
    </row>
    <row r="246" spans="2:15" ht="15.5" x14ac:dyDescent="0.35">
      <c r="B246" s="6" t="e">
        <f t="shared" si="19"/>
        <v>#VALUE!</v>
      </c>
      <c r="C246" s="7" t="e">
        <f t="shared" si="20"/>
        <v>#VALUE!</v>
      </c>
      <c r="D246" s="7" t="e">
        <f t="shared" si="24"/>
        <v>#VALUE!</v>
      </c>
      <c r="E246" s="7" t="e">
        <f>C245*'Crédito de Vivienda'!$E$17</f>
        <v>#VALUE!</v>
      </c>
      <c r="F246" s="282" t="e">
        <f>IF(C245&lt;1,"0",IF('Crédito de Vivienda'!$D$28="Si",($C$17*(VLOOKUP('Crédito de Vivienda'!$C$24,Seguros_Oblig!$A$3:$F$55,6,FALSE))),IF('Crédito de Vivienda'!$C$10="TARIFA 1",(C245*(VLOOKUP('Crédito de Vivienda'!$C$24,Seguros_Oblig!$A$3:$B$55,2,FALSE))),(C245*(VLOOKUP('Crédito de Vivienda'!$C$24,Seguros_Oblig!$A$3:$D$55,4,FALSE))))))</f>
        <v>#VALUE!</v>
      </c>
      <c r="G246" s="8" t="e">
        <f>IF('Crédito de Vivienda'!$C$10="TARIFA 1",(C245*(VLOOKUP('Crédito de Vivienda'!$C$25,Seguros_Oblig!$A$3:$B$55,2,FALSE))),(C245*(VLOOKUP('Crédito de Vivienda'!$C$25,Seguros_Oblig!$A$3:$D$55,4,FALSE))))</f>
        <v>#VALUE!</v>
      </c>
      <c r="H246" s="8" t="e">
        <f>IF('Crédito de Vivienda'!$C$10="TARIFA 1",(C245*(VLOOKUP('Crédito de Vivienda'!$C$26,Seguros_Oblig!$A$3:$B$55,2,FALSE))),(C245*(VLOOKUP('Crédito de Vivienda'!$C$26,Seguros_Oblig!$A$3:$D$55,4,FALSE))))</f>
        <v>#VALUE!</v>
      </c>
      <c r="I246" s="8" t="e">
        <f>IF('Crédito de Vivienda'!$C$10="TARIFA 1",(C245*(VLOOKUP('Crédito de Vivienda'!$C$27,Seguros_Oblig!$A$3:$B$55,2,FALSE))),(C245*(VLOOKUP('Crédito de Vivienda'!$C$27,Seguros_Oblig!$A$3:$D$55,4,FALSE))))</f>
        <v>#VALUE!</v>
      </c>
      <c r="J246" s="10">
        <f t="shared" si="21"/>
        <v>0</v>
      </c>
      <c r="K246" s="7" t="e">
        <f>IF(C245&lt;1,"0",Seguros_Oblig!$K$2*('Crédito de Vivienda'!$C$12*90%))</f>
        <v>#VALUE!</v>
      </c>
      <c r="L246" s="7" t="e">
        <f>IF(B246=" ","0",PMT('Crédito de Vivienda'!$E$17,'Crédito de Vivienda'!$C$18,-'Crédito de Vivienda'!$C$15,,))</f>
        <v>#VALUE!</v>
      </c>
      <c r="M246" s="9" t="e">
        <f t="shared" si="22"/>
        <v>#VALUE!</v>
      </c>
      <c r="N246" s="7" t="e">
        <f>IF(C245&lt;1,"0",'Crédito de Vivienda'!$C$40)</f>
        <v>#VALUE!</v>
      </c>
      <c r="O246" s="9" t="e">
        <f t="shared" si="23"/>
        <v>#VALUE!</v>
      </c>
    </row>
    <row r="247" spans="2:15" ht="15.5" x14ac:dyDescent="0.35">
      <c r="B247" s="6" t="e">
        <f t="shared" si="19"/>
        <v>#VALUE!</v>
      </c>
      <c r="C247" s="7" t="e">
        <f t="shared" si="20"/>
        <v>#VALUE!</v>
      </c>
      <c r="D247" s="7" t="e">
        <f t="shared" si="24"/>
        <v>#VALUE!</v>
      </c>
      <c r="E247" s="7" t="e">
        <f>C246*'Crédito de Vivienda'!$E$17</f>
        <v>#VALUE!</v>
      </c>
      <c r="F247" s="282" t="e">
        <f>IF(C246&lt;1,"0",IF('Crédito de Vivienda'!$D$28="Si",($C$17*(VLOOKUP('Crédito de Vivienda'!$C$24,Seguros_Oblig!$A$3:$F$55,6,FALSE))),IF('Crédito de Vivienda'!$C$10="TARIFA 1",(C246*(VLOOKUP('Crédito de Vivienda'!$C$24,Seguros_Oblig!$A$3:$B$55,2,FALSE))),(C246*(VLOOKUP('Crédito de Vivienda'!$C$24,Seguros_Oblig!$A$3:$D$55,4,FALSE))))))</f>
        <v>#VALUE!</v>
      </c>
      <c r="G247" s="8" t="e">
        <f>IF('Crédito de Vivienda'!$C$10="TARIFA 1",(C246*(VLOOKUP('Crédito de Vivienda'!$C$25,Seguros_Oblig!$A$3:$B$55,2,FALSE))),(C246*(VLOOKUP('Crédito de Vivienda'!$C$25,Seguros_Oblig!$A$3:$D$55,4,FALSE))))</f>
        <v>#VALUE!</v>
      </c>
      <c r="H247" s="8" t="e">
        <f>IF('Crédito de Vivienda'!$C$10="TARIFA 1",(C246*(VLOOKUP('Crédito de Vivienda'!$C$26,Seguros_Oblig!$A$3:$B$55,2,FALSE))),(C246*(VLOOKUP('Crédito de Vivienda'!$C$26,Seguros_Oblig!$A$3:$D$55,4,FALSE))))</f>
        <v>#VALUE!</v>
      </c>
      <c r="I247" s="8" t="e">
        <f>IF('Crédito de Vivienda'!$C$10="TARIFA 1",(C246*(VLOOKUP('Crédito de Vivienda'!$C$27,Seguros_Oblig!$A$3:$B$55,2,FALSE))),(C246*(VLOOKUP('Crédito de Vivienda'!$C$27,Seguros_Oblig!$A$3:$D$55,4,FALSE))))</f>
        <v>#VALUE!</v>
      </c>
      <c r="J247" s="10">
        <f t="shared" si="21"/>
        <v>0</v>
      </c>
      <c r="K247" s="7" t="e">
        <f>IF(C246&lt;1,"0",Seguros_Oblig!$K$2*('Crédito de Vivienda'!$C$12*90%))</f>
        <v>#VALUE!</v>
      </c>
      <c r="L247" s="7" t="e">
        <f>IF(B247=" ","0",PMT('Crédito de Vivienda'!$E$17,'Crédito de Vivienda'!$C$18,-'Crédito de Vivienda'!$C$15,,))</f>
        <v>#VALUE!</v>
      </c>
      <c r="M247" s="9" t="e">
        <f t="shared" si="22"/>
        <v>#VALUE!</v>
      </c>
      <c r="N247" s="7" t="e">
        <f>IF(C246&lt;1,"0",'Crédito de Vivienda'!$C$40)</f>
        <v>#VALUE!</v>
      </c>
      <c r="O247" s="9" t="e">
        <f t="shared" si="23"/>
        <v>#VALUE!</v>
      </c>
    </row>
    <row r="248" spans="2:15" ht="15.5" x14ac:dyDescent="0.35">
      <c r="B248" s="6" t="e">
        <f t="shared" si="19"/>
        <v>#VALUE!</v>
      </c>
      <c r="C248" s="7" t="e">
        <f t="shared" si="20"/>
        <v>#VALUE!</v>
      </c>
      <c r="D248" s="7" t="e">
        <f t="shared" si="24"/>
        <v>#VALUE!</v>
      </c>
      <c r="E248" s="7" t="e">
        <f>C247*'Crédito de Vivienda'!$E$17</f>
        <v>#VALUE!</v>
      </c>
      <c r="F248" s="282" t="e">
        <f>IF(C247&lt;1,"0",IF('Crédito de Vivienda'!$D$28="Si",($C$17*(VLOOKUP('Crédito de Vivienda'!$C$24,Seguros_Oblig!$A$3:$F$55,6,FALSE))),IF('Crédito de Vivienda'!$C$10="TARIFA 1",(C247*(VLOOKUP('Crédito de Vivienda'!$C$24,Seguros_Oblig!$A$3:$B$55,2,FALSE))),(C247*(VLOOKUP('Crédito de Vivienda'!$C$24,Seguros_Oblig!$A$3:$D$55,4,FALSE))))))</f>
        <v>#VALUE!</v>
      </c>
      <c r="G248" s="8" t="e">
        <f>IF('Crédito de Vivienda'!$C$10="TARIFA 1",(C247*(VLOOKUP('Crédito de Vivienda'!$C$25,Seguros_Oblig!$A$3:$B$55,2,FALSE))),(C247*(VLOOKUP('Crédito de Vivienda'!$C$25,Seguros_Oblig!$A$3:$D$55,4,FALSE))))</f>
        <v>#VALUE!</v>
      </c>
      <c r="H248" s="8" t="e">
        <f>IF('Crédito de Vivienda'!$C$10="TARIFA 1",(C247*(VLOOKUP('Crédito de Vivienda'!$C$26,Seguros_Oblig!$A$3:$B$55,2,FALSE))),(C247*(VLOOKUP('Crédito de Vivienda'!$C$26,Seguros_Oblig!$A$3:$D$55,4,FALSE))))</f>
        <v>#VALUE!</v>
      </c>
      <c r="I248" s="8" t="e">
        <f>IF('Crédito de Vivienda'!$C$10="TARIFA 1",(C247*(VLOOKUP('Crédito de Vivienda'!$C$27,Seguros_Oblig!$A$3:$B$55,2,FALSE))),(C247*(VLOOKUP('Crédito de Vivienda'!$C$27,Seguros_Oblig!$A$3:$D$55,4,FALSE))))</f>
        <v>#VALUE!</v>
      </c>
      <c r="J248" s="10">
        <f t="shared" si="21"/>
        <v>0</v>
      </c>
      <c r="K248" s="7" t="e">
        <f>IF(C247&lt;1,"0",Seguros_Oblig!$K$2*('Crédito de Vivienda'!$C$12*90%))</f>
        <v>#VALUE!</v>
      </c>
      <c r="L248" s="7" t="e">
        <f>IF(B248=" ","0",PMT('Crédito de Vivienda'!$E$17,'Crédito de Vivienda'!$C$18,-'Crédito de Vivienda'!$C$15,,))</f>
        <v>#VALUE!</v>
      </c>
      <c r="M248" s="9" t="e">
        <f t="shared" si="22"/>
        <v>#VALUE!</v>
      </c>
      <c r="N248" s="7" t="e">
        <f>IF(C247&lt;1,"0",'Crédito de Vivienda'!$C$40)</f>
        <v>#VALUE!</v>
      </c>
      <c r="O248" s="9" t="e">
        <f t="shared" si="23"/>
        <v>#VALUE!</v>
      </c>
    </row>
    <row r="249" spans="2:15" ht="15.5" x14ac:dyDescent="0.35">
      <c r="B249" s="6" t="e">
        <f t="shared" si="19"/>
        <v>#VALUE!</v>
      </c>
      <c r="C249" s="7" t="e">
        <f t="shared" si="20"/>
        <v>#VALUE!</v>
      </c>
      <c r="D249" s="7" t="e">
        <f t="shared" si="24"/>
        <v>#VALUE!</v>
      </c>
      <c r="E249" s="7" t="e">
        <f>C248*'Crédito de Vivienda'!$E$17</f>
        <v>#VALUE!</v>
      </c>
      <c r="F249" s="282" t="e">
        <f>IF(C248&lt;1,"0",IF('Crédito de Vivienda'!$D$28="Si",($C$17*(VLOOKUP('Crédito de Vivienda'!$C$24,Seguros_Oblig!$A$3:$F$55,6,FALSE))),IF('Crédito de Vivienda'!$C$10="TARIFA 1",(C248*(VLOOKUP('Crédito de Vivienda'!$C$24,Seguros_Oblig!$A$3:$B$55,2,FALSE))),(C248*(VLOOKUP('Crédito de Vivienda'!$C$24,Seguros_Oblig!$A$3:$D$55,4,FALSE))))))</f>
        <v>#VALUE!</v>
      </c>
      <c r="G249" s="8" t="e">
        <f>IF('Crédito de Vivienda'!$C$10="TARIFA 1",(C248*(VLOOKUP('Crédito de Vivienda'!$C$25,Seguros_Oblig!$A$3:$B$55,2,FALSE))),(C248*(VLOOKUP('Crédito de Vivienda'!$C$25,Seguros_Oblig!$A$3:$D$55,4,FALSE))))</f>
        <v>#VALUE!</v>
      </c>
      <c r="H249" s="8" t="e">
        <f>IF('Crédito de Vivienda'!$C$10="TARIFA 1",(C248*(VLOOKUP('Crédito de Vivienda'!$C$26,Seguros_Oblig!$A$3:$B$55,2,FALSE))),(C248*(VLOOKUP('Crédito de Vivienda'!$C$26,Seguros_Oblig!$A$3:$D$55,4,FALSE))))</f>
        <v>#VALUE!</v>
      </c>
      <c r="I249" s="8" t="e">
        <f>IF('Crédito de Vivienda'!$C$10="TARIFA 1",(C248*(VLOOKUP('Crédito de Vivienda'!$C$27,Seguros_Oblig!$A$3:$B$55,2,FALSE))),(C248*(VLOOKUP('Crédito de Vivienda'!$C$27,Seguros_Oblig!$A$3:$D$55,4,FALSE))))</f>
        <v>#VALUE!</v>
      </c>
      <c r="J249" s="10">
        <f t="shared" si="21"/>
        <v>0</v>
      </c>
      <c r="K249" s="7" t="e">
        <f>IF(C248&lt;1,"0",Seguros_Oblig!$K$2*('Crédito de Vivienda'!$C$12*90%))</f>
        <v>#VALUE!</v>
      </c>
      <c r="L249" s="7" t="e">
        <f>IF(B249=" ","0",PMT('Crédito de Vivienda'!$E$17,'Crédito de Vivienda'!$C$18,-'Crédito de Vivienda'!$C$15,,))</f>
        <v>#VALUE!</v>
      </c>
      <c r="M249" s="9" t="e">
        <f t="shared" si="22"/>
        <v>#VALUE!</v>
      </c>
      <c r="N249" s="7" t="e">
        <f>IF(C248&lt;1,"0",'Crédito de Vivienda'!$C$40)</f>
        <v>#VALUE!</v>
      </c>
      <c r="O249" s="9" t="e">
        <f t="shared" si="23"/>
        <v>#VALUE!</v>
      </c>
    </row>
    <row r="250" spans="2:15" ht="15.5" x14ac:dyDescent="0.35">
      <c r="B250" s="6" t="e">
        <f t="shared" si="19"/>
        <v>#VALUE!</v>
      </c>
      <c r="C250" s="7" t="e">
        <f t="shared" si="20"/>
        <v>#VALUE!</v>
      </c>
      <c r="D250" s="7" t="e">
        <f t="shared" si="24"/>
        <v>#VALUE!</v>
      </c>
      <c r="E250" s="7" t="e">
        <f>C249*'Crédito de Vivienda'!$E$17</f>
        <v>#VALUE!</v>
      </c>
      <c r="F250" s="282" t="e">
        <f>IF(C249&lt;1,"0",IF('Crédito de Vivienda'!$D$28="Si",($C$17*(VLOOKUP('Crédito de Vivienda'!$C$24,Seguros_Oblig!$A$3:$F$55,6,FALSE))),IF('Crédito de Vivienda'!$C$10="TARIFA 1",(C249*(VLOOKUP('Crédito de Vivienda'!$C$24,Seguros_Oblig!$A$3:$B$55,2,FALSE))),(C249*(VLOOKUP('Crédito de Vivienda'!$C$24,Seguros_Oblig!$A$3:$D$55,4,FALSE))))))</f>
        <v>#VALUE!</v>
      </c>
      <c r="G250" s="8" t="e">
        <f>IF('Crédito de Vivienda'!$C$10="TARIFA 1",(C249*(VLOOKUP('Crédito de Vivienda'!$C$25,Seguros_Oblig!$A$3:$B$55,2,FALSE))),(C249*(VLOOKUP('Crédito de Vivienda'!$C$25,Seguros_Oblig!$A$3:$D$55,4,FALSE))))</f>
        <v>#VALUE!</v>
      </c>
      <c r="H250" s="8" t="e">
        <f>IF('Crédito de Vivienda'!$C$10="TARIFA 1",(C249*(VLOOKUP('Crédito de Vivienda'!$C$26,Seguros_Oblig!$A$3:$B$55,2,FALSE))),(C249*(VLOOKUP('Crédito de Vivienda'!$C$26,Seguros_Oblig!$A$3:$D$55,4,FALSE))))</f>
        <v>#VALUE!</v>
      </c>
      <c r="I250" s="8" t="e">
        <f>IF('Crédito de Vivienda'!$C$10="TARIFA 1",(C249*(VLOOKUP('Crédito de Vivienda'!$C$27,Seguros_Oblig!$A$3:$B$55,2,FALSE))),(C249*(VLOOKUP('Crédito de Vivienda'!$C$27,Seguros_Oblig!$A$3:$D$55,4,FALSE))))</f>
        <v>#VALUE!</v>
      </c>
      <c r="J250" s="10">
        <f t="shared" si="21"/>
        <v>0</v>
      </c>
      <c r="K250" s="7" t="e">
        <f>IF(C249&lt;1,"0",Seguros_Oblig!$K$2*('Crédito de Vivienda'!$C$12*90%))</f>
        <v>#VALUE!</v>
      </c>
      <c r="L250" s="7" t="e">
        <f>IF(B250=" ","0",PMT('Crédito de Vivienda'!$E$17,'Crédito de Vivienda'!$C$18,-'Crédito de Vivienda'!$C$15,,))</f>
        <v>#VALUE!</v>
      </c>
      <c r="M250" s="9" t="e">
        <f t="shared" si="22"/>
        <v>#VALUE!</v>
      </c>
      <c r="N250" s="7" t="e">
        <f>IF(C249&lt;1,"0",'Crédito de Vivienda'!$C$40)</f>
        <v>#VALUE!</v>
      </c>
      <c r="O250" s="9" t="e">
        <f t="shared" si="23"/>
        <v>#VALUE!</v>
      </c>
    </row>
    <row r="251" spans="2:15" ht="15.5" x14ac:dyDescent="0.35">
      <c r="B251" s="6" t="e">
        <f t="shared" si="19"/>
        <v>#VALUE!</v>
      </c>
      <c r="C251" s="7" t="e">
        <f t="shared" si="20"/>
        <v>#VALUE!</v>
      </c>
      <c r="D251" s="7" t="e">
        <f t="shared" si="24"/>
        <v>#VALUE!</v>
      </c>
      <c r="E251" s="7" t="e">
        <f>C250*'Crédito de Vivienda'!$E$17</f>
        <v>#VALUE!</v>
      </c>
      <c r="F251" s="282" t="e">
        <f>IF(C250&lt;1,"0",IF('Crédito de Vivienda'!$D$28="Si",($C$17*(VLOOKUP('Crédito de Vivienda'!$C$24,Seguros_Oblig!$A$3:$F$55,6,FALSE))),IF('Crédito de Vivienda'!$C$10="TARIFA 1",(C250*(VLOOKUP('Crédito de Vivienda'!$C$24,Seguros_Oblig!$A$3:$B$55,2,FALSE))),(C250*(VLOOKUP('Crédito de Vivienda'!$C$24,Seguros_Oblig!$A$3:$D$55,4,FALSE))))))</f>
        <v>#VALUE!</v>
      </c>
      <c r="G251" s="8" t="e">
        <f>IF('Crédito de Vivienda'!$C$10="TARIFA 1",(C250*(VLOOKUP('Crédito de Vivienda'!$C$25,Seguros_Oblig!$A$3:$B$55,2,FALSE))),(C250*(VLOOKUP('Crédito de Vivienda'!$C$25,Seguros_Oblig!$A$3:$D$55,4,FALSE))))</f>
        <v>#VALUE!</v>
      </c>
      <c r="H251" s="8" t="e">
        <f>IF('Crédito de Vivienda'!$C$10="TARIFA 1",(C250*(VLOOKUP('Crédito de Vivienda'!$C$26,Seguros_Oblig!$A$3:$B$55,2,FALSE))),(C250*(VLOOKUP('Crédito de Vivienda'!$C$26,Seguros_Oblig!$A$3:$D$55,4,FALSE))))</f>
        <v>#VALUE!</v>
      </c>
      <c r="I251" s="8" t="e">
        <f>IF('Crédito de Vivienda'!$C$10="TARIFA 1",(C250*(VLOOKUP('Crédito de Vivienda'!$C$27,Seguros_Oblig!$A$3:$B$55,2,FALSE))),(C250*(VLOOKUP('Crédito de Vivienda'!$C$27,Seguros_Oblig!$A$3:$D$55,4,FALSE))))</f>
        <v>#VALUE!</v>
      </c>
      <c r="J251" s="10">
        <f t="shared" si="21"/>
        <v>0</v>
      </c>
      <c r="K251" s="7" t="e">
        <f>IF(C250&lt;1,"0",Seguros_Oblig!$K$2*('Crédito de Vivienda'!$C$12*90%))</f>
        <v>#VALUE!</v>
      </c>
      <c r="L251" s="7" t="e">
        <f>IF(B251=" ","0",PMT('Crédito de Vivienda'!$E$17,'Crédito de Vivienda'!$C$18,-'Crédito de Vivienda'!$C$15,,))</f>
        <v>#VALUE!</v>
      </c>
      <c r="M251" s="9" t="e">
        <f t="shared" si="22"/>
        <v>#VALUE!</v>
      </c>
      <c r="N251" s="7" t="e">
        <f>IF(C250&lt;1,"0",'Crédito de Vivienda'!$C$40)</f>
        <v>#VALUE!</v>
      </c>
      <c r="O251" s="9" t="e">
        <f t="shared" si="23"/>
        <v>#VALUE!</v>
      </c>
    </row>
    <row r="252" spans="2:15" ht="15.5" x14ac:dyDescent="0.35">
      <c r="B252" s="6" t="e">
        <f t="shared" si="19"/>
        <v>#VALUE!</v>
      </c>
      <c r="C252" s="7" t="e">
        <f t="shared" si="20"/>
        <v>#VALUE!</v>
      </c>
      <c r="D252" s="7" t="e">
        <f t="shared" si="24"/>
        <v>#VALUE!</v>
      </c>
      <c r="E252" s="7" t="e">
        <f>C251*'Crédito de Vivienda'!$E$17</f>
        <v>#VALUE!</v>
      </c>
      <c r="F252" s="282" t="e">
        <f>IF(C251&lt;1,"0",IF('Crédito de Vivienda'!$D$28="Si",($C$17*(VLOOKUP('Crédito de Vivienda'!$C$24,Seguros_Oblig!$A$3:$F$55,6,FALSE))),IF('Crédito de Vivienda'!$C$10="TARIFA 1",(C251*(VLOOKUP('Crédito de Vivienda'!$C$24,Seguros_Oblig!$A$3:$B$55,2,FALSE))),(C251*(VLOOKUP('Crédito de Vivienda'!$C$24,Seguros_Oblig!$A$3:$D$55,4,FALSE))))))</f>
        <v>#VALUE!</v>
      </c>
      <c r="G252" s="8" t="e">
        <f>IF('Crédito de Vivienda'!$C$10="TARIFA 1",(C251*(VLOOKUP('Crédito de Vivienda'!$C$25,Seguros_Oblig!$A$3:$B$55,2,FALSE))),(C251*(VLOOKUP('Crédito de Vivienda'!$C$25,Seguros_Oblig!$A$3:$D$55,4,FALSE))))</f>
        <v>#VALUE!</v>
      </c>
      <c r="H252" s="8" t="e">
        <f>IF('Crédito de Vivienda'!$C$10="TARIFA 1",(C251*(VLOOKUP('Crédito de Vivienda'!$C$26,Seguros_Oblig!$A$3:$B$55,2,FALSE))),(C251*(VLOOKUP('Crédito de Vivienda'!$C$26,Seguros_Oblig!$A$3:$D$55,4,FALSE))))</f>
        <v>#VALUE!</v>
      </c>
      <c r="I252" s="8" t="e">
        <f>IF('Crédito de Vivienda'!$C$10="TARIFA 1",(C251*(VLOOKUP('Crédito de Vivienda'!$C$27,Seguros_Oblig!$A$3:$B$55,2,FALSE))),(C251*(VLOOKUP('Crédito de Vivienda'!$C$27,Seguros_Oblig!$A$3:$D$55,4,FALSE))))</f>
        <v>#VALUE!</v>
      </c>
      <c r="J252" s="10">
        <f t="shared" si="21"/>
        <v>0</v>
      </c>
      <c r="K252" s="7" t="e">
        <f>IF(C251&lt;1,"0",Seguros_Oblig!$K$2*('Crédito de Vivienda'!$C$12*90%))</f>
        <v>#VALUE!</v>
      </c>
      <c r="L252" s="7" t="e">
        <f>IF(B252=" ","0",PMT('Crédito de Vivienda'!$E$17,'Crédito de Vivienda'!$C$18,-'Crédito de Vivienda'!$C$15,,))</f>
        <v>#VALUE!</v>
      </c>
      <c r="M252" s="9" t="e">
        <f t="shared" si="22"/>
        <v>#VALUE!</v>
      </c>
      <c r="N252" s="7" t="e">
        <f>IF(C251&lt;1,"0",'Crédito de Vivienda'!$C$40)</f>
        <v>#VALUE!</v>
      </c>
      <c r="O252" s="9" t="e">
        <f t="shared" si="23"/>
        <v>#VALUE!</v>
      </c>
    </row>
    <row r="253" spans="2:15" ht="15.5" x14ac:dyDescent="0.35">
      <c r="B253" s="6" t="e">
        <f t="shared" si="19"/>
        <v>#VALUE!</v>
      </c>
      <c r="C253" s="7" t="e">
        <f t="shared" si="20"/>
        <v>#VALUE!</v>
      </c>
      <c r="D253" s="7" t="e">
        <f t="shared" si="24"/>
        <v>#VALUE!</v>
      </c>
      <c r="E253" s="7" t="e">
        <f>C252*'Crédito de Vivienda'!$E$17</f>
        <v>#VALUE!</v>
      </c>
      <c r="F253" s="282" t="e">
        <f>IF(C252&lt;1,"0",IF('Crédito de Vivienda'!$D$28="Si",($C$17*(VLOOKUP('Crédito de Vivienda'!$C$24,Seguros_Oblig!$A$3:$F$55,6,FALSE))),IF('Crédito de Vivienda'!$C$10="TARIFA 1",(C252*(VLOOKUP('Crédito de Vivienda'!$C$24,Seguros_Oblig!$A$3:$B$55,2,FALSE))),(C252*(VLOOKUP('Crédito de Vivienda'!$C$24,Seguros_Oblig!$A$3:$D$55,4,FALSE))))))</f>
        <v>#VALUE!</v>
      </c>
      <c r="G253" s="8" t="e">
        <f>IF('Crédito de Vivienda'!$C$10="TARIFA 1",(C252*(VLOOKUP('Crédito de Vivienda'!$C$25,Seguros_Oblig!$A$3:$B$55,2,FALSE))),(C252*(VLOOKUP('Crédito de Vivienda'!$C$25,Seguros_Oblig!$A$3:$D$55,4,FALSE))))</f>
        <v>#VALUE!</v>
      </c>
      <c r="H253" s="8" t="e">
        <f>IF('Crédito de Vivienda'!$C$10="TARIFA 1",(C252*(VLOOKUP('Crédito de Vivienda'!$C$26,Seguros_Oblig!$A$3:$B$55,2,FALSE))),(C252*(VLOOKUP('Crédito de Vivienda'!$C$26,Seguros_Oblig!$A$3:$D$55,4,FALSE))))</f>
        <v>#VALUE!</v>
      </c>
      <c r="I253" s="8" t="e">
        <f>IF('Crédito de Vivienda'!$C$10="TARIFA 1",(C252*(VLOOKUP('Crédito de Vivienda'!$C$27,Seguros_Oblig!$A$3:$B$55,2,FALSE))),(C252*(VLOOKUP('Crédito de Vivienda'!$C$27,Seguros_Oblig!$A$3:$D$55,4,FALSE))))</f>
        <v>#VALUE!</v>
      </c>
      <c r="J253" s="10">
        <f t="shared" si="21"/>
        <v>0</v>
      </c>
      <c r="K253" s="7" t="e">
        <f>IF(C252&lt;1,"0",Seguros_Oblig!$K$2*('Crédito de Vivienda'!$C$12*90%))</f>
        <v>#VALUE!</v>
      </c>
      <c r="L253" s="7" t="e">
        <f>IF(B253=" ","0",PMT('Crédito de Vivienda'!$E$17,'Crédito de Vivienda'!$C$18,-'Crédito de Vivienda'!$C$15,,))</f>
        <v>#VALUE!</v>
      </c>
      <c r="M253" s="9" t="e">
        <f t="shared" si="22"/>
        <v>#VALUE!</v>
      </c>
      <c r="N253" s="7" t="e">
        <f>IF(C252&lt;1,"0",'Crédito de Vivienda'!$C$40)</f>
        <v>#VALUE!</v>
      </c>
      <c r="O253" s="9" t="e">
        <f t="shared" si="23"/>
        <v>#VALUE!</v>
      </c>
    </row>
    <row r="254" spans="2:15" ht="15.5" x14ac:dyDescent="0.35">
      <c r="B254" s="6" t="e">
        <f>IF(C253&gt;1,B253+1," ")</f>
        <v>#VALUE!</v>
      </c>
      <c r="C254" s="7" t="e">
        <f t="shared" si="20"/>
        <v>#VALUE!</v>
      </c>
      <c r="D254" s="7" t="e">
        <f t="shared" si="24"/>
        <v>#VALUE!</v>
      </c>
      <c r="E254" s="7" t="e">
        <f>C253*'Crédito de Vivienda'!$E$17</f>
        <v>#VALUE!</v>
      </c>
      <c r="F254" s="282" t="e">
        <f>IF(C253&lt;1,"0",IF('Crédito de Vivienda'!$D$28="Si",($C$17*(VLOOKUP('Crédito de Vivienda'!$C$24,Seguros_Oblig!$A$3:$F$55,6,FALSE))),IF('Crédito de Vivienda'!$C$10="TARIFA 1",(C253*(VLOOKUP('Crédito de Vivienda'!$C$24,Seguros_Oblig!$A$3:$B$55,2,FALSE))),(C253*(VLOOKUP('Crédito de Vivienda'!$C$24,Seguros_Oblig!$A$3:$D$55,4,FALSE))))))</f>
        <v>#VALUE!</v>
      </c>
      <c r="G254" s="8" t="e">
        <f>IF('Crédito de Vivienda'!$C$10="TARIFA 1",(C253*(VLOOKUP('Crédito de Vivienda'!$C$25,Seguros_Oblig!$A$3:$B$55,2,FALSE))),(C253*(VLOOKUP('Crédito de Vivienda'!$C$25,Seguros_Oblig!$A$3:$D$55,4,FALSE))))</f>
        <v>#VALUE!</v>
      </c>
      <c r="H254" s="8" t="e">
        <f>IF('Crédito de Vivienda'!$C$10="TARIFA 1",(C253*(VLOOKUP('Crédito de Vivienda'!$C$26,Seguros_Oblig!$A$3:$B$55,2,FALSE))),(C253*(VLOOKUP('Crédito de Vivienda'!$C$26,Seguros_Oblig!$A$3:$D$55,4,FALSE))))</f>
        <v>#VALUE!</v>
      </c>
      <c r="I254" s="8" t="e">
        <f>IF('Crédito de Vivienda'!$C$10="TARIFA 1",(C253*(VLOOKUP('Crédito de Vivienda'!$C$27,Seguros_Oblig!$A$3:$B$55,2,FALSE))),(C253*(VLOOKUP('Crédito de Vivienda'!$C$27,Seguros_Oblig!$A$3:$D$55,4,FALSE))))</f>
        <v>#VALUE!</v>
      </c>
      <c r="J254" s="10">
        <f t="shared" si="21"/>
        <v>0</v>
      </c>
      <c r="K254" s="7" t="e">
        <f>IF(C253&lt;1,"0",Seguros_Oblig!$K$2*('Crédito de Vivienda'!$C$12*90%))</f>
        <v>#VALUE!</v>
      </c>
      <c r="L254" s="7" t="e">
        <f>IF(B254=" ","0",PMT('Crédito de Vivienda'!$E$17,'Crédito de Vivienda'!$C$18,-'Crédito de Vivienda'!$C$15,,))</f>
        <v>#VALUE!</v>
      </c>
      <c r="M254" s="9" t="e">
        <f t="shared" si="22"/>
        <v>#VALUE!</v>
      </c>
      <c r="N254" s="7" t="e">
        <f>IF(C253&lt;1,"0",'Crédito de Vivienda'!$C$40)</f>
        <v>#VALUE!</v>
      </c>
      <c r="O254" s="9" t="e">
        <f t="shared" si="23"/>
        <v>#VALUE!</v>
      </c>
    </row>
    <row r="255" spans="2:15" ht="15.5" x14ac:dyDescent="0.35">
      <c r="B255" s="6" t="e">
        <f t="shared" si="19"/>
        <v>#VALUE!</v>
      </c>
      <c r="C255" s="7" t="e">
        <f t="shared" si="20"/>
        <v>#VALUE!</v>
      </c>
      <c r="D255" s="7" t="e">
        <f t="shared" si="24"/>
        <v>#VALUE!</v>
      </c>
      <c r="E255" s="7" t="e">
        <f>C254*'Crédito de Vivienda'!$E$17</f>
        <v>#VALUE!</v>
      </c>
      <c r="F255" s="282" t="e">
        <f>IF(C254&lt;1,"0",IF('Crédito de Vivienda'!$D$28="Si",($C$17*(VLOOKUP('Crédito de Vivienda'!$C$24,Seguros_Oblig!$A$3:$F$55,6,FALSE))),IF('Crédito de Vivienda'!$C$10="TARIFA 1",(C254*(VLOOKUP('Crédito de Vivienda'!$C$24,Seguros_Oblig!$A$3:$B$55,2,FALSE))),(C254*(VLOOKUP('Crédito de Vivienda'!$C$24,Seguros_Oblig!$A$3:$D$55,4,FALSE))))))</f>
        <v>#VALUE!</v>
      </c>
      <c r="G255" s="8" t="e">
        <f>IF('Crédito de Vivienda'!$C$10="TARIFA 1",(C254*(VLOOKUP('Crédito de Vivienda'!$C$25,Seguros_Oblig!$A$3:$B$55,2,FALSE))),(C254*(VLOOKUP('Crédito de Vivienda'!$C$25,Seguros_Oblig!$A$3:$D$55,4,FALSE))))</f>
        <v>#VALUE!</v>
      </c>
      <c r="H255" s="8" t="e">
        <f>IF('Crédito de Vivienda'!$C$10="TARIFA 1",(C254*(VLOOKUP('Crédito de Vivienda'!$C$26,Seguros_Oblig!$A$3:$B$55,2,FALSE))),(C254*(VLOOKUP('Crédito de Vivienda'!$C$26,Seguros_Oblig!$A$3:$D$55,4,FALSE))))</f>
        <v>#VALUE!</v>
      </c>
      <c r="I255" s="8" t="e">
        <f>IF('Crédito de Vivienda'!$C$10="TARIFA 1",(C254*(VLOOKUP('Crédito de Vivienda'!$C$27,Seguros_Oblig!$A$3:$B$55,2,FALSE))),(C254*(VLOOKUP('Crédito de Vivienda'!$C$27,Seguros_Oblig!$A$3:$D$55,4,FALSE))))</f>
        <v>#VALUE!</v>
      </c>
      <c r="J255" s="10">
        <f t="shared" si="21"/>
        <v>0</v>
      </c>
      <c r="K255" s="7" t="e">
        <f>IF(C254&lt;1,"0",Seguros_Oblig!$K$2*('Crédito de Vivienda'!$C$12*90%))</f>
        <v>#VALUE!</v>
      </c>
      <c r="L255" s="7" t="e">
        <f>IF(B255=" ","0",PMT('Crédito de Vivienda'!$E$17,'Crédito de Vivienda'!$C$18,-'Crédito de Vivienda'!$C$15,,))</f>
        <v>#VALUE!</v>
      </c>
      <c r="M255" s="9" t="e">
        <f t="shared" si="22"/>
        <v>#VALUE!</v>
      </c>
      <c r="N255" s="7" t="e">
        <f>IF(C254&lt;1,"0",'Crédito de Vivienda'!$C$40)</f>
        <v>#VALUE!</v>
      </c>
      <c r="O255" s="9" t="e">
        <f t="shared" si="23"/>
        <v>#VALUE!</v>
      </c>
    </row>
    <row r="256" spans="2:15" ht="15.5" x14ac:dyDescent="0.35">
      <c r="B256" s="6" t="e">
        <f t="shared" si="19"/>
        <v>#VALUE!</v>
      </c>
      <c r="C256" s="7" t="e">
        <f t="shared" si="20"/>
        <v>#VALUE!</v>
      </c>
      <c r="D256" s="7" t="e">
        <f t="shared" si="24"/>
        <v>#VALUE!</v>
      </c>
      <c r="E256" s="7" t="e">
        <f>C255*'Crédito de Vivienda'!$E$17</f>
        <v>#VALUE!</v>
      </c>
      <c r="F256" s="282" t="e">
        <f>IF(C255&lt;1,"0",IF('Crédito de Vivienda'!$D$28="Si",($C$17*(VLOOKUP('Crédito de Vivienda'!$C$24,Seguros_Oblig!$A$3:$F$55,6,FALSE))),IF('Crédito de Vivienda'!$C$10="TARIFA 1",(C255*(VLOOKUP('Crédito de Vivienda'!$C$24,Seguros_Oblig!$A$3:$B$55,2,FALSE))),(C255*(VLOOKUP('Crédito de Vivienda'!$C$24,Seguros_Oblig!$A$3:$D$55,4,FALSE))))))</f>
        <v>#VALUE!</v>
      </c>
      <c r="G256" s="8" t="e">
        <f>IF('Crédito de Vivienda'!$C$10="TARIFA 1",(C255*(VLOOKUP('Crédito de Vivienda'!$C$25,Seguros_Oblig!$A$3:$B$55,2,FALSE))),(C255*(VLOOKUP('Crédito de Vivienda'!$C$25,Seguros_Oblig!$A$3:$D$55,4,FALSE))))</f>
        <v>#VALUE!</v>
      </c>
      <c r="H256" s="8" t="e">
        <f>IF('Crédito de Vivienda'!$C$10="TARIFA 1",(C255*(VLOOKUP('Crédito de Vivienda'!$C$26,Seguros_Oblig!$A$3:$B$55,2,FALSE))),(C255*(VLOOKUP('Crédito de Vivienda'!$C$26,Seguros_Oblig!$A$3:$D$55,4,FALSE))))</f>
        <v>#VALUE!</v>
      </c>
      <c r="I256" s="8" t="e">
        <f>IF('Crédito de Vivienda'!$C$10="TARIFA 1",(C255*(VLOOKUP('Crédito de Vivienda'!$C$27,Seguros_Oblig!$A$3:$B$55,2,FALSE))),(C255*(VLOOKUP('Crédito de Vivienda'!$C$27,Seguros_Oblig!$A$3:$D$55,4,FALSE))))</f>
        <v>#VALUE!</v>
      </c>
      <c r="J256" s="10">
        <f t="shared" si="21"/>
        <v>0</v>
      </c>
      <c r="K256" s="7" t="e">
        <f>IF(C255&lt;1,"0",Seguros_Oblig!$K$2*('Crédito de Vivienda'!$C$12*90%))</f>
        <v>#VALUE!</v>
      </c>
      <c r="L256" s="7" t="e">
        <f>IF(B256=" ","0",PMT('Crédito de Vivienda'!$E$17,'Crédito de Vivienda'!$C$18,-'Crédito de Vivienda'!$C$15,,))</f>
        <v>#VALUE!</v>
      </c>
      <c r="M256" s="9" t="e">
        <f t="shared" si="22"/>
        <v>#VALUE!</v>
      </c>
      <c r="N256" s="7" t="e">
        <f>IF(C255&lt;1,"0",'Crédito de Vivienda'!$C$40)</f>
        <v>#VALUE!</v>
      </c>
      <c r="O256" s="9" t="e">
        <f t="shared" si="23"/>
        <v>#VALUE!</v>
      </c>
    </row>
    <row r="257" spans="2:15" ht="15.5" x14ac:dyDescent="0.35">
      <c r="B257" s="6" t="e">
        <f t="shared" si="19"/>
        <v>#VALUE!</v>
      </c>
      <c r="C257" s="7" t="e">
        <f t="shared" si="20"/>
        <v>#VALUE!</v>
      </c>
      <c r="D257" s="7" t="e">
        <f>IF(C256&lt;1,"0",L257-E257)</f>
        <v>#VALUE!</v>
      </c>
      <c r="E257" s="7" t="e">
        <f>C256*'Crédito de Vivienda'!$E$17</f>
        <v>#VALUE!</v>
      </c>
      <c r="F257" s="282" t="e">
        <f>IF(C256&lt;1,"0",IF('Crédito de Vivienda'!$D$28="Si",($C$17*(VLOOKUP('Crédito de Vivienda'!$C$24,Seguros_Oblig!$A$3:$F$55,6,FALSE))),IF('Crédito de Vivienda'!$C$10="TARIFA 1",(C256*(VLOOKUP('Crédito de Vivienda'!$C$24,Seguros_Oblig!$A$3:$B$55,2,FALSE))),(C256*(VLOOKUP('Crédito de Vivienda'!$C$24,Seguros_Oblig!$A$3:$D$55,4,FALSE))))))</f>
        <v>#VALUE!</v>
      </c>
      <c r="G257" s="8" t="e">
        <f>IF('Crédito de Vivienda'!$C$10="TARIFA 1",(C256*(VLOOKUP('Crédito de Vivienda'!$C$25,Seguros_Oblig!$A$3:$B$55,2,FALSE))),(C256*(VLOOKUP('Crédito de Vivienda'!$C$25,Seguros_Oblig!$A$3:$D$55,4,FALSE))))</f>
        <v>#VALUE!</v>
      </c>
      <c r="H257" s="8" t="e">
        <f>IF('Crédito de Vivienda'!$C$10="TARIFA 1",(C256*(VLOOKUP('Crédito de Vivienda'!$C$26,Seguros_Oblig!$A$3:$B$55,2,FALSE))),(C256*(VLOOKUP('Crédito de Vivienda'!$C$26,Seguros_Oblig!$A$3:$D$55,4,FALSE))))</f>
        <v>#VALUE!</v>
      </c>
      <c r="I257" s="8" t="e">
        <f>IF('Crédito de Vivienda'!$C$10="TARIFA 1",(C256*(VLOOKUP('Crédito de Vivienda'!$C$27,Seguros_Oblig!$A$3:$B$55,2,FALSE))),(C256*(VLOOKUP('Crédito de Vivienda'!$C$27,Seguros_Oblig!$A$3:$D$55,4,FALSE))))</f>
        <v>#VALUE!</v>
      </c>
      <c r="J257" s="10">
        <f t="shared" si="21"/>
        <v>0</v>
      </c>
      <c r="K257" s="7" t="e">
        <f>IF(C256&lt;1,"0",Seguros_Oblig!$K$2*('Crédito de Vivienda'!$C$12*90%))</f>
        <v>#VALUE!</v>
      </c>
      <c r="L257" s="7" t="e">
        <f>IF(B257=" ","0",PMT('Crédito de Vivienda'!$E$17,'Crédito de Vivienda'!$C$18,-'Crédito de Vivienda'!$C$15,,))</f>
        <v>#VALUE!</v>
      </c>
      <c r="M257" s="9" t="e">
        <f t="shared" si="22"/>
        <v>#VALUE!</v>
      </c>
      <c r="N257" s="7" t="e">
        <f>IF(C256&lt;1,"0",'Crédito de Vivienda'!$C$40)</f>
        <v>#VALUE!</v>
      </c>
      <c r="O257" s="9" t="e">
        <f t="shared" si="23"/>
        <v>#VALUE!</v>
      </c>
    </row>
    <row r="258" spans="2:15" ht="15.5" x14ac:dyDescent="0.35">
      <c r="B258" s="6" t="e">
        <f t="shared" ref="B258:B321" si="25">IF(C257&gt;1,B257+1," ")</f>
        <v>#VALUE!</v>
      </c>
      <c r="C258" s="7" t="e">
        <f t="shared" ref="C258:C321" si="26">C257-D258</f>
        <v>#VALUE!</v>
      </c>
      <c r="D258" s="7" t="e">
        <f t="shared" si="24"/>
        <v>#VALUE!</v>
      </c>
      <c r="E258" s="7" t="e">
        <f>C257*'Crédito de Vivienda'!$E$17</f>
        <v>#VALUE!</v>
      </c>
      <c r="F258" s="282" t="e">
        <f>IF(C257&lt;1,"0",IF('Crédito de Vivienda'!$D$28="Si",($C$17*(VLOOKUP('Crédito de Vivienda'!$C$24,Seguros_Oblig!$A$3:$F$55,6,FALSE))),IF('Crédito de Vivienda'!$C$10="TARIFA 1",(C257*(VLOOKUP('Crédito de Vivienda'!$C$24,Seguros_Oblig!$A$3:$B$55,2,FALSE))),(C257*(VLOOKUP('Crédito de Vivienda'!$C$24,Seguros_Oblig!$A$3:$D$55,4,FALSE))))))</f>
        <v>#VALUE!</v>
      </c>
      <c r="G258" s="8" t="e">
        <f>IF('Crédito de Vivienda'!$C$10="TARIFA 1",(C257*(VLOOKUP('Crédito de Vivienda'!$C$25,Seguros_Oblig!$A$3:$B$55,2,FALSE))),(C257*(VLOOKUP('Crédito de Vivienda'!$C$25,Seguros_Oblig!$A$3:$D$55,4,FALSE))))</f>
        <v>#VALUE!</v>
      </c>
      <c r="H258" s="8" t="e">
        <f>IF('Crédito de Vivienda'!$C$10="TARIFA 1",(C257*(VLOOKUP('Crédito de Vivienda'!$C$26,Seguros_Oblig!$A$3:$B$55,2,FALSE))),(C257*(VLOOKUP('Crédito de Vivienda'!$C$26,Seguros_Oblig!$A$3:$D$55,4,FALSE))))</f>
        <v>#VALUE!</v>
      </c>
      <c r="I258" s="8" t="e">
        <f>IF('Crédito de Vivienda'!$C$10="TARIFA 1",(C257*(VLOOKUP('Crédito de Vivienda'!$C$27,Seguros_Oblig!$A$3:$B$55,2,FALSE))),(C257*(VLOOKUP('Crédito de Vivienda'!$C$27,Seguros_Oblig!$A$3:$D$55,4,FALSE))))</f>
        <v>#VALUE!</v>
      </c>
      <c r="J258" s="10">
        <f t="shared" ref="J258:J321" si="27">_xlfn.AGGREGATE(9,6,F258:I258)</f>
        <v>0</v>
      </c>
      <c r="K258" s="7" t="e">
        <f>IF(C257&lt;1,"0",Seguros_Oblig!$K$2*('Crédito de Vivienda'!$C$12*90%))</f>
        <v>#VALUE!</v>
      </c>
      <c r="L258" s="7" t="e">
        <f>IF(B258=" ","0",PMT('Crédito de Vivienda'!$E$17,'Crédito de Vivienda'!$C$18,-'Crédito de Vivienda'!$C$15,,))</f>
        <v>#VALUE!</v>
      </c>
      <c r="M258" s="9" t="e">
        <f t="shared" ref="M258:M321" si="28">K258+L258+J258</f>
        <v>#VALUE!</v>
      </c>
      <c r="N258" s="7" t="e">
        <f>IF(C257&lt;1,"0",'Crédito de Vivienda'!$C$40)</f>
        <v>#VALUE!</v>
      </c>
      <c r="O258" s="9" t="e">
        <f t="shared" si="23"/>
        <v>#VALUE!</v>
      </c>
    </row>
    <row r="259" spans="2:15" ht="15.5" x14ac:dyDescent="0.35">
      <c r="B259" s="6" t="e">
        <f t="shared" si="25"/>
        <v>#VALUE!</v>
      </c>
      <c r="C259" s="7" t="e">
        <f t="shared" si="26"/>
        <v>#VALUE!</v>
      </c>
      <c r="D259" s="7" t="e">
        <f t="shared" si="24"/>
        <v>#VALUE!</v>
      </c>
      <c r="E259" s="7" t="e">
        <f>C258*'Crédito de Vivienda'!$E$17</f>
        <v>#VALUE!</v>
      </c>
      <c r="F259" s="282" t="e">
        <f>IF(C258&lt;1,"0",IF('Crédito de Vivienda'!$D$28="Si",($C$17*(VLOOKUP('Crédito de Vivienda'!$C$24,Seguros_Oblig!$A$3:$F$55,6,FALSE))),IF('Crédito de Vivienda'!$C$10="TARIFA 1",(C258*(VLOOKUP('Crédito de Vivienda'!$C$24,Seguros_Oblig!$A$3:$B$55,2,FALSE))),(C258*(VLOOKUP('Crédito de Vivienda'!$C$24,Seguros_Oblig!$A$3:$D$55,4,FALSE))))))</f>
        <v>#VALUE!</v>
      </c>
      <c r="G259" s="8" t="e">
        <f>IF('Crédito de Vivienda'!$C$10="TARIFA 1",(C258*(VLOOKUP('Crédito de Vivienda'!$C$25,Seguros_Oblig!$A$3:$B$55,2,FALSE))),(C258*(VLOOKUP('Crédito de Vivienda'!$C$25,Seguros_Oblig!$A$3:$D$55,4,FALSE))))</f>
        <v>#VALUE!</v>
      </c>
      <c r="H259" s="8" t="e">
        <f>IF('Crédito de Vivienda'!$C$10="TARIFA 1",(C258*(VLOOKUP('Crédito de Vivienda'!$C$26,Seguros_Oblig!$A$3:$B$55,2,FALSE))),(C258*(VLOOKUP('Crédito de Vivienda'!$C$26,Seguros_Oblig!$A$3:$D$55,4,FALSE))))</f>
        <v>#VALUE!</v>
      </c>
      <c r="I259" s="8" t="e">
        <f>IF('Crédito de Vivienda'!$C$10="TARIFA 1",(C258*(VLOOKUP('Crédito de Vivienda'!$C$27,Seguros_Oblig!$A$3:$B$55,2,FALSE))),(C258*(VLOOKUP('Crédito de Vivienda'!$C$27,Seguros_Oblig!$A$3:$D$55,4,FALSE))))</f>
        <v>#VALUE!</v>
      </c>
      <c r="J259" s="10">
        <f t="shared" si="27"/>
        <v>0</v>
      </c>
      <c r="K259" s="7" t="e">
        <f>IF(C258&lt;1,"0",Seguros_Oblig!$K$2*('Crédito de Vivienda'!$C$12*90%))</f>
        <v>#VALUE!</v>
      </c>
      <c r="L259" s="7" t="e">
        <f>IF(B259=" ","0",PMT('Crédito de Vivienda'!$E$17,'Crédito de Vivienda'!$C$18,-'Crédito de Vivienda'!$C$15,,))</f>
        <v>#VALUE!</v>
      </c>
      <c r="M259" s="9" t="e">
        <f t="shared" si="28"/>
        <v>#VALUE!</v>
      </c>
      <c r="N259" s="7" t="e">
        <f>IF(C258&lt;1,"0",'Crédito de Vivienda'!$C$40)</f>
        <v>#VALUE!</v>
      </c>
      <c r="O259" s="9" t="e">
        <f t="shared" si="23"/>
        <v>#VALUE!</v>
      </c>
    </row>
    <row r="260" spans="2:15" ht="15.5" x14ac:dyDescent="0.35">
      <c r="B260" s="6" t="e">
        <f t="shared" si="25"/>
        <v>#VALUE!</v>
      </c>
      <c r="C260" s="7" t="e">
        <f t="shared" si="26"/>
        <v>#VALUE!</v>
      </c>
      <c r="D260" s="7" t="e">
        <f t="shared" si="24"/>
        <v>#VALUE!</v>
      </c>
      <c r="E260" s="7" t="e">
        <f>C259*'Crédito de Vivienda'!$E$17</f>
        <v>#VALUE!</v>
      </c>
      <c r="F260" s="282" t="e">
        <f>IF(C259&lt;1,"0",IF('Crédito de Vivienda'!$D$28="Si",($C$17*(VLOOKUP('Crédito de Vivienda'!$C$24,Seguros_Oblig!$A$3:$F$55,6,FALSE))),IF('Crédito de Vivienda'!$C$10="TARIFA 1",(C259*(VLOOKUP('Crédito de Vivienda'!$C$24,Seguros_Oblig!$A$3:$B$55,2,FALSE))),(C259*(VLOOKUP('Crédito de Vivienda'!$C$24,Seguros_Oblig!$A$3:$D$55,4,FALSE))))))</f>
        <v>#VALUE!</v>
      </c>
      <c r="G260" s="8" t="e">
        <f>IF('Crédito de Vivienda'!$C$10="TARIFA 1",(C259*(VLOOKUP('Crédito de Vivienda'!$C$25,Seguros_Oblig!$A$3:$B$55,2,FALSE))),(C259*(VLOOKUP('Crédito de Vivienda'!$C$25,Seguros_Oblig!$A$3:$D$55,4,FALSE))))</f>
        <v>#VALUE!</v>
      </c>
      <c r="H260" s="8" t="e">
        <f>IF('Crédito de Vivienda'!$C$10="TARIFA 1",(C259*(VLOOKUP('Crédito de Vivienda'!$C$26,Seguros_Oblig!$A$3:$B$55,2,FALSE))),(C259*(VLOOKUP('Crédito de Vivienda'!$C$26,Seguros_Oblig!$A$3:$D$55,4,FALSE))))</f>
        <v>#VALUE!</v>
      </c>
      <c r="I260" s="8" t="e">
        <f>IF('Crédito de Vivienda'!$C$10="TARIFA 1",(C259*(VLOOKUP('Crédito de Vivienda'!$C$27,Seguros_Oblig!$A$3:$B$55,2,FALSE))),(C259*(VLOOKUP('Crédito de Vivienda'!$C$27,Seguros_Oblig!$A$3:$D$55,4,FALSE))))</f>
        <v>#VALUE!</v>
      </c>
      <c r="J260" s="10">
        <f t="shared" si="27"/>
        <v>0</v>
      </c>
      <c r="K260" s="7" t="e">
        <f>IF(C259&lt;1,"0",Seguros_Oblig!$K$2*('Crédito de Vivienda'!$C$12*90%))</f>
        <v>#VALUE!</v>
      </c>
      <c r="L260" s="7" t="e">
        <f>IF(B260=" ","0",PMT('Crédito de Vivienda'!$E$17,'Crédito de Vivienda'!$C$18,-'Crédito de Vivienda'!$C$15,,))</f>
        <v>#VALUE!</v>
      </c>
      <c r="M260" s="9" t="e">
        <f t="shared" si="28"/>
        <v>#VALUE!</v>
      </c>
      <c r="N260" s="7" t="e">
        <f>IF(C259&lt;1,"0",'Crédito de Vivienda'!$C$40)</f>
        <v>#VALUE!</v>
      </c>
      <c r="O260" s="9" t="e">
        <f t="shared" si="23"/>
        <v>#VALUE!</v>
      </c>
    </row>
    <row r="261" spans="2:15" ht="15.5" x14ac:dyDescent="0.35">
      <c r="B261" s="6" t="e">
        <f t="shared" si="25"/>
        <v>#VALUE!</v>
      </c>
      <c r="C261" s="7" t="e">
        <f t="shared" si="26"/>
        <v>#VALUE!</v>
      </c>
      <c r="D261" s="7" t="e">
        <f t="shared" si="24"/>
        <v>#VALUE!</v>
      </c>
      <c r="E261" s="7" t="e">
        <f>C260*'Crédito de Vivienda'!$E$17</f>
        <v>#VALUE!</v>
      </c>
      <c r="F261" s="282" t="e">
        <f>IF(C260&lt;1,"0",IF('Crédito de Vivienda'!$D$28="Si",($C$17*(VLOOKUP('Crédito de Vivienda'!$C$24,Seguros_Oblig!$A$3:$F$55,6,FALSE))),IF('Crédito de Vivienda'!$C$10="TARIFA 1",(C260*(VLOOKUP('Crédito de Vivienda'!$C$24,Seguros_Oblig!$A$3:$B$55,2,FALSE))),(C260*(VLOOKUP('Crédito de Vivienda'!$C$24,Seguros_Oblig!$A$3:$D$55,4,FALSE))))))</f>
        <v>#VALUE!</v>
      </c>
      <c r="G261" s="8" t="e">
        <f>IF('Crédito de Vivienda'!$C$10="TARIFA 1",(C260*(VLOOKUP('Crédito de Vivienda'!$C$25,Seguros_Oblig!$A$3:$B$55,2,FALSE))),(C260*(VLOOKUP('Crédito de Vivienda'!$C$25,Seguros_Oblig!$A$3:$D$55,4,FALSE))))</f>
        <v>#VALUE!</v>
      </c>
      <c r="H261" s="8" t="e">
        <f>IF('Crédito de Vivienda'!$C$10="TARIFA 1",(C260*(VLOOKUP('Crédito de Vivienda'!$C$26,Seguros_Oblig!$A$3:$B$55,2,FALSE))),(C260*(VLOOKUP('Crédito de Vivienda'!$C$26,Seguros_Oblig!$A$3:$D$55,4,FALSE))))</f>
        <v>#VALUE!</v>
      </c>
      <c r="I261" s="8" t="e">
        <f>IF('Crédito de Vivienda'!$C$10="TARIFA 1",(C260*(VLOOKUP('Crédito de Vivienda'!$C$27,Seguros_Oblig!$A$3:$B$55,2,FALSE))),(C260*(VLOOKUP('Crédito de Vivienda'!$C$27,Seguros_Oblig!$A$3:$D$55,4,FALSE))))</f>
        <v>#VALUE!</v>
      </c>
      <c r="J261" s="10">
        <f t="shared" si="27"/>
        <v>0</v>
      </c>
      <c r="K261" s="7" t="e">
        <f>IF(C260&lt;1,"0",Seguros_Oblig!$K$2*('Crédito de Vivienda'!$C$12*90%))</f>
        <v>#VALUE!</v>
      </c>
      <c r="L261" s="7" t="e">
        <f>IF(B261=" ","0",PMT('Crédito de Vivienda'!$E$17,'Crédito de Vivienda'!$C$18,-'Crédito de Vivienda'!$C$15,,))</f>
        <v>#VALUE!</v>
      </c>
      <c r="M261" s="9" t="e">
        <f t="shared" si="28"/>
        <v>#VALUE!</v>
      </c>
      <c r="N261" s="7" t="e">
        <f>IF(C260&lt;1,"0",'Crédito de Vivienda'!$C$40)</f>
        <v>#VALUE!</v>
      </c>
      <c r="O261" s="9" t="e">
        <f t="shared" si="23"/>
        <v>#VALUE!</v>
      </c>
    </row>
    <row r="262" spans="2:15" ht="15.5" x14ac:dyDescent="0.35">
      <c r="B262" s="6" t="e">
        <f t="shared" si="25"/>
        <v>#VALUE!</v>
      </c>
      <c r="C262" s="7" t="e">
        <f t="shared" si="26"/>
        <v>#VALUE!</v>
      </c>
      <c r="D262" s="7" t="e">
        <f t="shared" si="24"/>
        <v>#VALUE!</v>
      </c>
      <c r="E262" s="7" t="e">
        <f>C261*'Crédito de Vivienda'!$E$17</f>
        <v>#VALUE!</v>
      </c>
      <c r="F262" s="282" t="e">
        <f>IF(C261&lt;1,"0",IF('Crédito de Vivienda'!$D$28="Si",($C$17*(VLOOKUP('Crédito de Vivienda'!$C$24,Seguros_Oblig!$A$3:$F$55,6,FALSE))),IF('Crédito de Vivienda'!$C$10="TARIFA 1",(C261*(VLOOKUP('Crédito de Vivienda'!$C$24,Seguros_Oblig!$A$3:$B$55,2,FALSE))),(C261*(VLOOKUP('Crédito de Vivienda'!$C$24,Seguros_Oblig!$A$3:$D$55,4,FALSE))))))</f>
        <v>#VALUE!</v>
      </c>
      <c r="G262" s="8" t="e">
        <f>IF('Crédito de Vivienda'!$C$10="TARIFA 1",(C261*(VLOOKUP('Crédito de Vivienda'!$C$25,Seguros_Oblig!$A$3:$B$55,2,FALSE))),(C261*(VLOOKUP('Crédito de Vivienda'!$C$25,Seguros_Oblig!$A$3:$D$55,4,FALSE))))</f>
        <v>#VALUE!</v>
      </c>
      <c r="H262" s="8" t="e">
        <f>IF('Crédito de Vivienda'!$C$10="TARIFA 1",(C261*(VLOOKUP('Crédito de Vivienda'!$C$26,Seguros_Oblig!$A$3:$B$55,2,FALSE))),(C261*(VLOOKUP('Crédito de Vivienda'!$C$26,Seguros_Oblig!$A$3:$D$55,4,FALSE))))</f>
        <v>#VALUE!</v>
      </c>
      <c r="I262" s="8" t="e">
        <f>IF('Crédito de Vivienda'!$C$10="TARIFA 1",(C261*(VLOOKUP('Crédito de Vivienda'!$C$27,Seguros_Oblig!$A$3:$B$55,2,FALSE))),(C261*(VLOOKUP('Crédito de Vivienda'!$C$27,Seguros_Oblig!$A$3:$D$55,4,FALSE))))</f>
        <v>#VALUE!</v>
      </c>
      <c r="J262" s="10">
        <f t="shared" si="27"/>
        <v>0</v>
      </c>
      <c r="K262" s="7" t="e">
        <f>IF(C261&lt;1,"0",Seguros_Oblig!$K$2*('Crédito de Vivienda'!$C$12*90%))</f>
        <v>#VALUE!</v>
      </c>
      <c r="L262" s="7" t="e">
        <f>IF(B262=" ","0",PMT('Crédito de Vivienda'!$E$17,'Crédito de Vivienda'!$C$18,-'Crédito de Vivienda'!$C$15,,))</f>
        <v>#VALUE!</v>
      </c>
      <c r="M262" s="9" t="e">
        <f t="shared" si="28"/>
        <v>#VALUE!</v>
      </c>
      <c r="N262" s="7" t="e">
        <f>IF(C261&lt;1,"0",'Crédito de Vivienda'!$C$40)</f>
        <v>#VALUE!</v>
      </c>
      <c r="O262" s="9" t="e">
        <f t="shared" si="23"/>
        <v>#VALUE!</v>
      </c>
    </row>
    <row r="263" spans="2:15" ht="15.5" x14ac:dyDescent="0.35">
      <c r="B263" s="6" t="e">
        <f t="shared" si="25"/>
        <v>#VALUE!</v>
      </c>
      <c r="C263" s="7" t="e">
        <f t="shared" si="26"/>
        <v>#VALUE!</v>
      </c>
      <c r="D263" s="7" t="e">
        <f t="shared" si="24"/>
        <v>#VALUE!</v>
      </c>
      <c r="E263" s="7" t="e">
        <f>C262*'Crédito de Vivienda'!$E$17</f>
        <v>#VALUE!</v>
      </c>
      <c r="F263" s="282" t="e">
        <f>IF(C262&lt;1,"0",IF('Crédito de Vivienda'!$D$28="Si",($C$17*(VLOOKUP('Crédito de Vivienda'!$C$24,Seguros_Oblig!$A$3:$F$55,6,FALSE))),IF('Crédito de Vivienda'!$C$10="TARIFA 1",(C262*(VLOOKUP('Crédito de Vivienda'!$C$24,Seguros_Oblig!$A$3:$B$55,2,FALSE))),(C262*(VLOOKUP('Crédito de Vivienda'!$C$24,Seguros_Oblig!$A$3:$D$55,4,FALSE))))))</f>
        <v>#VALUE!</v>
      </c>
      <c r="G263" s="8" t="e">
        <f>IF('Crédito de Vivienda'!$C$10="TARIFA 1",(C262*(VLOOKUP('Crédito de Vivienda'!$C$25,Seguros_Oblig!$A$3:$B$55,2,FALSE))),(C262*(VLOOKUP('Crédito de Vivienda'!$C$25,Seguros_Oblig!$A$3:$D$55,4,FALSE))))</f>
        <v>#VALUE!</v>
      </c>
      <c r="H263" s="8" t="e">
        <f>IF('Crédito de Vivienda'!$C$10="TARIFA 1",(C262*(VLOOKUP('Crédito de Vivienda'!$C$26,Seguros_Oblig!$A$3:$B$55,2,FALSE))),(C262*(VLOOKUP('Crédito de Vivienda'!$C$26,Seguros_Oblig!$A$3:$D$55,4,FALSE))))</f>
        <v>#VALUE!</v>
      </c>
      <c r="I263" s="8" t="e">
        <f>IF('Crédito de Vivienda'!$C$10="TARIFA 1",(C262*(VLOOKUP('Crédito de Vivienda'!$C$27,Seguros_Oblig!$A$3:$B$55,2,FALSE))),(C262*(VLOOKUP('Crédito de Vivienda'!$C$27,Seguros_Oblig!$A$3:$D$55,4,FALSE))))</f>
        <v>#VALUE!</v>
      </c>
      <c r="J263" s="10">
        <f t="shared" si="27"/>
        <v>0</v>
      </c>
      <c r="K263" s="7" t="e">
        <f>IF(C262&lt;1,"0",Seguros_Oblig!$K$2*('Crédito de Vivienda'!$C$12*90%))</f>
        <v>#VALUE!</v>
      </c>
      <c r="L263" s="7" t="e">
        <f>IF(B263=" ","0",PMT('Crédito de Vivienda'!$E$17,'Crédito de Vivienda'!$C$18,-'Crédito de Vivienda'!$C$15,,))</f>
        <v>#VALUE!</v>
      </c>
      <c r="M263" s="9" t="e">
        <f t="shared" si="28"/>
        <v>#VALUE!</v>
      </c>
      <c r="N263" s="7" t="e">
        <f>IF(C262&lt;1,"0",'Crédito de Vivienda'!$C$40)</f>
        <v>#VALUE!</v>
      </c>
      <c r="O263" s="9" t="e">
        <f t="shared" si="23"/>
        <v>#VALUE!</v>
      </c>
    </row>
    <row r="264" spans="2:15" ht="15.5" x14ac:dyDescent="0.35">
      <c r="B264" s="6" t="e">
        <f t="shared" si="25"/>
        <v>#VALUE!</v>
      </c>
      <c r="C264" s="7" t="e">
        <f t="shared" si="26"/>
        <v>#VALUE!</v>
      </c>
      <c r="D264" s="7" t="e">
        <f t="shared" si="24"/>
        <v>#VALUE!</v>
      </c>
      <c r="E264" s="7" t="e">
        <f>C263*'Crédito de Vivienda'!$E$17</f>
        <v>#VALUE!</v>
      </c>
      <c r="F264" s="282" t="e">
        <f>IF(C263&lt;1,"0",IF('Crédito de Vivienda'!$D$28="Si",($C$17*(VLOOKUP('Crédito de Vivienda'!$C$24,Seguros_Oblig!$A$3:$F$55,6,FALSE))),IF('Crédito de Vivienda'!$C$10="TARIFA 1",(C263*(VLOOKUP('Crédito de Vivienda'!$C$24,Seguros_Oblig!$A$3:$B$55,2,FALSE))),(C263*(VLOOKUP('Crédito de Vivienda'!$C$24,Seguros_Oblig!$A$3:$D$55,4,FALSE))))))</f>
        <v>#VALUE!</v>
      </c>
      <c r="G264" s="8" t="e">
        <f>IF('Crédito de Vivienda'!$C$10="TARIFA 1",(C263*(VLOOKUP('Crédito de Vivienda'!$C$25,Seguros_Oblig!$A$3:$B$55,2,FALSE))),(C263*(VLOOKUP('Crédito de Vivienda'!$C$25,Seguros_Oblig!$A$3:$D$55,4,FALSE))))</f>
        <v>#VALUE!</v>
      </c>
      <c r="H264" s="8" t="e">
        <f>IF('Crédito de Vivienda'!$C$10="TARIFA 1",(C263*(VLOOKUP('Crédito de Vivienda'!$C$26,Seguros_Oblig!$A$3:$B$55,2,FALSE))),(C263*(VLOOKUP('Crédito de Vivienda'!$C$26,Seguros_Oblig!$A$3:$D$55,4,FALSE))))</f>
        <v>#VALUE!</v>
      </c>
      <c r="I264" s="8" t="e">
        <f>IF('Crédito de Vivienda'!$C$10="TARIFA 1",(C263*(VLOOKUP('Crédito de Vivienda'!$C$27,Seguros_Oblig!$A$3:$B$55,2,FALSE))),(C263*(VLOOKUP('Crédito de Vivienda'!$C$27,Seguros_Oblig!$A$3:$D$55,4,FALSE))))</f>
        <v>#VALUE!</v>
      </c>
      <c r="J264" s="10">
        <f t="shared" si="27"/>
        <v>0</v>
      </c>
      <c r="K264" s="7" t="e">
        <f>IF(C263&lt;1,"0",Seguros_Oblig!$K$2*('Crédito de Vivienda'!$C$12*90%))</f>
        <v>#VALUE!</v>
      </c>
      <c r="L264" s="7" t="e">
        <f>IF(B264=" ","0",PMT('Crédito de Vivienda'!$E$17,'Crédito de Vivienda'!$C$18,-'Crédito de Vivienda'!$C$15,,))</f>
        <v>#VALUE!</v>
      </c>
      <c r="M264" s="9" t="e">
        <f t="shared" si="28"/>
        <v>#VALUE!</v>
      </c>
      <c r="N264" s="7" t="e">
        <f>IF(C263&lt;1,"0",'Crédito de Vivienda'!$C$40)</f>
        <v>#VALUE!</v>
      </c>
      <c r="O264" s="9" t="e">
        <f t="shared" si="23"/>
        <v>#VALUE!</v>
      </c>
    </row>
    <row r="265" spans="2:15" ht="15.5" x14ac:dyDescent="0.35">
      <c r="B265" s="6" t="e">
        <f t="shared" si="25"/>
        <v>#VALUE!</v>
      </c>
      <c r="C265" s="7" t="e">
        <f t="shared" si="26"/>
        <v>#VALUE!</v>
      </c>
      <c r="D265" s="7" t="e">
        <f t="shared" si="24"/>
        <v>#VALUE!</v>
      </c>
      <c r="E265" s="7" t="e">
        <f>C264*'Crédito de Vivienda'!$E$17</f>
        <v>#VALUE!</v>
      </c>
      <c r="F265" s="282" t="e">
        <f>IF(C264&lt;1,"0",IF('Crédito de Vivienda'!$D$28="Si",($C$17*(VLOOKUP('Crédito de Vivienda'!$C$24,Seguros_Oblig!$A$3:$F$55,6,FALSE))),IF('Crédito de Vivienda'!$C$10="TARIFA 1",(C264*(VLOOKUP('Crédito de Vivienda'!$C$24,Seguros_Oblig!$A$3:$B$55,2,FALSE))),(C264*(VLOOKUP('Crédito de Vivienda'!$C$24,Seguros_Oblig!$A$3:$D$55,4,FALSE))))))</f>
        <v>#VALUE!</v>
      </c>
      <c r="G265" s="8" t="e">
        <f>IF('Crédito de Vivienda'!$C$10="TARIFA 1",(C264*(VLOOKUP('Crédito de Vivienda'!$C$25,Seguros_Oblig!$A$3:$B$55,2,FALSE))),(C264*(VLOOKUP('Crédito de Vivienda'!$C$25,Seguros_Oblig!$A$3:$D$55,4,FALSE))))</f>
        <v>#VALUE!</v>
      </c>
      <c r="H265" s="8" t="e">
        <f>IF('Crédito de Vivienda'!$C$10="TARIFA 1",(C264*(VLOOKUP('Crédito de Vivienda'!$C$26,Seguros_Oblig!$A$3:$B$55,2,FALSE))),(C264*(VLOOKUP('Crédito de Vivienda'!$C$26,Seguros_Oblig!$A$3:$D$55,4,FALSE))))</f>
        <v>#VALUE!</v>
      </c>
      <c r="I265" s="8" t="e">
        <f>IF('Crédito de Vivienda'!$C$10="TARIFA 1",(C264*(VLOOKUP('Crédito de Vivienda'!$C$27,Seguros_Oblig!$A$3:$B$55,2,FALSE))),(C264*(VLOOKUP('Crédito de Vivienda'!$C$27,Seguros_Oblig!$A$3:$D$55,4,FALSE))))</f>
        <v>#VALUE!</v>
      </c>
      <c r="J265" s="10">
        <f t="shared" si="27"/>
        <v>0</v>
      </c>
      <c r="K265" s="7" t="e">
        <f>IF(C264&lt;1,"0",Seguros_Oblig!$K$2*('Crédito de Vivienda'!$C$12*90%))</f>
        <v>#VALUE!</v>
      </c>
      <c r="L265" s="7" t="e">
        <f>IF(B265=" ","0",PMT('Crédito de Vivienda'!$E$17,'Crédito de Vivienda'!$C$18,-'Crédito de Vivienda'!$C$15,,))</f>
        <v>#VALUE!</v>
      </c>
      <c r="M265" s="9" t="e">
        <f t="shared" si="28"/>
        <v>#VALUE!</v>
      </c>
      <c r="N265" s="7" t="e">
        <f>IF(C264&lt;1,"0",'Crédito de Vivienda'!$C$40)</f>
        <v>#VALUE!</v>
      </c>
      <c r="O265" s="9" t="e">
        <f t="shared" si="23"/>
        <v>#VALUE!</v>
      </c>
    </row>
    <row r="266" spans="2:15" ht="15.5" x14ac:dyDescent="0.35">
      <c r="B266" s="6" t="e">
        <f t="shared" si="25"/>
        <v>#VALUE!</v>
      </c>
      <c r="C266" s="7" t="e">
        <f t="shared" si="26"/>
        <v>#VALUE!</v>
      </c>
      <c r="D266" s="7" t="e">
        <f t="shared" si="24"/>
        <v>#VALUE!</v>
      </c>
      <c r="E266" s="7" t="e">
        <f>C265*'Crédito de Vivienda'!$E$17</f>
        <v>#VALUE!</v>
      </c>
      <c r="F266" s="282" t="e">
        <f>IF(C265&lt;1,"0",IF('Crédito de Vivienda'!$D$28="Si",($C$17*(VLOOKUP('Crédito de Vivienda'!$C$24,Seguros_Oblig!$A$3:$F$55,6,FALSE))),IF('Crédito de Vivienda'!$C$10="TARIFA 1",(C265*(VLOOKUP('Crédito de Vivienda'!$C$24,Seguros_Oblig!$A$3:$B$55,2,FALSE))),(C265*(VLOOKUP('Crédito de Vivienda'!$C$24,Seguros_Oblig!$A$3:$D$55,4,FALSE))))))</f>
        <v>#VALUE!</v>
      </c>
      <c r="G266" s="8" t="e">
        <f>IF('Crédito de Vivienda'!$C$10="TARIFA 1",(C265*(VLOOKUP('Crédito de Vivienda'!$C$25,Seguros_Oblig!$A$3:$B$55,2,FALSE))),(C265*(VLOOKUP('Crédito de Vivienda'!$C$25,Seguros_Oblig!$A$3:$D$55,4,FALSE))))</f>
        <v>#VALUE!</v>
      </c>
      <c r="H266" s="8" t="e">
        <f>IF('Crédito de Vivienda'!$C$10="TARIFA 1",(C265*(VLOOKUP('Crédito de Vivienda'!$C$26,Seguros_Oblig!$A$3:$B$55,2,FALSE))),(C265*(VLOOKUP('Crédito de Vivienda'!$C$26,Seguros_Oblig!$A$3:$D$55,4,FALSE))))</f>
        <v>#VALUE!</v>
      </c>
      <c r="I266" s="8" t="e">
        <f>IF('Crédito de Vivienda'!$C$10="TARIFA 1",(C265*(VLOOKUP('Crédito de Vivienda'!$C$27,Seguros_Oblig!$A$3:$B$55,2,FALSE))),(C265*(VLOOKUP('Crédito de Vivienda'!$C$27,Seguros_Oblig!$A$3:$D$55,4,FALSE))))</f>
        <v>#VALUE!</v>
      </c>
      <c r="J266" s="10">
        <f t="shared" si="27"/>
        <v>0</v>
      </c>
      <c r="K266" s="7" t="e">
        <f>IF(C265&lt;1,"0",Seguros_Oblig!$K$2*('Crédito de Vivienda'!$C$12*90%))</f>
        <v>#VALUE!</v>
      </c>
      <c r="L266" s="7" t="e">
        <f>IF(B266=" ","0",PMT('Crédito de Vivienda'!$E$17,'Crédito de Vivienda'!$C$18,-'Crédito de Vivienda'!$C$15,,))</f>
        <v>#VALUE!</v>
      </c>
      <c r="M266" s="9" t="e">
        <f t="shared" si="28"/>
        <v>#VALUE!</v>
      </c>
      <c r="N266" s="7" t="e">
        <f>IF(C265&lt;1,"0",'Crédito de Vivienda'!$C$40)</f>
        <v>#VALUE!</v>
      </c>
      <c r="O266" s="9" t="e">
        <f t="shared" si="23"/>
        <v>#VALUE!</v>
      </c>
    </row>
    <row r="267" spans="2:15" ht="15.5" x14ac:dyDescent="0.35">
      <c r="B267" s="6" t="e">
        <f t="shared" si="25"/>
        <v>#VALUE!</v>
      </c>
      <c r="C267" s="7" t="e">
        <f t="shared" si="26"/>
        <v>#VALUE!</v>
      </c>
      <c r="D267" s="7" t="e">
        <f t="shared" si="24"/>
        <v>#VALUE!</v>
      </c>
      <c r="E267" s="7" t="e">
        <f>C266*'Crédito de Vivienda'!$E$17</f>
        <v>#VALUE!</v>
      </c>
      <c r="F267" s="282" t="e">
        <f>IF(C266&lt;1,"0",IF('Crédito de Vivienda'!$D$28="Si",($C$17*(VLOOKUP('Crédito de Vivienda'!$C$24,Seguros_Oblig!$A$3:$F$55,6,FALSE))),IF('Crédito de Vivienda'!$C$10="TARIFA 1",(C266*(VLOOKUP('Crédito de Vivienda'!$C$24,Seguros_Oblig!$A$3:$B$55,2,FALSE))),(C266*(VLOOKUP('Crédito de Vivienda'!$C$24,Seguros_Oblig!$A$3:$D$55,4,FALSE))))))</f>
        <v>#VALUE!</v>
      </c>
      <c r="G267" s="8" t="e">
        <f>IF('Crédito de Vivienda'!$C$10="TARIFA 1",(C266*(VLOOKUP('Crédito de Vivienda'!$C$25,Seguros_Oblig!$A$3:$B$55,2,FALSE))),(C266*(VLOOKUP('Crédito de Vivienda'!$C$25,Seguros_Oblig!$A$3:$D$55,4,FALSE))))</f>
        <v>#VALUE!</v>
      </c>
      <c r="H267" s="8" t="e">
        <f>IF('Crédito de Vivienda'!$C$10="TARIFA 1",(C266*(VLOOKUP('Crédito de Vivienda'!$C$26,Seguros_Oblig!$A$3:$B$55,2,FALSE))),(C266*(VLOOKUP('Crédito de Vivienda'!$C$26,Seguros_Oblig!$A$3:$D$55,4,FALSE))))</f>
        <v>#VALUE!</v>
      </c>
      <c r="I267" s="8" t="e">
        <f>IF('Crédito de Vivienda'!$C$10="TARIFA 1",(C266*(VLOOKUP('Crédito de Vivienda'!$C$27,Seguros_Oblig!$A$3:$B$55,2,FALSE))),(C266*(VLOOKUP('Crédito de Vivienda'!$C$27,Seguros_Oblig!$A$3:$D$55,4,FALSE))))</f>
        <v>#VALUE!</v>
      </c>
      <c r="J267" s="10">
        <f t="shared" si="27"/>
        <v>0</v>
      </c>
      <c r="K267" s="7" t="e">
        <f>IF(C266&lt;1,"0",Seguros_Oblig!$K$2*('Crédito de Vivienda'!$C$12*90%))</f>
        <v>#VALUE!</v>
      </c>
      <c r="L267" s="7" t="e">
        <f>IF(B267=" ","0",PMT('Crédito de Vivienda'!$E$17,'Crédito de Vivienda'!$C$18,-'Crédito de Vivienda'!$C$15,,))</f>
        <v>#VALUE!</v>
      </c>
      <c r="M267" s="9" t="e">
        <f t="shared" si="28"/>
        <v>#VALUE!</v>
      </c>
      <c r="N267" s="7" t="e">
        <f>IF(C266&lt;1,"0",'Crédito de Vivienda'!$C$40)</f>
        <v>#VALUE!</v>
      </c>
      <c r="O267" s="9" t="e">
        <f t="shared" si="23"/>
        <v>#VALUE!</v>
      </c>
    </row>
    <row r="268" spans="2:15" ht="15.5" x14ac:dyDescent="0.35">
      <c r="B268" s="6" t="e">
        <f t="shared" si="25"/>
        <v>#VALUE!</v>
      </c>
      <c r="C268" s="7" t="e">
        <f t="shared" si="26"/>
        <v>#VALUE!</v>
      </c>
      <c r="D268" s="7" t="e">
        <f t="shared" si="24"/>
        <v>#VALUE!</v>
      </c>
      <c r="E268" s="7" t="e">
        <f>C267*'Crédito de Vivienda'!$E$17</f>
        <v>#VALUE!</v>
      </c>
      <c r="F268" s="282" t="e">
        <f>IF(C267&lt;1,"0",IF('Crédito de Vivienda'!$D$28="Si",($C$17*(VLOOKUP('Crédito de Vivienda'!$C$24,Seguros_Oblig!$A$3:$F$55,6,FALSE))),IF('Crédito de Vivienda'!$C$10="TARIFA 1",(C267*(VLOOKUP('Crédito de Vivienda'!$C$24,Seguros_Oblig!$A$3:$B$55,2,FALSE))),(C267*(VLOOKUP('Crédito de Vivienda'!$C$24,Seguros_Oblig!$A$3:$D$55,4,FALSE))))))</f>
        <v>#VALUE!</v>
      </c>
      <c r="G268" s="8" t="e">
        <f>IF('Crédito de Vivienda'!$C$10="TARIFA 1",(C267*(VLOOKUP('Crédito de Vivienda'!$C$25,Seguros_Oblig!$A$3:$B$55,2,FALSE))),(C267*(VLOOKUP('Crédito de Vivienda'!$C$25,Seguros_Oblig!$A$3:$D$55,4,FALSE))))</f>
        <v>#VALUE!</v>
      </c>
      <c r="H268" s="8" t="e">
        <f>IF('Crédito de Vivienda'!$C$10="TARIFA 1",(C267*(VLOOKUP('Crédito de Vivienda'!$C$26,Seguros_Oblig!$A$3:$B$55,2,FALSE))),(C267*(VLOOKUP('Crédito de Vivienda'!$C$26,Seguros_Oblig!$A$3:$D$55,4,FALSE))))</f>
        <v>#VALUE!</v>
      </c>
      <c r="I268" s="8" t="e">
        <f>IF('Crédito de Vivienda'!$C$10="TARIFA 1",(C267*(VLOOKUP('Crédito de Vivienda'!$C$27,Seguros_Oblig!$A$3:$B$55,2,FALSE))),(C267*(VLOOKUP('Crédito de Vivienda'!$C$27,Seguros_Oblig!$A$3:$D$55,4,FALSE))))</f>
        <v>#VALUE!</v>
      </c>
      <c r="J268" s="10">
        <f t="shared" si="27"/>
        <v>0</v>
      </c>
      <c r="K268" s="7" t="e">
        <f>IF(C267&lt;1,"0",Seguros_Oblig!$K$2*('Crédito de Vivienda'!$C$12*90%))</f>
        <v>#VALUE!</v>
      </c>
      <c r="L268" s="7" t="e">
        <f>IF(B268=" ","0",PMT('Crédito de Vivienda'!$E$17,'Crédito de Vivienda'!$C$18,-'Crédito de Vivienda'!$C$15,,))</f>
        <v>#VALUE!</v>
      </c>
      <c r="M268" s="9" t="e">
        <f t="shared" si="28"/>
        <v>#VALUE!</v>
      </c>
      <c r="N268" s="7" t="e">
        <f>IF(C267&lt;1,"0",'Crédito de Vivienda'!$C$40)</f>
        <v>#VALUE!</v>
      </c>
      <c r="O268" s="9" t="e">
        <f t="shared" si="23"/>
        <v>#VALUE!</v>
      </c>
    </row>
    <row r="269" spans="2:15" ht="15.5" x14ac:dyDescent="0.35">
      <c r="B269" s="6" t="e">
        <f t="shared" si="25"/>
        <v>#VALUE!</v>
      </c>
      <c r="C269" s="7" t="e">
        <f t="shared" si="26"/>
        <v>#VALUE!</v>
      </c>
      <c r="D269" s="7" t="e">
        <f t="shared" si="24"/>
        <v>#VALUE!</v>
      </c>
      <c r="E269" s="7" t="e">
        <f>C268*'Crédito de Vivienda'!$E$17</f>
        <v>#VALUE!</v>
      </c>
      <c r="F269" s="282" t="e">
        <f>IF(C268&lt;1,"0",IF('Crédito de Vivienda'!$D$28="Si",($C$17*(VLOOKUP('Crédito de Vivienda'!$C$24,Seguros_Oblig!$A$3:$F$55,6,FALSE))),IF('Crédito de Vivienda'!$C$10="TARIFA 1",(C268*(VLOOKUP('Crédito de Vivienda'!$C$24,Seguros_Oblig!$A$3:$B$55,2,FALSE))),(C268*(VLOOKUP('Crédito de Vivienda'!$C$24,Seguros_Oblig!$A$3:$D$55,4,FALSE))))))</f>
        <v>#VALUE!</v>
      </c>
      <c r="G269" s="8" t="e">
        <f>IF('Crédito de Vivienda'!$C$10="TARIFA 1",(C268*(VLOOKUP('Crédito de Vivienda'!$C$25,Seguros_Oblig!$A$3:$B$55,2,FALSE))),(C268*(VLOOKUP('Crédito de Vivienda'!$C$25,Seguros_Oblig!$A$3:$D$55,4,FALSE))))</f>
        <v>#VALUE!</v>
      </c>
      <c r="H269" s="8" t="e">
        <f>IF('Crédito de Vivienda'!$C$10="TARIFA 1",(C268*(VLOOKUP('Crédito de Vivienda'!$C$26,Seguros_Oblig!$A$3:$B$55,2,FALSE))),(C268*(VLOOKUP('Crédito de Vivienda'!$C$26,Seguros_Oblig!$A$3:$D$55,4,FALSE))))</f>
        <v>#VALUE!</v>
      </c>
      <c r="I269" s="8" t="e">
        <f>IF('Crédito de Vivienda'!$C$10="TARIFA 1",(C268*(VLOOKUP('Crédito de Vivienda'!$C$27,Seguros_Oblig!$A$3:$B$55,2,FALSE))),(C268*(VLOOKUP('Crédito de Vivienda'!$C$27,Seguros_Oblig!$A$3:$D$55,4,FALSE))))</f>
        <v>#VALUE!</v>
      </c>
      <c r="J269" s="10">
        <f t="shared" si="27"/>
        <v>0</v>
      </c>
      <c r="K269" s="7" t="e">
        <f>IF(C268&lt;1,"0",Seguros_Oblig!$K$2*('Crédito de Vivienda'!$C$12*90%))</f>
        <v>#VALUE!</v>
      </c>
      <c r="L269" s="7" t="e">
        <f>IF(B269=" ","0",PMT('Crédito de Vivienda'!$E$17,'Crédito de Vivienda'!$C$18,-'Crédito de Vivienda'!$C$15,,))</f>
        <v>#VALUE!</v>
      </c>
      <c r="M269" s="9" t="e">
        <f t="shared" si="28"/>
        <v>#VALUE!</v>
      </c>
      <c r="N269" s="7" t="e">
        <f>IF(C268&lt;1,"0",'Crédito de Vivienda'!$C$40)</f>
        <v>#VALUE!</v>
      </c>
      <c r="O269" s="9" t="e">
        <f t="shared" si="23"/>
        <v>#VALUE!</v>
      </c>
    </row>
    <row r="270" spans="2:15" ht="15.5" x14ac:dyDescent="0.35">
      <c r="B270" s="6" t="e">
        <f t="shared" si="25"/>
        <v>#VALUE!</v>
      </c>
      <c r="C270" s="7" t="e">
        <f t="shared" si="26"/>
        <v>#VALUE!</v>
      </c>
      <c r="D270" s="7" t="e">
        <f t="shared" si="24"/>
        <v>#VALUE!</v>
      </c>
      <c r="E270" s="7" t="e">
        <f>C269*'Crédito de Vivienda'!$E$17</f>
        <v>#VALUE!</v>
      </c>
      <c r="F270" s="282" t="e">
        <f>IF(C269&lt;1,"0",IF('Crédito de Vivienda'!$D$28="Si",($C$17*(VLOOKUP('Crédito de Vivienda'!$C$24,Seguros_Oblig!$A$3:$F$55,6,FALSE))),IF('Crédito de Vivienda'!$C$10="TARIFA 1",(C269*(VLOOKUP('Crédito de Vivienda'!$C$24,Seguros_Oblig!$A$3:$B$55,2,FALSE))),(C269*(VLOOKUP('Crédito de Vivienda'!$C$24,Seguros_Oblig!$A$3:$D$55,4,FALSE))))))</f>
        <v>#VALUE!</v>
      </c>
      <c r="G270" s="8" t="e">
        <f>IF('Crédito de Vivienda'!$C$10="TARIFA 1",(C269*(VLOOKUP('Crédito de Vivienda'!$C$25,Seguros_Oblig!$A$3:$B$55,2,FALSE))),(C269*(VLOOKUP('Crédito de Vivienda'!$C$25,Seguros_Oblig!$A$3:$D$55,4,FALSE))))</f>
        <v>#VALUE!</v>
      </c>
      <c r="H270" s="8" t="e">
        <f>IF('Crédito de Vivienda'!$C$10="TARIFA 1",(C269*(VLOOKUP('Crédito de Vivienda'!$C$26,Seguros_Oblig!$A$3:$B$55,2,FALSE))),(C269*(VLOOKUP('Crédito de Vivienda'!$C$26,Seguros_Oblig!$A$3:$D$55,4,FALSE))))</f>
        <v>#VALUE!</v>
      </c>
      <c r="I270" s="8" t="e">
        <f>IF('Crédito de Vivienda'!$C$10="TARIFA 1",(C269*(VLOOKUP('Crédito de Vivienda'!$C$27,Seguros_Oblig!$A$3:$B$55,2,FALSE))),(C269*(VLOOKUP('Crédito de Vivienda'!$C$27,Seguros_Oblig!$A$3:$D$55,4,FALSE))))</f>
        <v>#VALUE!</v>
      </c>
      <c r="J270" s="10">
        <f t="shared" si="27"/>
        <v>0</v>
      </c>
      <c r="K270" s="7" t="e">
        <f>IF(C269&lt;1,"0",Seguros_Oblig!$K$2*('Crédito de Vivienda'!$C$12*90%))</f>
        <v>#VALUE!</v>
      </c>
      <c r="L270" s="7" t="e">
        <f>IF(B270=" ","0",PMT('Crédito de Vivienda'!$E$17,'Crédito de Vivienda'!$C$18,-'Crédito de Vivienda'!$C$15,,))</f>
        <v>#VALUE!</v>
      </c>
      <c r="M270" s="9" t="e">
        <f t="shared" si="28"/>
        <v>#VALUE!</v>
      </c>
      <c r="N270" s="7" t="e">
        <f>IF(C269&lt;1,"0",'Crédito de Vivienda'!$C$40)</f>
        <v>#VALUE!</v>
      </c>
      <c r="O270" s="9" t="e">
        <f t="shared" si="23"/>
        <v>#VALUE!</v>
      </c>
    </row>
    <row r="271" spans="2:15" ht="15.5" x14ac:dyDescent="0.35">
      <c r="B271" s="6" t="e">
        <f t="shared" si="25"/>
        <v>#VALUE!</v>
      </c>
      <c r="C271" s="7" t="e">
        <f t="shared" si="26"/>
        <v>#VALUE!</v>
      </c>
      <c r="D271" s="7" t="e">
        <f t="shared" si="24"/>
        <v>#VALUE!</v>
      </c>
      <c r="E271" s="7" t="e">
        <f>C270*'Crédito de Vivienda'!$E$17</f>
        <v>#VALUE!</v>
      </c>
      <c r="F271" s="282" t="e">
        <f>IF(C270&lt;1,"0",IF('Crédito de Vivienda'!$D$28="Si",($C$17*(VLOOKUP('Crédito de Vivienda'!$C$24,Seguros_Oblig!$A$3:$F$55,6,FALSE))),IF('Crédito de Vivienda'!$C$10="TARIFA 1",(C270*(VLOOKUP('Crédito de Vivienda'!$C$24,Seguros_Oblig!$A$3:$B$55,2,FALSE))),(C270*(VLOOKUP('Crédito de Vivienda'!$C$24,Seguros_Oblig!$A$3:$D$55,4,FALSE))))))</f>
        <v>#VALUE!</v>
      </c>
      <c r="G271" s="8" t="e">
        <f>IF('Crédito de Vivienda'!$C$10="TARIFA 1",(C270*(VLOOKUP('Crédito de Vivienda'!$C$25,Seguros_Oblig!$A$3:$B$55,2,FALSE))),(C270*(VLOOKUP('Crédito de Vivienda'!$C$25,Seguros_Oblig!$A$3:$D$55,4,FALSE))))</f>
        <v>#VALUE!</v>
      </c>
      <c r="H271" s="8" t="e">
        <f>IF('Crédito de Vivienda'!$C$10="TARIFA 1",(C270*(VLOOKUP('Crédito de Vivienda'!$C$26,Seguros_Oblig!$A$3:$B$55,2,FALSE))),(C270*(VLOOKUP('Crédito de Vivienda'!$C$26,Seguros_Oblig!$A$3:$D$55,4,FALSE))))</f>
        <v>#VALUE!</v>
      </c>
      <c r="I271" s="8" t="e">
        <f>IF('Crédito de Vivienda'!$C$10="TARIFA 1",(C270*(VLOOKUP('Crédito de Vivienda'!$C$27,Seguros_Oblig!$A$3:$B$55,2,FALSE))),(C270*(VLOOKUP('Crédito de Vivienda'!$C$27,Seguros_Oblig!$A$3:$D$55,4,FALSE))))</f>
        <v>#VALUE!</v>
      </c>
      <c r="J271" s="10">
        <f t="shared" si="27"/>
        <v>0</v>
      </c>
      <c r="K271" s="7" t="e">
        <f>IF(C270&lt;1,"0",Seguros_Oblig!$K$2*('Crédito de Vivienda'!$C$12*90%))</f>
        <v>#VALUE!</v>
      </c>
      <c r="L271" s="7" t="e">
        <f>IF(B271=" ","0",PMT('Crédito de Vivienda'!$E$17,'Crédito de Vivienda'!$C$18,-'Crédito de Vivienda'!$C$15,,))</f>
        <v>#VALUE!</v>
      </c>
      <c r="M271" s="9" t="e">
        <f t="shared" si="28"/>
        <v>#VALUE!</v>
      </c>
      <c r="N271" s="7" t="e">
        <f>IF(C270&lt;1,"0",'Crédito de Vivienda'!$C$40)</f>
        <v>#VALUE!</v>
      </c>
      <c r="O271" s="9" t="e">
        <f t="shared" si="23"/>
        <v>#VALUE!</v>
      </c>
    </row>
    <row r="272" spans="2:15" ht="15.5" x14ac:dyDescent="0.35">
      <c r="B272" s="6" t="e">
        <f t="shared" si="25"/>
        <v>#VALUE!</v>
      </c>
      <c r="C272" s="7" t="e">
        <f t="shared" si="26"/>
        <v>#VALUE!</v>
      </c>
      <c r="D272" s="7" t="e">
        <f t="shared" si="24"/>
        <v>#VALUE!</v>
      </c>
      <c r="E272" s="7" t="e">
        <f>C271*'Crédito de Vivienda'!$E$17</f>
        <v>#VALUE!</v>
      </c>
      <c r="F272" s="282" t="e">
        <f>IF(C271&lt;1,"0",IF('Crédito de Vivienda'!$D$28="Si",($C$17*(VLOOKUP('Crédito de Vivienda'!$C$24,Seguros_Oblig!$A$3:$F$55,6,FALSE))),IF('Crédito de Vivienda'!$C$10="TARIFA 1",(C271*(VLOOKUP('Crédito de Vivienda'!$C$24,Seguros_Oblig!$A$3:$B$55,2,FALSE))),(C271*(VLOOKUP('Crédito de Vivienda'!$C$24,Seguros_Oblig!$A$3:$D$55,4,FALSE))))))</f>
        <v>#VALUE!</v>
      </c>
      <c r="G272" s="8" t="e">
        <f>IF('Crédito de Vivienda'!$C$10="TARIFA 1",(C271*(VLOOKUP('Crédito de Vivienda'!$C$25,Seguros_Oblig!$A$3:$B$55,2,FALSE))),(C271*(VLOOKUP('Crédito de Vivienda'!$C$25,Seguros_Oblig!$A$3:$D$55,4,FALSE))))</f>
        <v>#VALUE!</v>
      </c>
      <c r="H272" s="8" t="e">
        <f>IF('Crédito de Vivienda'!$C$10="TARIFA 1",(C271*(VLOOKUP('Crédito de Vivienda'!$C$26,Seguros_Oblig!$A$3:$B$55,2,FALSE))),(C271*(VLOOKUP('Crédito de Vivienda'!$C$26,Seguros_Oblig!$A$3:$D$55,4,FALSE))))</f>
        <v>#VALUE!</v>
      </c>
      <c r="I272" s="8" t="e">
        <f>IF('Crédito de Vivienda'!$C$10="TARIFA 1",(C271*(VLOOKUP('Crédito de Vivienda'!$C$27,Seguros_Oblig!$A$3:$B$55,2,FALSE))),(C271*(VLOOKUP('Crédito de Vivienda'!$C$27,Seguros_Oblig!$A$3:$D$55,4,FALSE))))</f>
        <v>#VALUE!</v>
      </c>
      <c r="J272" s="10">
        <f t="shared" si="27"/>
        <v>0</v>
      </c>
      <c r="K272" s="7" t="e">
        <f>IF(C271&lt;1,"0",Seguros_Oblig!$K$2*('Crédito de Vivienda'!$C$12*90%))</f>
        <v>#VALUE!</v>
      </c>
      <c r="L272" s="7" t="e">
        <f>IF(B272=" ","0",PMT('Crédito de Vivienda'!$E$17,'Crédito de Vivienda'!$C$18,-'Crédito de Vivienda'!$C$15,,))</f>
        <v>#VALUE!</v>
      </c>
      <c r="M272" s="9" t="e">
        <f t="shared" si="28"/>
        <v>#VALUE!</v>
      </c>
      <c r="N272" s="7" t="e">
        <f>IF(C271&lt;1,"0",'Crédito de Vivienda'!$C$40)</f>
        <v>#VALUE!</v>
      </c>
      <c r="O272" s="9" t="e">
        <f t="shared" si="23"/>
        <v>#VALUE!</v>
      </c>
    </row>
    <row r="273" spans="2:15" ht="15.5" x14ac:dyDescent="0.35">
      <c r="B273" s="6" t="e">
        <f t="shared" si="25"/>
        <v>#VALUE!</v>
      </c>
      <c r="C273" s="7" t="e">
        <f t="shared" si="26"/>
        <v>#VALUE!</v>
      </c>
      <c r="D273" s="7" t="e">
        <f t="shared" si="24"/>
        <v>#VALUE!</v>
      </c>
      <c r="E273" s="7" t="e">
        <f>C272*'Crédito de Vivienda'!$E$17</f>
        <v>#VALUE!</v>
      </c>
      <c r="F273" s="282" t="e">
        <f>IF(C272&lt;1,"0",IF('Crédito de Vivienda'!$D$28="Si",($C$17*(VLOOKUP('Crédito de Vivienda'!$C$24,Seguros_Oblig!$A$3:$F$55,6,FALSE))),IF('Crédito de Vivienda'!$C$10="TARIFA 1",(C272*(VLOOKUP('Crédito de Vivienda'!$C$24,Seguros_Oblig!$A$3:$B$55,2,FALSE))),(C272*(VLOOKUP('Crédito de Vivienda'!$C$24,Seguros_Oblig!$A$3:$D$55,4,FALSE))))))</f>
        <v>#VALUE!</v>
      </c>
      <c r="G273" s="8" t="e">
        <f>IF('Crédito de Vivienda'!$C$10="TARIFA 1",(C272*(VLOOKUP('Crédito de Vivienda'!$C$25,Seguros_Oblig!$A$3:$B$55,2,FALSE))),(C272*(VLOOKUP('Crédito de Vivienda'!$C$25,Seguros_Oblig!$A$3:$D$55,4,FALSE))))</f>
        <v>#VALUE!</v>
      </c>
      <c r="H273" s="8" t="e">
        <f>IF('Crédito de Vivienda'!$C$10="TARIFA 1",(C272*(VLOOKUP('Crédito de Vivienda'!$C$26,Seguros_Oblig!$A$3:$B$55,2,FALSE))),(C272*(VLOOKUP('Crédito de Vivienda'!$C$26,Seguros_Oblig!$A$3:$D$55,4,FALSE))))</f>
        <v>#VALUE!</v>
      </c>
      <c r="I273" s="8" t="e">
        <f>IF('Crédito de Vivienda'!$C$10="TARIFA 1",(C272*(VLOOKUP('Crédito de Vivienda'!$C$27,Seguros_Oblig!$A$3:$B$55,2,FALSE))),(C272*(VLOOKUP('Crédito de Vivienda'!$C$27,Seguros_Oblig!$A$3:$D$55,4,FALSE))))</f>
        <v>#VALUE!</v>
      </c>
      <c r="J273" s="10">
        <f t="shared" si="27"/>
        <v>0</v>
      </c>
      <c r="K273" s="7" t="e">
        <f>IF(C272&lt;1,"0",Seguros_Oblig!$K$2*('Crédito de Vivienda'!$C$12*90%))</f>
        <v>#VALUE!</v>
      </c>
      <c r="L273" s="7" t="e">
        <f>IF(B273=" ","0",PMT('Crédito de Vivienda'!$E$17,'Crédito de Vivienda'!$C$18,-'Crédito de Vivienda'!$C$15,,))</f>
        <v>#VALUE!</v>
      </c>
      <c r="M273" s="9" t="e">
        <f t="shared" si="28"/>
        <v>#VALUE!</v>
      </c>
      <c r="N273" s="7" t="e">
        <f>IF(C272&lt;1,"0",'Crédito de Vivienda'!$C$40)</f>
        <v>#VALUE!</v>
      </c>
      <c r="O273" s="9" t="e">
        <f t="shared" si="23"/>
        <v>#VALUE!</v>
      </c>
    </row>
    <row r="274" spans="2:15" ht="15.5" x14ac:dyDescent="0.35">
      <c r="B274" s="6" t="e">
        <f t="shared" si="25"/>
        <v>#VALUE!</v>
      </c>
      <c r="C274" s="7" t="e">
        <f t="shared" si="26"/>
        <v>#VALUE!</v>
      </c>
      <c r="D274" s="7" t="e">
        <f t="shared" si="24"/>
        <v>#VALUE!</v>
      </c>
      <c r="E274" s="7" t="e">
        <f>C273*'Crédito de Vivienda'!$E$17</f>
        <v>#VALUE!</v>
      </c>
      <c r="F274" s="282" t="e">
        <f>IF(C273&lt;1,"0",IF('Crédito de Vivienda'!$D$28="Si",($C$17*(VLOOKUP('Crédito de Vivienda'!$C$24,Seguros_Oblig!$A$3:$F$55,6,FALSE))),IF('Crédito de Vivienda'!$C$10="TARIFA 1",(C273*(VLOOKUP('Crédito de Vivienda'!$C$24,Seguros_Oblig!$A$3:$B$55,2,FALSE))),(C273*(VLOOKUP('Crédito de Vivienda'!$C$24,Seguros_Oblig!$A$3:$D$55,4,FALSE))))))</f>
        <v>#VALUE!</v>
      </c>
      <c r="G274" s="8" t="e">
        <f>IF('Crédito de Vivienda'!$C$10="TARIFA 1",(C273*(VLOOKUP('Crédito de Vivienda'!$C$25,Seguros_Oblig!$A$3:$B$55,2,FALSE))),(C273*(VLOOKUP('Crédito de Vivienda'!$C$25,Seguros_Oblig!$A$3:$D$55,4,FALSE))))</f>
        <v>#VALUE!</v>
      </c>
      <c r="H274" s="8" t="e">
        <f>IF('Crédito de Vivienda'!$C$10="TARIFA 1",(C273*(VLOOKUP('Crédito de Vivienda'!$C$26,Seguros_Oblig!$A$3:$B$55,2,FALSE))),(C273*(VLOOKUP('Crédito de Vivienda'!$C$26,Seguros_Oblig!$A$3:$D$55,4,FALSE))))</f>
        <v>#VALUE!</v>
      </c>
      <c r="I274" s="8" t="e">
        <f>IF('Crédito de Vivienda'!$C$10="TARIFA 1",(C273*(VLOOKUP('Crédito de Vivienda'!$C$27,Seguros_Oblig!$A$3:$B$55,2,FALSE))),(C273*(VLOOKUP('Crédito de Vivienda'!$C$27,Seguros_Oblig!$A$3:$D$55,4,FALSE))))</f>
        <v>#VALUE!</v>
      </c>
      <c r="J274" s="10">
        <f t="shared" si="27"/>
        <v>0</v>
      </c>
      <c r="K274" s="7" t="e">
        <f>IF(C273&lt;1,"0",Seguros_Oblig!$K$2*('Crédito de Vivienda'!$C$12*90%))</f>
        <v>#VALUE!</v>
      </c>
      <c r="L274" s="7" t="e">
        <f>IF(B274=" ","0",PMT('Crédito de Vivienda'!$E$17,'Crédito de Vivienda'!$C$18,-'Crédito de Vivienda'!$C$15,,))</f>
        <v>#VALUE!</v>
      </c>
      <c r="M274" s="9" t="e">
        <f t="shared" si="28"/>
        <v>#VALUE!</v>
      </c>
      <c r="N274" s="7" t="e">
        <f>IF(C273&lt;1,"0",'Crédito de Vivienda'!$C$40)</f>
        <v>#VALUE!</v>
      </c>
      <c r="O274" s="9" t="e">
        <f t="shared" si="23"/>
        <v>#VALUE!</v>
      </c>
    </row>
    <row r="275" spans="2:15" ht="15.5" x14ac:dyDescent="0.35">
      <c r="B275" s="6" t="e">
        <f t="shared" si="25"/>
        <v>#VALUE!</v>
      </c>
      <c r="C275" s="7" t="e">
        <f t="shared" si="26"/>
        <v>#VALUE!</v>
      </c>
      <c r="D275" s="7" t="e">
        <f t="shared" si="24"/>
        <v>#VALUE!</v>
      </c>
      <c r="E275" s="7" t="e">
        <f>C274*'Crédito de Vivienda'!$E$17</f>
        <v>#VALUE!</v>
      </c>
      <c r="F275" s="282" t="e">
        <f>IF(C274&lt;1,"0",IF('Crédito de Vivienda'!$D$28="Si",($C$17*(VLOOKUP('Crédito de Vivienda'!$C$24,Seguros_Oblig!$A$3:$F$55,6,FALSE))),IF('Crédito de Vivienda'!$C$10="TARIFA 1",(C274*(VLOOKUP('Crédito de Vivienda'!$C$24,Seguros_Oblig!$A$3:$B$55,2,FALSE))),(C274*(VLOOKUP('Crédito de Vivienda'!$C$24,Seguros_Oblig!$A$3:$D$55,4,FALSE))))))</f>
        <v>#VALUE!</v>
      </c>
      <c r="G275" s="8" t="e">
        <f>IF('Crédito de Vivienda'!$C$10="TARIFA 1",(C274*(VLOOKUP('Crédito de Vivienda'!$C$25,Seguros_Oblig!$A$3:$B$55,2,FALSE))),(C274*(VLOOKUP('Crédito de Vivienda'!$C$25,Seguros_Oblig!$A$3:$D$55,4,FALSE))))</f>
        <v>#VALUE!</v>
      </c>
      <c r="H275" s="8" t="e">
        <f>IF('Crédito de Vivienda'!$C$10="TARIFA 1",(C274*(VLOOKUP('Crédito de Vivienda'!$C$26,Seguros_Oblig!$A$3:$B$55,2,FALSE))),(C274*(VLOOKUP('Crédito de Vivienda'!$C$26,Seguros_Oblig!$A$3:$D$55,4,FALSE))))</f>
        <v>#VALUE!</v>
      </c>
      <c r="I275" s="8" t="e">
        <f>IF('Crédito de Vivienda'!$C$10="TARIFA 1",(C274*(VLOOKUP('Crédito de Vivienda'!$C$27,Seguros_Oblig!$A$3:$B$55,2,FALSE))),(C274*(VLOOKUP('Crédito de Vivienda'!$C$27,Seguros_Oblig!$A$3:$D$55,4,FALSE))))</f>
        <v>#VALUE!</v>
      </c>
      <c r="J275" s="10">
        <f t="shared" si="27"/>
        <v>0</v>
      </c>
      <c r="K275" s="7" t="e">
        <f>IF(C274&lt;1,"0",Seguros_Oblig!$K$2*('Crédito de Vivienda'!$C$12*90%))</f>
        <v>#VALUE!</v>
      </c>
      <c r="L275" s="7" t="e">
        <f>IF(B275=" ","0",PMT('Crédito de Vivienda'!$E$17,'Crédito de Vivienda'!$C$18,-'Crédito de Vivienda'!$C$15,,))</f>
        <v>#VALUE!</v>
      </c>
      <c r="M275" s="9" t="e">
        <f t="shared" si="28"/>
        <v>#VALUE!</v>
      </c>
      <c r="N275" s="7" t="e">
        <f>IF(C274&lt;1,"0",'Crédito de Vivienda'!$C$40)</f>
        <v>#VALUE!</v>
      </c>
      <c r="O275" s="9" t="e">
        <f t="shared" ref="O275:O338" si="29">M275+N275</f>
        <v>#VALUE!</v>
      </c>
    </row>
    <row r="276" spans="2:15" ht="15.5" x14ac:dyDescent="0.35">
      <c r="B276" s="6" t="e">
        <f t="shared" si="25"/>
        <v>#VALUE!</v>
      </c>
      <c r="C276" s="7" t="e">
        <f t="shared" si="26"/>
        <v>#VALUE!</v>
      </c>
      <c r="D276" s="7" t="e">
        <f t="shared" si="24"/>
        <v>#VALUE!</v>
      </c>
      <c r="E276" s="7" t="e">
        <f>C275*'Crédito de Vivienda'!$E$17</f>
        <v>#VALUE!</v>
      </c>
      <c r="F276" s="282" t="e">
        <f>IF(C275&lt;1,"0",IF('Crédito de Vivienda'!$D$28="Si",($C$17*(VLOOKUP('Crédito de Vivienda'!$C$24,Seguros_Oblig!$A$3:$F$55,6,FALSE))),IF('Crédito de Vivienda'!$C$10="TARIFA 1",(C275*(VLOOKUP('Crédito de Vivienda'!$C$24,Seguros_Oblig!$A$3:$B$55,2,FALSE))),(C275*(VLOOKUP('Crédito de Vivienda'!$C$24,Seguros_Oblig!$A$3:$D$55,4,FALSE))))))</f>
        <v>#VALUE!</v>
      </c>
      <c r="G276" s="8" t="e">
        <f>IF('Crédito de Vivienda'!$C$10="TARIFA 1",(C275*(VLOOKUP('Crédito de Vivienda'!$C$25,Seguros_Oblig!$A$3:$B$55,2,FALSE))),(C275*(VLOOKUP('Crédito de Vivienda'!$C$25,Seguros_Oblig!$A$3:$D$55,4,FALSE))))</f>
        <v>#VALUE!</v>
      </c>
      <c r="H276" s="8" t="e">
        <f>IF('Crédito de Vivienda'!$C$10="TARIFA 1",(C275*(VLOOKUP('Crédito de Vivienda'!$C$26,Seguros_Oblig!$A$3:$B$55,2,FALSE))),(C275*(VLOOKUP('Crédito de Vivienda'!$C$26,Seguros_Oblig!$A$3:$D$55,4,FALSE))))</f>
        <v>#VALUE!</v>
      </c>
      <c r="I276" s="8" t="e">
        <f>IF('Crédito de Vivienda'!$C$10="TARIFA 1",(C275*(VLOOKUP('Crédito de Vivienda'!$C$27,Seguros_Oblig!$A$3:$B$55,2,FALSE))),(C275*(VLOOKUP('Crédito de Vivienda'!$C$27,Seguros_Oblig!$A$3:$D$55,4,FALSE))))</f>
        <v>#VALUE!</v>
      </c>
      <c r="J276" s="10">
        <f t="shared" si="27"/>
        <v>0</v>
      </c>
      <c r="K276" s="7" t="e">
        <f>IF(C275&lt;1,"0",Seguros_Oblig!$K$2*('Crédito de Vivienda'!$C$12*90%))</f>
        <v>#VALUE!</v>
      </c>
      <c r="L276" s="7" t="e">
        <f>IF(B276=" ","0",PMT('Crédito de Vivienda'!$E$17,'Crédito de Vivienda'!$C$18,-'Crédito de Vivienda'!$C$15,,))</f>
        <v>#VALUE!</v>
      </c>
      <c r="M276" s="9" t="e">
        <f t="shared" si="28"/>
        <v>#VALUE!</v>
      </c>
      <c r="N276" s="7" t="e">
        <f>IF(C275&lt;1,"0",'Crédito de Vivienda'!$C$40)</f>
        <v>#VALUE!</v>
      </c>
      <c r="O276" s="9" t="e">
        <f t="shared" si="29"/>
        <v>#VALUE!</v>
      </c>
    </row>
    <row r="277" spans="2:15" ht="15.5" x14ac:dyDescent="0.35">
      <c r="B277" s="6" t="e">
        <f t="shared" si="25"/>
        <v>#VALUE!</v>
      </c>
      <c r="C277" s="7" t="e">
        <f t="shared" si="26"/>
        <v>#VALUE!</v>
      </c>
      <c r="D277" s="7" t="e">
        <f t="shared" si="24"/>
        <v>#VALUE!</v>
      </c>
      <c r="E277" s="7" t="e">
        <f>C276*'Crédito de Vivienda'!$E$17</f>
        <v>#VALUE!</v>
      </c>
      <c r="F277" s="282" t="e">
        <f>IF(C276&lt;1,"0",IF('Crédito de Vivienda'!$D$28="Si",($C$17*(VLOOKUP('Crédito de Vivienda'!$C$24,Seguros_Oblig!$A$3:$F$55,6,FALSE))),IF('Crédito de Vivienda'!$C$10="TARIFA 1",(C276*(VLOOKUP('Crédito de Vivienda'!$C$24,Seguros_Oblig!$A$3:$B$55,2,FALSE))),(C276*(VLOOKUP('Crédito de Vivienda'!$C$24,Seguros_Oblig!$A$3:$D$55,4,FALSE))))))</f>
        <v>#VALUE!</v>
      </c>
      <c r="G277" s="8" t="e">
        <f>IF('Crédito de Vivienda'!$C$10="TARIFA 1",(C276*(VLOOKUP('Crédito de Vivienda'!$C$25,Seguros_Oblig!$A$3:$B$55,2,FALSE))),(C276*(VLOOKUP('Crédito de Vivienda'!$C$25,Seguros_Oblig!$A$3:$D$55,4,FALSE))))</f>
        <v>#VALUE!</v>
      </c>
      <c r="H277" s="8" t="e">
        <f>IF('Crédito de Vivienda'!$C$10="TARIFA 1",(C276*(VLOOKUP('Crédito de Vivienda'!$C$26,Seguros_Oblig!$A$3:$B$55,2,FALSE))),(C276*(VLOOKUP('Crédito de Vivienda'!$C$26,Seguros_Oblig!$A$3:$D$55,4,FALSE))))</f>
        <v>#VALUE!</v>
      </c>
      <c r="I277" s="8" t="e">
        <f>IF('Crédito de Vivienda'!$C$10="TARIFA 1",(C276*(VLOOKUP('Crédito de Vivienda'!$C$27,Seguros_Oblig!$A$3:$B$55,2,FALSE))),(C276*(VLOOKUP('Crédito de Vivienda'!$C$27,Seguros_Oblig!$A$3:$D$55,4,FALSE))))</f>
        <v>#VALUE!</v>
      </c>
      <c r="J277" s="10">
        <f t="shared" si="27"/>
        <v>0</v>
      </c>
      <c r="K277" s="7" t="e">
        <f>IF(C276&lt;1,"0",Seguros_Oblig!$K$2*('Crédito de Vivienda'!$C$12*90%))</f>
        <v>#VALUE!</v>
      </c>
      <c r="L277" s="7" t="e">
        <f>IF(B277=" ","0",PMT('Crédito de Vivienda'!$E$17,'Crédito de Vivienda'!$C$18,-'Crédito de Vivienda'!$C$15,,))</f>
        <v>#VALUE!</v>
      </c>
      <c r="M277" s="9" t="e">
        <f t="shared" si="28"/>
        <v>#VALUE!</v>
      </c>
      <c r="N277" s="7" t="e">
        <f>IF(C276&lt;1,"0",'Crédito de Vivienda'!$C$40)</f>
        <v>#VALUE!</v>
      </c>
      <c r="O277" s="9" t="e">
        <f t="shared" si="29"/>
        <v>#VALUE!</v>
      </c>
    </row>
    <row r="278" spans="2:15" ht="15.5" x14ac:dyDescent="0.35">
      <c r="B278" s="6" t="e">
        <f t="shared" si="25"/>
        <v>#VALUE!</v>
      </c>
      <c r="C278" s="7" t="e">
        <f t="shared" si="26"/>
        <v>#VALUE!</v>
      </c>
      <c r="D278" s="7" t="e">
        <f t="shared" si="24"/>
        <v>#VALUE!</v>
      </c>
      <c r="E278" s="7" t="e">
        <f>C277*'Crédito de Vivienda'!$E$17</f>
        <v>#VALUE!</v>
      </c>
      <c r="F278" s="282" t="e">
        <f>IF(C277&lt;1,"0",IF('Crédito de Vivienda'!$D$28="Si",($C$17*(VLOOKUP('Crédito de Vivienda'!$C$24,Seguros_Oblig!$A$3:$F$55,6,FALSE))),IF('Crédito de Vivienda'!$C$10="TARIFA 1",(C277*(VLOOKUP('Crédito de Vivienda'!$C$24,Seguros_Oblig!$A$3:$B$55,2,FALSE))),(C277*(VLOOKUP('Crédito de Vivienda'!$C$24,Seguros_Oblig!$A$3:$D$55,4,FALSE))))))</f>
        <v>#VALUE!</v>
      </c>
      <c r="G278" s="8" t="e">
        <f>IF('Crédito de Vivienda'!$C$10="TARIFA 1",(C277*(VLOOKUP('Crédito de Vivienda'!$C$25,Seguros_Oblig!$A$3:$B$55,2,FALSE))),(C277*(VLOOKUP('Crédito de Vivienda'!$C$25,Seguros_Oblig!$A$3:$D$55,4,FALSE))))</f>
        <v>#VALUE!</v>
      </c>
      <c r="H278" s="8" t="e">
        <f>IF('Crédito de Vivienda'!$C$10="TARIFA 1",(C277*(VLOOKUP('Crédito de Vivienda'!$C$26,Seguros_Oblig!$A$3:$B$55,2,FALSE))),(C277*(VLOOKUP('Crédito de Vivienda'!$C$26,Seguros_Oblig!$A$3:$D$55,4,FALSE))))</f>
        <v>#VALUE!</v>
      </c>
      <c r="I278" s="8" t="e">
        <f>IF('Crédito de Vivienda'!$C$10="TARIFA 1",(C277*(VLOOKUP('Crédito de Vivienda'!$C$27,Seguros_Oblig!$A$3:$B$55,2,FALSE))),(C277*(VLOOKUP('Crédito de Vivienda'!$C$27,Seguros_Oblig!$A$3:$D$55,4,FALSE))))</f>
        <v>#VALUE!</v>
      </c>
      <c r="J278" s="10">
        <f t="shared" si="27"/>
        <v>0</v>
      </c>
      <c r="K278" s="7" t="e">
        <f>IF(C277&lt;1,"0",Seguros_Oblig!$K$2*('Crédito de Vivienda'!$C$12*90%))</f>
        <v>#VALUE!</v>
      </c>
      <c r="L278" s="7" t="e">
        <f>IF(B278=" ","0",PMT('Crédito de Vivienda'!$E$17,'Crédito de Vivienda'!$C$18,-'Crédito de Vivienda'!$C$15,,))</f>
        <v>#VALUE!</v>
      </c>
      <c r="M278" s="9" t="e">
        <f t="shared" si="28"/>
        <v>#VALUE!</v>
      </c>
      <c r="N278" s="7" t="e">
        <f>IF(C277&lt;1,"0",'Crédito de Vivienda'!$C$40)</f>
        <v>#VALUE!</v>
      </c>
      <c r="O278" s="9" t="e">
        <f t="shared" si="29"/>
        <v>#VALUE!</v>
      </c>
    </row>
    <row r="279" spans="2:15" ht="15.5" x14ac:dyDescent="0.35">
      <c r="B279" s="6" t="e">
        <f t="shared" si="25"/>
        <v>#VALUE!</v>
      </c>
      <c r="C279" s="7" t="e">
        <f t="shared" si="26"/>
        <v>#VALUE!</v>
      </c>
      <c r="D279" s="7" t="e">
        <f t="shared" si="24"/>
        <v>#VALUE!</v>
      </c>
      <c r="E279" s="7" t="e">
        <f>C278*'Crédito de Vivienda'!$E$17</f>
        <v>#VALUE!</v>
      </c>
      <c r="F279" s="282" t="e">
        <f>IF(C278&lt;1,"0",IF('Crédito de Vivienda'!$D$28="Si",($C$17*(VLOOKUP('Crédito de Vivienda'!$C$24,Seguros_Oblig!$A$3:$F$55,6,FALSE))),IF('Crédito de Vivienda'!$C$10="TARIFA 1",(C278*(VLOOKUP('Crédito de Vivienda'!$C$24,Seguros_Oblig!$A$3:$B$55,2,FALSE))),(C278*(VLOOKUP('Crédito de Vivienda'!$C$24,Seguros_Oblig!$A$3:$D$55,4,FALSE))))))</f>
        <v>#VALUE!</v>
      </c>
      <c r="G279" s="8" t="e">
        <f>IF('Crédito de Vivienda'!$C$10="TARIFA 1",(C278*(VLOOKUP('Crédito de Vivienda'!$C$25,Seguros_Oblig!$A$3:$B$55,2,FALSE))),(C278*(VLOOKUP('Crédito de Vivienda'!$C$25,Seguros_Oblig!$A$3:$D$55,4,FALSE))))</f>
        <v>#VALUE!</v>
      </c>
      <c r="H279" s="8" t="e">
        <f>IF('Crédito de Vivienda'!$C$10="TARIFA 1",(C278*(VLOOKUP('Crédito de Vivienda'!$C$26,Seguros_Oblig!$A$3:$B$55,2,FALSE))),(C278*(VLOOKUP('Crédito de Vivienda'!$C$26,Seguros_Oblig!$A$3:$D$55,4,FALSE))))</f>
        <v>#VALUE!</v>
      </c>
      <c r="I279" s="8" t="e">
        <f>IF('Crédito de Vivienda'!$C$10="TARIFA 1",(C278*(VLOOKUP('Crédito de Vivienda'!$C$27,Seguros_Oblig!$A$3:$B$55,2,FALSE))),(C278*(VLOOKUP('Crédito de Vivienda'!$C$27,Seguros_Oblig!$A$3:$D$55,4,FALSE))))</f>
        <v>#VALUE!</v>
      </c>
      <c r="J279" s="10">
        <f t="shared" si="27"/>
        <v>0</v>
      </c>
      <c r="K279" s="7" t="e">
        <f>IF(C278&lt;1,"0",Seguros_Oblig!$K$2*('Crédito de Vivienda'!$C$12*90%))</f>
        <v>#VALUE!</v>
      </c>
      <c r="L279" s="7" t="e">
        <f>IF(B279=" ","0",PMT('Crédito de Vivienda'!$E$17,'Crédito de Vivienda'!$C$18,-'Crédito de Vivienda'!$C$15,,))</f>
        <v>#VALUE!</v>
      </c>
      <c r="M279" s="9" t="e">
        <f t="shared" si="28"/>
        <v>#VALUE!</v>
      </c>
      <c r="N279" s="7" t="e">
        <f>IF(C278&lt;1,"0",'Crédito de Vivienda'!$C$40)</f>
        <v>#VALUE!</v>
      </c>
      <c r="O279" s="9" t="e">
        <f t="shared" si="29"/>
        <v>#VALUE!</v>
      </c>
    </row>
    <row r="280" spans="2:15" ht="15.5" x14ac:dyDescent="0.35">
      <c r="B280" s="6" t="e">
        <f t="shared" si="25"/>
        <v>#VALUE!</v>
      </c>
      <c r="C280" s="7" t="e">
        <f t="shared" si="26"/>
        <v>#VALUE!</v>
      </c>
      <c r="D280" s="7" t="e">
        <f t="shared" si="24"/>
        <v>#VALUE!</v>
      </c>
      <c r="E280" s="7" t="e">
        <f>C279*'Crédito de Vivienda'!$E$17</f>
        <v>#VALUE!</v>
      </c>
      <c r="F280" s="282" t="e">
        <f>IF(C279&lt;1,"0",IF('Crédito de Vivienda'!$D$28="Si",($C$17*(VLOOKUP('Crédito de Vivienda'!$C$24,Seguros_Oblig!$A$3:$F$55,6,FALSE))),IF('Crédito de Vivienda'!$C$10="TARIFA 1",(C279*(VLOOKUP('Crédito de Vivienda'!$C$24,Seguros_Oblig!$A$3:$B$55,2,FALSE))),(C279*(VLOOKUP('Crédito de Vivienda'!$C$24,Seguros_Oblig!$A$3:$D$55,4,FALSE))))))</f>
        <v>#VALUE!</v>
      </c>
      <c r="G280" s="8" t="e">
        <f>IF('Crédito de Vivienda'!$C$10="TARIFA 1",(C279*(VLOOKUP('Crédito de Vivienda'!$C$25,Seguros_Oblig!$A$3:$B$55,2,FALSE))),(C279*(VLOOKUP('Crédito de Vivienda'!$C$25,Seguros_Oblig!$A$3:$D$55,4,FALSE))))</f>
        <v>#VALUE!</v>
      </c>
      <c r="H280" s="8" t="e">
        <f>IF('Crédito de Vivienda'!$C$10="TARIFA 1",(C279*(VLOOKUP('Crédito de Vivienda'!$C$26,Seguros_Oblig!$A$3:$B$55,2,FALSE))),(C279*(VLOOKUP('Crédito de Vivienda'!$C$26,Seguros_Oblig!$A$3:$D$55,4,FALSE))))</f>
        <v>#VALUE!</v>
      </c>
      <c r="I280" s="8" t="e">
        <f>IF('Crédito de Vivienda'!$C$10="TARIFA 1",(C279*(VLOOKUP('Crédito de Vivienda'!$C$27,Seguros_Oblig!$A$3:$B$55,2,FALSE))),(C279*(VLOOKUP('Crédito de Vivienda'!$C$27,Seguros_Oblig!$A$3:$D$55,4,FALSE))))</f>
        <v>#VALUE!</v>
      </c>
      <c r="J280" s="10">
        <f t="shared" si="27"/>
        <v>0</v>
      </c>
      <c r="K280" s="7" t="e">
        <f>IF(C279&lt;1,"0",Seguros_Oblig!$K$2*('Crédito de Vivienda'!$C$12*90%))</f>
        <v>#VALUE!</v>
      </c>
      <c r="L280" s="7" t="e">
        <f>IF(B280=" ","0",PMT('Crédito de Vivienda'!$E$17,'Crédito de Vivienda'!$C$18,-'Crédito de Vivienda'!$C$15,,))</f>
        <v>#VALUE!</v>
      </c>
      <c r="M280" s="9" t="e">
        <f t="shared" si="28"/>
        <v>#VALUE!</v>
      </c>
      <c r="N280" s="7" t="e">
        <f>IF(C279&lt;1,"0",'Crédito de Vivienda'!$C$40)</f>
        <v>#VALUE!</v>
      </c>
      <c r="O280" s="9" t="e">
        <f t="shared" si="29"/>
        <v>#VALUE!</v>
      </c>
    </row>
    <row r="281" spans="2:15" ht="15.5" x14ac:dyDescent="0.35">
      <c r="B281" s="6" t="e">
        <f t="shared" si="25"/>
        <v>#VALUE!</v>
      </c>
      <c r="C281" s="7" t="e">
        <f t="shared" si="26"/>
        <v>#VALUE!</v>
      </c>
      <c r="D281" s="7" t="e">
        <f t="shared" si="24"/>
        <v>#VALUE!</v>
      </c>
      <c r="E281" s="7" t="e">
        <f>C280*'Crédito de Vivienda'!$E$17</f>
        <v>#VALUE!</v>
      </c>
      <c r="F281" s="282" t="e">
        <f>IF(C280&lt;1,"0",IF('Crédito de Vivienda'!$D$28="Si",($C$17*(VLOOKUP('Crédito de Vivienda'!$C$24,Seguros_Oblig!$A$3:$F$55,6,FALSE))),IF('Crédito de Vivienda'!$C$10="TARIFA 1",(C280*(VLOOKUP('Crédito de Vivienda'!$C$24,Seguros_Oblig!$A$3:$B$55,2,FALSE))),(C280*(VLOOKUP('Crédito de Vivienda'!$C$24,Seguros_Oblig!$A$3:$D$55,4,FALSE))))))</f>
        <v>#VALUE!</v>
      </c>
      <c r="G281" s="8" t="e">
        <f>IF('Crédito de Vivienda'!$C$10="TARIFA 1",(C280*(VLOOKUP('Crédito de Vivienda'!$C$25,Seguros_Oblig!$A$3:$B$55,2,FALSE))),(C280*(VLOOKUP('Crédito de Vivienda'!$C$25,Seguros_Oblig!$A$3:$D$55,4,FALSE))))</f>
        <v>#VALUE!</v>
      </c>
      <c r="H281" s="8" t="e">
        <f>IF('Crédito de Vivienda'!$C$10="TARIFA 1",(C280*(VLOOKUP('Crédito de Vivienda'!$C$26,Seguros_Oblig!$A$3:$B$55,2,FALSE))),(C280*(VLOOKUP('Crédito de Vivienda'!$C$26,Seguros_Oblig!$A$3:$D$55,4,FALSE))))</f>
        <v>#VALUE!</v>
      </c>
      <c r="I281" s="8" t="e">
        <f>IF('Crédito de Vivienda'!$C$10="TARIFA 1",(C280*(VLOOKUP('Crédito de Vivienda'!$C$27,Seguros_Oblig!$A$3:$B$55,2,FALSE))),(C280*(VLOOKUP('Crédito de Vivienda'!$C$27,Seguros_Oblig!$A$3:$D$55,4,FALSE))))</f>
        <v>#VALUE!</v>
      </c>
      <c r="J281" s="10">
        <f t="shared" si="27"/>
        <v>0</v>
      </c>
      <c r="K281" s="7" t="e">
        <f>IF(C280&lt;1,"0",Seguros_Oblig!$K$2*('Crédito de Vivienda'!$C$12*90%))</f>
        <v>#VALUE!</v>
      </c>
      <c r="L281" s="7" t="e">
        <f>IF(B281=" ","0",PMT('Crédito de Vivienda'!$E$17,'Crédito de Vivienda'!$C$18,-'Crédito de Vivienda'!$C$15,,))</f>
        <v>#VALUE!</v>
      </c>
      <c r="M281" s="9" t="e">
        <f t="shared" si="28"/>
        <v>#VALUE!</v>
      </c>
      <c r="N281" s="7" t="e">
        <f>IF(C280&lt;1,"0",'Crédito de Vivienda'!$C$40)</f>
        <v>#VALUE!</v>
      </c>
      <c r="O281" s="9" t="e">
        <f t="shared" si="29"/>
        <v>#VALUE!</v>
      </c>
    </row>
    <row r="282" spans="2:15" ht="15.5" x14ac:dyDescent="0.35">
      <c r="B282" s="6" t="e">
        <f t="shared" si="25"/>
        <v>#VALUE!</v>
      </c>
      <c r="C282" s="7" t="e">
        <f t="shared" si="26"/>
        <v>#VALUE!</v>
      </c>
      <c r="D282" s="7" t="e">
        <f t="shared" si="24"/>
        <v>#VALUE!</v>
      </c>
      <c r="E282" s="7" t="e">
        <f>C281*'Crédito de Vivienda'!$E$17</f>
        <v>#VALUE!</v>
      </c>
      <c r="F282" s="282" t="e">
        <f>IF(C281&lt;1,"0",IF('Crédito de Vivienda'!$D$28="Si",($C$17*(VLOOKUP('Crédito de Vivienda'!$C$24,Seguros_Oblig!$A$3:$F$55,6,FALSE))),IF('Crédito de Vivienda'!$C$10="TARIFA 1",(C281*(VLOOKUP('Crédito de Vivienda'!$C$24,Seguros_Oblig!$A$3:$B$55,2,FALSE))),(C281*(VLOOKUP('Crédito de Vivienda'!$C$24,Seguros_Oblig!$A$3:$D$55,4,FALSE))))))</f>
        <v>#VALUE!</v>
      </c>
      <c r="G282" s="8" t="e">
        <f>IF('Crédito de Vivienda'!$C$10="TARIFA 1",(C281*(VLOOKUP('Crédito de Vivienda'!$C$25,Seguros_Oblig!$A$3:$B$55,2,FALSE))),(C281*(VLOOKUP('Crédito de Vivienda'!$C$25,Seguros_Oblig!$A$3:$D$55,4,FALSE))))</f>
        <v>#VALUE!</v>
      </c>
      <c r="H282" s="8" t="e">
        <f>IF('Crédito de Vivienda'!$C$10="TARIFA 1",(C281*(VLOOKUP('Crédito de Vivienda'!$C$26,Seguros_Oblig!$A$3:$B$55,2,FALSE))),(C281*(VLOOKUP('Crédito de Vivienda'!$C$26,Seguros_Oblig!$A$3:$D$55,4,FALSE))))</f>
        <v>#VALUE!</v>
      </c>
      <c r="I282" s="8" t="e">
        <f>IF('Crédito de Vivienda'!$C$10="TARIFA 1",(C281*(VLOOKUP('Crédito de Vivienda'!$C$27,Seguros_Oblig!$A$3:$B$55,2,FALSE))),(C281*(VLOOKUP('Crédito de Vivienda'!$C$27,Seguros_Oblig!$A$3:$D$55,4,FALSE))))</f>
        <v>#VALUE!</v>
      </c>
      <c r="J282" s="10">
        <f t="shared" si="27"/>
        <v>0</v>
      </c>
      <c r="K282" s="7" t="e">
        <f>IF(C281&lt;1,"0",Seguros_Oblig!$K$2*('Crédito de Vivienda'!$C$12*90%))</f>
        <v>#VALUE!</v>
      </c>
      <c r="L282" s="7" t="e">
        <f>IF(B282=" ","0",PMT('Crédito de Vivienda'!$E$17,'Crédito de Vivienda'!$C$18,-'Crédito de Vivienda'!$C$15,,))</f>
        <v>#VALUE!</v>
      </c>
      <c r="M282" s="9" t="e">
        <f t="shared" si="28"/>
        <v>#VALUE!</v>
      </c>
      <c r="N282" s="7" t="e">
        <f>IF(C281&lt;1,"0",'Crédito de Vivienda'!$C$40)</f>
        <v>#VALUE!</v>
      </c>
      <c r="O282" s="9" t="e">
        <f t="shared" si="29"/>
        <v>#VALUE!</v>
      </c>
    </row>
    <row r="283" spans="2:15" ht="15.5" x14ac:dyDescent="0.35">
      <c r="B283" s="6" t="e">
        <f t="shared" si="25"/>
        <v>#VALUE!</v>
      </c>
      <c r="C283" s="7" t="e">
        <f t="shared" si="26"/>
        <v>#VALUE!</v>
      </c>
      <c r="D283" s="7" t="e">
        <f t="shared" si="24"/>
        <v>#VALUE!</v>
      </c>
      <c r="E283" s="7" t="e">
        <f>C282*'Crédito de Vivienda'!$E$17</f>
        <v>#VALUE!</v>
      </c>
      <c r="F283" s="282" t="e">
        <f>IF(C282&lt;1,"0",IF('Crédito de Vivienda'!$D$28="Si",($C$17*(VLOOKUP('Crédito de Vivienda'!$C$24,Seguros_Oblig!$A$3:$F$55,6,FALSE))),IF('Crédito de Vivienda'!$C$10="TARIFA 1",(C282*(VLOOKUP('Crédito de Vivienda'!$C$24,Seguros_Oblig!$A$3:$B$55,2,FALSE))),(C282*(VLOOKUP('Crédito de Vivienda'!$C$24,Seguros_Oblig!$A$3:$D$55,4,FALSE))))))</f>
        <v>#VALUE!</v>
      </c>
      <c r="G283" s="8" t="e">
        <f>IF('Crédito de Vivienda'!$C$10="TARIFA 1",(C282*(VLOOKUP('Crédito de Vivienda'!$C$25,Seguros_Oblig!$A$3:$B$55,2,FALSE))),(C282*(VLOOKUP('Crédito de Vivienda'!$C$25,Seguros_Oblig!$A$3:$D$55,4,FALSE))))</f>
        <v>#VALUE!</v>
      </c>
      <c r="H283" s="8" t="e">
        <f>IF('Crédito de Vivienda'!$C$10="TARIFA 1",(C282*(VLOOKUP('Crédito de Vivienda'!$C$26,Seguros_Oblig!$A$3:$B$55,2,FALSE))),(C282*(VLOOKUP('Crédito de Vivienda'!$C$26,Seguros_Oblig!$A$3:$D$55,4,FALSE))))</f>
        <v>#VALUE!</v>
      </c>
      <c r="I283" s="8" t="e">
        <f>IF('Crédito de Vivienda'!$C$10="TARIFA 1",(C282*(VLOOKUP('Crédito de Vivienda'!$C$27,Seguros_Oblig!$A$3:$B$55,2,FALSE))),(C282*(VLOOKUP('Crédito de Vivienda'!$C$27,Seguros_Oblig!$A$3:$D$55,4,FALSE))))</f>
        <v>#VALUE!</v>
      </c>
      <c r="J283" s="10">
        <f t="shared" si="27"/>
        <v>0</v>
      </c>
      <c r="K283" s="7" t="e">
        <f>IF(C282&lt;1,"0",Seguros_Oblig!$K$2*('Crédito de Vivienda'!$C$12*90%))</f>
        <v>#VALUE!</v>
      </c>
      <c r="L283" s="7" t="e">
        <f>IF(B283=" ","0",PMT('Crédito de Vivienda'!$E$17,'Crédito de Vivienda'!$C$18,-'Crédito de Vivienda'!$C$15,,))</f>
        <v>#VALUE!</v>
      </c>
      <c r="M283" s="9" t="e">
        <f t="shared" si="28"/>
        <v>#VALUE!</v>
      </c>
      <c r="N283" s="7" t="e">
        <f>IF(C282&lt;1,"0",'Crédito de Vivienda'!$C$40)</f>
        <v>#VALUE!</v>
      </c>
      <c r="O283" s="9" t="e">
        <f t="shared" si="29"/>
        <v>#VALUE!</v>
      </c>
    </row>
    <row r="284" spans="2:15" ht="15.5" x14ac:dyDescent="0.35">
      <c r="B284" s="6" t="e">
        <f t="shared" si="25"/>
        <v>#VALUE!</v>
      </c>
      <c r="C284" s="7" t="e">
        <f t="shared" si="26"/>
        <v>#VALUE!</v>
      </c>
      <c r="D284" s="7" t="e">
        <f t="shared" si="24"/>
        <v>#VALUE!</v>
      </c>
      <c r="E284" s="7" t="e">
        <f>C283*'Crédito de Vivienda'!$E$17</f>
        <v>#VALUE!</v>
      </c>
      <c r="F284" s="282" t="e">
        <f>IF(C283&lt;1,"0",IF('Crédito de Vivienda'!$D$28="Si",($C$17*(VLOOKUP('Crédito de Vivienda'!$C$24,Seguros_Oblig!$A$3:$F$55,6,FALSE))),IF('Crédito de Vivienda'!$C$10="TARIFA 1",(C283*(VLOOKUP('Crédito de Vivienda'!$C$24,Seguros_Oblig!$A$3:$B$55,2,FALSE))),(C283*(VLOOKUP('Crédito de Vivienda'!$C$24,Seguros_Oblig!$A$3:$D$55,4,FALSE))))))</f>
        <v>#VALUE!</v>
      </c>
      <c r="G284" s="8" t="e">
        <f>IF('Crédito de Vivienda'!$C$10="TARIFA 1",(C283*(VLOOKUP('Crédito de Vivienda'!$C$25,Seguros_Oblig!$A$3:$B$55,2,FALSE))),(C283*(VLOOKUP('Crédito de Vivienda'!$C$25,Seguros_Oblig!$A$3:$D$55,4,FALSE))))</f>
        <v>#VALUE!</v>
      </c>
      <c r="H284" s="8" t="e">
        <f>IF('Crédito de Vivienda'!$C$10="TARIFA 1",(C283*(VLOOKUP('Crédito de Vivienda'!$C$26,Seguros_Oblig!$A$3:$B$55,2,FALSE))),(C283*(VLOOKUP('Crédito de Vivienda'!$C$26,Seguros_Oblig!$A$3:$D$55,4,FALSE))))</f>
        <v>#VALUE!</v>
      </c>
      <c r="I284" s="8" t="e">
        <f>IF('Crédito de Vivienda'!$C$10="TARIFA 1",(C283*(VLOOKUP('Crédito de Vivienda'!$C$27,Seguros_Oblig!$A$3:$B$55,2,FALSE))),(C283*(VLOOKUP('Crédito de Vivienda'!$C$27,Seguros_Oblig!$A$3:$D$55,4,FALSE))))</f>
        <v>#VALUE!</v>
      </c>
      <c r="J284" s="10">
        <f t="shared" si="27"/>
        <v>0</v>
      </c>
      <c r="K284" s="7" t="e">
        <f>IF(C283&lt;1,"0",Seguros_Oblig!$K$2*('Crédito de Vivienda'!$C$12*90%))</f>
        <v>#VALUE!</v>
      </c>
      <c r="L284" s="7" t="e">
        <f>IF(B284=" ","0",PMT('Crédito de Vivienda'!$E$17,'Crédito de Vivienda'!$C$18,-'Crédito de Vivienda'!$C$15,,))</f>
        <v>#VALUE!</v>
      </c>
      <c r="M284" s="9" t="e">
        <f t="shared" si="28"/>
        <v>#VALUE!</v>
      </c>
      <c r="N284" s="7" t="e">
        <f>IF(C283&lt;1,"0",'Crédito de Vivienda'!$C$40)</f>
        <v>#VALUE!</v>
      </c>
      <c r="O284" s="9" t="e">
        <f t="shared" si="29"/>
        <v>#VALUE!</v>
      </c>
    </row>
    <row r="285" spans="2:15" ht="15.5" x14ac:dyDescent="0.35">
      <c r="B285" s="6" t="e">
        <f t="shared" si="25"/>
        <v>#VALUE!</v>
      </c>
      <c r="C285" s="7" t="e">
        <f t="shared" si="26"/>
        <v>#VALUE!</v>
      </c>
      <c r="D285" s="7" t="e">
        <f t="shared" si="24"/>
        <v>#VALUE!</v>
      </c>
      <c r="E285" s="7" t="e">
        <f>C284*'Crédito de Vivienda'!$E$17</f>
        <v>#VALUE!</v>
      </c>
      <c r="F285" s="282" t="e">
        <f>IF(C284&lt;1,"0",IF('Crédito de Vivienda'!$D$28="Si",($C$17*(VLOOKUP('Crédito de Vivienda'!$C$24,Seguros_Oblig!$A$3:$F$55,6,FALSE))),IF('Crédito de Vivienda'!$C$10="TARIFA 1",(C284*(VLOOKUP('Crédito de Vivienda'!$C$24,Seguros_Oblig!$A$3:$B$55,2,FALSE))),(C284*(VLOOKUP('Crédito de Vivienda'!$C$24,Seguros_Oblig!$A$3:$D$55,4,FALSE))))))</f>
        <v>#VALUE!</v>
      </c>
      <c r="G285" s="8" t="e">
        <f>IF('Crédito de Vivienda'!$C$10="TARIFA 1",(C284*(VLOOKUP('Crédito de Vivienda'!$C$25,Seguros_Oblig!$A$3:$B$55,2,FALSE))),(C284*(VLOOKUP('Crédito de Vivienda'!$C$25,Seguros_Oblig!$A$3:$D$55,4,FALSE))))</f>
        <v>#VALUE!</v>
      </c>
      <c r="H285" s="8" t="e">
        <f>IF('Crédito de Vivienda'!$C$10="TARIFA 1",(C284*(VLOOKUP('Crédito de Vivienda'!$C$26,Seguros_Oblig!$A$3:$B$55,2,FALSE))),(C284*(VLOOKUP('Crédito de Vivienda'!$C$26,Seguros_Oblig!$A$3:$D$55,4,FALSE))))</f>
        <v>#VALUE!</v>
      </c>
      <c r="I285" s="8" t="e">
        <f>IF('Crédito de Vivienda'!$C$10="TARIFA 1",(C284*(VLOOKUP('Crédito de Vivienda'!$C$27,Seguros_Oblig!$A$3:$B$55,2,FALSE))),(C284*(VLOOKUP('Crédito de Vivienda'!$C$27,Seguros_Oblig!$A$3:$D$55,4,FALSE))))</f>
        <v>#VALUE!</v>
      </c>
      <c r="J285" s="10">
        <f t="shared" si="27"/>
        <v>0</v>
      </c>
      <c r="K285" s="7" t="e">
        <f>IF(C284&lt;1,"0",Seguros_Oblig!$K$2*('Crédito de Vivienda'!$C$12*90%))</f>
        <v>#VALUE!</v>
      </c>
      <c r="L285" s="7" t="e">
        <f>IF(B285=" ","0",PMT('Crédito de Vivienda'!$E$17,'Crédito de Vivienda'!$C$18,-'Crédito de Vivienda'!$C$15,,))</f>
        <v>#VALUE!</v>
      </c>
      <c r="M285" s="9" t="e">
        <f t="shared" si="28"/>
        <v>#VALUE!</v>
      </c>
      <c r="N285" s="7" t="e">
        <f>IF(C284&lt;1,"0",'Crédito de Vivienda'!$C$40)</f>
        <v>#VALUE!</v>
      </c>
      <c r="O285" s="9" t="e">
        <f t="shared" si="29"/>
        <v>#VALUE!</v>
      </c>
    </row>
    <row r="286" spans="2:15" ht="15.5" x14ac:dyDescent="0.35">
      <c r="B286" s="6" t="e">
        <f t="shared" si="25"/>
        <v>#VALUE!</v>
      </c>
      <c r="C286" s="7" t="e">
        <f t="shared" si="26"/>
        <v>#VALUE!</v>
      </c>
      <c r="D286" s="7" t="e">
        <f t="shared" si="24"/>
        <v>#VALUE!</v>
      </c>
      <c r="E286" s="7" t="e">
        <f>C285*'Crédito de Vivienda'!$E$17</f>
        <v>#VALUE!</v>
      </c>
      <c r="F286" s="282" t="e">
        <f>IF(C285&lt;1,"0",IF('Crédito de Vivienda'!$D$28="Si",($C$17*(VLOOKUP('Crédito de Vivienda'!$C$24,Seguros_Oblig!$A$3:$F$55,6,FALSE))),IF('Crédito de Vivienda'!$C$10="TARIFA 1",(C285*(VLOOKUP('Crédito de Vivienda'!$C$24,Seguros_Oblig!$A$3:$B$55,2,FALSE))),(C285*(VLOOKUP('Crédito de Vivienda'!$C$24,Seguros_Oblig!$A$3:$D$55,4,FALSE))))))</f>
        <v>#VALUE!</v>
      </c>
      <c r="G286" s="8" t="e">
        <f>IF('Crédito de Vivienda'!$C$10="TARIFA 1",(C285*(VLOOKUP('Crédito de Vivienda'!$C$25,Seguros_Oblig!$A$3:$B$55,2,FALSE))),(C285*(VLOOKUP('Crédito de Vivienda'!$C$25,Seguros_Oblig!$A$3:$D$55,4,FALSE))))</f>
        <v>#VALUE!</v>
      </c>
      <c r="H286" s="8" t="e">
        <f>IF('Crédito de Vivienda'!$C$10="TARIFA 1",(C285*(VLOOKUP('Crédito de Vivienda'!$C$26,Seguros_Oblig!$A$3:$B$55,2,FALSE))),(C285*(VLOOKUP('Crédito de Vivienda'!$C$26,Seguros_Oblig!$A$3:$D$55,4,FALSE))))</f>
        <v>#VALUE!</v>
      </c>
      <c r="I286" s="8" t="e">
        <f>IF('Crédito de Vivienda'!$C$10="TARIFA 1",(C285*(VLOOKUP('Crédito de Vivienda'!$C$27,Seguros_Oblig!$A$3:$B$55,2,FALSE))),(C285*(VLOOKUP('Crédito de Vivienda'!$C$27,Seguros_Oblig!$A$3:$D$55,4,FALSE))))</f>
        <v>#VALUE!</v>
      </c>
      <c r="J286" s="10">
        <f t="shared" si="27"/>
        <v>0</v>
      </c>
      <c r="K286" s="7" t="e">
        <f>IF(C285&lt;1,"0",Seguros_Oblig!$K$2*('Crédito de Vivienda'!$C$12*90%))</f>
        <v>#VALUE!</v>
      </c>
      <c r="L286" s="7" t="e">
        <f>IF(B286=" ","0",PMT('Crédito de Vivienda'!$E$17,'Crédito de Vivienda'!$C$18,-'Crédito de Vivienda'!$C$15,,))</f>
        <v>#VALUE!</v>
      </c>
      <c r="M286" s="9" t="e">
        <f t="shared" si="28"/>
        <v>#VALUE!</v>
      </c>
      <c r="N286" s="7" t="e">
        <f>IF(C285&lt;1,"0",'Crédito de Vivienda'!$C$40)</f>
        <v>#VALUE!</v>
      </c>
      <c r="O286" s="9" t="e">
        <f t="shared" si="29"/>
        <v>#VALUE!</v>
      </c>
    </row>
    <row r="287" spans="2:15" ht="15.5" x14ac:dyDescent="0.35">
      <c r="B287" s="6" t="e">
        <f t="shared" si="25"/>
        <v>#VALUE!</v>
      </c>
      <c r="C287" s="7" t="e">
        <f t="shared" si="26"/>
        <v>#VALUE!</v>
      </c>
      <c r="D287" s="7" t="e">
        <f t="shared" ref="D287:D350" si="30">IF(C286&lt;1,"0",L287-E287)</f>
        <v>#VALUE!</v>
      </c>
      <c r="E287" s="7" t="e">
        <f>C286*'Crédito de Vivienda'!$E$17</f>
        <v>#VALUE!</v>
      </c>
      <c r="F287" s="282" t="e">
        <f>IF(C286&lt;1,"0",IF('Crédito de Vivienda'!$D$28="Si",($C$17*(VLOOKUP('Crédito de Vivienda'!$C$24,Seguros_Oblig!$A$3:$F$55,6,FALSE))),IF('Crédito de Vivienda'!$C$10="TARIFA 1",(C286*(VLOOKUP('Crédito de Vivienda'!$C$24,Seguros_Oblig!$A$3:$B$55,2,FALSE))),(C286*(VLOOKUP('Crédito de Vivienda'!$C$24,Seguros_Oblig!$A$3:$D$55,4,FALSE))))))</f>
        <v>#VALUE!</v>
      </c>
      <c r="G287" s="8" t="e">
        <f>IF('Crédito de Vivienda'!$C$10="TARIFA 1",(C286*(VLOOKUP('Crédito de Vivienda'!$C$25,Seguros_Oblig!$A$3:$B$55,2,FALSE))),(C286*(VLOOKUP('Crédito de Vivienda'!$C$25,Seguros_Oblig!$A$3:$D$55,4,FALSE))))</f>
        <v>#VALUE!</v>
      </c>
      <c r="H287" s="8" t="e">
        <f>IF('Crédito de Vivienda'!$C$10="TARIFA 1",(C286*(VLOOKUP('Crédito de Vivienda'!$C$26,Seguros_Oblig!$A$3:$B$55,2,FALSE))),(C286*(VLOOKUP('Crédito de Vivienda'!$C$26,Seguros_Oblig!$A$3:$D$55,4,FALSE))))</f>
        <v>#VALUE!</v>
      </c>
      <c r="I287" s="8" t="e">
        <f>IF('Crédito de Vivienda'!$C$10="TARIFA 1",(C286*(VLOOKUP('Crédito de Vivienda'!$C$27,Seguros_Oblig!$A$3:$B$55,2,FALSE))),(C286*(VLOOKUP('Crédito de Vivienda'!$C$27,Seguros_Oblig!$A$3:$D$55,4,FALSE))))</f>
        <v>#VALUE!</v>
      </c>
      <c r="J287" s="10">
        <f t="shared" si="27"/>
        <v>0</v>
      </c>
      <c r="K287" s="7" t="e">
        <f>IF(C286&lt;1,"0",Seguros_Oblig!$K$2*('Crédito de Vivienda'!$C$12*90%))</f>
        <v>#VALUE!</v>
      </c>
      <c r="L287" s="7" t="e">
        <f>IF(B287=" ","0",PMT('Crédito de Vivienda'!$E$17,'Crédito de Vivienda'!$C$18,-'Crédito de Vivienda'!$C$15,,))</f>
        <v>#VALUE!</v>
      </c>
      <c r="M287" s="9" t="e">
        <f t="shared" si="28"/>
        <v>#VALUE!</v>
      </c>
      <c r="N287" s="7" t="e">
        <f>IF(C286&lt;1,"0",'Crédito de Vivienda'!$C$40)</f>
        <v>#VALUE!</v>
      </c>
      <c r="O287" s="9" t="e">
        <f t="shared" si="29"/>
        <v>#VALUE!</v>
      </c>
    </row>
    <row r="288" spans="2:15" ht="15.5" x14ac:dyDescent="0.35">
      <c r="B288" s="6" t="e">
        <f t="shared" si="25"/>
        <v>#VALUE!</v>
      </c>
      <c r="C288" s="7" t="e">
        <f t="shared" si="26"/>
        <v>#VALUE!</v>
      </c>
      <c r="D288" s="7" t="e">
        <f t="shared" si="30"/>
        <v>#VALUE!</v>
      </c>
      <c r="E288" s="7" t="e">
        <f>C287*'Crédito de Vivienda'!$E$17</f>
        <v>#VALUE!</v>
      </c>
      <c r="F288" s="282" t="e">
        <f>IF(C287&lt;1,"0",IF('Crédito de Vivienda'!$D$28="Si",($C$17*(VLOOKUP('Crédito de Vivienda'!$C$24,Seguros_Oblig!$A$3:$F$55,6,FALSE))),IF('Crédito de Vivienda'!$C$10="TARIFA 1",(C287*(VLOOKUP('Crédito de Vivienda'!$C$24,Seguros_Oblig!$A$3:$B$55,2,FALSE))),(C287*(VLOOKUP('Crédito de Vivienda'!$C$24,Seguros_Oblig!$A$3:$D$55,4,FALSE))))))</f>
        <v>#VALUE!</v>
      </c>
      <c r="G288" s="8" t="e">
        <f>IF('Crédito de Vivienda'!$C$10="TARIFA 1",(C287*(VLOOKUP('Crédito de Vivienda'!$C$25,Seguros_Oblig!$A$3:$B$55,2,FALSE))),(C287*(VLOOKUP('Crédito de Vivienda'!$C$25,Seguros_Oblig!$A$3:$D$55,4,FALSE))))</f>
        <v>#VALUE!</v>
      </c>
      <c r="H288" s="8" t="e">
        <f>IF('Crédito de Vivienda'!$C$10="TARIFA 1",(C287*(VLOOKUP('Crédito de Vivienda'!$C$26,Seguros_Oblig!$A$3:$B$55,2,FALSE))),(C287*(VLOOKUP('Crédito de Vivienda'!$C$26,Seguros_Oblig!$A$3:$D$55,4,FALSE))))</f>
        <v>#VALUE!</v>
      </c>
      <c r="I288" s="8" t="e">
        <f>IF('Crédito de Vivienda'!$C$10="TARIFA 1",(C287*(VLOOKUP('Crédito de Vivienda'!$C$27,Seguros_Oblig!$A$3:$B$55,2,FALSE))),(C287*(VLOOKUP('Crédito de Vivienda'!$C$27,Seguros_Oblig!$A$3:$D$55,4,FALSE))))</f>
        <v>#VALUE!</v>
      </c>
      <c r="J288" s="10">
        <f t="shared" si="27"/>
        <v>0</v>
      </c>
      <c r="K288" s="7" t="e">
        <f>IF(C287&lt;1,"0",Seguros_Oblig!$K$2*('Crédito de Vivienda'!$C$12*90%))</f>
        <v>#VALUE!</v>
      </c>
      <c r="L288" s="7" t="e">
        <f>IF(B288=" ","0",PMT('Crédito de Vivienda'!$E$17,'Crédito de Vivienda'!$C$18,-'Crédito de Vivienda'!$C$15,,))</f>
        <v>#VALUE!</v>
      </c>
      <c r="M288" s="9" t="e">
        <f t="shared" si="28"/>
        <v>#VALUE!</v>
      </c>
      <c r="N288" s="7" t="e">
        <f>IF(C287&lt;1,"0",'Crédito de Vivienda'!$C$40)</f>
        <v>#VALUE!</v>
      </c>
      <c r="O288" s="9" t="e">
        <f t="shared" si="29"/>
        <v>#VALUE!</v>
      </c>
    </row>
    <row r="289" spans="2:15" ht="15.5" x14ac:dyDescent="0.35">
      <c r="B289" s="6" t="e">
        <f t="shared" si="25"/>
        <v>#VALUE!</v>
      </c>
      <c r="C289" s="7" t="e">
        <f t="shared" si="26"/>
        <v>#VALUE!</v>
      </c>
      <c r="D289" s="7" t="e">
        <f t="shared" si="30"/>
        <v>#VALUE!</v>
      </c>
      <c r="E289" s="7" t="e">
        <f>C288*'Crédito de Vivienda'!$E$17</f>
        <v>#VALUE!</v>
      </c>
      <c r="F289" s="282" t="e">
        <f>IF(C288&lt;1,"0",IF('Crédito de Vivienda'!$D$28="Si",($C$17*(VLOOKUP('Crédito de Vivienda'!$C$24,Seguros_Oblig!$A$3:$F$55,6,FALSE))),IF('Crédito de Vivienda'!$C$10="TARIFA 1",(C288*(VLOOKUP('Crédito de Vivienda'!$C$24,Seguros_Oblig!$A$3:$B$55,2,FALSE))),(C288*(VLOOKUP('Crédito de Vivienda'!$C$24,Seguros_Oblig!$A$3:$D$55,4,FALSE))))))</f>
        <v>#VALUE!</v>
      </c>
      <c r="G289" s="8" t="e">
        <f>IF('Crédito de Vivienda'!$C$10="TARIFA 1",(C288*(VLOOKUP('Crédito de Vivienda'!$C$25,Seguros_Oblig!$A$3:$B$55,2,FALSE))),(C288*(VLOOKUP('Crédito de Vivienda'!$C$25,Seguros_Oblig!$A$3:$D$55,4,FALSE))))</f>
        <v>#VALUE!</v>
      </c>
      <c r="H289" s="8" t="e">
        <f>IF('Crédito de Vivienda'!$C$10="TARIFA 1",(C288*(VLOOKUP('Crédito de Vivienda'!$C$26,Seguros_Oblig!$A$3:$B$55,2,FALSE))),(C288*(VLOOKUP('Crédito de Vivienda'!$C$26,Seguros_Oblig!$A$3:$D$55,4,FALSE))))</f>
        <v>#VALUE!</v>
      </c>
      <c r="I289" s="8" t="e">
        <f>IF('Crédito de Vivienda'!$C$10="TARIFA 1",(C288*(VLOOKUP('Crédito de Vivienda'!$C$27,Seguros_Oblig!$A$3:$B$55,2,FALSE))),(C288*(VLOOKUP('Crédito de Vivienda'!$C$27,Seguros_Oblig!$A$3:$D$55,4,FALSE))))</f>
        <v>#VALUE!</v>
      </c>
      <c r="J289" s="10">
        <f t="shared" si="27"/>
        <v>0</v>
      </c>
      <c r="K289" s="7" t="e">
        <f>IF(C288&lt;1,"0",Seguros_Oblig!$K$2*('Crédito de Vivienda'!$C$12*90%))</f>
        <v>#VALUE!</v>
      </c>
      <c r="L289" s="7" t="e">
        <f>IF(B289=" ","0",PMT('Crédito de Vivienda'!$E$17,'Crédito de Vivienda'!$C$18,-'Crédito de Vivienda'!$C$15,,))</f>
        <v>#VALUE!</v>
      </c>
      <c r="M289" s="9" t="e">
        <f t="shared" si="28"/>
        <v>#VALUE!</v>
      </c>
      <c r="N289" s="7" t="e">
        <f>IF(C288&lt;1,"0",'Crédito de Vivienda'!$C$40)</f>
        <v>#VALUE!</v>
      </c>
      <c r="O289" s="9" t="e">
        <f t="shared" si="29"/>
        <v>#VALUE!</v>
      </c>
    </row>
    <row r="290" spans="2:15" ht="15.5" x14ac:dyDescent="0.35">
      <c r="B290" s="6" t="e">
        <f t="shared" si="25"/>
        <v>#VALUE!</v>
      </c>
      <c r="C290" s="7" t="e">
        <f t="shared" si="26"/>
        <v>#VALUE!</v>
      </c>
      <c r="D290" s="7" t="e">
        <f t="shared" si="30"/>
        <v>#VALUE!</v>
      </c>
      <c r="E290" s="7" t="e">
        <f>C289*'Crédito de Vivienda'!$E$17</f>
        <v>#VALUE!</v>
      </c>
      <c r="F290" s="282" t="e">
        <f>IF(C289&lt;1,"0",IF('Crédito de Vivienda'!$D$28="Si",($C$17*(VLOOKUP('Crédito de Vivienda'!$C$24,Seguros_Oblig!$A$3:$F$55,6,FALSE))),IF('Crédito de Vivienda'!$C$10="TARIFA 1",(C289*(VLOOKUP('Crédito de Vivienda'!$C$24,Seguros_Oblig!$A$3:$B$55,2,FALSE))),(C289*(VLOOKUP('Crédito de Vivienda'!$C$24,Seguros_Oblig!$A$3:$D$55,4,FALSE))))))</f>
        <v>#VALUE!</v>
      </c>
      <c r="G290" s="8" t="e">
        <f>IF('Crédito de Vivienda'!$C$10="TARIFA 1",(C289*(VLOOKUP('Crédito de Vivienda'!$C$25,Seguros_Oblig!$A$3:$B$55,2,FALSE))),(C289*(VLOOKUP('Crédito de Vivienda'!$C$25,Seguros_Oblig!$A$3:$D$55,4,FALSE))))</f>
        <v>#VALUE!</v>
      </c>
      <c r="H290" s="8" t="e">
        <f>IF('Crédito de Vivienda'!$C$10="TARIFA 1",(C289*(VLOOKUP('Crédito de Vivienda'!$C$26,Seguros_Oblig!$A$3:$B$55,2,FALSE))),(C289*(VLOOKUP('Crédito de Vivienda'!$C$26,Seguros_Oblig!$A$3:$D$55,4,FALSE))))</f>
        <v>#VALUE!</v>
      </c>
      <c r="I290" s="8" t="e">
        <f>IF('Crédito de Vivienda'!$C$10="TARIFA 1",(C289*(VLOOKUP('Crédito de Vivienda'!$C$27,Seguros_Oblig!$A$3:$B$55,2,FALSE))),(C289*(VLOOKUP('Crédito de Vivienda'!$C$27,Seguros_Oblig!$A$3:$D$55,4,FALSE))))</f>
        <v>#VALUE!</v>
      </c>
      <c r="J290" s="10">
        <f t="shared" si="27"/>
        <v>0</v>
      </c>
      <c r="K290" s="7" t="e">
        <f>IF(C289&lt;1,"0",Seguros_Oblig!$K$2*('Crédito de Vivienda'!$C$12*90%))</f>
        <v>#VALUE!</v>
      </c>
      <c r="L290" s="7" t="e">
        <f>IF(B290=" ","0",PMT('Crédito de Vivienda'!$E$17,'Crédito de Vivienda'!$C$18,-'Crédito de Vivienda'!$C$15,,))</f>
        <v>#VALUE!</v>
      </c>
      <c r="M290" s="9" t="e">
        <f t="shared" si="28"/>
        <v>#VALUE!</v>
      </c>
      <c r="N290" s="7" t="e">
        <f>IF(C289&lt;1,"0",'Crédito de Vivienda'!$C$40)</f>
        <v>#VALUE!</v>
      </c>
      <c r="O290" s="9" t="e">
        <f t="shared" si="29"/>
        <v>#VALUE!</v>
      </c>
    </row>
    <row r="291" spans="2:15" ht="15.5" x14ac:dyDescent="0.35">
      <c r="B291" s="6" t="e">
        <f t="shared" si="25"/>
        <v>#VALUE!</v>
      </c>
      <c r="C291" s="7" t="e">
        <f t="shared" si="26"/>
        <v>#VALUE!</v>
      </c>
      <c r="D291" s="7" t="e">
        <f t="shared" si="30"/>
        <v>#VALUE!</v>
      </c>
      <c r="E291" s="7" t="e">
        <f>C290*'Crédito de Vivienda'!$E$17</f>
        <v>#VALUE!</v>
      </c>
      <c r="F291" s="282" t="e">
        <f>IF(C290&lt;1,"0",IF('Crédito de Vivienda'!$D$28="Si",($C$17*(VLOOKUP('Crédito de Vivienda'!$C$24,Seguros_Oblig!$A$3:$F$55,6,FALSE))),IF('Crédito de Vivienda'!$C$10="TARIFA 1",(C290*(VLOOKUP('Crédito de Vivienda'!$C$24,Seguros_Oblig!$A$3:$B$55,2,FALSE))),(C290*(VLOOKUP('Crédito de Vivienda'!$C$24,Seguros_Oblig!$A$3:$D$55,4,FALSE))))))</f>
        <v>#VALUE!</v>
      </c>
      <c r="G291" s="8" t="e">
        <f>IF('Crédito de Vivienda'!$C$10="TARIFA 1",(C290*(VLOOKUP('Crédito de Vivienda'!$C$25,Seguros_Oblig!$A$3:$B$55,2,FALSE))),(C290*(VLOOKUP('Crédito de Vivienda'!$C$25,Seguros_Oblig!$A$3:$D$55,4,FALSE))))</f>
        <v>#VALUE!</v>
      </c>
      <c r="H291" s="8" t="e">
        <f>IF('Crédito de Vivienda'!$C$10="TARIFA 1",(C290*(VLOOKUP('Crédito de Vivienda'!$C$26,Seguros_Oblig!$A$3:$B$55,2,FALSE))),(C290*(VLOOKUP('Crédito de Vivienda'!$C$26,Seguros_Oblig!$A$3:$D$55,4,FALSE))))</f>
        <v>#VALUE!</v>
      </c>
      <c r="I291" s="8" t="e">
        <f>IF('Crédito de Vivienda'!$C$10="TARIFA 1",(C290*(VLOOKUP('Crédito de Vivienda'!$C$27,Seguros_Oblig!$A$3:$B$55,2,FALSE))),(C290*(VLOOKUP('Crédito de Vivienda'!$C$27,Seguros_Oblig!$A$3:$D$55,4,FALSE))))</f>
        <v>#VALUE!</v>
      </c>
      <c r="J291" s="10">
        <f t="shared" si="27"/>
        <v>0</v>
      </c>
      <c r="K291" s="7" t="e">
        <f>IF(C290&lt;1,"0",Seguros_Oblig!$K$2*('Crédito de Vivienda'!$C$12*90%))</f>
        <v>#VALUE!</v>
      </c>
      <c r="L291" s="7" t="e">
        <f>IF(B291=" ","0",PMT('Crédito de Vivienda'!$E$17,'Crédito de Vivienda'!$C$18,-'Crédito de Vivienda'!$C$15,,))</f>
        <v>#VALUE!</v>
      </c>
      <c r="M291" s="9" t="e">
        <f t="shared" si="28"/>
        <v>#VALUE!</v>
      </c>
      <c r="N291" s="7" t="e">
        <f>IF(C290&lt;1,"0",'Crédito de Vivienda'!$C$40)</f>
        <v>#VALUE!</v>
      </c>
      <c r="O291" s="9" t="e">
        <f t="shared" si="29"/>
        <v>#VALUE!</v>
      </c>
    </row>
    <row r="292" spans="2:15" ht="15.5" x14ac:dyDescent="0.35">
      <c r="B292" s="6" t="e">
        <f t="shared" si="25"/>
        <v>#VALUE!</v>
      </c>
      <c r="C292" s="7" t="e">
        <f t="shared" si="26"/>
        <v>#VALUE!</v>
      </c>
      <c r="D292" s="7" t="e">
        <f t="shared" si="30"/>
        <v>#VALUE!</v>
      </c>
      <c r="E292" s="7" t="e">
        <f>C291*'Crédito de Vivienda'!$E$17</f>
        <v>#VALUE!</v>
      </c>
      <c r="F292" s="282" t="e">
        <f>IF(C291&lt;1,"0",IF('Crédito de Vivienda'!$D$28="Si",($C$17*(VLOOKUP('Crédito de Vivienda'!$C$24,Seguros_Oblig!$A$3:$F$55,6,FALSE))),IF('Crédito de Vivienda'!$C$10="TARIFA 1",(C291*(VLOOKUP('Crédito de Vivienda'!$C$24,Seguros_Oblig!$A$3:$B$55,2,FALSE))),(C291*(VLOOKUP('Crédito de Vivienda'!$C$24,Seguros_Oblig!$A$3:$D$55,4,FALSE))))))</f>
        <v>#VALUE!</v>
      </c>
      <c r="G292" s="8" t="e">
        <f>IF('Crédito de Vivienda'!$C$10="TARIFA 1",(C291*(VLOOKUP('Crédito de Vivienda'!$C$25,Seguros_Oblig!$A$3:$B$55,2,FALSE))),(C291*(VLOOKUP('Crédito de Vivienda'!$C$25,Seguros_Oblig!$A$3:$D$55,4,FALSE))))</f>
        <v>#VALUE!</v>
      </c>
      <c r="H292" s="8" t="e">
        <f>IF('Crédito de Vivienda'!$C$10="TARIFA 1",(C291*(VLOOKUP('Crédito de Vivienda'!$C$26,Seguros_Oblig!$A$3:$B$55,2,FALSE))),(C291*(VLOOKUP('Crédito de Vivienda'!$C$26,Seguros_Oblig!$A$3:$D$55,4,FALSE))))</f>
        <v>#VALUE!</v>
      </c>
      <c r="I292" s="8" t="e">
        <f>IF('Crédito de Vivienda'!$C$10="TARIFA 1",(C291*(VLOOKUP('Crédito de Vivienda'!$C$27,Seguros_Oblig!$A$3:$B$55,2,FALSE))),(C291*(VLOOKUP('Crédito de Vivienda'!$C$27,Seguros_Oblig!$A$3:$D$55,4,FALSE))))</f>
        <v>#VALUE!</v>
      </c>
      <c r="J292" s="10">
        <f t="shared" si="27"/>
        <v>0</v>
      </c>
      <c r="K292" s="7" t="e">
        <f>IF(C291&lt;1,"0",Seguros_Oblig!$K$2*('Crédito de Vivienda'!$C$12*90%))</f>
        <v>#VALUE!</v>
      </c>
      <c r="L292" s="7" t="e">
        <f>IF(B292=" ","0",PMT('Crédito de Vivienda'!$E$17,'Crédito de Vivienda'!$C$18,-'Crédito de Vivienda'!$C$15,,))</f>
        <v>#VALUE!</v>
      </c>
      <c r="M292" s="9" t="e">
        <f t="shared" si="28"/>
        <v>#VALUE!</v>
      </c>
      <c r="N292" s="7" t="e">
        <f>IF(C291&lt;1,"0",'Crédito de Vivienda'!$C$40)</f>
        <v>#VALUE!</v>
      </c>
      <c r="O292" s="9" t="e">
        <f t="shared" si="29"/>
        <v>#VALUE!</v>
      </c>
    </row>
    <row r="293" spans="2:15" ht="15.5" x14ac:dyDescent="0.35">
      <c r="B293" s="6" t="e">
        <f t="shared" si="25"/>
        <v>#VALUE!</v>
      </c>
      <c r="C293" s="7" t="e">
        <f t="shared" si="26"/>
        <v>#VALUE!</v>
      </c>
      <c r="D293" s="7" t="e">
        <f t="shared" si="30"/>
        <v>#VALUE!</v>
      </c>
      <c r="E293" s="7" t="e">
        <f>C292*'Crédito de Vivienda'!$E$17</f>
        <v>#VALUE!</v>
      </c>
      <c r="F293" s="282" t="e">
        <f>IF(C292&lt;1,"0",IF('Crédito de Vivienda'!$D$28="Si",($C$17*(VLOOKUP('Crédito de Vivienda'!$C$24,Seguros_Oblig!$A$3:$F$55,6,FALSE))),IF('Crédito de Vivienda'!$C$10="TARIFA 1",(C292*(VLOOKUP('Crédito de Vivienda'!$C$24,Seguros_Oblig!$A$3:$B$55,2,FALSE))),(C292*(VLOOKUP('Crédito de Vivienda'!$C$24,Seguros_Oblig!$A$3:$D$55,4,FALSE))))))</f>
        <v>#VALUE!</v>
      </c>
      <c r="G293" s="8" t="e">
        <f>IF('Crédito de Vivienda'!$C$10="TARIFA 1",(C292*(VLOOKUP('Crédito de Vivienda'!$C$25,Seguros_Oblig!$A$3:$B$55,2,FALSE))),(C292*(VLOOKUP('Crédito de Vivienda'!$C$25,Seguros_Oblig!$A$3:$D$55,4,FALSE))))</f>
        <v>#VALUE!</v>
      </c>
      <c r="H293" s="8" t="e">
        <f>IF('Crédito de Vivienda'!$C$10="TARIFA 1",(C292*(VLOOKUP('Crédito de Vivienda'!$C$26,Seguros_Oblig!$A$3:$B$55,2,FALSE))),(C292*(VLOOKUP('Crédito de Vivienda'!$C$26,Seguros_Oblig!$A$3:$D$55,4,FALSE))))</f>
        <v>#VALUE!</v>
      </c>
      <c r="I293" s="8" t="e">
        <f>IF('Crédito de Vivienda'!$C$10="TARIFA 1",(C292*(VLOOKUP('Crédito de Vivienda'!$C$27,Seguros_Oblig!$A$3:$B$55,2,FALSE))),(C292*(VLOOKUP('Crédito de Vivienda'!$C$27,Seguros_Oblig!$A$3:$D$55,4,FALSE))))</f>
        <v>#VALUE!</v>
      </c>
      <c r="J293" s="10">
        <f t="shared" si="27"/>
        <v>0</v>
      </c>
      <c r="K293" s="7" t="e">
        <f>IF(C292&lt;1,"0",Seguros_Oblig!$K$2*('Crédito de Vivienda'!$C$12*90%))</f>
        <v>#VALUE!</v>
      </c>
      <c r="L293" s="7" t="e">
        <f>IF(B293=" ","0",PMT('Crédito de Vivienda'!$E$17,'Crédito de Vivienda'!$C$18,-'Crédito de Vivienda'!$C$15,,))</f>
        <v>#VALUE!</v>
      </c>
      <c r="M293" s="9" t="e">
        <f t="shared" si="28"/>
        <v>#VALUE!</v>
      </c>
      <c r="N293" s="7" t="e">
        <f>IF(C292&lt;1,"0",'Crédito de Vivienda'!$C$40)</f>
        <v>#VALUE!</v>
      </c>
      <c r="O293" s="9" t="e">
        <f t="shared" si="29"/>
        <v>#VALUE!</v>
      </c>
    </row>
    <row r="294" spans="2:15" ht="15.5" x14ac:dyDescent="0.35">
      <c r="B294" s="6" t="e">
        <f t="shared" si="25"/>
        <v>#VALUE!</v>
      </c>
      <c r="C294" s="7" t="e">
        <f t="shared" si="26"/>
        <v>#VALUE!</v>
      </c>
      <c r="D294" s="7" t="e">
        <f t="shared" si="30"/>
        <v>#VALUE!</v>
      </c>
      <c r="E294" s="7" t="e">
        <f>C293*'Crédito de Vivienda'!$E$17</f>
        <v>#VALUE!</v>
      </c>
      <c r="F294" s="282" t="e">
        <f>IF(C293&lt;1,"0",IF('Crédito de Vivienda'!$D$28="Si",($C$17*(VLOOKUP('Crédito de Vivienda'!$C$24,Seguros_Oblig!$A$3:$F$55,6,FALSE))),IF('Crédito de Vivienda'!$C$10="TARIFA 1",(C293*(VLOOKUP('Crédito de Vivienda'!$C$24,Seguros_Oblig!$A$3:$B$55,2,FALSE))),(C293*(VLOOKUP('Crédito de Vivienda'!$C$24,Seguros_Oblig!$A$3:$D$55,4,FALSE))))))</f>
        <v>#VALUE!</v>
      </c>
      <c r="G294" s="8" t="e">
        <f>IF('Crédito de Vivienda'!$C$10="TARIFA 1",(C293*(VLOOKUP('Crédito de Vivienda'!$C$25,Seguros_Oblig!$A$3:$B$55,2,FALSE))),(C293*(VLOOKUP('Crédito de Vivienda'!$C$25,Seguros_Oblig!$A$3:$D$55,4,FALSE))))</f>
        <v>#VALUE!</v>
      </c>
      <c r="H294" s="8" t="e">
        <f>IF('Crédito de Vivienda'!$C$10="TARIFA 1",(C293*(VLOOKUP('Crédito de Vivienda'!$C$26,Seguros_Oblig!$A$3:$B$55,2,FALSE))),(C293*(VLOOKUP('Crédito de Vivienda'!$C$26,Seguros_Oblig!$A$3:$D$55,4,FALSE))))</f>
        <v>#VALUE!</v>
      </c>
      <c r="I294" s="8" t="e">
        <f>IF('Crédito de Vivienda'!$C$10="TARIFA 1",(C293*(VLOOKUP('Crédito de Vivienda'!$C$27,Seguros_Oblig!$A$3:$B$55,2,FALSE))),(C293*(VLOOKUP('Crédito de Vivienda'!$C$27,Seguros_Oblig!$A$3:$D$55,4,FALSE))))</f>
        <v>#VALUE!</v>
      </c>
      <c r="J294" s="10">
        <f t="shared" si="27"/>
        <v>0</v>
      </c>
      <c r="K294" s="7" t="e">
        <f>IF(C293&lt;1,"0",Seguros_Oblig!$K$2*('Crédito de Vivienda'!$C$12*90%))</f>
        <v>#VALUE!</v>
      </c>
      <c r="L294" s="7" t="e">
        <f>IF(B294=" ","0",PMT('Crédito de Vivienda'!$E$17,'Crédito de Vivienda'!$C$18,-'Crédito de Vivienda'!$C$15,,))</f>
        <v>#VALUE!</v>
      </c>
      <c r="M294" s="9" t="e">
        <f t="shared" si="28"/>
        <v>#VALUE!</v>
      </c>
      <c r="N294" s="7" t="e">
        <f>IF(C293&lt;1,"0",'Crédito de Vivienda'!$C$40)</f>
        <v>#VALUE!</v>
      </c>
      <c r="O294" s="9" t="e">
        <f t="shared" si="29"/>
        <v>#VALUE!</v>
      </c>
    </row>
    <row r="295" spans="2:15" ht="15.5" x14ac:dyDescent="0.35">
      <c r="B295" s="6" t="e">
        <f t="shared" si="25"/>
        <v>#VALUE!</v>
      </c>
      <c r="C295" s="7" t="e">
        <f t="shared" si="26"/>
        <v>#VALUE!</v>
      </c>
      <c r="D295" s="7" t="e">
        <f t="shared" si="30"/>
        <v>#VALUE!</v>
      </c>
      <c r="E295" s="7" t="e">
        <f>C294*'Crédito de Vivienda'!$E$17</f>
        <v>#VALUE!</v>
      </c>
      <c r="F295" s="282" t="e">
        <f>IF(C294&lt;1,"0",IF('Crédito de Vivienda'!$D$28="Si",($C$17*(VLOOKUP('Crédito de Vivienda'!$C$24,Seguros_Oblig!$A$3:$F$55,6,FALSE))),IF('Crédito de Vivienda'!$C$10="TARIFA 1",(C294*(VLOOKUP('Crédito de Vivienda'!$C$24,Seguros_Oblig!$A$3:$B$55,2,FALSE))),(C294*(VLOOKUP('Crédito de Vivienda'!$C$24,Seguros_Oblig!$A$3:$D$55,4,FALSE))))))</f>
        <v>#VALUE!</v>
      </c>
      <c r="G295" s="8" t="e">
        <f>IF('Crédito de Vivienda'!$C$10="TARIFA 1",(C294*(VLOOKUP('Crédito de Vivienda'!$C$25,Seguros_Oblig!$A$3:$B$55,2,FALSE))),(C294*(VLOOKUP('Crédito de Vivienda'!$C$25,Seguros_Oblig!$A$3:$D$55,4,FALSE))))</f>
        <v>#VALUE!</v>
      </c>
      <c r="H295" s="8" t="e">
        <f>IF('Crédito de Vivienda'!$C$10="TARIFA 1",(C294*(VLOOKUP('Crédito de Vivienda'!$C$26,Seguros_Oblig!$A$3:$B$55,2,FALSE))),(C294*(VLOOKUP('Crédito de Vivienda'!$C$26,Seguros_Oblig!$A$3:$D$55,4,FALSE))))</f>
        <v>#VALUE!</v>
      </c>
      <c r="I295" s="8" t="e">
        <f>IF('Crédito de Vivienda'!$C$10="TARIFA 1",(C294*(VLOOKUP('Crédito de Vivienda'!$C$27,Seguros_Oblig!$A$3:$B$55,2,FALSE))),(C294*(VLOOKUP('Crédito de Vivienda'!$C$27,Seguros_Oblig!$A$3:$D$55,4,FALSE))))</f>
        <v>#VALUE!</v>
      </c>
      <c r="J295" s="10">
        <f t="shared" si="27"/>
        <v>0</v>
      </c>
      <c r="K295" s="7" t="e">
        <f>IF(C294&lt;1,"0",Seguros_Oblig!$K$2*('Crédito de Vivienda'!$C$12*90%))</f>
        <v>#VALUE!</v>
      </c>
      <c r="L295" s="7" t="e">
        <f>IF(B295=" ","0",PMT('Crédito de Vivienda'!$E$17,'Crédito de Vivienda'!$C$18,-'Crédito de Vivienda'!$C$15,,))</f>
        <v>#VALUE!</v>
      </c>
      <c r="M295" s="9" t="e">
        <f t="shared" si="28"/>
        <v>#VALUE!</v>
      </c>
      <c r="N295" s="7" t="e">
        <f>IF(C294&lt;1,"0",'Crédito de Vivienda'!$C$40)</f>
        <v>#VALUE!</v>
      </c>
      <c r="O295" s="9" t="e">
        <f t="shared" si="29"/>
        <v>#VALUE!</v>
      </c>
    </row>
    <row r="296" spans="2:15" ht="15.5" x14ac:dyDescent="0.35">
      <c r="B296" s="6" t="e">
        <f t="shared" si="25"/>
        <v>#VALUE!</v>
      </c>
      <c r="C296" s="7" t="e">
        <f t="shared" si="26"/>
        <v>#VALUE!</v>
      </c>
      <c r="D296" s="7" t="e">
        <f t="shared" si="30"/>
        <v>#VALUE!</v>
      </c>
      <c r="E296" s="7" t="e">
        <f>C295*'Crédito de Vivienda'!$E$17</f>
        <v>#VALUE!</v>
      </c>
      <c r="F296" s="282" t="e">
        <f>IF(C295&lt;1,"0",IF('Crédito de Vivienda'!$D$28="Si",($C$17*(VLOOKUP('Crédito de Vivienda'!$C$24,Seguros_Oblig!$A$3:$F$55,6,FALSE))),IF('Crédito de Vivienda'!$C$10="TARIFA 1",(C295*(VLOOKUP('Crédito de Vivienda'!$C$24,Seguros_Oblig!$A$3:$B$55,2,FALSE))),(C295*(VLOOKUP('Crédito de Vivienda'!$C$24,Seguros_Oblig!$A$3:$D$55,4,FALSE))))))</f>
        <v>#VALUE!</v>
      </c>
      <c r="G296" s="8" t="e">
        <f>IF('Crédito de Vivienda'!$C$10="TARIFA 1",(C295*(VLOOKUP('Crédito de Vivienda'!$C$25,Seguros_Oblig!$A$3:$B$55,2,FALSE))),(C295*(VLOOKUP('Crédito de Vivienda'!$C$25,Seguros_Oblig!$A$3:$D$55,4,FALSE))))</f>
        <v>#VALUE!</v>
      </c>
      <c r="H296" s="8" t="e">
        <f>IF('Crédito de Vivienda'!$C$10="TARIFA 1",(C295*(VLOOKUP('Crédito de Vivienda'!$C$26,Seguros_Oblig!$A$3:$B$55,2,FALSE))),(C295*(VLOOKUP('Crédito de Vivienda'!$C$26,Seguros_Oblig!$A$3:$D$55,4,FALSE))))</f>
        <v>#VALUE!</v>
      </c>
      <c r="I296" s="8" t="e">
        <f>IF('Crédito de Vivienda'!$C$10="TARIFA 1",(C295*(VLOOKUP('Crédito de Vivienda'!$C$27,Seguros_Oblig!$A$3:$B$55,2,FALSE))),(C295*(VLOOKUP('Crédito de Vivienda'!$C$27,Seguros_Oblig!$A$3:$D$55,4,FALSE))))</f>
        <v>#VALUE!</v>
      </c>
      <c r="J296" s="10">
        <f t="shared" si="27"/>
        <v>0</v>
      </c>
      <c r="K296" s="7" t="e">
        <f>IF(C295&lt;1,"0",Seguros_Oblig!$K$2*('Crédito de Vivienda'!$C$12*90%))</f>
        <v>#VALUE!</v>
      </c>
      <c r="L296" s="7" t="e">
        <f>IF(B296=" ","0",PMT('Crédito de Vivienda'!$E$17,'Crédito de Vivienda'!$C$18,-'Crédito de Vivienda'!$C$15,,))</f>
        <v>#VALUE!</v>
      </c>
      <c r="M296" s="9" t="e">
        <f t="shared" si="28"/>
        <v>#VALUE!</v>
      </c>
      <c r="N296" s="7" t="e">
        <f>IF(C295&lt;1,"0",'Crédito de Vivienda'!$C$40)</f>
        <v>#VALUE!</v>
      </c>
      <c r="O296" s="9" t="e">
        <f t="shared" si="29"/>
        <v>#VALUE!</v>
      </c>
    </row>
    <row r="297" spans="2:15" ht="15.5" x14ac:dyDescent="0.35">
      <c r="B297" s="6" t="e">
        <f t="shared" si="25"/>
        <v>#VALUE!</v>
      </c>
      <c r="C297" s="7" t="e">
        <f t="shared" si="26"/>
        <v>#VALUE!</v>
      </c>
      <c r="D297" s="7" t="e">
        <f t="shared" si="30"/>
        <v>#VALUE!</v>
      </c>
      <c r="E297" s="7" t="e">
        <f>C296*'Crédito de Vivienda'!$E$17</f>
        <v>#VALUE!</v>
      </c>
      <c r="F297" s="282" t="e">
        <f>IF(C296&lt;1,"0",IF('Crédito de Vivienda'!$D$28="Si",($C$17*(VLOOKUP('Crédito de Vivienda'!$C$24,Seguros_Oblig!$A$3:$F$55,6,FALSE))),IF('Crédito de Vivienda'!$C$10="TARIFA 1",(C296*(VLOOKUP('Crédito de Vivienda'!$C$24,Seguros_Oblig!$A$3:$B$55,2,FALSE))),(C296*(VLOOKUP('Crédito de Vivienda'!$C$24,Seguros_Oblig!$A$3:$D$55,4,FALSE))))))</f>
        <v>#VALUE!</v>
      </c>
      <c r="G297" s="8" t="e">
        <f>IF('Crédito de Vivienda'!$C$10="TARIFA 1",(C296*(VLOOKUP('Crédito de Vivienda'!$C$25,Seguros_Oblig!$A$3:$B$55,2,FALSE))),(C296*(VLOOKUP('Crédito de Vivienda'!$C$25,Seguros_Oblig!$A$3:$D$55,4,FALSE))))</f>
        <v>#VALUE!</v>
      </c>
      <c r="H297" s="8" t="e">
        <f>IF('Crédito de Vivienda'!$C$10="TARIFA 1",(C296*(VLOOKUP('Crédito de Vivienda'!$C$26,Seguros_Oblig!$A$3:$B$55,2,FALSE))),(C296*(VLOOKUP('Crédito de Vivienda'!$C$26,Seguros_Oblig!$A$3:$D$55,4,FALSE))))</f>
        <v>#VALUE!</v>
      </c>
      <c r="I297" s="8" t="e">
        <f>IF('Crédito de Vivienda'!$C$10="TARIFA 1",(C296*(VLOOKUP('Crédito de Vivienda'!$C$27,Seguros_Oblig!$A$3:$B$55,2,FALSE))),(C296*(VLOOKUP('Crédito de Vivienda'!$C$27,Seguros_Oblig!$A$3:$D$55,4,FALSE))))</f>
        <v>#VALUE!</v>
      </c>
      <c r="J297" s="10">
        <f t="shared" si="27"/>
        <v>0</v>
      </c>
      <c r="K297" s="7" t="e">
        <f>IF(C296&lt;1,"0",Seguros_Oblig!$K$2*('Crédito de Vivienda'!$C$12*90%))</f>
        <v>#VALUE!</v>
      </c>
      <c r="L297" s="7" t="e">
        <f>IF(B297=" ","0",PMT('Crédito de Vivienda'!$E$17,'Crédito de Vivienda'!$C$18,-'Crédito de Vivienda'!$C$15,,))</f>
        <v>#VALUE!</v>
      </c>
      <c r="M297" s="9" t="e">
        <f t="shared" si="28"/>
        <v>#VALUE!</v>
      </c>
      <c r="N297" s="7" t="e">
        <f>IF(C296&lt;1,"0",'Crédito de Vivienda'!$C$40)</f>
        <v>#VALUE!</v>
      </c>
      <c r="O297" s="9" t="e">
        <f t="shared" si="29"/>
        <v>#VALUE!</v>
      </c>
    </row>
    <row r="298" spans="2:15" ht="15.5" x14ac:dyDescent="0.35">
      <c r="B298" s="6" t="e">
        <f t="shared" si="25"/>
        <v>#VALUE!</v>
      </c>
      <c r="C298" s="7" t="e">
        <f t="shared" si="26"/>
        <v>#VALUE!</v>
      </c>
      <c r="D298" s="7" t="e">
        <f t="shared" si="30"/>
        <v>#VALUE!</v>
      </c>
      <c r="E298" s="7" t="e">
        <f>C297*'Crédito de Vivienda'!$E$17</f>
        <v>#VALUE!</v>
      </c>
      <c r="F298" s="282" t="e">
        <f>IF(C297&lt;1,"0",IF('Crédito de Vivienda'!$D$28="Si",($C$17*(VLOOKUP('Crédito de Vivienda'!$C$24,Seguros_Oblig!$A$3:$F$55,6,FALSE))),IF('Crédito de Vivienda'!$C$10="TARIFA 1",(C297*(VLOOKUP('Crédito de Vivienda'!$C$24,Seguros_Oblig!$A$3:$B$55,2,FALSE))),(C297*(VLOOKUP('Crédito de Vivienda'!$C$24,Seguros_Oblig!$A$3:$D$55,4,FALSE))))))</f>
        <v>#VALUE!</v>
      </c>
      <c r="G298" s="8" t="e">
        <f>IF('Crédito de Vivienda'!$C$10="TARIFA 1",(C297*(VLOOKUP('Crédito de Vivienda'!$C$25,Seguros_Oblig!$A$3:$B$55,2,FALSE))),(C297*(VLOOKUP('Crédito de Vivienda'!$C$25,Seguros_Oblig!$A$3:$D$55,4,FALSE))))</f>
        <v>#VALUE!</v>
      </c>
      <c r="H298" s="8" t="e">
        <f>IF('Crédito de Vivienda'!$C$10="TARIFA 1",(C297*(VLOOKUP('Crédito de Vivienda'!$C$26,Seguros_Oblig!$A$3:$B$55,2,FALSE))),(C297*(VLOOKUP('Crédito de Vivienda'!$C$26,Seguros_Oblig!$A$3:$D$55,4,FALSE))))</f>
        <v>#VALUE!</v>
      </c>
      <c r="I298" s="8" t="e">
        <f>IF('Crédito de Vivienda'!$C$10="TARIFA 1",(C297*(VLOOKUP('Crédito de Vivienda'!$C$27,Seguros_Oblig!$A$3:$B$55,2,FALSE))),(C297*(VLOOKUP('Crédito de Vivienda'!$C$27,Seguros_Oblig!$A$3:$D$55,4,FALSE))))</f>
        <v>#VALUE!</v>
      </c>
      <c r="J298" s="10">
        <f t="shared" si="27"/>
        <v>0</v>
      </c>
      <c r="K298" s="7" t="e">
        <f>IF(C297&lt;1,"0",Seguros_Oblig!$K$2*('Crédito de Vivienda'!$C$12*90%))</f>
        <v>#VALUE!</v>
      </c>
      <c r="L298" s="7" t="e">
        <f>IF(B298=" ","0",PMT('Crédito de Vivienda'!$E$17,'Crédito de Vivienda'!$C$18,-'Crédito de Vivienda'!$C$15,,))</f>
        <v>#VALUE!</v>
      </c>
      <c r="M298" s="9" t="e">
        <f t="shared" si="28"/>
        <v>#VALUE!</v>
      </c>
      <c r="N298" s="7" t="e">
        <f>IF(C297&lt;1,"0",'Crédito de Vivienda'!$C$40)</f>
        <v>#VALUE!</v>
      </c>
      <c r="O298" s="9" t="e">
        <f t="shared" si="29"/>
        <v>#VALUE!</v>
      </c>
    </row>
    <row r="299" spans="2:15" ht="15.5" x14ac:dyDescent="0.35">
      <c r="B299" s="6" t="e">
        <f t="shared" si="25"/>
        <v>#VALUE!</v>
      </c>
      <c r="C299" s="7" t="e">
        <f t="shared" si="26"/>
        <v>#VALUE!</v>
      </c>
      <c r="D299" s="7" t="e">
        <f t="shared" si="30"/>
        <v>#VALUE!</v>
      </c>
      <c r="E299" s="7" t="e">
        <f>C298*'Crédito de Vivienda'!$E$17</f>
        <v>#VALUE!</v>
      </c>
      <c r="F299" s="282" t="e">
        <f>IF(C298&lt;1,"0",IF('Crédito de Vivienda'!$D$28="Si",($C$17*(VLOOKUP('Crédito de Vivienda'!$C$24,Seguros_Oblig!$A$3:$F$55,6,FALSE))),IF('Crédito de Vivienda'!$C$10="TARIFA 1",(C298*(VLOOKUP('Crédito de Vivienda'!$C$24,Seguros_Oblig!$A$3:$B$55,2,FALSE))),(C298*(VLOOKUP('Crédito de Vivienda'!$C$24,Seguros_Oblig!$A$3:$D$55,4,FALSE))))))</f>
        <v>#VALUE!</v>
      </c>
      <c r="G299" s="8" t="e">
        <f>IF('Crédito de Vivienda'!$C$10="TARIFA 1",(C298*(VLOOKUP('Crédito de Vivienda'!$C$25,Seguros_Oblig!$A$3:$B$55,2,FALSE))),(C298*(VLOOKUP('Crédito de Vivienda'!$C$25,Seguros_Oblig!$A$3:$D$55,4,FALSE))))</f>
        <v>#VALUE!</v>
      </c>
      <c r="H299" s="8" t="e">
        <f>IF('Crédito de Vivienda'!$C$10="TARIFA 1",(C298*(VLOOKUP('Crédito de Vivienda'!$C$26,Seguros_Oblig!$A$3:$B$55,2,FALSE))),(C298*(VLOOKUP('Crédito de Vivienda'!$C$26,Seguros_Oblig!$A$3:$D$55,4,FALSE))))</f>
        <v>#VALUE!</v>
      </c>
      <c r="I299" s="8" t="e">
        <f>IF('Crédito de Vivienda'!$C$10="TARIFA 1",(C298*(VLOOKUP('Crédito de Vivienda'!$C$27,Seguros_Oblig!$A$3:$B$55,2,FALSE))),(C298*(VLOOKUP('Crédito de Vivienda'!$C$27,Seguros_Oblig!$A$3:$D$55,4,FALSE))))</f>
        <v>#VALUE!</v>
      </c>
      <c r="J299" s="10">
        <f t="shared" si="27"/>
        <v>0</v>
      </c>
      <c r="K299" s="7" t="e">
        <f>IF(C298&lt;1,"0",Seguros_Oblig!$K$2*('Crédito de Vivienda'!$C$12*90%))</f>
        <v>#VALUE!</v>
      </c>
      <c r="L299" s="7" t="e">
        <f>IF(B299=" ","0",PMT('Crédito de Vivienda'!$E$17,'Crédito de Vivienda'!$C$18,-'Crédito de Vivienda'!$C$15,,))</f>
        <v>#VALUE!</v>
      </c>
      <c r="M299" s="9" t="e">
        <f t="shared" si="28"/>
        <v>#VALUE!</v>
      </c>
      <c r="N299" s="7" t="e">
        <f>IF(C298&lt;1,"0",'Crédito de Vivienda'!$C$40)</f>
        <v>#VALUE!</v>
      </c>
      <c r="O299" s="9" t="e">
        <f t="shared" si="29"/>
        <v>#VALUE!</v>
      </c>
    </row>
    <row r="300" spans="2:15" ht="15.5" x14ac:dyDescent="0.35">
      <c r="B300" s="6" t="e">
        <f t="shared" si="25"/>
        <v>#VALUE!</v>
      </c>
      <c r="C300" s="7" t="e">
        <f t="shared" si="26"/>
        <v>#VALUE!</v>
      </c>
      <c r="D300" s="7" t="e">
        <f t="shared" si="30"/>
        <v>#VALUE!</v>
      </c>
      <c r="E300" s="7" t="e">
        <f>C299*'Crédito de Vivienda'!$E$17</f>
        <v>#VALUE!</v>
      </c>
      <c r="F300" s="282" t="e">
        <f>IF(C299&lt;1,"0",IF('Crédito de Vivienda'!$D$28="Si",($C$17*(VLOOKUP('Crédito de Vivienda'!$C$24,Seguros_Oblig!$A$3:$F$55,6,FALSE))),IF('Crédito de Vivienda'!$C$10="TARIFA 1",(C299*(VLOOKUP('Crédito de Vivienda'!$C$24,Seguros_Oblig!$A$3:$B$55,2,FALSE))),(C299*(VLOOKUP('Crédito de Vivienda'!$C$24,Seguros_Oblig!$A$3:$D$55,4,FALSE))))))</f>
        <v>#VALUE!</v>
      </c>
      <c r="G300" s="8" t="e">
        <f>IF('Crédito de Vivienda'!$C$10="TARIFA 1",(C299*(VLOOKUP('Crédito de Vivienda'!$C$25,Seguros_Oblig!$A$3:$B$55,2,FALSE))),(C299*(VLOOKUP('Crédito de Vivienda'!$C$25,Seguros_Oblig!$A$3:$D$55,4,FALSE))))</f>
        <v>#VALUE!</v>
      </c>
      <c r="H300" s="8" t="e">
        <f>IF('Crédito de Vivienda'!$C$10="TARIFA 1",(C299*(VLOOKUP('Crédito de Vivienda'!$C$26,Seguros_Oblig!$A$3:$B$55,2,FALSE))),(C299*(VLOOKUP('Crédito de Vivienda'!$C$26,Seguros_Oblig!$A$3:$D$55,4,FALSE))))</f>
        <v>#VALUE!</v>
      </c>
      <c r="I300" s="8" t="e">
        <f>IF('Crédito de Vivienda'!$C$10="TARIFA 1",(C299*(VLOOKUP('Crédito de Vivienda'!$C$27,Seguros_Oblig!$A$3:$B$55,2,FALSE))),(C299*(VLOOKUP('Crédito de Vivienda'!$C$27,Seguros_Oblig!$A$3:$D$55,4,FALSE))))</f>
        <v>#VALUE!</v>
      </c>
      <c r="J300" s="10">
        <f t="shared" si="27"/>
        <v>0</v>
      </c>
      <c r="K300" s="7" t="e">
        <f>IF(C299&lt;1,"0",Seguros_Oblig!$K$2*('Crédito de Vivienda'!$C$12*90%))</f>
        <v>#VALUE!</v>
      </c>
      <c r="L300" s="7" t="e">
        <f>IF(B300=" ","0",PMT('Crédito de Vivienda'!$E$17,'Crédito de Vivienda'!$C$18,-'Crédito de Vivienda'!$C$15,,))</f>
        <v>#VALUE!</v>
      </c>
      <c r="M300" s="9" t="e">
        <f t="shared" si="28"/>
        <v>#VALUE!</v>
      </c>
      <c r="N300" s="7" t="e">
        <f>IF(C299&lt;1,"0",'Crédito de Vivienda'!$C$40)</f>
        <v>#VALUE!</v>
      </c>
      <c r="O300" s="9" t="e">
        <f t="shared" si="29"/>
        <v>#VALUE!</v>
      </c>
    </row>
    <row r="301" spans="2:15" ht="15.5" x14ac:dyDescent="0.35">
      <c r="B301" s="6" t="e">
        <f t="shared" si="25"/>
        <v>#VALUE!</v>
      </c>
      <c r="C301" s="7" t="e">
        <f t="shared" si="26"/>
        <v>#VALUE!</v>
      </c>
      <c r="D301" s="7" t="e">
        <f t="shared" si="30"/>
        <v>#VALUE!</v>
      </c>
      <c r="E301" s="7" t="e">
        <f>C300*'Crédito de Vivienda'!$E$17</f>
        <v>#VALUE!</v>
      </c>
      <c r="F301" s="282" t="e">
        <f>IF(C300&lt;1,"0",IF('Crédito de Vivienda'!$D$28="Si",($C$17*(VLOOKUP('Crédito de Vivienda'!$C$24,Seguros_Oblig!$A$3:$F$55,6,FALSE))),IF('Crédito de Vivienda'!$C$10="TARIFA 1",(C300*(VLOOKUP('Crédito de Vivienda'!$C$24,Seguros_Oblig!$A$3:$B$55,2,FALSE))),(C300*(VLOOKUP('Crédito de Vivienda'!$C$24,Seguros_Oblig!$A$3:$D$55,4,FALSE))))))</f>
        <v>#VALUE!</v>
      </c>
      <c r="G301" s="8" t="e">
        <f>IF('Crédito de Vivienda'!$C$10="TARIFA 1",(C300*(VLOOKUP('Crédito de Vivienda'!$C$25,Seguros_Oblig!$A$3:$B$55,2,FALSE))),(C300*(VLOOKUP('Crédito de Vivienda'!$C$25,Seguros_Oblig!$A$3:$D$55,4,FALSE))))</f>
        <v>#VALUE!</v>
      </c>
      <c r="H301" s="8" t="e">
        <f>IF('Crédito de Vivienda'!$C$10="TARIFA 1",(C300*(VLOOKUP('Crédito de Vivienda'!$C$26,Seguros_Oblig!$A$3:$B$55,2,FALSE))),(C300*(VLOOKUP('Crédito de Vivienda'!$C$26,Seguros_Oblig!$A$3:$D$55,4,FALSE))))</f>
        <v>#VALUE!</v>
      </c>
      <c r="I301" s="8" t="e">
        <f>IF('Crédito de Vivienda'!$C$10="TARIFA 1",(C300*(VLOOKUP('Crédito de Vivienda'!$C$27,Seguros_Oblig!$A$3:$B$55,2,FALSE))),(C300*(VLOOKUP('Crédito de Vivienda'!$C$27,Seguros_Oblig!$A$3:$D$55,4,FALSE))))</f>
        <v>#VALUE!</v>
      </c>
      <c r="J301" s="10">
        <f t="shared" si="27"/>
        <v>0</v>
      </c>
      <c r="K301" s="7" t="e">
        <f>IF(C300&lt;1,"0",Seguros_Oblig!$K$2*('Crédito de Vivienda'!$C$12*90%))</f>
        <v>#VALUE!</v>
      </c>
      <c r="L301" s="7" t="e">
        <f>IF(B301=" ","0",PMT('Crédito de Vivienda'!$E$17,'Crédito de Vivienda'!$C$18,-'Crédito de Vivienda'!$C$15,,))</f>
        <v>#VALUE!</v>
      </c>
      <c r="M301" s="9" t="e">
        <f t="shared" si="28"/>
        <v>#VALUE!</v>
      </c>
      <c r="N301" s="7" t="e">
        <f>IF(C300&lt;1,"0",'Crédito de Vivienda'!$C$40)</f>
        <v>#VALUE!</v>
      </c>
      <c r="O301" s="9" t="e">
        <f t="shared" si="29"/>
        <v>#VALUE!</v>
      </c>
    </row>
    <row r="302" spans="2:15" ht="15.5" x14ac:dyDescent="0.35">
      <c r="B302" s="6" t="e">
        <f t="shared" si="25"/>
        <v>#VALUE!</v>
      </c>
      <c r="C302" s="7" t="e">
        <f t="shared" si="26"/>
        <v>#VALUE!</v>
      </c>
      <c r="D302" s="7" t="e">
        <f t="shared" si="30"/>
        <v>#VALUE!</v>
      </c>
      <c r="E302" s="7" t="e">
        <f>C301*'Crédito de Vivienda'!$E$17</f>
        <v>#VALUE!</v>
      </c>
      <c r="F302" s="282" t="e">
        <f>IF(C301&lt;1,"0",IF('Crédito de Vivienda'!$D$28="Si",($C$17*(VLOOKUP('Crédito de Vivienda'!$C$24,Seguros_Oblig!$A$3:$F$55,6,FALSE))),IF('Crédito de Vivienda'!$C$10="TARIFA 1",(C301*(VLOOKUP('Crédito de Vivienda'!$C$24,Seguros_Oblig!$A$3:$B$55,2,FALSE))),(C301*(VLOOKUP('Crédito de Vivienda'!$C$24,Seguros_Oblig!$A$3:$D$55,4,FALSE))))))</f>
        <v>#VALUE!</v>
      </c>
      <c r="G302" s="8" t="e">
        <f>IF('Crédito de Vivienda'!$C$10="TARIFA 1",(C301*(VLOOKUP('Crédito de Vivienda'!$C$25,Seguros_Oblig!$A$3:$B$55,2,FALSE))),(C301*(VLOOKUP('Crédito de Vivienda'!$C$25,Seguros_Oblig!$A$3:$D$55,4,FALSE))))</f>
        <v>#VALUE!</v>
      </c>
      <c r="H302" s="8" t="e">
        <f>IF('Crédito de Vivienda'!$C$10="TARIFA 1",(C301*(VLOOKUP('Crédito de Vivienda'!$C$26,Seguros_Oblig!$A$3:$B$55,2,FALSE))),(C301*(VLOOKUP('Crédito de Vivienda'!$C$26,Seguros_Oblig!$A$3:$D$55,4,FALSE))))</f>
        <v>#VALUE!</v>
      </c>
      <c r="I302" s="8" t="e">
        <f>IF('Crédito de Vivienda'!$C$10="TARIFA 1",(C301*(VLOOKUP('Crédito de Vivienda'!$C$27,Seguros_Oblig!$A$3:$B$55,2,FALSE))),(C301*(VLOOKUP('Crédito de Vivienda'!$C$27,Seguros_Oblig!$A$3:$D$55,4,FALSE))))</f>
        <v>#VALUE!</v>
      </c>
      <c r="J302" s="10">
        <f t="shared" si="27"/>
        <v>0</v>
      </c>
      <c r="K302" s="7" t="e">
        <f>IF(C301&lt;1,"0",Seguros_Oblig!$K$2*('Crédito de Vivienda'!$C$12*90%))</f>
        <v>#VALUE!</v>
      </c>
      <c r="L302" s="7" t="e">
        <f>IF(B302=" ","0",PMT('Crédito de Vivienda'!$E$17,'Crédito de Vivienda'!$C$18,-'Crédito de Vivienda'!$C$15,,))</f>
        <v>#VALUE!</v>
      </c>
      <c r="M302" s="9" t="e">
        <f t="shared" si="28"/>
        <v>#VALUE!</v>
      </c>
      <c r="N302" s="7" t="e">
        <f>IF(C301&lt;1,"0",'Crédito de Vivienda'!$C$40)</f>
        <v>#VALUE!</v>
      </c>
      <c r="O302" s="9" t="e">
        <f t="shared" si="29"/>
        <v>#VALUE!</v>
      </c>
    </row>
    <row r="303" spans="2:15" ht="15.5" x14ac:dyDescent="0.35">
      <c r="B303" s="6" t="e">
        <f t="shared" si="25"/>
        <v>#VALUE!</v>
      </c>
      <c r="C303" s="7" t="e">
        <f t="shared" si="26"/>
        <v>#VALUE!</v>
      </c>
      <c r="D303" s="7" t="e">
        <f t="shared" si="30"/>
        <v>#VALUE!</v>
      </c>
      <c r="E303" s="7" t="e">
        <f>C302*'Crédito de Vivienda'!$E$17</f>
        <v>#VALUE!</v>
      </c>
      <c r="F303" s="282" t="e">
        <f>IF(C302&lt;1,"0",IF('Crédito de Vivienda'!$D$28="Si",($C$17*(VLOOKUP('Crédito de Vivienda'!$C$24,Seguros_Oblig!$A$3:$F$55,6,FALSE))),IF('Crédito de Vivienda'!$C$10="TARIFA 1",(C302*(VLOOKUP('Crédito de Vivienda'!$C$24,Seguros_Oblig!$A$3:$B$55,2,FALSE))),(C302*(VLOOKUP('Crédito de Vivienda'!$C$24,Seguros_Oblig!$A$3:$D$55,4,FALSE))))))</f>
        <v>#VALUE!</v>
      </c>
      <c r="G303" s="8" t="e">
        <f>IF('Crédito de Vivienda'!$C$10="TARIFA 1",(C302*(VLOOKUP('Crédito de Vivienda'!$C$25,Seguros_Oblig!$A$3:$B$55,2,FALSE))),(C302*(VLOOKUP('Crédito de Vivienda'!$C$25,Seguros_Oblig!$A$3:$D$55,4,FALSE))))</f>
        <v>#VALUE!</v>
      </c>
      <c r="H303" s="8" t="e">
        <f>IF('Crédito de Vivienda'!$C$10="TARIFA 1",(C302*(VLOOKUP('Crédito de Vivienda'!$C$26,Seguros_Oblig!$A$3:$B$55,2,FALSE))),(C302*(VLOOKUP('Crédito de Vivienda'!$C$26,Seguros_Oblig!$A$3:$D$55,4,FALSE))))</f>
        <v>#VALUE!</v>
      </c>
      <c r="I303" s="8" t="e">
        <f>IF('Crédito de Vivienda'!$C$10="TARIFA 1",(C302*(VLOOKUP('Crédito de Vivienda'!$C$27,Seguros_Oblig!$A$3:$B$55,2,FALSE))),(C302*(VLOOKUP('Crédito de Vivienda'!$C$27,Seguros_Oblig!$A$3:$D$55,4,FALSE))))</f>
        <v>#VALUE!</v>
      </c>
      <c r="J303" s="10">
        <f t="shared" si="27"/>
        <v>0</v>
      </c>
      <c r="K303" s="7" t="e">
        <f>IF(C302&lt;1,"0",Seguros_Oblig!$K$2*('Crédito de Vivienda'!$C$12*90%))</f>
        <v>#VALUE!</v>
      </c>
      <c r="L303" s="7" t="e">
        <f>IF(B303=" ","0",PMT('Crédito de Vivienda'!$E$17,'Crédito de Vivienda'!$C$18,-'Crédito de Vivienda'!$C$15,,))</f>
        <v>#VALUE!</v>
      </c>
      <c r="M303" s="9" t="e">
        <f t="shared" si="28"/>
        <v>#VALUE!</v>
      </c>
      <c r="N303" s="7" t="e">
        <f>IF(C302&lt;1,"0",'Crédito de Vivienda'!$C$40)</f>
        <v>#VALUE!</v>
      </c>
      <c r="O303" s="9" t="e">
        <f t="shared" si="29"/>
        <v>#VALUE!</v>
      </c>
    </row>
    <row r="304" spans="2:15" ht="15.5" x14ac:dyDescent="0.35">
      <c r="B304" s="6" t="e">
        <f t="shared" si="25"/>
        <v>#VALUE!</v>
      </c>
      <c r="C304" s="7" t="e">
        <f t="shared" si="26"/>
        <v>#VALUE!</v>
      </c>
      <c r="D304" s="7" t="e">
        <f t="shared" si="30"/>
        <v>#VALUE!</v>
      </c>
      <c r="E304" s="7" t="e">
        <f>C303*'Crédito de Vivienda'!$E$17</f>
        <v>#VALUE!</v>
      </c>
      <c r="F304" s="282" t="e">
        <f>IF(C303&lt;1,"0",IF('Crédito de Vivienda'!$D$28="Si",($C$17*(VLOOKUP('Crédito de Vivienda'!$C$24,Seguros_Oblig!$A$3:$F$55,6,FALSE))),IF('Crédito de Vivienda'!$C$10="TARIFA 1",(C303*(VLOOKUP('Crédito de Vivienda'!$C$24,Seguros_Oblig!$A$3:$B$55,2,FALSE))),(C303*(VLOOKUP('Crédito de Vivienda'!$C$24,Seguros_Oblig!$A$3:$D$55,4,FALSE))))))</f>
        <v>#VALUE!</v>
      </c>
      <c r="G304" s="8" t="e">
        <f>IF('Crédito de Vivienda'!$C$10="TARIFA 1",(C303*(VLOOKUP('Crédito de Vivienda'!$C$25,Seguros_Oblig!$A$3:$B$55,2,FALSE))),(C303*(VLOOKUP('Crédito de Vivienda'!$C$25,Seguros_Oblig!$A$3:$D$55,4,FALSE))))</f>
        <v>#VALUE!</v>
      </c>
      <c r="H304" s="8" t="e">
        <f>IF('Crédito de Vivienda'!$C$10="TARIFA 1",(C303*(VLOOKUP('Crédito de Vivienda'!$C$26,Seguros_Oblig!$A$3:$B$55,2,FALSE))),(C303*(VLOOKUP('Crédito de Vivienda'!$C$26,Seguros_Oblig!$A$3:$D$55,4,FALSE))))</f>
        <v>#VALUE!</v>
      </c>
      <c r="I304" s="8" t="e">
        <f>IF('Crédito de Vivienda'!$C$10="TARIFA 1",(C303*(VLOOKUP('Crédito de Vivienda'!$C$27,Seguros_Oblig!$A$3:$B$55,2,FALSE))),(C303*(VLOOKUP('Crédito de Vivienda'!$C$27,Seguros_Oblig!$A$3:$D$55,4,FALSE))))</f>
        <v>#VALUE!</v>
      </c>
      <c r="J304" s="10">
        <f t="shared" si="27"/>
        <v>0</v>
      </c>
      <c r="K304" s="7" t="e">
        <f>IF(C303&lt;1,"0",Seguros_Oblig!$K$2*('Crédito de Vivienda'!$C$12*90%))</f>
        <v>#VALUE!</v>
      </c>
      <c r="L304" s="7" t="e">
        <f>IF(B304=" ","0",PMT('Crédito de Vivienda'!$E$17,'Crédito de Vivienda'!$C$18,-'Crédito de Vivienda'!$C$15,,))</f>
        <v>#VALUE!</v>
      </c>
      <c r="M304" s="9" t="e">
        <f t="shared" si="28"/>
        <v>#VALUE!</v>
      </c>
      <c r="N304" s="7" t="e">
        <f>IF(C303&lt;1,"0",'Crédito de Vivienda'!$C$40)</f>
        <v>#VALUE!</v>
      </c>
      <c r="O304" s="9" t="e">
        <f t="shared" si="29"/>
        <v>#VALUE!</v>
      </c>
    </row>
    <row r="305" spans="2:15" ht="15.5" x14ac:dyDescent="0.35">
      <c r="B305" s="6" t="e">
        <f t="shared" si="25"/>
        <v>#VALUE!</v>
      </c>
      <c r="C305" s="7" t="e">
        <f t="shared" si="26"/>
        <v>#VALUE!</v>
      </c>
      <c r="D305" s="7" t="e">
        <f t="shared" si="30"/>
        <v>#VALUE!</v>
      </c>
      <c r="E305" s="7" t="e">
        <f>C304*'Crédito de Vivienda'!$E$17</f>
        <v>#VALUE!</v>
      </c>
      <c r="F305" s="282" t="e">
        <f>IF(C304&lt;1,"0",IF('Crédito de Vivienda'!$D$28="Si",($C$17*(VLOOKUP('Crédito de Vivienda'!$C$24,Seguros_Oblig!$A$3:$F$55,6,FALSE))),IF('Crédito de Vivienda'!$C$10="TARIFA 1",(C304*(VLOOKUP('Crédito de Vivienda'!$C$24,Seguros_Oblig!$A$3:$B$55,2,FALSE))),(C304*(VLOOKUP('Crédito de Vivienda'!$C$24,Seguros_Oblig!$A$3:$D$55,4,FALSE))))))</f>
        <v>#VALUE!</v>
      </c>
      <c r="G305" s="8" t="e">
        <f>IF('Crédito de Vivienda'!$C$10="TARIFA 1",(C304*(VLOOKUP('Crédito de Vivienda'!$C$25,Seguros_Oblig!$A$3:$B$55,2,FALSE))),(C304*(VLOOKUP('Crédito de Vivienda'!$C$25,Seguros_Oblig!$A$3:$D$55,4,FALSE))))</f>
        <v>#VALUE!</v>
      </c>
      <c r="H305" s="8" t="e">
        <f>IF('Crédito de Vivienda'!$C$10="TARIFA 1",(C304*(VLOOKUP('Crédito de Vivienda'!$C$26,Seguros_Oblig!$A$3:$B$55,2,FALSE))),(C304*(VLOOKUP('Crédito de Vivienda'!$C$26,Seguros_Oblig!$A$3:$D$55,4,FALSE))))</f>
        <v>#VALUE!</v>
      </c>
      <c r="I305" s="8" t="e">
        <f>IF('Crédito de Vivienda'!$C$10="TARIFA 1",(C304*(VLOOKUP('Crédito de Vivienda'!$C$27,Seguros_Oblig!$A$3:$B$55,2,FALSE))),(C304*(VLOOKUP('Crédito de Vivienda'!$C$27,Seguros_Oblig!$A$3:$D$55,4,FALSE))))</f>
        <v>#VALUE!</v>
      </c>
      <c r="J305" s="10">
        <f t="shared" si="27"/>
        <v>0</v>
      </c>
      <c r="K305" s="7" t="e">
        <f>IF(C304&lt;1,"0",Seguros_Oblig!$K$2*('Crédito de Vivienda'!$C$12*90%))</f>
        <v>#VALUE!</v>
      </c>
      <c r="L305" s="7" t="e">
        <f>IF(B305=" ","0",PMT('Crédito de Vivienda'!$E$17,'Crédito de Vivienda'!$C$18,-'Crédito de Vivienda'!$C$15,,))</f>
        <v>#VALUE!</v>
      </c>
      <c r="M305" s="9" t="e">
        <f t="shared" si="28"/>
        <v>#VALUE!</v>
      </c>
      <c r="N305" s="7" t="e">
        <f>IF(C304&lt;1,"0",'Crédito de Vivienda'!$C$40)</f>
        <v>#VALUE!</v>
      </c>
      <c r="O305" s="9" t="e">
        <f t="shared" si="29"/>
        <v>#VALUE!</v>
      </c>
    </row>
    <row r="306" spans="2:15" ht="15.5" x14ac:dyDescent="0.35">
      <c r="B306" s="6" t="e">
        <f t="shared" si="25"/>
        <v>#VALUE!</v>
      </c>
      <c r="C306" s="7" t="e">
        <f t="shared" si="26"/>
        <v>#VALUE!</v>
      </c>
      <c r="D306" s="7" t="e">
        <f t="shared" si="30"/>
        <v>#VALUE!</v>
      </c>
      <c r="E306" s="7" t="e">
        <f>C305*'Crédito de Vivienda'!$E$17</f>
        <v>#VALUE!</v>
      </c>
      <c r="F306" s="282" t="e">
        <f>IF(C305&lt;1,"0",IF('Crédito de Vivienda'!$D$28="Si",($C$17*(VLOOKUP('Crédito de Vivienda'!$C$24,Seguros_Oblig!$A$3:$F$55,6,FALSE))),IF('Crédito de Vivienda'!$C$10="TARIFA 1",(C305*(VLOOKUP('Crédito de Vivienda'!$C$24,Seguros_Oblig!$A$3:$B$55,2,FALSE))),(C305*(VLOOKUP('Crédito de Vivienda'!$C$24,Seguros_Oblig!$A$3:$D$55,4,FALSE))))))</f>
        <v>#VALUE!</v>
      </c>
      <c r="G306" s="8" t="e">
        <f>IF('Crédito de Vivienda'!$C$10="TARIFA 1",(C305*(VLOOKUP('Crédito de Vivienda'!$C$25,Seguros_Oblig!$A$3:$B$55,2,FALSE))),(C305*(VLOOKUP('Crédito de Vivienda'!$C$25,Seguros_Oblig!$A$3:$D$55,4,FALSE))))</f>
        <v>#VALUE!</v>
      </c>
      <c r="H306" s="8" t="e">
        <f>IF('Crédito de Vivienda'!$C$10="TARIFA 1",(C305*(VLOOKUP('Crédito de Vivienda'!$C$26,Seguros_Oblig!$A$3:$B$55,2,FALSE))),(C305*(VLOOKUP('Crédito de Vivienda'!$C$26,Seguros_Oblig!$A$3:$D$55,4,FALSE))))</f>
        <v>#VALUE!</v>
      </c>
      <c r="I306" s="8" t="e">
        <f>IF('Crédito de Vivienda'!$C$10="TARIFA 1",(C305*(VLOOKUP('Crédito de Vivienda'!$C$27,Seguros_Oblig!$A$3:$B$55,2,FALSE))),(C305*(VLOOKUP('Crédito de Vivienda'!$C$27,Seguros_Oblig!$A$3:$D$55,4,FALSE))))</f>
        <v>#VALUE!</v>
      </c>
      <c r="J306" s="10">
        <f t="shared" si="27"/>
        <v>0</v>
      </c>
      <c r="K306" s="7" t="e">
        <f>IF(C305&lt;1,"0",Seguros_Oblig!$K$2*('Crédito de Vivienda'!$C$12*90%))</f>
        <v>#VALUE!</v>
      </c>
      <c r="L306" s="7" t="e">
        <f>IF(B306=" ","0",PMT('Crédito de Vivienda'!$E$17,'Crédito de Vivienda'!$C$18,-'Crédito de Vivienda'!$C$15,,))</f>
        <v>#VALUE!</v>
      </c>
      <c r="M306" s="9" t="e">
        <f t="shared" si="28"/>
        <v>#VALUE!</v>
      </c>
      <c r="N306" s="7" t="e">
        <f>IF(C305&lt;1,"0",'Crédito de Vivienda'!$C$40)</f>
        <v>#VALUE!</v>
      </c>
      <c r="O306" s="9" t="e">
        <f t="shared" si="29"/>
        <v>#VALUE!</v>
      </c>
    </row>
    <row r="307" spans="2:15" ht="15.5" x14ac:dyDescent="0.35">
      <c r="B307" s="6" t="e">
        <f t="shared" si="25"/>
        <v>#VALUE!</v>
      </c>
      <c r="C307" s="7" t="e">
        <f t="shared" si="26"/>
        <v>#VALUE!</v>
      </c>
      <c r="D307" s="7" t="e">
        <f t="shared" si="30"/>
        <v>#VALUE!</v>
      </c>
      <c r="E307" s="7" t="e">
        <f>C306*'Crédito de Vivienda'!$E$17</f>
        <v>#VALUE!</v>
      </c>
      <c r="F307" s="282" t="e">
        <f>IF(C306&lt;1,"0",IF('Crédito de Vivienda'!$D$28="Si",($C$17*(VLOOKUP('Crédito de Vivienda'!$C$24,Seguros_Oblig!$A$3:$F$55,6,FALSE))),IF('Crédito de Vivienda'!$C$10="TARIFA 1",(C306*(VLOOKUP('Crédito de Vivienda'!$C$24,Seguros_Oblig!$A$3:$B$55,2,FALSE))),(C306*(VLOOKUP('Crédito de Vivienda'!$C$24,Seguros_Oblig!$A$3:$D$55,4,FALSE))))))</f>
        <v>#VALUE!</v>
      </c>
      <c r="G307" s="8" t="e">
        <f>IF('Crédito de Vivienda'!$C$10="TARIFA 1",(C306*(VLOOKUP('Crédito de Vivienda'!$C$25,Seguros_Oblig!$A$3:$B$55,2,FALSE))),(C306*(VLOOKUP('Crédito de Vivienda'!$C$25,Seguros_Oblig!$A$3:$D$55,4,FALSE))))</f>
        <v>#VALUE!</v>
      </c>
      <c r="H307" s="8" t="e">
        <f>IF('Crédito de Vivienda'!$C$10="TARIFA 1",(C306*(VLOOKUP('Crédito de Vivienda'!$C$26,Seguros_Oblig!$A$3:$B$55,2,FALSE))),(C306*(VLOOKUP('Crédito de Vivienda'!$C$26,Seguros_Oblig!$A$3:$D$55,4,FALSE))))</f>
        <v>#VALUE!</v>
      </c>
      <c r="I307" s="8" t="e">
        <f>IF('Crédito de Vivienda'!$C$10="TARIFA 1",(C306*(VLOOKUP('Crédito de Vivienda'!$C$27,Seguros_Oblig!$A$3:$B$55,2,FALSE))),(C306*(VLOOKUP('Crédito de Vivienda'!$C$27,Seguros_Oblig!$A$3:$D$55,4,FALSE))))</f>
        <v>#VALUE!</v>
      </c>
      <c r="J307" s="10">
        <f t="shared" si="27"/>
        <v>0</v>
      </c>
      <c r="K307" s="7" t="e">
        <f>IF(C306&lt;1,"0",Seguros_Oblig!$K$2*('Crédito de Vivienda'!$C$12*90%))</f>
        <v>#VALUE!</v>
      </c>
      <c r="L307" s="7" t="e">
        <f>IF(B307=" ","0",PMT('Crédito de Vivienda'!$E$17,'Crédito de Vivienda'!$C$18,-'Crédito de Vivienda'!$C$15,,))</f>
        <v>#VALUE!</v>
      </c>
      <c r="M307" s="9" t="e">
        <f t="shared" si="28"/>
        <v>#VALUE!</v>
      </c>
      <c r="N307" s="7" t="e">
        <f>IF(C306&lt;1,"0",'Crédito de Vivienda'!$C$40)</f>
        <v>#VALUE!</v>
      </c>
      <c r="O307" s="9" t="e">
        <f t="shared" si="29"/>
        <v>#VALUE!</v>
      </c>
    </row>
    <row r="308" spans="2:15" ht="15.5" x14ac:dyDescent="0.35">
      <c r="B308" s="6" t="e">
        <f t="shared" si="25"/>
        <v>#VALUE!</v>
      </c>
      <c r="C308" s="7" t="e">
        <f t="shared" si="26"/>
        <v>#VALUE!</v>
      </c>
      <c r="D308" s="7" t="e">
        <f t="shared" si="30"/>
        <v>#VALUE!</v>
      </c>
      <c r="E308" s="7" t="e">
        <f>C307*'Crédito de Vivienda'!$E$17</f>
        <v>#VALUE!</v>
      </c>
      <c r="F308" s="282" t="e">
        <f>IF(C307&lt;1,"0",IF('Crédito de Vivienda'!$D$28="Si",($C$17*(VLOOKUP('Crédito de Vivienda'!$C$24,Seguros_Oblig!$A$3:$F$55,6,FALSE))),IF('Crédito de Vivienda'!$C$10="TARIFA 1",(C307*(VLOOKUP('Crédito de Vivienda'!$C$24,Seguros_Oblig!$A$3:$B$55,2,FALSE))),(C307*(VLOOKUP('Crédito de Vivienda'!$C$24,Seguros_Oblig!$A$3:$D$55,4,FALSE))))))</f>
        <v>#VALUE!</v>
      </c>
      <c r="G308" s="8" t="e">
        <f>IF('Crédito de Vivienda'!$C$10="TARIFA 1",(C307*(VLOOKUP('Crédito de Vivienda'!$C$25,Seguros_Oblig!$A$3:$B$55,2,FALSE))),(C307*(VLOOKUP('Crédito de Vivienda'!$C$25,Seguros_Oblig!$A$3:$D$55,4,FALSE))))</f>
        <v>#VALUE!</v>
      </c>
      <c r="H308" s="8" t="e">
        <f>IF('Crédito de Vivienda'!$C$10="TARIFA 1",(C307*(VLOOKUP('Crédito de Vivienda'!$C$26,Seguros_Oblig!$A$3:$B$55,2,FALSE))),(C307*(VLOOKUP('Crédito de Vivienda'!$C$26,Seguros_Oblig!$A$3:$D$55,4,FALSE))))</f>
        <v>#VALUE!</v>
      </c>
      <c r="I308" s="8" t="e">
        <f>IF('Crédito de Vivienda'!$C$10="TARIFA 1",(C307*(VLOOKUP('Crédito de Vivienda'!$C$27,Seguros_Oblig!$A$3:$B$55,2,FALSE))),(C307*(VLOOKUP('Crédito de Vivienda'!$C$27,Seguros_Oblig!$A$3:$D$55,4,FALSE))))</f>
        <v>#VALUE!</v>
      </c>
      <c r="J308" s="10">
        <f t="shared" si="27"/>
        <v>0</v>
      </c>
      <c r="K308" s="7" t="e">
        <f>IF(C307&lt;1,"0",Seguros_Oblig!$K$2*('Crédito de Vivienda'!$C$12*90%))</f>
        <v>#VALUE!</v>
      </c>
      <c r="L308" s="7" t="e">
        <f>IF(B308=" ","0",PMT('Crédito de Vivienda'!$E$17,'Crédito de Vivienda'!$C$18,-'Crédito de Vivienda'!$C$15,,))</f>
        <v>#VALUE!</v>
      </c>
      <c r="M308" s="9" t="e">
        <f t="shared" si="28"/>
        <v>#VALUE!</v>
      </c>
      <c r="N308" s="7" t="e">
        <f>IF(C307&lt;1,"0",'Crédito de Vivienda'!$C$40)</f>
        <v>#VALUE!</v>
      </c>
      <c r="O308" s="9" t="e">
        <f t="shared" si="29"/>
        <v>#VALUE!</v>
      </c>
    </row>
    <row r="309" spans="2:15" ht="15.5" x14ac:dyDescent="0.35">
      <c r="B309" s="6" t="e">
        <f t="shared" si="25"/>
        <v>#VALUE!</v>
      </c>
      <c r="C309" s="7" t="e">
        <f t="shared" si="26"/>
        <v>#VALUE!</v>
      </c>
      <c r="D309" s="7" t="e">
        <f t="shared" si="30"/>
        <v>#VALUE!</v>
      </c>
      <c r="E309" s="7" t="e">
        <f>C308*'Crédito de Vivienda'!$E$17</f>
        <v>#VALUE!</v>
      </c>
      <c r="F309" s="282" t="e">
        <f>IF(C308&lt;1,"0",IF('Crédito de Vivienda'!$D$28="Si",($C$17*(VLOOKUP('Crédito de Vivienda'!$C$24,Seguros_Oblig!$A$3:$F$55,6,FALSE))),IF('Crédito de Vivienda'!$C$10="TARIFA 1",(C308*(VLOOKUP('Crédito de Vivienda'!$C$24,Seguros_Oblig!$A$3:$B$55,2,FALSE))),(C308*(VLOOKUP('Crédito de Vivienda'!$C$24,Seguros_Oblig!$A$3:$D$55,4,FALSE))))))</f>
        <v>#VALUE!</v>
      </c>
      <c r="G309" s="8" t="e">
        <f>IF('Crédito de Vivienda'!$C$10="TARIFA 1",(C308*(VLOOKUP('Crédito de Vivienda'!$C$25,Seguros_Oblig!$A$3:$B$55,2,FALSE))),(C308*(VLOOKUP('Crédito de Vivienda'!$C$25,Seguros_Oblig!$A$3:$D$55,4,FALSE))))</f>
        <v>#VALUE!</v>
      </c>
      <c r="H309" s="8" t="e">
        <f>IF('Crédito de Vivienda'!$C$10="TARIFA 1",(C308*(VLOOKUP('Crédito de Vivienda'!$C$26,Seguros_Oblig!$A$3:$B$55,2,FALSE))),(C308*(VLOOKUP('Crédito de Vivienda'!$C$26,Seguros_Oblig!$A$3:$D$55,4,FALSE))))</f>
        <v>#VALUE!</v>
      </c>
      <c r="I309" s="8" t="e">
        <f>IF('Crédito de Vivienda'!$C$10="TARIFA 1",(C308*(VLOOKUP('Crédito de Vivienda'!$C$27,Seguros_Oblig!$A$3:$B$55,2,FALSE))),(C308*(VLOOKUP('Crédito de Vivienda'!$C$27,Seguros_Oblig!$A$3:$D$55,4,FALSE))))</f>
        <v>#VALUE!</v>
      </c>
      <c r="J309" s="10">
        <f t="shared" si="27"/>
        <v>0</v>
      </c>
      <c r="K309" s="7" t="e">
        <f>IF(C308&lt;1,"0",Seguros_Oblig!$K$2*('Crédito de Vivienda'!$C$12*90%))</f>
        <v>#VALUE!</v>
      </c>
      <c r="L309" s="7" t="e">
        <f>IF(B309=" ","0",PMT('Crédito de Vivienda'!$E$17,'Crédito de Vivienda'!$C$18,-'Crédito de Vivienda'!$C$15,,))</f>
        <v>#VALUE!</v>
      </c>
      <c r="M309" s="9" t="e">
        <f t="shared" si="28"/>
        <v>#VALUE!</v>
      </c>
      <c r="N309" s="7" t="e">
        <f>IF(C308&lt;1,"0",'Crédito de Vivienda'!$C$40)</f>
        <v>#VALUE!</v>
      </c>
      <c r="O309" s="9" t="e">
        <f t="shared" si="29"/>
        <v>#VALUE!</v>
      </c>
    </row>
    <row r="310" spans="2:15" ht="15.5" x14ac:dyDescent="0.35">
      <c r="B310" s="6" t="e">
        <f t="shared" si="25"/>
        <v>#VALUE!</v>
      </c>
      <c r="C310" s="7" t="e">
        <f t="shared" si="26"/>
        <v>#VALUE!</v>
      </c>
      <c r="D310" s="7" t="e">
        <f t="shared" si="30"/>
        <v>#VALUE!</v>
      </c>
      <c r="E310" s="7" t="e">
        <f>C309*'Crédito de Vivienda'!$E$17</f>
        <v>#VALUE!</v>
      </c>
      <c r="F310" s="282" t="e">
        <f>IF(C309&lt;1,"0",IF('Crédito de Vivienda'!$D$28="Si",($C$17*(VLOOKUP('Crédito de Vivienda'!$C$24,Seguros_Oblig!$A$3:$F$55,6,FALSE))),IF('Crédito de Vivienda'!$C$10="TARIFA 1",(C309*(VLOOKUP('Crédito de Vivienda'!$C$24,Seguros_Oblig!$A$3:$B$55,2,FALSE))),(C309*(VLOOKUP('Crédito de Vivienda'!$C$24,Seguros_Oblig!$A$3:$D$55,4,FALSE))))))</f>
        <v>#VALUE!</v>
      </c>
      <c r="G310" s="8" t="e">
        <f>IF('Crédito de Vivienda'!$C$10="TARIFA 1",(C309*(VLOOKUP('Crédito de Vivienda'!$C$25,Seguros_Oblig!$A$3:$B$55,2,FALSE))),(C309*(VLOOKUP('Crédito de Vivienda'!$C$25,Seguros_Oblig!$A$3:$D$55,4,FALSE))))</f>
        <v>#VALUE!</v>
      </c>
      <c r="H310" s="8" t="e">
        <f>IF('Crédito de Vivienda'!$C$10="TARIFA 1",(C309*(VLOOKUP('Crédito de Vivienda'!$C$26,Seguros_Oblig!$A$3:$B$55,2,FALSE))),(C309*(VLOOKUP('Crédito de Vivienda'!$C$26,Seguros_Oblig!$A$3:$D$55,4,FALSE))))</f>
        <v>#VALUE!</v>
      </c>
      <c r="I310" s="8" t="e">
        <f>IF('Crédito de Vivienda'!$C$10="TARIFA 1",(C309*(VLOOKUP('Crédito de Vivienda'!$C$27,Seguros_Oblig!$A$3:$B$55,2,FALSE))),(C309*(VLOOKUP('Crédito de Vivienda'!$C$27,Seguros_Oblig!$A$3:$D$55,4,FALSE))))</f>
        <v>#VALUE!</v>
      </c>
      <c r="J310" s="10">
        <f t="shared" si="27"/>
        <v>0</v>
      </c>
      <c r="K310" s="7" t="e">
        <f>IF(C309&lt;1,"0",Seguros_Oblig!$K$2*('Crédito de Vivienda'!$C$12*90%))</f>
        <v>#VALUE!</v>
      </c>
      <c r="L310" s="7" t="e">
        <f>IF(B310=" ","0",PMT('Crédito de Vivienda'!$E$17,'Crédito de Vivienda'!$C$18,-'Crédito de Vivienda'!$C$15,,))</f>
        <v>#VALUE!</v>
      </c>
      <c r="M310" s="9" t="e">
        <f t="shared" si="28"/>
        <v>#VALUE!</v>
      </c>
      <c r="N310" s="7" t="e">
        <f>IF(C309&lt;1,"0",'Crédito de Vivienda'!$C$40)</f>
        <v>#VALUE!</v>
      </c>
      <c r="O310" s="9" t="e">
        <f t="shared" si="29"/>
        <v>#VALUE!</v>
      </c>
    </row>
    <row r="311" spans="2:15" ht="15.5" x14ac:dyDescent="0.35">
      <c r="B311" s="6" t="e">
        <f t="shared" si="25"/>
        <v>#VALUE!</v>
      </c>
      <c r="C311" s="7" t="e">
        <f t="shared" si="26"/>
        <v>#VALUE!</v>
      </c>
      <c r="D311" s="7" t="e">
        <f t="shared" si="30"/>
        <v>#VALUE!</v>
      </c>
      <c r="E311" s="7" t="e">
        <f>C310*'Crédito de Vivienda'!$E$17</f>
        <v>#VALUE!</v>
      </c>
      <c r="F311" s="282" t="e">
        <f>IF(C310&lt;1,"0",IF('Crédito de Vivienda'!$D$28="Si",($C$17*(VLOOKUP('Crédito de Vivienda'!$C$24,Seguros_Oblig!$A$3:$F$55,6,FALSE))),IF('Crédito de Vivienda'!$C$10="TARIFA 1",(C310*(VLOOKUP('Crédito de Vivienda'!$C$24,Seguros_Oblig!$A$3:$B$55,2,FALSE))),(C310*(VLOOKUP('Crédito de Vivienda'!$C$24,Seguros_Oblig!$A$3:$D$55,4,FALSE))))))</f>
        <v>#VALUE!</v>
      </c>
      <c r="G311" s="8" t="e">
        <f>IF('Crédito de Vivienda'!$C$10="TARIFA 1",(C310*(VLOOKUP('Crédito de Vivienda'!$C$25,Seguros_Oblig!$A$3:$B$55,2,FALSE))),(C310*(VLOOKUP('Crédito de Vivienda'!$C$25,Seguros_Oblig!$A$3:$D$55,4,FALSE))))</f>
        <v>#VALUE!</v>
      </c>
      <c r="H311" s="8" t="e">
        <f>IF('Crédito de Vivienda'!$C$10="TARIFA 1",(C310*(VLOOKUP('Crédito de Vivienda'!$C$26,Seguros_Oblig!$A$3:$B$55,2,FALSE))),(C310*(VLOOKUP('Crédito de Vivienda'!$C$26,Seguros_Oblig!$A$3:$D$55,4,FALSE))))</f>
        <v>#VALUE!</v>
      </c>
      <c r="I311" s="8" t="e">
        <f>IF('Crédito de Vivienda'!$C$10="TARIFA 1",(C310*(VLOOKUP('Crédito de Vivienda'!$C$27,Seguros_Oblig!$A$3:$B$55,2,FALSE))),(C310*(VLOOKUP('Crédito de Vivienda'!$C$27,Seguros_Oblig!$A$3:$D$55,4,FALSE))))</f>
        <v>#VALUE!</v>
      </c>
      <c r="J311" s="10">
        <f t="shared" si="27"/>
        <v>0</v>
      </c>
      <c r="K311" s="7" t="e">
        <f>IF(C310&lt;1,"0",Seguros_Oblig!$K$2*('Crédito de Vivienda'!$C$12*90%))</f>
        <v>#VALUE!</v>
      </c>
      <c r="L311" s="7" t="e">
        <f>IF(B311=" ","0",PMT('Crédito de Vivienda'!$E$17,'Crédito de Vivienda'!$C$18,-'Crédito de Vivienda'!$C$15,,))</f>
        <v>#VALUE!</v>
      </c>
      <c r="M311" s="9" t="e">
        <f t="shared" si="28"/>
        <v>#VALUE!</v>
      </c>
      <c r="N311" s="7" t="e">
        <f>IF(C310&lt;1,"0",'Crédito de Vivienda'!$C$40)</f>
        <v>#VALUE!</v>
      </c>
      <c r="O311" s="9" t="e">
        <f t="shared" si="29"/>
        <v>#VALUE!</v>
      </c>
    </row>
    <row r="312" spans="2:15" ht="15.5" x14ac:dyDescent="0.35">
      <c r="B312" s="6" t="e">
        <f t="shared" si="25"/>
        <v>#VALUE!</v>
      </c>
      <c r="C312" s="7" t="e">
        <f t="shared" si="26"/>
        <v>#VALUE!</v>
      </c>
      <c r="D312" s="7" t="e">
        <f t="shared" si="30"/>
        <v>#VALUE!</v>
      </c>
      <c r="E312" s="7" t="e">
        <f>C311*'Crédito de Vivienda'!$E$17</f>
        <v>#VALUE!</v>
      </c>
      <c r="F312" s="282" t="e">
        <f>IF(C311&lt;1,"0",IF('Crédito de Vivienda'!$D$28="Si",($C$17*(VLOOKUP('Crédito de Vivienda'!$C$24,Seguros_Oblig!$A$3:$F$55,6,FALSE))),IF('Crédito de Vivienda'!$C$10="TARIFA 1",(C311*(VLOOKUP('Crédito de Vivienda'!$C$24,Seguros_Oblig!$A$3:$B$55,2,FALSE))),(C311*(VLOOKUP('Crédito de Vivienda'!$C$24,Seguros_Oblig!$A$3:$D$55,4,FALSE))))))</f>
        <v>#VALUE!</v>
      </c>
      <c r="G312" s="8" t="e">
        <f>IF('Crédito de Vivienda'!$C$10="TARIFA 1",(C311*(VLOOKUP('Crédito de Vivienda'!$C$25,Seguros_Oblig!$A$3:$B$55,2,FALSE))),(C311*(VLOOKUP('Crédito de Vivienda'!$C$25,Seguros_Oblig!$A$3:$D$55,4,FALSE))))</f>
        <v>#VALUE!</v>
      </c>
      <c r="H312" s="8" t="e">
        <f>IF('Crédito de Vivienda'!$C$10="TARIFA 1",(C311*(VLOOKUP('Crédito de Vivienda'!$C$26,Seguros_Oblig!$A$3:$B$55,2,FALSE))),(C311*(VLOOKUP('Crédito de Vivienda'!$C$26,Seguros_Oblig!$A$3:$D$55,4,FALSE))))</f>
        <v>#VALUE!</v>
      </c>
      <c r="I312" s="8" t="e">
        <f>IF('Crédito de Vivienda'!$C$10="TARIFA 1",(C311*(VLOOKUP('Crédito de Vivienda'!$C$27,Seguros_Oblig!$A$3:$B$55,2,FALSE))),(C311*(VLOOKUP('Crédito de Vivienda'!$C$27,Seguros_Oblig!$A$3:$D$55,4,FALSE))))</f>
        <v>#VALUE!</v>
      </c>
      <c r="J312" s="10">
        <f t="shared" si="27"/>
        <v>0</v>
      </c>
      <c r="K312" s="7" t="e">
        <f>IF(C311&lt;1,"0",Seguros_Oblig!$K$2*('Crédito de Vivienda'!$C$12*90%))</f>
        <v>#VALUE!</v>
      </c>
      <c r="L312" s="7" t="e">
        <f>IF(B312=" ","0",PMT('Crédito de Vivienda'!$E$17,'Crédito de Vivienda'!$C$18,-'Crédito de Vivienda'!$C$15,,))</f>
        <v>#VALUE!</v>
      </c>
      <c r="M312" s="9" t="e">
        <f t="shared" si="28"/>
        <v>#VALUE!</v>
      </c>
      <c r="N312" s="7" t="e">
        <f>IF(C311&lt;1,"0",'Crédito de Vivienda'!$C$40)</f>
        <v>#VALUE!</v>
      </c>
      <c r="O312" s="9" t="e">
        <f t="shared" si="29"/>
        <v>#VALUE!</v>
      </c>
    </row>
    <row r="313" spans="2:15" ht="15.5" x14ac:dyDescent="0.35">
      <c r="B313" s="6" t="e">
        <f t="shared" si="25"/>
        <v>#VALUE!</v>
      </c>
      <c r="C313" s="7" t="e">
        <f t="shared" si="26"/>
        <v>#VALUE!</v>
      </c>
      <c r="D313" s="7" t="e">
        <f t="shared" si="30"/>
        <v>#VALUE!</v>
      </c>
      <c r="E313" s="7" t="e">
        <f>C312*'Crédito de Vivienda'!$E$17</f>
        <v>#VALUE!</v>
      </c>
      <c r="F313" s="282" t="e">
        <f>IF(C312&lt;1,"0",IF('Crédito de Vivienda'!$D$28="Si",($C$17*(VLOOKUP('Crédito de Vivienda'!$C$24,Seguros_Oblig!$A$3:$F$55,6,FALSE))),IF('Crédito de Vivienda'!$C$10="TARIFA 1",(C312*(VLOOKUP('Crédito de Vivienda'!$C$24,Seguros_Oblig!$A$3:$B$55,2,FALSE))),(C312*(VLOOKUP('Crédito de Vivienda'!$C$24,Seguros_Oblig!$A$3:$D$55,4,FALSE))))))</f>
        <v>#VALUE!</v>
      </c>
      <c r="G313" s="8" t="e">
        <f>IF('Crédito de Vivienda'!$C$10="TARIFA 1",(C312*(VLOOKUP('Crédito de Vivienda'!$C$25,Seguros_Oblig!$A$3:$B$55,2,FALSE))),(C312*(VLOOKUP('Crédito de Vivienda'!$C$25,Seguros_Oblig!$A$3:$D$55,4,FALSE))))</f>
        <v>#VALUE!</v>
      </c>
      <c r="H313" s="8" t="e">
        <f>IF('Crédito de Vivienda'!$C$10="TARIFA 1",(C312*(VLOOKUP('Crédito de Vivienda'!$C$26,Seguros_Oblig!$A$3:$B$55,2,FALSE))),(C312*(VLOOKUP('Crédito de Vivienda'!$C$26,Seguros_Oblig!$A$3:$D$55,4,FALSE))))</f>
        <v>#VALUE!</v>
      </c>
      <c r="I313" s="8" t="e">
        <f>IF('Crédito de Vivienda'!$C$10="TARIFA 1",(C312*(VLOOKUP('Crédito de Vivienda'!$C$27,Seguros_Oblig!$A$3:$B$55,2,FALSE))),(C312*(VLOOKUP('Crédito de Vivienda'!$C$27,Seguros_Oblig!$A$3:$D$55,4,FALSE))))</f>
        <v>#VALUE!</v>
      </c>
      <c r="J313" s="10">
        <f t="shared" si="27"/>
        <v>0</v>
      </c>
      <c r="K313" s="7" t="e">
        <f>IF(C312&lt;1,"0",Seguros_Oblig!$K$2*('Crédito de Vivienda'!$C$12*90%))</f>
        <v>#VALUE!</v>
      </c>
      <c r="L313" s="7" t="e">
        <f>IF(B313=" ","0",PMT('Crédito de Vivienda'!$E$17,'Crédito de Vivienda'!$C$18,-'Crédito de Vivienda'!$C$15,,))</f>
        <v>#VALUE!</v>
      </c>
      <c r="M313" s="9" t="e">
        <f t="shared" si="28"/>
        <v>#VALUE!</v>
      </c>
      <c r="N313" s="7" t="e">
        <f>IF(C312&lt;1,"0",'Crédito de Vivienda'!$C$40)</f>
        <v>#VALUE!</v>
      </c>
      <c r="O313" s="9" t="e">
        <f t="shared" si="29"/>
        <v>#VALUE!</v>
      </c>
    </row>
    <row r="314" spans="2:15" ht="15.5" x14ac:dyDescent="0.35">
      <c r="B314" s="6" t="e">
        <f t="shared" si="25"/>
        <v>#VALUE!</v>
      </c>
      <c r="C314" s="7" t="e">
        <f t="shared" si="26"/>
        <v>#VALUE!</v>
      </c>
      <c r="D314" s="7" t="e">
        <f t="shared" si="30"/>
        <v>#VALUE!</v>
      </c>
      <c r="E314" s="7" t="e">
        <f>C313*'Crédito de Vivienda'!$E$17</f>
        <v>#VALUE!</v>
      </c>
      <c r="F314" s="282" t="e">
        <f>IF(C313&lt;1,"0",IF('Crédito de Vivienda'!$D$28="Si",($C$17*(VLOOKUP('Crédito de Vivienda'!$C$24,Seguros_Oblig!$A$3:$F$55,6,FALSE))),IF('Crédito de Vivienda'!$C$10="TARIFA 1",(C313*(VLOOKUP('Crédito de Vivienda'!$C$24,Seguros_Oblig!$A$3:$B$55,2,FALSE))),(C313*(VLOOKUP('Crédito de Vivienda'!$C$24,Seguros_Oblig!$A$3:$D$55,4,FALSE))))))</f>
        <v>#VALUE!</v>
      </c>
      <c r="G314" s="8" t="e">
        <f>IF('Crédito de Vivienda'!$C$10="TARIFA 1",(C313*(VLOOKUP('Crédito de Vivienda'!$C$25,Seguros_Oblig!$A$3:$B$55,2,FALSE))),(C313*(VLOOKUP('Crédito de Vivienda'!$C$25,Seguros_Oblig!$A$3:$D$55,4,FALSE))))</f>
        <v>#VALUE!</v>
      </c>
      <c r="H314" s="8" t="e">
        <f>IF('Crédito de Vivienda'!$C$10="TARIFA 1",(C313*(VLOOKUP('Crédito de Vivienda'!$C$26,Seguros_Oblig!$A$3:$B$55,2,FALSE))),(C313*(VLOOKUP('Crédito de Vivienda'!$C$26,Seguros_Oblig!$A$3:$D$55,4,FALSE))))</f>
        <v>#VALUE!</v>
      </c>
      <c r="I314" s="8" t="e">
        <f>IF('Crédito de Vivienda'!$C$10="TARIFA 1",(C313*(VLOOKUP('Crédito de Vivienda'!$C$27,Seguros_Oblig!$A$3:$B$55,2,FALSE))),(C313*(VLOOKUP('Crédito de Vivienda'!$C$27,Seguros_Oblig!$A$3:$D$55,4,FALSE))))</f>
        <v>#VALUE!</v>
      </c>
      <c r="J314" s="10">
        <f t="shared" si="27"/>
        <v>0</v>
      </c>
      <c r="K314" s="7" t="e">
        <f>IF(C313&lt;1,"0",Seguros_Oblig!$K$2*('Crédito de Vivienda'!$C$12*90%))</f>
        <v>#VALUE!</v>
      </c>
      <c r="L314" s="7" t="e">
        <f>IF(B314=" ","0",PMT('Crédito de Vivienda'!$E$17,'Crédito de Vivienda'!$C$18,-'Crédito de Vivienda'!$C$15,,))</f>
        <v>#VALUE!</v>
      </c>
      <c r="M314" s="9" t="e">
        <f t="shared" si="28"/>
        <v>#VALUE!</v>
      </c>
      <c r="N314" s="7" t="e">
        <f>IF(C313&lt;1,"0",'Crédito de Vivienda'!$C$40)</f>
        <v>#VALUE!</v>
      </c>
      <c r="O314" s="9" t="e">
        <f t="shared" si="29"/>
        <v>#VALUE!</v>
      </c>
    </row>
    <row r="315" spans="2:15" ht="15.5" x14ac:dyDescent="0.35">
      <c r="B315" s="6" t="e">
        <f t="shared" si="25"/>
        <v>#VALUE!</v>
      </c>
      <c r="C315" s="7" t="e">
        <f t="shared" si="26"/>
        <v>#VALUE!</v>
      </c>
      <c r="D315" s="7" t="e">
        <f t="shared" si="30"/>
        <v>#VALUE!</v>
      </c>
      <c r="E315" s="7" t="e">
        <f>C314*'Crédito de Vivienda'!$E$17</f>
        <v>#VALUE!</v>
      </c>
      <c r="F315" s="282" t="e">
        <f>IF(C314&lt;1,"0",IF('Crédito de Vivienda'!$D$28="Si",($C$17*(VLOOKUP('Crédito de Vivienda'!$C$24,Seguros_Oblig!$A$3:$F$55,6,FALSE))),IF('Crédito de Vivienda'!$C$10="TARIFA 1",(C314*(VLOOKUP('Crédito de Vivienda'!$C$24,Seguros_Oblig!$A$3:$B$55,2,FALSE))),(C314*(VLOOKUP('Crédito de Vivienda'!$C$24,Seguros_Oblig!$A$3:$D$55,4,FALSE))))))</f>
        <v>#VALUE!</v>
      </c>
      <c r="G315" s="8" t="e">
        <f>IF('Crédito de Vivienda'!$C$10="TARIFA 1",(C314*(VLOOKUP('Crédito de Vivienda'!$C$25,Seguros_Oblig!$A$3:$B$55,2,FALSE))),(C314*(VLOOKUP('Crédito de Vivienda'!$C$25,Seguros_Oblig!$A$3:$D$55,4,FALSE))))</f>
        <v>#VALUE!</v>
      </c>
      <c r="H315" s="8" t="e">
        <f>IF('Crédito de Vivienda'!$C$10="TARIFA 1",(C314*(VLOOKUP('Crédito de Vivienda'!$C$26,Seguros_Oblig!$A$3:$B$55,2,FALSE))),(C314*(VLOOKUP('Crédito de Vivienda'!$C$26,Seguros_Oblig!$A$3:$D$55,4,FALSE))))</f>
        <v>#VALUE!</v>
      </c>
      <c r="I315" s="8" t="e">
        <f>IF('Crédito de Vivienda'!$C$10="TARIFA 1",(C314*(VLOOKUP('Crédito de Vivienda'!$C$27,Seguros_Oblig!$A$3:$B$55,2,FALSE))),(C314*(VLOOKUP('Crédito de Vivienda'!$C$27,Seguros_Oblig!$A$3:$D$55,4,FALSE))))</f>
        <v>#VALUE!</v>
      </c>
      <c r="J315" s="10">
        <f t="shared" si="27"/>
        <v>0</v>
      </c>
      <c r="K315" s="7" t="e">
        <f>IF(C314&lt;1,"0",Seguros_Oblig!$K$2*('Crédito de Vivienda'!$C$12*90%))</f>
        <v>#VALUE!</v>
      </c>
      <c r="L315" s="7" t="e">
        <f>IF(B315=" ","0",PMT('Crédito de Vivienda'!$E$17,'Crédito de Vivienda'!$C$18,-'Crédito de Vivienda'!$C$15,,))</f>
        <v>#VALUE!</v>
      </c>
      <c r="M315" s="9" t="e">
        <f t="shared" si="28"/>
        <v>#VALUE!</v>
      </c>
      <c r="N315" s="7" t="e">
        <f>IF(C314&lt;1,"0",'Crédito de Vivienda'!$C$40)</f>
        <v>#VALUE!</v>
      </c>
      <c r="O315" s="9" t="e">
        <f t="shared" si="29"/>
        <v>#VALUE!</v>
      </c>
    </row>
    <row r="316" spans="2:15" ht="15.5" x14ac:dyDescent="0.35">
      <c r="B316" s="6" t="e">
        <f t="shared" si="25"/>
        <v>#VALUE!</v>
      </c>
      <c r="C316" s="7" t="e">
        <f t="shared" si="26"/>
        <v>#VALUE!</v>
      </c>
      <c r="D316" s="7" t="e">
        <f t="shared" si="30"/>
        <v>#VALUE!</v>
      </c>
      <c r="E316" s="7" t="e">
        <f>C315*'Crédito de Vivienda'!$E$17</f>
        <v>#VALUE!</v>
      </c>
      <c r="F316" s="282" t="e">
        <f>IF(C315&lt;1,"0",IF('Crédito de Vivienda'!$D$28="Si",($C$17*(VLOOKUP('Crédito de Vivienda'!$C$24,Seguros_Oblig!$A$3:$F$55,6,FALSE))),IF('Crédito de Vivienda'!$C$10="TARIFA 1",(C315*(VLOOKUP('Crédito de Vivienda'!$C$24,Seguros_Oblig!$A$3:$B$55,2,FALSE))),(C315*(VLOOKUP('Crédito de Vivienda'!$C$24,Seguros_Oblig!$A$3:$D$55,4,FALSE))))))</f>
        <v>#VALUE!</v>
      </c>
      <c r="G316" s="8" t="e">
        <f>IF('Crédito de Vivienda'!$C$10="TARIFA 1",(C315*(VLOOKUP('Crédito de Vivienda'!$C$25,Seguros_Oblig!$A$3:$B$55,2,FALSE))),(C315*(VLOOKUP('Crédito de Vivienda'!$C$25,Seguros_Oblig!$A$3:$D$55,4,FALSE))))</f>
        <v>#VALUE!</v>
      </c>
      <c r="H316" s="8" t="e">
        <f>IF('Crédito de Vivienda'!$C$10="TARIFA 1",(C315*(VLOOKUP('Crédito de Vivienda'!$C$26,Seguros_Oblig!$A$3:$B$55,2,FALSE))),(C315*(VLOOKUP('Crédito de Vivienda'!$C$26,Seguros_Oblig!$A$3:$D$55,4,FALSE))))</f>
        <v>#VALUE!</v>
      </c>
      <c r="I316" s="8" t="e">
        <f>IF('Crédito de Vivienda'!$C$10="TARIFA 1",(C315*(VLOOKUP('Crédito de Vivienda'!$C$27,Seguros_Oblig!$A$3:$B$55,2,FALSE))),(C315*(VLOOKUP('Crédito de Vivienda'!$C$27,Seguros_Oblig!$A$3:$D$55,4,FALSE))))</f>
        <v>#VALUE!</v>
      </c>
      <c r="J316" s="10">
        <f t="shared" si="27"/>
        <v>0</v>
      </c>
      <c r="K316" s="7" t="e">
        <f>IF(C315&lt;1,"0",Seguros_Oblig!$K$2*('Crédito de Vivienda'!$C$12*90%))</f>
        <v>#VALUE!</v>
      </c>
      <c r="L316" s="7" t="e">
        <f>IF(B316=" ","0",PMT('Crédito de Vivienda'!$E$17,'Crédito de Vivienda'!$C$18,-'Crédito de Vivienda'!$C$15,,))</f>
        <v>#VALUE!</v>
      </c>
      <c r="M316" s="9" t="e">
        <f t="shared" si="28"/>
        <v>#VALUE!</v>
      </c>
      <c r="N316" s="7" t="e">
        <f>IF(C315&lt;1,"0",'Crédito de Vivienda'!$C$40)</f>
        <v>#VALUE!</v>
      </c>
      <c r="O316" s="9" t="e">
        <f t="shared" si="29"/>
        <v>#VALUE!</v>
      </c>
    </row>
    <row r="317" spans="2:15" ht="15.5" x14ac:dyDescent="0.35">
      <c r="B317" s="6" t="e">
        <f t="shared" si="25"/>
        <v>#VALUE!</v>
      </c>
      <c r="C317" s="7" t="e">
        <f t="shared" si="26"/>
        <v>#VALUE!</v>
      </c>
      <c r="D317" s="7" t="e">
        <f t="shared" si="30"/>
        <v>#VALUE!</v>
      </c>
      <c r="E317" s="7" t="e">
        <f>C316*'Crédito de Vivienda'!$E$17</f>
        <v>#VALUE!</v>
      </c>
      <c r="F317" s="282" t="e">
        <f>IF(C316&lt;1,"0",IF('Crédito de Vivienda'!$D$28="Si",($C$17*(VLOOKUP('Crédito de Vivienda'!$C$24,Seguros_Oblig!$A$3:$F$55,6,FALSE))),IF('Crédito de Vivienda'!$C$10="TARIFA 1",(C316*(VLOOKUP('Crédito de Vivienda'!$C$24,Seguros_Oblig!$A$3:$B$55,2,FALSE))),(C316*(VLOOKUP('Crédito de Vivienda'!$C$24,Seguros_Oblig!$A$3:$D$55,4,FALSE))))))</f>
        <v>#VALUE!</v>
      </c>
      <c r="G317" s="8" t="e">
        <f>IF('Crédito de Vivienda'!$C$10="TARIFA 1",(C316*(VLOOKUP('Crédito de Vivienda'!$C$25,Seguros_Oblig!$A$3:$B$55,2,FALSE))),(C316*(VLOOKUP('Crédito de Vivienda'!$C$25,Seguros_Oblig!$A$3:$D$55,4,FALSE))))</f>
        <v>#VALUE!</v>
      </c>
      <c r="H317" s="8" t="e">
        <f>IF('Crédito de Vivienda'!$C$10="TARIFA 1",(C316*(VLOOKUP('Crédito de Vivienda'!$C$26,Seguros_Oblig!$A$3:$B$55,2,FALSE))),(C316*(VLOOKUP('Crédito de Vivienda'!$C$26,Seguros_Oblig!$A$3:$D$55,4,FALSE))))</f>
        <v>#VALUE!</v>
      </c>
      <c r="I317" s="8" t="e">
        <f>IF('Crédito de Vivienda'!$C$10="TARIFA 1",(C316*(VLOOKUP('Crédito de Vivienda'!$C$27,Seguros_Oblig!$A$3:$B$55,2,FALSE))),(C316*(VLOOKUP('Crédito de Vivienda'!$C$27,Seguros_Oblig!$A$3:$D$55,4,FALSE))))</f>
        <v>#VALUE!</v>
      </c>
      <c r="J317" s="10">
        <f t="shared" si="27"/>
        <v>0</v>
      </c>
      <c r="K317" s="7" t="e">
        <f>IF(C316&lt;1,"0",Seguros_Oblig!$K$2*('Crédito de Vivienda'!$C$12*90%))</f>
        <v>#VALUE!</v>
      </c>
      <c r="L317" s="7" t="e">
        <f>IF(B317=" ","0",PMT('Crédito de Vivienda'!$E$17,'Crédito de Vivienda'!$C$18,-'Crédito de Vivienda'!$C$15,,))</f>
        <v>#VALUE!</v>
      </c>
      <c r="M317" s="9" t="e">
        <f t="shared" si="28"/>
        <v>#VALUE!</v>
      </c>
      <c r="N317" s="7" t="e">
        <f>IF(C316&lt;1,"0",'Crédito de Vivienda'!$C$40)</f>
        <v>#VALUE!</v>
      </c>
      <c r="O317" s="9" t="e">
        <f t="shared" si="29"/>
        <v>#VALUE!</v>
      </c>
    </row>
    <row r="318" spans="2:15" ht="15.5" x14ac:dyDescent="0.35">
      <c r="B318" s="6" t="e">
        <f t="shared" si="25"/>
        <v>#VALUE!</v>
      </c>
      <c r="C318" s="7" t="e">
        <f t="shared" si="26"/>
        <v>#VALUE!</v>
      </c>
      <c r="D318" s="7" t="e">
        <f t="shared" si="30"/>
        <v>#VALUE!</v>
      </c>
      <c r="E318" s="7" t="e">
        <f>C317*'Crédito de Vivienda'!$E$17</f>
        <v>#VALUE!</v>
      </c>
      <c r="F318" s="282" t="e">
        <f>IF(C317&lt;1,"0",IF('Crédito de Vivienda'!$D$28="Si",($C$17*(VLOOKUP('Crédito de Vivienda'!$C$24,Seguros_Oblig!$A$3:$F$55,6,FALSE))),IF('Crédito de Vivienda'!$C$10="TARIFA 1",(C317*(VLOOKUP('Crédito de Vivienda'!$C$24,Seguros_Oblig!$A$3:$B$55,2,FALSE))),(C317*(VLOOKUP('Crédito de Vivienda'!$C$24,Seguros_Oblig!$A$3:$D$55,4,FALSE))))))</f>
        <v>#VALUE!</v>
      </c>
      <c r="G318" s="8" t="e">
        <f>IF('Crédito de Vivienda'!$C$10="TARIFA 1",(C317*(VLOOKUP('Crédito de Vivienda'!$C$25,Seguros_Oblig!$A$3:$B$55,2,FALSE))),(C317*(VLOOKUP('Crédito de Vivienda'!$C$25,Seguros_Oblig!$A$3:$D$55,4,FALSE))))</f>
        <v>#VALUE!</v>
      </c>
      <c r="H318" s="8" t="e">
        <f>IF('Crédito de Vivienda'!$C$10="TARIFA 1",(C317*(VLOOKUP('Crédito de Vivienda'!$C$26,Seguros_Oblig!$A$3:$B$55,2,FALSE))),(C317*(VLOOKUP('Crédito de Vivienda'!$C$26,Seguros_Oblig!$A$3:$D$55,4,FALSE))))</f>
        <v>#VALUE!</v>
      </c>
      <c r="I318" s="8" t="e">
        <f>IF('Crédito de Vivienda'!$C$10="TARIFA 1",(C317*(VLOOKUP('Crédito de Vivienda'!$C$27,Seguros_Oblig!$A$3:$B$55,2,FALSE))),(C317*(VLOOKUP('Crédito de Vivienda'!$C$27,Seguros_Oblig!$A$3:$D$55,4,FALSE))))</f>
        <v>#VALUE!</v>
      </c>
      <c r="J318" s="10">
        <f t="shared" si="27"/>
        <v>0</v>
      </c>
      <c r="K318" s="7" t="e">
        <f>IF(C317&lt;1,"0",Seguros_Oblig!$K$2*('Crédito de Vivienda'!$C$12*90%))</f>
        <v>#VALUE!</v>
      </c>
      <c r="L318" s="7" t="e">
        <f>IF(B318=" ","0",PMT('Crédito de Vivienda'!$E$17,'Crédito de Vivienda'!$C$18,-'Crédito de Vivienda'!$C$15,,))</f>
        <v>#VALUE!</v>
      </c>
      <c r="M318" s="9" t="e">
        <f t="shared" si="28"/>
        <v>#VALUE!</v>
      </c>
      <c r="N318" s="7" t="e">
        <f>IF(C317&lt;1,"0",'Crédito de Vivienda'!$C$40)</f>
        <v>#VALUE!</v>
      </c>
      <c r="O318" s="9" t="e">
        <f t="shared" si="29"/>
        <v>#VALUE!</v>
      </c>
    </row>
    <row r="319" spans="2:15" ht="15.5" x14ac:dyDescent="0.35">
      <c r="B319" s="6" t="e">
        <f t="shared" si="25"/>
        <v>#VALUE!</v>
      </c>
      <c r="C319" s="7" t="e">
        <f t="shared" si="26"/>
        <v>#VALUE!</v>
      </c>
      <c r="D319" s="7" t="e">
        <f t="shared" si="30"/>
        <v>#VALUE!</v>
      </c>
      <c r="E319" s="7" t="e">
        <f>C318*'Crédito de Vivienda'!$E$17</f>
        <v>#VALUE!</v>
      </c>
      <c r="F319" s="282" t="e">
        <f>IF(C318&lt;1,"0",IF('Crédito de Vivienda'!$D$28="Si",($C$17*(VLOOKUP('Crédito de Vivienda'!$C$24,Seguros_Oblig!$A$3:$F$55,6,FALSE))),IF('Crédito de Vivienda'!$C$10="TARIFA 1",(C318*(VLOOKUP('Crédito de Vivienda'!$C$24,Seguros_Oblig!$A$3:$B$55,2,FALSE))),(C318*(VLOOKUP('Crédito de Vivienda'!$C$24,Seguros_Oblig!$A$3:$D$55,4,FALSE))))))</f>
        <v>#VALUE!</v>
      </c>
      <c r="G319" s="8" t="e">
        <f>IF('Crédito de Vivienda'!$C$10="TARIFA 1",(C318*(VLOOKUP('Crédito de Vivienda'!$C$25,Seguros_Oblig!$A$3:$B$55,2,FALSE))),(C318*(VLOOKUP('Crédito de Vivienda'!$C$25,Seguros_Oblig!$A$3:$D$55,4,FALSE))))</f>
        <v>#VALUE!</v>
      </c>
      <c r="H319" s="8" t="e">
        <f>IF('Crédito de Vivienda'!$C$10="TARIFA 1",(C318*(VLOOKUP('Crédito de Vivienda'!$C$26,Seguros_Oblig!$A$3:$B$55,2,FALSE))),(C318*(VLOOKUP('Crédito de Vivienda'!$C$26,Seguros_Oblig!$A$3:$D$55,4,FALSE))))</f>
        <v>#VALUE!</v>
      </c>
      <c r="I319" s="8" t="e">
        <f>IF('Crédito de Vivienda'!$C$10="TARIFA 1",(C318*(VLOOKUP('Crédito de Vivienda'!$C$27,Seguros_Oblig!$A$3:$B$55,2,FALSE))),(C318*(VLOOKUP('Crédito de Vivienda'!$C$27,Seguros_Oblig!$A$3:$D$55,4,FALSE))))</f>
        <v>#VALUE!</v>
      </c>
      <c r="J319" s="10">
        <f t="shared" si="27"/>
        <v>0</v>
      </c>
      <c r="K319" s="7" t="e">
        <f>IF(C318&lt;1,"0",Seguros_Oblig!$K$2*('Crédito de Vivienda'!$C$12*90%))</f>
        <v>#VALUE!</v>
      </c>
      <c r="L319" s="7" t="e">
        <f>IF(B319=" ","0",PMT('Crédito de Vivienda'!$E$17,'Crédito de Vivienda'!$C$18,-'Crédito de Vivienda'!$C$15,,))</f>
        <v>#VALUE!</v>
      </c>
      <c r="M319" s="9" t="e">
        <f t="shared" si="28"/>
        <v>#VALUE!</v>
      </c>
      <c r="N319" s="7" t="e">
        <f>IF(C318&lt;1,"0",'Crédito de Vivienda'!$C$40)</f>
        <v>#VALUE!</v>
      </c>
      <c r="O319" s="9" t="e">
        <f t="shared" si="29"/>
        <v>#VALUE!</v>
      </c>
    </row>
    <row r="320" spans="2:15" ht="15.5" x14ac:dyDescent="0.35">
      <c r="B320" s="6" t="e">
        <f t="shared" si="25"/>
        <v>#VALUE!</v>
      </c>
      <c r="C320" s="7" t="e">
        <f t="shared" si="26"/>
        <v>#VALUE!</v>
      </c>
      <c r="D320" s="7" t="e">
        <f t="shared" si="30"/>
        <v>#VALUE!</v>
      </c>
      <c r="E320" s="7" t="e">
        <f>C319*'Crédito de Vivienda'!$E$17</f>
        <v>#VALUE!</v>
      </c>
      <c r="F320" s="282" t="e">
        <f>IF(C319&lt;1,"0",IF('Crédito de Vivienda'!$D$28="Si",($C$17*(VLOOKUP('Crédito de Vivienda'!$C$24,Seguros_Oblig!$A$3:$F$55,6,FALSE))),IF('Crédito de Vivienda'!$C$10="TARIFA 1",(C319*(VLOOKUP('Crédito de Vivienda'!$C$24,Seguros_Oblig!$A$3:$B$55,2,FALSE))),(C319*(VLOOKUP('Crédito de Vivienda'!$C$24,Seguros_Oblig!$A$3:$D$55,4,FALSE))))))</f>
        <v>#VALUE!</v>
      </c>
      <c r="G320" s="8" t="e">
        <f>IF('Crédito de Vivienda'!$C$10="TARIFA 1",(C319*(VLOOKUP('Crédito de Vivienda'!$C$25,Seguros_Oblig!$A$3:$B$55,2,FALSE))),(C319*(VLOOKUP('Crédito de Vivienda'!$C$25,Seguros_Oblig!$A$3:$D$55,4,FALSE))))</f>
        <v>#VALUE!</v>
      </c>
      <c r="H320" s="8" t="e">
        <f>IF('Crédito de Vivienda'!$C$10="TARIFA 1",(C319*(VLOOKUP('Crédito de Vivienda'!$C$26,Seguros_Oblig!$A$3:$B$55,2,FALSE))),(C319*(VLOOKUP('Crédito de Vivienda'!$C$26,Seguros_Oblig!$A$3:$D$55,4,FALSE))))</f>
        <v>#VALUE!</v>
      </c>
      <c r="I320" s="8" t="e">
        <f>IF('Crédito de Vivienda'!$C$10="TARIFA 1",(C319*(VLOOKUP('Crédito de Vivienda'!$C$27,Seguros_Oblig!$A$3:$B$55,2,FALSE))),(C319*(VLOOKUP('Crédito de Vivienda'!$C$27,Seguros_Oblig!$A$3:$D$55,4,FALSE))))</f>
        <v>#VALUE!</v>
      </c>
      <c r="J320" s="10">
        <f t="shared" si="27"/>
        <v>0</v>
      </c>
      <c r="K320" s="7" t="e">
        <f>IF(C319&lt;1,"0",Seguros_Oblig!$K$2*('Crédito de Vivienda'!$C$12*90%))</f>
        <v>#VALUE!</v>
      </c>
      <c r="L320" s="7" t="e">
        <f>IF(B320=" ","0",PMT('Crédito de Vivienda'!$E$17,'Crédito de Vivienda'!$C$18,-'Crédito de Vivienda'!$C$15,,))</f>
        <v>#VALUE!</v>
      </c>
      <c r="M320" s="9" t="e">
        <f t="shared" si="28"/>
        <v>#VALUE!</v>
      </c>
      <c r="N320" s="7" t="e">
        <f>IF(C319&lt;1,"0",'Crédito de Vivienda'!$C$40)</f>
        <v>#VALUE!</v>
      </c>
      <c r="O320" s="9" t="e">
        <f t="shared" si="29"/>
        <v>#VALUE!</v>
      </c>
    </row>
    <row r="321" spans="2:15" ht="15.5" x14ac:dyDescent="0.35">
      <c r="B321" s="6" t="e">
        <f t="shared" si="25"/>
        <v>#VALUE!</v>
      </c>
      <c r="C321" s="7" t="e">
        <f t="shared" si="26"/>
        <v>#VALUE!</v>
      </c>
      <c r="D321" s="7" t="e">
        <f t="shared" si="30"/>
        <v>#VALUE!</v>
      </c>
      <c r="E321" s="7" t="e">
        <f>C320*'Crédito de Vivienda'!$E$17</f>
        <v>#VALUE!</v>
      </c>
      <c r="F321" s="282" t="e">
        <f>IF(C320&lt;1,"0",IF('Crédito de Vivienda'!$D$28="Si",($C$17*(VLOOKUP('Crédito de Vivienda'!$C$24,Seguros_Oblig!$A$3:$F$55,6,FALSE))),IF('Crédito de Vivienda'!$C$10="TARIFA 1",(C320*(VLOOKUP('Crédito de Vivienda'!$C$24,Seguros_Oblig!$A$3:$B$55,2,FALSE))),(C320*(VLOOKUP('Crédito de Vivienda'!$C$24,Seguros_Oblig!$A$3:$D$55,4,FALSE))))))</f>
        <v>#VALUE!</v>
      </c>
      <c r="G321" s="8" t="e">
        <f>IF('Crédito de Vivienda'!$C$10="TARIFA 1",(C320*(VLOOKUP('Crédito de Vivienda'!$C$25,Seguros_Oblig!$A$3:$B$55,2,FALSE))),(C320*(VLOOKUP('Crédito de Vivienda'!$C$25,Seguros_Oblig!$A$3:$D$55,4,FALSE))))</f>
        <v>#VALUE!</v>
      </c>
      <c r="H321" s="8" t="e">
        <f>IF('Crédito de Vivienda'!$C$10="TARIFA 1",(C320*(VLOOKUP('Crédito de Vivienda'!$C$26,Seguros_Oblig!$A$3:$B$55,2,FALSE))),(C320*(VLOOKUP('Crédito de Vivienda'!$C$26,Seguros_Oblig!$A$3:$D$55,4,FALSE))))</f>
        <v>#VALUE!</v>
      </c>
      <c r="I321" s="8" t="e">
        <f>IF('Crédito de Vivienda'!$C$10="TARIFA 1",(C320*(VLOOKUP('Crédito de Vivienda'!$C$27,Seguros_Oblig!$A$3:$B$55,2,FALSE))),(C320*(VLOOKUP('Crédito de Vivienda'!$C$27,Seguros_Oblig!$A$3:$D$55,4,FALSE))))</f>
        <v>#VALUE!</v>
      </c>
      <c r="J321" s="10">
        <f t="shared" si="27"/>
        <v>0</v>
      </c>
      <c r="K321" s="7" t="e">
        <f>IF(C320&lt;1,"0",Seguros_Oblig!$K$2*('Crédito de Vivienda'!$C$12*90%))</f>
        <v>#VALUE!</v>
      </c>
      <c r="L321" s="7" t="e">
        <f>IF(B321=" ","0",PMT('Crédito de Vivienda'!$E$17,'Crédito de Vivienda'!$C$18,-'Crédito de Vivienda'!$C$15,,))</f>
        <v>#VALUE!</v>
      </c>
      <c r="M321" s="9" t="e">
        <f t="shared" si="28"/>
        <v>#VALUE!</v>
      </c>
      <c r="N321" s="7" t="e">
        <f>IF(C320&lt;1,"0",'Crédito de Vivienda'!$C$40)</f>
        <v>#VALUE!</v>
      </c>
      <c r="O321" s="9" t="e">
        <f t="shared" si="29"/>
        <v>#VALUE!</v>
      </c>
    </row>
    <row r="322" spans="2:15" ht="15.5" x14ac:dyDescent="0.35">
      <c r="B322" s="6" t="e">
        <f t="shared" ref="B322:B377" si="31">IF(C321&gt;1,B321+1," ")</f>
        <v>#VALUE!</v>
      </c>
      <c r="C322" s="7" t="e">
        <f t="shared" ref="C322:C377" si="32">C321-D322</f>
        <v>#VALUE!</v>
      </c>
      <c r="D322" s="7" t="e">
        <f t="shared" si="30"/>
        <v>#VALUE!</v>
      </c>
      <c r="E322" s="7" t="e">
        <f>C321*'Crédito de Vivienda'!$E$17</f>
        <v>#VALUE!</v>
      </c>
      <c r="F322" s="282" t="e">
        <f>IF(C321&lt;1,"0",IF('Crédito de Vivienda'!$D$28="Si",($C$17*(VLOOKUP('Crédito de Vivienda'!$C$24,Seguros_Oblig!$A$3:$F$55,6,FALSE))),IF('Crédito de Vivienda'!$C$10="TARIFA 1",(C321*(VLOOKUP('Crédito de Vivienda'!$C$24,Seguros_Oblig!$A$3:$B$55,2,FALSE))),(C321*(VLOOKUP('Crédito de Vivienda'!$C$24,Seguros_Oblig!$A$3:$D$55,4,FALSE))))))</f>
        <v>#VALUE!</v>
      </c>
      <c r="G322" s="8" t="e">
        <f>IF('Crédito de Vivienda'!$C$10="TARIFA 1",(C321*(VLOOKUP('Crédito de Vivienda'!$C$25,Seguros_Oblig!$A$3:$B$55,2,FALSE))),(C321*(VLOOKUP('Crédito de Vivienda'!$C$25,Seguros_Oblig!$A$3:$D$55,4,FALSE))))</f>
        <v>#VALUE!</v>
      </c>
      <c r="H322" s="8" t="e">
        <f>IF('Crédito de Vivienda'!$C$10="TARIFA 1",(C321*(VLOOKUP('Crédito de Vivienda'!$C$26,Seguros_Oblig!$A$3:$B$55,2,FALSE))),(C321*(VLOOKUP('Crédito de Vivienda'!$C$26,Seguros_Oblig!$A$3:$D$55,4,FALSE))))</f>
        <v>#VALUE!</v>
      </c>
      <c r="I322" s="8" t="e">
        <f>IF('Crédito de Vivienda'!$C$10="TARIFA 1",(C321*(VLOOKUP('Crédito de Vivienda'!$C$27,Seguros_Oblig!$A$3:$B$55,2,FALSE))),(C321*(VLOOKUP('Crédito de Vivienda'!$C$27,Seguros_Oblig!$A$3:$D$55,4,FALSE))))</f>
        <v>#VALUE!</v>
      </c>
      <c r="J322" s="10">
        <f t="shared" ref="J322:J377" si="33">_xlfn.AGGREGATE(9,6,F322:I322)</f>
        <v>0</v>
      </c>
      <c r="K322" s="7" t="e">
        <f>IF(C321&lt;1,"0",Seguros_Oblig!$K$2*('Crédito de Vivienda'!$C$12*90%))</f>
        <v>#VALUE!</v>
      </c>
      <c r="L322" s="7" t="e">
        <f>IF(B322=" ","0",PMT('Crédito de Vivienda'!$E$17,'Crédito de Vivienda'!$C$18,-'Crédito de Vivienda'!$C$15,,))</f>
        <v>#VALUE!</v>
      </c>
      <c r="M322" s="9" t="e">
        <f t="shared" ref="M322:M377" si="34">K322+L322+J322</f>
        <v>#VALUE!</v>
      </c>
      <c r="N322" s="7" t="e">
        <f>IF(C321&lt;1,"0",'Crédito de Vivienda'!$C$40)</f>
        <v>#VALUE!</v>
      </c>
      <c r="O322" s="9" t="e">
        <f t="shared" si="29"/>
        <v>#VALUE!</v>
      </c>
    </row>
    <row r="323" spans="2:15" ht="15.5" x14ac:dyDescent="0.35">
      <c r="B323" s="6" t="e">
        <f t="shared" si="31"/>
        <v>#VALUE!</v>
      </c>
      <c r="C323" s="7" t="e">
        <f t="shared" si="32"/>
        <v>#VALUE!</v>
      </c>
      <c r="D323" s="7" t="e">
        <f t="shared" si="30"/>
        <v>#VALUE!</v>
      </c>
      <c r="E323" s="7" t="e">
        <f>C322*'Crédito de Vivienda'!$E$17</f>
        <v>#VALUE!</v>
      </c>
      <c r="F323" s="282" t="e">
        <f>IF(C322&lt;1,"0",IF('Crédito de Vivienda'!$D$28="Si",($C$17*(VLOOKUP('Crédito de Vivienda'!$C$24,Seguros_Oblig!$A$3:$F$55,6,FALSE))),IF('Crédito de Vivienda'!$C$10="TARIFA 1",(C322*(VLOOKUP('Crédito de Vivienda'!$C$24,Seguros_Oblig!$A$3:$B$55,2,FALSE))),(C322*(VLOOKUP('Crédito de Vivienda'!$C$24,Seguros_Oblig!$A$3:$D$55,4,FALSE))))))</f>
        <v>#VALUE!</v>
      </c>
      <c r="G323" s="8" t="e">
        <f>IF('Crédito de Vivienda'!$C$10="TARIFA 1",(C322*(VLOOKUP('Crédito de Vivienda'!$C$25,Seguros_Oblig!$A$3:$B$55,2,FALSE))),(C322*(VLOOKUP('Crédito de Vivienda'!$C$25,Seguros_Oblig!$A$3:$D$55,4,FALSE))))</f>
        <v>#VALUE!</v>
      </c>
      <c r="H323" s="8" t="e">
        <f>IF('Crédito de Vivienda'!$C$10="TARIFA 1",(C322*(VLOOKUP('Crédito de Vivienda'!$C$26,Seguros_Oblig!$A$3:$B$55,2,FALSE))),(C322*(VLOOKUP('Crédito de Vivienda'!$C$26,Seguros_Oblig!$A$3:$D$55,4,FALSE))))</f>
        <v>#VALUE!</v>
      </c>
      <c r="I323" s="8" t="e">
        <f>IF('Crédito de Vivienda'!$C$10="TARIFA 1",(C322*(VLOOKUP('Crédito de Vivienda'!$C$27,Seguros_Oblig!$A$3:$B$55,2,FALSE))),(C322*(VLOOKUP('Crédito de Vivienda'!$C$27,Seguros_Oblig!$A$3:$D$55,4,FALSE))))</f>
        <v>#VALUE!</v>
      </c>
      <c r="J323" s="10">
        <f t="shared" si="33"/>
        <v>0</v>
      </c>
      <c r="K323" s="7" t="e">
        <f>IF(C322&lt;1,"0",Seguros_Oblig!$K$2*('Crédito de Vivienda'!$C$12*90%))</f>
        <v>#VALUE!</v>
      </c>
      <c r="L323" s="7" t="e">
        <f>IF(B323=" ","0",PMT('Crédito de Vivienda'!$E$17,'Crédito de Vivienda'!$C$18,-'Crédito de Vivienda'!$C$15,,))</f>
        <v>#VALUE!</v>
      </c>
      <c r="M323" s="9" t="e">
        <f t="shared" si="34"/>
        <v>#VALUE!</v>
      </c>
      <c r="N323" s="7" t="e">
        <f>IF(C322&lt;1,"0",'Crédito de Vivienda'!$C$40)</f>
        <v>#VALUE!</v>
      </c>
      <c r="O323" s="9" t="e">
        <f t="shared" si="29"/>
        <v>#VALUE!</v>
      </c>
    </row>
    <row r="324" spans="2:15" ht="15.5" x14ac:dyDescent="0.35">
      <c r="B324" s="6" t="e">
        <f t="shared" si="31"/>
        <v>#VALUE!</v>
      </c>
      <c r="C324" s="7" t="e">
        <f t="shared" si="32"/>
        <v>#VALUE!</v>
      </c>
      <c r="D324" s="7" t="e">
        <f t="shared" si="30"/>
        <v>#VALUE!</v>
      </c>
      <c r="E324" s="7" t="e">
        <f>C323*'Crédito de Vivienda'!$E$17</f>
        <v>#VALUE!</v>
      </c>
      <c r="F324" s="282" t="e">
        <f>IF(C323&lt;1,"0",IF('Crédito de Vivienda'!$D$28="Si",($C$17*(VLOOKUP('Crédito de Vivienda'!$C$24,Seguros_Oblig!$A$3:$F$55,6,FALSE))),IF('Crédito de Vivienda'!$C$10="TARIFA 1",(C323*(VLOOKUP('Crédito de Vivienda'!$C$24,Seguros_Oblig!$A$3:$B$55,2,FALSE))),(C323*(VLOOKUP('Crédito de Vivienda'!$C$24,Seguros_Oblig!$A$3:$D$55,4,FALSE))))))</f>
        <v>#VALUE!</v>
      </c>
      <c r="G324" s="8" t="e">
        <f>IF('Crédito de Vivienda'!$C$10="TARIFA 1",(C323*(VLOOKUP('Crédito de Vivienda'!$C$25,Seguros_Oblig!$A$3:$B$55,2,FALSE))),(C323*(VLOOKUP('Crédito de Vivienda'!$C$25,Seguros_Oblig!$A$3:$D$55,4,FALSE))))</f>
        <v>#VALUE!</v>
      </c>
      <c r="H324" s="8" t="e">
        <f>IF('Crédito de Vivienda'!$C$10="TARIFA 1",(C323*(VLOOKUP('Crédito de Vivienda'!$C$26,Seguros_Oblig!$A$3:$B$55,2,FALSE))),(C323*(VLOOKUP('Crédito de Vivienda'!$C$26,Seguros_Oblig!$A$3:$D$55,4,FALSE))))</f>
        <v>#VALUE!</v>
      </c>
      <c r="I324" s="8" t="e">
        <f>IF('Crédito de Vivienda'!$C$10="TARIFA 1",(C323*(VLOOKUP('Crédito de Vivienda'!$C$27,Seguros_Oblig!$A$3:$B$55,2,FALSE))),(C323*(VLOOKUP('Crédito de Vivienda'!$C$27,Seguros_Oblig!$A$3:$D$55,4,FALSE))))</f>
        <v>#VALUE!</v>
      </c>
      <c r="J324" s="10">
        <f t="shared" si="33"/>
        <v>0</v>
      </c>
      <c r="K324" s="7" t="e">
        <f>IF(C323&lt;1,"0",Seguros_Oblig!$K$2*('Crédito de Vivienda'!$C$12*90%))</f>
        <v>#VALUE!</v>
      </c>
      <c r="L324" s="7" t="e">
        <f>IF(B324=" ","0",PMT('Crédito de Vivienda'!$E$17,'Crédito de Vivienda'!$C$18,-'Crédito de Vivienda'!$C$15,,))</f>
        <v>#VALUE!</v>
      </c>
      <c r="M324" s="9" t="e">
        <f t="shared" si="34"/>
        <v>#VALUE!</v>
      </c>
      <c r="N324" s="7" t="e">
        <f>IF(C323&lt;1,"0",'Crédito de Vivienda'!$C$40)</f>
        <v>#VALUE!</v>
      </c>
      <c r="O324" s="9" t="e">
        <f t="shared" si="29"/>
        <v>#VALUE!</v>
      </c>
    </row>
    <row r="325" spans="2:15" ht="15.5" x14ac:dyDescent="0.35">
      <c r="B325" s="6" t="e">
        <f t="shared" si="31"/>
        <v>#VALUE!</v>
      </c>
      <c r="C325" s="7" t="e">
        <f t="shared" si="32"/>
        <v>#VALUE!</v>
      </c>
      <c r="D325" s="7" t="e">
        <f t="shared" si="30"/>
        <v>#VALUE!</v>
      </c>
      <c r="E325" s="7" t="e">
        <f>C324*'Crédito de Vivienda'!$E$17</f>
        <v>#VALUE!</v>
      </c>
      <c r="F325" s="282" t="e">
        <f>IF(C324&lt;1,"0",IF('Crédito de Vivienda'!$D$28="Si",($C$17*(VLOOKUP('Crédito de Vivienda'!$C$24,Seguros_Oblig!$A$3:$F$55,6,FALSE))),IF('Crédito de Vivienda'!$C$10="TARIFA 1",(C324*(VLOOKUP('Crédito de Vivienda'!$C$24,Seguros_Oblig!$A$3:$B$55,2,FALSE))),(C324*(VLOOKUP('Crédito de Vivienda'!$C$24,Seguros_Oblig!$A$3:$D$55,4,FALSE))))))</f>
        <v>#VALUE!</v>
      </c>
      <c r="G325" s="8" t="e">
        <f>IF('Crédito de Vivienda'!$C$10="TARIFA 1",(C324*(VLOOKUP('Crédito de Vivienda'!$C$25,Seguros_Oblig!$A$3:$B$55,2,FALSE))),(C324*(VLOOKUP('Crédito de Vivienda'!$C$25,Seguros_Oblig!$A$3:$D$55,4,FALSE))))</f>
        <v>#VALUE!</v>
      </c>
      <c r="H325" s="8" t="e">
        <f>IF('Crédito de Vivienda'!$C$10="TARIFA 1",(C324*(VLOOKUP('Crédito de Vivienda'!$C$26,Seguros_Oblig!$A$3:$B$55,2,FALSE))),(C324*(VLOOKUP('Crédito de Vivienda'!$C$26,Seguros_Oblig!$A$3:$D$55,4,FALSE))))</f>
        <v>#VALUE!</v>
      </c>
      <c r="I325" s="8" t="e">
        <f>IF('Crédito de Vivienda'!$C$10="TARIFA 1",(C324*(VLOOKUP('Crédito de Vivienda'!$C$27,Seguros_Oblig!$A$3:$B$55,2,FALSE))),(C324*(VLOOKUP('Crédito de Vivienda'!$C$27,Seguros_Oblig!$A$3:$D$55,4,FALSE))))</f>
        <v>#VALUE!</v>
      </c>
      <c r="J325" s="10">
        <f t="shared" si="33"/>
        <v>0</v>
      </c>
      <c r="K325" s="7" t="e">
        <f>IF(C324&lt;1,"0",Seguros_Oblig!$K$2*('Crédito de Vivienda'!$C$12*90%))</f>
        <v>#VALUE!</v>
      </c>
      <c r="L325" s="7" t="e">
        <f>IF(B325=" ","0",PMT('Crédito de Vivienda'!$E$17,'Crédito de Vivienda'!$C$18,-'Crédito de Vivienda'!$C$15,,))</f>
        <v>#VALUE!</v>
      </c>
      <c r="M325" s="9" t="e">
        <f t="shared" si="34"/>
        <v>#VALUE!</v>
      </c>
      <c r="N325" s="7" t="e">
        <f>IF(C324&lt;1,"0",'Crédito de Vivienda'!$C$40)</f>
        <v>#VALUE!</v>
      </c>
      <c r="O325" s="9" t="e">
        <f t="shared" si="29"/>
        <v>#VALUE!</v>
      </c>
    </row>
    <row r="326" spans="2:15" ht="15.5" x14ac:dyDescent="0.35">
      <c r="B326" s="6" t="e">
        <f t="shared" si="31"/>
        <v>#VALUE!</v>
      </c>
      <c r="C326" s="7" t="e">
        <f t="shared" si="32"/>
        <v>#VALUE!</v>
      </c>
      <c r="D326" s="7" t="e">
        <f t="shared" si="30"/>
        <v>#VALUE!</v>
      </c>
      <c r="E326" s="7" t="e">
        <f>C325*'Crédito de Vivienda'!$E$17</f>
        <v>#VALUE!</v>
      </c>
      <c r="F326" s="282" t="e">
        <f>IF(C325&lt;1,"0",IF('Crédito de Vivienda'!$D$28="Si",($C$17*(VLOOKUP('Crédito de Vivienda'!$C$24,Seguros_Oblig!$A$3:$F$55,6,FALSE))),IF('Crédito de Vivienda'!$C$10="TARIFA 1",(C325*(VLOOKUP('Crédito de Vivienda'!$C$24,Seguros_Oblig!$A$3:$B$55,2,FALSE))),(C325*(VLOOKUP('Crédito de Vivienda'!$C$24,Seguros_Oblig!$A$3:$D$55,4,FALSE))))))</f>
        <v>#VALUE!</v>
      </c>
      <c r="G326" s="8" t="e">
        <f>IF('Crédito de Vivienda'!$C$10="TARIFA 1",(C325*(VLOOKUP('Crédito de Vivienda'!$C$25,Seguros_Oblig!$A$3:$B$55,2,FALSE))),(C325*(VLOOKUP('Crédito de Vivienda'!$C$25,Seguros_Oblig!$A$3:$D$55,4,FALSE))))</f>
        <v>#VALUE!</v>
      </c>
      <c r="H326" s="8" t="e">
        <f>IF('Crédito de Vivienda'!$C$10="TARIFA 1",(C325*(VLOOKUP('Crédito de Vivienda'!$C$26,Seguros_Oblig!$A$3:$B$55,2,FALSE))),(C325*(VLOOKUP('Crédito de Vivienda'!$C$26,Seguros_Oblig!$A$3:$D$55,4,FALSE))))</f>
        <v>#VALUE!</v>
      </c>
      <c r="I326" s="8" t="e">
        <f>IF('Crédito de Vivienda'!$C$10="TARIFA 1",(C325*(VLOOKUP('Crédito de Vivienda'!$C$27,Seguros_Oblig!$A$3:$B$55,2,FALSE))),(C325*(VLOOKUP('Crédito de Vivienda'!$C$27,Seguros_Oblig!$A$3:$D$55,4,FALSE))))</f>
        <v>#VALUE!</v>
      </c>
      <c r="J326" s="10">
        <f t="shared" si="33"/>
        <v>0</v>
      </c>
      <c r="K326" s="7" t="e">
        <f>IF(C325&lt;1,"0",Seguros_Oblig!$K$2*('Crédito de Vivienda'!$C$12*90%))</f>
        <v>#VALUE!</v>
      </c>
      <c r="L326" s="7" t="e">
        <f>IF(B326=" ","0",PMT('Crédito de Vivienda'!$E$17,'Crédito de Vivienda'!$C$18,-'Crédito de Vivienda'!$C$15,,))</f>
        <v>#VALUE!</v>
      </c>
      <c r="M326" s="9" t="e">
        <f t="shared" si="34"/>
        <v>#VALUE!</v>
      </c>
      <c r="N326" s="7" t="e">
        <f>IF(C325&lt;1,"0",'Crédito de Vivienda'!$C$40)</f>
        <v>#VALUE!</v>
      </c>
      <c r="O326" s="9" t="e">
        <f t="shared" si="29"/>
        <v>#VALUE!</v>
      </c>
    </row>
    <row r="327" spans="2:15" ht="15.5" x14ac:dyDescent="0.35">
      <c r="B327" s="6" t="e">
        <f t="shared" si="31"/>
        <v>#VALUE!</v>
      </c>
      <c r="C327" s="7" t="e">
        <f t="shared" si="32"/>
        <v>#VALUE!</v>
      </c>
      <c r="D327" s="7" t="e">
        <f t="shared" si="30"/>
        <v>#VALUE!</v>
      </c>
      <c r="E327" s="7" t="e">
        <f>C326*'Crédito de Vivienda'!$E$17</f>
        <v>#VALUE!</v>
      </c>
      <c r="F327" s="282" t="e">
        <f>IF(C326&lt;1,"0",IF('Crédito de Vivienda'!$D$28="Si",($C$17*(VLOOKUP('Crédito de Vivienda'!$C$24,Seguros_Oblig!$A$3:$F$55,6,FALSE))),IF('Crédito de Vivienda'!$C$10="TARIFA 1",(C326*(VLOOKUP('Crédito de Vivienda'!$C$24,Seguros_Oblig!$A$3:$B$55,2,FALSE))),(C326*(VLOOKUP('Crédito de Vivienda'!$C$24,Seguros_Oblig!$A$3:$D$55,4,FALSE))))))</f>
        <v>#VALUE!</v>
      </c>
      <c r="G327" s="8" t="e">
        <f>IF('Crédito de Vivienda'!$C$10="TARIFA 1",(C326*(VLOOKUP('Crédito de Vivienda'!$C$25,Seguros_Oblig!$A$3:$B$55,2,FALSE))),(C326*(VLOOKUP('Crédito de Vivienda'!$C$25,Seguros_Oblig!$A$3:$D$55,4,FALSE))))</f>
        <v>#VALUE!</v>
      </c>
      <c r="H327" s="8" t="e">
        <f>IF('Crédito de Vivienda'!$C$10="TARIFA 1",(C326*(VLOOKUP('Crédito de Vivienda'!$C$26,Seguros_Oblig!$A$3:$B$55,2,FALSE))),(C326*(VLOOKUP('Crédito de Vivienda'!$C$26,Seguros_Oblig!$A$3:$D$55,4,FALSE))))</f>
        <v>#VALUE!</v>
      </c>
      <c r="I327" s="8" t="e">
        <f>IF('Crédito de Vivienda'!$C$10="TARIFA 1",(C326*(VLOOKUP('Crédito de Vivienda'!$C$27,Seguros_Oblig!$A$3:$B$55,2,FALSE))),(C326*(VLOOKUP('Crédito de Vivienda'!$C$27,Seguros_Oblig!$A$3:$D$55,4,FALSE))))</f>
        <v>#VALUE!</v>
      </c>
      <c r="J327" s="10">
        <f t="shared" si="33"/>
        <v>0</v>
      </c>
      <c r="K327" s="7" t="e">
        <f>IF(C326&lt;1,"0",Seguros_Oblig!$K$2*('Crédito de Vivienda'!$C$12*90%))</f>
        <v>#VALUE!</v>
      </c>
      <c r="L327" s="7" t="e">
        <f>IF(B327=" ","0",PMT('Crédito de Vivienda'!$E$17,'Crédito de Vivienda'!$C$18,-'Crédito de Vivienda'!$C$15,,))</f>
        <v>#VALUE!</v>
      </c>
      <c r="M327" s="9" t="e">
        <f t="shared" si="34"/>
        <v>#VALUE!</v>
      </c>
      <c r="N327" s="7" t="e">
        <f>IF(C326&lt;1,"0",'Crédito de Vivienda'!$C$40)</f>
        <v>#VALUE!</v>
      </c>
      <c r="O327" s="9" t="e">
        <f t="shared" si="29"/>
        <v>#VALUE!</v>
      </c>
    </row>
    <row r="328" spans="2:15" ht="15.5" x14ac:dyDescent="0.35">
      <c r="B328" s="6" t="e">
        <f t="shared" si="31"/>
        <v>#VALUE!</v>
      </c>
      <c r="C328" s="7" t="e">
        <f t="shared" si="32"/>
        <v>#VALUE!</v>
      </c>
      <c r="D328" s="7" t="e">
        <f t="shared" si="30"/>
        <v>#VALUE!</v>
      </c>
      <c r="E328" s="7" t="e">
        <f>C327*'Crédito de Vivienda'!$E$17</f>
        <v>#VALUE!</v>
      </c>
      <c r="F328" s="282" t="e">
        <f>IF(C327&lt;1,"0",IF('Crédito de Vivienda'!$D$28="Si",($C$17*(VLOOKUP('Crédito de Vivienda'!$C$24,Seguros_Oblig!$A$3:$F$55,6,FALSE))),IF('Crédito de Vivienda'!$C$10="TARIFA 1",(C327*(VLOOKUP('Crédito de Vivienda'!$C$24,Seguros_Oblig!$A$3:$B$55,2,FALSE))),(C327*(VLOOKUP('Crédito de Vivienda'!$C$24,Seguros_Oblig!$A$3:$D$55,4,FALSE))))))</f>
        <v>#VALUE!</v>
      </c>
      <c r="G328" s="8" t="e">
        <f>IF('Crédito de Vivienda'!$C$10="TARIFA 1",(C327*(VLOOKUP('Crédito de Vivienda'!$C$25,Seguros_Oblig!$A$3:$B$55,2,FALSE))),(C327*(VLOOKUP('Crédito de Vivienda'!$C$25,Seguros_Oblig!$A$3:$D$55,4,FALSE))))</f>
        <v>#VALUE!</v>
      </c>
      <c r="H328" s="8" t="e">
        <f>IF('Crédito de Vivienda'!$C$10="TARIFA 1",(C327*(VLOOKUP('Crédito de Vivienda'!$C$26,Seguros_Oblig!$A$3:$B$55,2,FALSE))),(C327*(VLOOKUP('Crédito de Vivienda'!$C$26,Seguros_Oblig!$A$3:$D$55,4,FALSE))))</f>
        <v>#VALUE!</v>
      </c>
      <c r="I328" s="8" t="e">
        <f>IF('Crédito de Vivienda'!$C$10="TARIFA 1",(C327*(VLOOKUP('Crédito de Vivienda'!$C$27,Seguros_Oblig!$A$3:$B$55,2,FALSE))),(C327*(VLOOKUP('Crédito de Vivienda'!$C$27,Seguros_Oblig!$A$3:$D$55,4,FALSE))))</f>
        <v>#VALUE!</v>
      </c>
      <c r="J328" s="10">
        <f t="shared" si="33"/>
        <v>0</v>
      </c>
      <c r="K328" s="7" t="e">
        <f>IF(C327&lt;1,"0",Seguros_Oblig!$K$2*('Crédito de Vivienda'!$C$12*90%))</f>
        <v>#VALUE!</v>
      </c>
      <c r="L328" s="7" t="e">
        <f>IF(B328=" ","0",PMT('Crédito de Vivienda'!$E$17,'Crédito de Vivienda'!$C$18,-'Crédito de Vivienda'!$C$15,,))</f>
        <v>#VALUE!</v>
      </c>
      <c r="M328" s="9" t="e">
        <f t="shared" si="34"/>
        <v>#VALUE!</v>
      </c>
      <c r="N328" s="7" t="e">
        <f>IF(C327&lt;1,"0",'Crédito de Vivienda'!$C$40)</f>
        <v>#VALUE!</v>
      </c>
      <c r="O328" s="9" t="e">
        <f t="shared" si="29"/>
        <v>#VALUE!</v>
      </c>
    </row>
    <row r="329" spans="2:15" ht="15.5" x14ac:dyDescent="0.35">
      <c r="B329" s="6" t="e">
        <f t="shared" si="31"/>
        <v>#VALUE!</v>
      </c>
      <c r="C329" s="7" t="e">
        <f t="shared" si="32"/>
        <v>#VALUE!</v>
      </c>
      <c r="D329" s="7" t="e">
        <f t="shared" si="30"/>
        <v>#VALUE!</v>
      </c>
      <c r="E329" s="7" t="e">
        <f>C328*'Crédito de Vivienda'!$E$17</f>
        <v>#VALUE!</v>
      </c>
      <c r="F329" s="282" t="e">
        <f>IF(C328&lt;1,"0",IF('Crédito de Vivienda'!$D$28="Si",($C$17*(VLOOKUP('Crédito de Vivienda'!$C$24,Seguros_Oblig!$A$3:$F$55,6,FALSE))),IF('Crédito de Vivienda'!$C$10="TARIFA 1",(C328*(VLOOKUP('Crédito de Vivienda'!$C$24,Seguros_Oblig!$A$3:$B$55,2,FALSE))),(C328*(VLOOKUP('Crédito de Vivienda'!$C$24,Seguros_Oblig!$A$3:$D$55,4,FALSE))))))</f>
        <v>#VALUE!</v>
      </c>
      <c r="G329" s="8" t="e">
        <f>IF('Crédito de Vivienda'!$C$10="TARIFA 1",(C328*(VLOOKUP('Crédito de Vivienda'!$C$25,Seguros_Oblig!$A$3:$B$55,2,FALSE))),(C328*(VLOOKUP('Crédito de Vivienda'!$C$25,Seguros_Oblig!$A$3:$D$55,4,FALSE))))</f>
        <v>#VALUE!</v>
      </c>
      <c r="H329" s="8" t="e">
        <f>IF('Crédito de Vivienda'!$C$10="TARIFA 1",(C328*(VLOOKUP('Crédito de Vivienda'!$C$26,Seguros_Oblig!$A$3:$B$55,2,FALSE))),(C328*(VLOOKUP('Crédito de Vivienda'!$C$26,Seguros_Oblig!$A$3:$D$55,4,FALSE))))</f>
        <v>#VALUE!</v>
      </c>
      <c r="I329" s="8" t="e">
        <f>IF('Crédito de Vivienda'!$C$10="TARIFA 1",(C328*(VLOOKUP('Crédito de Vivienda'!$C$27,Seguros_Oblig!$A$3:$B$55,2,FALSE))),(C328*(VLOOKUP('Crédito de Vivienda'!$C$27,Seguros_Oblig!$A$3:$D$55,4,FALSE))))</f>
        <v>#VALUE!</v>
      </c>
      <c r="J329" s="10">
        <f t="shared" si="33"/>
        <v>0</v>
      </c>
      <c r="K329" s="7" t="e">
        <f>IF(C328&lt;1,"0",Seguros_Oblig!$K$2*('Crédito de Vivienda'!$C$12*90%))</f>
        <v>#VALUE!</v>
      </c>
      <c r="L329" s="7" t="e">
        <f>IF(B329=" ","0",PMT('Crédito de Vivienda'!$E$17,'Crédito de Vivienda'!$C$18,-'Crédito de Vivienda'!$C$15,,))</f>
        <v>#VALUE!</v>
      </c>
      <c r="M329" s="9" t="e">
        <f t="shared" si="34"/>
        <v>#VALUE!</v>
      </c>
      <c r="N329" s="7" t="e">
        <f>IF(C328&lt;1,"0",'Crédito de Vivienda'!$C$40)</f>
        <v>#VALUE!</v>
      </c>
      <c r="O329" s="9" t="e">
        <f t="shared" si="29"/>
        <v>#VALUE!</v>
      </c>
    </row>
    <row r="330" spans="2:15" ht="15.5" x14ac:dyDescent="0.35">
      <c r="B330" s="6" t="e">
        <f t="shared" si="31"/>
        <v>#VALUE!</v>
      </c>
      <c r="C330" s="7" t="e">
        <f t="shared" si="32"/>
        <v>#VALUE!</v>
      </c>
      <c r="D330" s="7" t="e">
        <f t="shared" si="30"/>
        <v>#VALUE!</v>
      </c>
      <c r="E330" s="7" t="e">
        <f>C329*'Crédito de Vivienda'!$E$17</f>
        <v>#VALUE!</v>
      </c>
      <c r="F330" s="282" t="e">
        <f>IF(C329&lt;1,"0",IF('Crédito de Vivienda'!$D$28="Si",($C$17*(VLOOKUP('Crédito de Vivienda'!$C$24,Seguros_Oblig!$A$3:$F$55,6,FALSE))),IF('Crédito de Vivienda'!$C$10="TARIFA 1",(C329*(VLOOKUP('Crédito de Vivienda'!$C$24,Seguros_Oblig!$A$3:$B$55,2,FALSE))),(C329*(VLOOKUP('Crédito de Vivienda'!$C$24,Seguros_Oblig!$A$3:$D$55,4,FALSE))))))</f>
        <v>#VALUE!</v>
      </c>
      <c r="G330" s="8" t="e">
        <f>IF('Crédito de Vivienda'!$C$10="TARIFA 1",(C329*(VLOOKUP('Crédito de Vivienda'!$C$25,Seguros_Oblig!$A$3:$B$55,2,FALSE))),(C329*(VLOOKUP('Crédito de Vivienda'!$C$25,Seguros_Oblig!$A$3:$D$55,4,FALSE))))</f>
        <v>#VALUE!</v>
      </c>
      <c r="H330" s="8" t="e">
        <f>IF('Crédito de Vivienda'!$C$10="TARIFA 1",(C329*(VLOOKUP('Crédito de Vivienda'!$C$26,Seguros_Oblig!$A$3:$B$55,2,FALSE))),(C329*(VLOOKUP('Crédito de Vivienda'!$C$26,Seguros_Oblig!$A$3:$D$55,4,FALSE))))</f>
        <v>#VALUE!</v>
      </c>
      <c r="I330" s="8" t="e">
        <f>IF('Crédito de Vivienda'!$C$10="TARIFA 1",(C329*(VLOOKUP('Crédito de Vivienda'!$C$27,Seguros_Oblig!$A$3:$B$55,2,FALSE))),(C329*(VLOOKUP('Crédito de Vivienda'!$C$27,Seguros_Oblig!$A$3:$D$55,4,FALSE))))</f>
        <v>#VALUE!</v>
      </c>
      <c r="J330" s="10">
        <f t="shared" si="33"/>
        <v>0</v>
      </c>
      <c r="K330" s="7" t="e">
        <f>IF(C329&lt;1,"0",Seguros_Oblig!$K$2*('Crédito de Vivienda'!$C$12*90%))</f>
        <v>#VALUE!</v>
      </c>
      <c r="L330" s="7" t="e">
        <f>IF(B330=" ","0",PMT('Crédito de Vivienda'!$E$17,'Crédito de Vivienda'!$C$18,-'Crédito de Vivienda'!$C$15,,))</f>
        <v>#VALUE!</v>
      </c>
      <c r="M330" s="9" t="e">
        <f t="shared" si="34"/>
        <v>#VALUE!</v>
      </c>
      <c r="N330" s="7" t="e">
        <f>IF(C329&lt;1,"0",'Crédito de Vivienda'!$C$40)</f>
        <v>#VALUE!</v>
      </c>
      <c r="O330" s="9" t="e">
        <f t="shared" si="29"/>
        <v>#VALUE!</v>
      </c>
    </row>
    <row r="331" spans="2:15" ht="15.5" x14ac:dyDescent="0.35">
      <c r="B331" s="6" t="e">
        <f t="shared" si="31"/>
        <v>#VALUE!</v>
      </c>
      <c r="C331" s="7" t="e">
        <f t="shared" si="32"/>
        <v>#VALUE!</v>
      </c>
      <c r="D331" s="7" t="e">
        <f t="shared" si="30"/>
        <v>#VALUE!</v>
      </c>
      <c r="E331" s="7" t="e">
        <f>C330*'Crédito de Vivienda'!$E$17</f>
        <v>#VALUE!</v>
      </c>
      <c r="F331" s="282" t="e">
        <f>IF(C330&lt;1,"0",IF('Crédito de Vivienda'!$D$28="Si",($C$17*(VLOOKUP('Crédito de Vivienda'!$C$24,Seguros_Oblig!$A$3:$F$55,6,FALSE))),IF('Crédito de Vivienda'!$C$10="TARIFA 1",(C330*(VLOOKUP('Crédito de Vivienda'!$C$24,Seguros_Oblig!$A$3:$B$55,2,FALSE))),(C330*(VLOOKUP('Crédito de Vivienda'!$C$24,Seguros_Oblig!$A$3:$D$55,4,FALSE))))))</f>
        <v>#VALUE!</v>
      </c>
      <c r="G331" s="8" t="e">
        <f>IF('Crédito de Vivienda'!$C$10="TARIFA 1",(C330*(VLOOKUP('Crédito de Vivienda'!$C$25,Seguros_Oblig!$A$3:$B$55,2,FALSE))),(C330*(VLOOKUP('Crédito de Vivienda'!$C$25,Seguros_Oblig!$A$3:$D$55,4,FALSE))))</f>
        <v>#VALUE!</v>
      </c>
      <c r="H331" s="8" t="e">
        <f>IF('Crédito de Vivienda'!$C$10="TARIFA 1",(C330*(VLOOKUP('Crédito de Vivienda'!$C$26,Seguros_Oblig!$A$3:$B$55,2,FALSE))),(C330*(VLOOKUP('Crédito de Vivienda'!$C$26,Seguros_Oblig!$A$3:$D$55,4,FALSE))))</f>
        <v>#VALUE!</v>
      </c>
      <c r="I331" s="8" t="e">
        <f>IF('Crédito de Vivienda'!$C$10="TARIFA 1",(C330*(VLOOKUP('Crédito de Vivienda'!$C$27,Seguros_Oblig!$A$3:$B$55,2,FALSE))),(C330*(VLOOKUP('Crédito de Vivienda'!$C$27,Seguros_Oblig!$A$3:$D$55,4,FALSE))))</f>
        <v>#VALUE!</v>
      </c>
      <c r="J331" s="10">
        <f t="shared" si="33"/>
        <v>0</v>
      </c>
      <c r="K331" s="7" t="e">
        <f>IF(C330&lt;1,"0",Seguros_Oblig!$K$2*('Crédito de Vivienda'!$C$12*90%))</f>
        <v>#VALUE!</v>
      </c>
      <c r="L331" s="7" t="e">
        <f>IF(B331=" ","0",PMT('Crédito de Vivienda'!$E$17,'Crédito de Vivienda'!$C$18,-'Crédito de Vivienda'!$C$15,,))</f>
        <v>#VALUE!</v>
      </c>
      <c r="M331" s="9" t="e">
        <f t="shared" si="34"/>
        <v>#VALUE!</v>
      </c>
      <c r="N331" s="7" t="e">
        <f>IF(C330&lt;1,"0",'Crédito de Vivienda'!$C$40)</f>
        <v>#VALUE!</v>
      </c>
      <c r="O331" s="9" t="e">
        <f t="shared" si="29"/>
        <v>#VALUE!</v>
      </c>
    </row>
    <row r="332" spans="2:15" ht="15.5" x14ac:dyDescent="0.35">
      <c r="B332" s="6" t="e">
        <f t="shared" si="31"/>
        <v>#VALUE!</v>
      </c>
      <c r="C332" s="7" t="e">
        <f t="shared" si="32"/>
        <v>#VALUE!</v>
      </c>
      <c r="D332" s="7" t="e">
        <f t="shared" si="30"/>
        <v>#VALUE!</v>
      </c>
      <c r="E332" s="7" t="e">
        <f>C331*'Crédito de Vivienda'!$E$17</f>
        <v>#VALUE!</v>
      </c>
      <c r="F332" s="282" t="e">
        <f>IF(C331&lt;1,"0",IF('Crédito de Vivienda'!$D$28="Si",($C$17*(VLOOKUP('Crédito de Vivienda'!$C$24,Seguros_Oblig!$A$3:$F$55,6,FALSE))),IF('Crédito de Vivienda'!$C$10="TARIFA 1",(C331*(VLOOKUP('Crédito de Vivienda'!$C$24,Seguros_Oblig!$A$3:$B$55,2,FALSE))),(C331*(VLOOKUP('Crédito de Vivienda'!$C$24,Seguros_Oblig!$A$3:$D$55,4,FALSE))))))</f>
        <v>#VALUE!</v>
      </c>
      <c r="G332" s="8" t="e">
        <f>IF('Crédito de Vivienda'!$C$10="TARIFA 1",(C331*(VLOOKUP('Crédito de Vivienda'!$C$25,Seguros_Oblig!$A$3:$B$55,2,FALSE))),(C331*(VLOOKUP('Crédito de Vivienda'!$C$25,Seguros_Oblig!$A$3:$D$55,4,FALSE))))</f>
        <v>#VALUE!</v>
      </c>
      <c r="H332" s="8" t="e">
        <f>IF('Crédito de Vivienda'!$C$10="TARIFA 1",(C331*(VLOOKUP('Crédito de Vivienda'!$C$26,Seguros_Oblig!$A$3:$B$55,2,FALSE))),(C331*(VLOOKUP('Crédito de Vivienda'!$C$26,Seguros_Oblig!$A$3:$D$55,4,FALSE))))</f>
        <v>#VALUE!</v>
      </c>
      <c r="I332" s="8" t="e">
        <f>IF('Crédito de Vivienda'!$C$10="TARIFA 1",(C331*(VLOOKUP('Crédito de Vivienda'!$C$27,Seguros_Oblig!$A$3:$B$55,2,FALSE))),(C331*(VLOOKUP('Crédito de Vivienda'!$C$27,Seguros_Oblig!$A$3:$D$55,4,FALSE))))</f>
        <v>#VALUE!</v>
      </c>
      <c r="J332" s="10">
        <f t="shared" si="33"/>
        <v>0</v>
      </c>
      <c r="K332" s="7" t="e">
        <f>IF(C331&lt;1,"0",Seguros_Oblig!$K$2*('Crédito de Vivienda'!$C$12*90%))</f>
        <v>#VALUE!</v>
      </c>
      <c r="L332" s="7" t="e">
        <f>IF(B332=" ","0",PMT('Crédito de Vivienda'!$E$17,'Crédito de Vivienda'!$C$18,-'Crédito de Vivienda'!$C$15,,))</f>
        <v>#VALUE!</v>
      </c>
      <c r="M332" s="9" t="e">
        <f t="shared" si="34"/>
        <v>#VALUE!</v>
      </c>
      <c r="N332" s="7" t="e">
        <f>IF(C331&lt;1,"0",'Crédito de Vivienda'!$C$40)</f>
        <v>#VALUE!</v>
      </c>
      <c r="O332" s="9" t="e">
        <f t="shared" si="29"/>
        <v>#VALUE!</v>
      </c>
    </row>
    <row r="333" spans="2:15" ht="15.5" x14ac:dyDescent="0.35">
      <c r="B333" s="6" t="e">
        <f t="shared" si="31"/>
        <v>#VALUE!</v>
      </c>
      <c r="C333" s="7" t="e">
        <f t="shared" si="32"/>
        <v>#VALUE!</v>
      </c>
      <c r="D333" s="7" t="e">
        <f t="shared" si="30"/>
        <v>#VALUE!</v>
      </c>
      <c r="E333" s="7" t="e">
        <f>C332*'Crédito de Vivienda'!$E$17</f>
        <v>#VALUE!</v>
      </c>
      <c r="F333" s="282" t="e">
        <f>IF(C332&lt;1,"0",IF('Crédito de Vivienda'!$D$28="Si",($C$17*(VLOOKUP('Crédito de Vivienda'!$C$24,Seguros_Oblig!$A$3:$F$55,6,FALSE))),IF('Crédito de Vivienda'!$C$10="TARIFA 1",(C332*(VLOOKUP('Crédito de Vivienda'!$C$24,Seguros_Oblig!$A$3:$B$55,2,FALSE))),(C332*(VLOOKUP('Crédito de Vivienda'!$C$24,Seguros_Oblig!$A$3:$D$55,4,FALSE))))))</f>
        <v>#VALUE!</v>
      </c>
      <c r="G333" s="8" t="e">
        <f>IF('Crédito de Vivienda'!$C$10="TARIFA 1",(C332*(VLOOKUP('Crédito de Vivienda'!$C$25,Seguros_Oblig!$A$3:$B$55,2,FALSE))),(C332*(VLOOKUP('Crédito de Vivienda'!$C$25,Seguros_Oblig!$A$3:$D$55,4,FALSE))))</f>
        <v>#VALUE!</v>
      </c>
      <c r="H333" s="8" t="e">
        <f>IF('Crédito de Vivienda'!$C$10="TARIFA 1",(C332*(VLOOKUP('Crédito de Vivienda'!$C$26,Seguros_Oblig!$A$3:$B$55,2,FALSE))),(C332*(VLOOKUP('Crédito de Vivienda'!$C$26,Seguros_Oblig!$A$3:$D$55,4,FALSE))))</f>
        <v>#VALUE!</v>
      </c>
      <c r="I333" s="8" t="e">
        <f>IF('Crédito de Vivienda'!$C$10="TARIFA 1",(C332*(VLOOKUP('Crédito de Vivienda'!$C$27,Seguros_Oblig!$A$3:$B$55,2,FALSE))),(C332*(VLOOKUP('Crédito de Vivienda'!$C$27,Seguros_Oblig!$A$3:$D$55,4,FALSE))))</f>
        <v>#VALUE!</v>
      </c>
      <c r="J333" s="10">
        <f t="shared" si="33"/>
        <v>0</v>
      </c>
      <c r="K333" s="7" t="e">
        <f>IF(C332&lt;1,"0",Seguros_Oblig!$K$2*('Crédito de Vivienda'!$C$12*90%))</f>
        <v>#VALUE!</v>
      </c>
      <c r="L333" s="7" t="e">
        <f>IF(B333=" ","0",PMT('Crédito de Vivienda'!$E$17,'Crédito de Vivienda'!$C$18,-'Crédito de Vivienda'!$C$15,,))</f>
        <v>#VALUE!</v>
      </c>
      <c r="M333" s="9" t="e">
        <f t="shared" si="34"/>
        <v>#VALUE!</v>
      </c>
      <c r="N333" s="7" t="e">
        <f>IF(C332&lt;1,"0",'Crédito de Vivienda'!$C$40)</f>
        <v>#VALUE!</v>
      </c>
      <c r="O333" s="9" t="e">
        <f t="shared" si="29"/>
        <v>#VALUE!</v>
      </c>
    </row>
    <row r="334" spans="2:15" ht="15.5" x14ac:dyDescent="0.35">
      <c r="B334" s="6" t="e">
        <f t="shared" si="31"/>
        <v>#VALUE!</v>
      </c>
      <c r="C334" s="7" t="e">
        <f t="shared" si="32"/>
        <v>#VALUE!</v>
      </c>
      <c r="D334" s="7" t="e">
        <f t="shared" si="30"/>
        <v>#VALUE!</v>
      </c>
      <c r="E334" s="7" t="e">
        <f>C333*'Crédito de Vivienda'!$E$17</f>
        <v>#VALUE!</v>
      </c>
      <c r="F334" s="282" t="e">
        <f>IF(C333&lt;1,"0",IF('Crédito de Vivienda'!$D$28="Si",($C$17*(VLOOKUP('Crédito de Vivienda'!$C$24,Seguros_Oblig!$A$3:$F$55,6,FALSE))),IF('Crédito de Vivienda'!$C$10="TARIFA 1",(C333*(VLOOKUP('Crédito de Vivienda'!$C$24,Seguros_Oblig!$A$3:$B$55,2,FALSE))),(C333*(VLOOKUP('Crédito de Vivienda'!$C$24,Seguros_Oblig!$A$3:$D$55,4,FALSE))))))</f>
        <v>#VALUE!</v>
      </c>
      <c r="G334" s="8" t="e">
        <f>IF('Crédito de Vivienda'!$C$10="TARIFA 1",(C333*(VLOOKUP('Crédito de Vivienda'!$C$25,Seguros_Oblig!$A$3:$B$55,2,FALSE))),(C333*(VLOOKUP('Crédito de Vivienda'!$C$25,Seguros_Oblig!$A$3:$D$55,4,FALSE))))</f>
        <v>#VALUE!</v>
      </c>
      <c r="H334" s="8" t="e">
        <f>IF('Crédito de Vivienda'!$C$10="TARIFA 1",(C333*(VLOOKUP('Crédito de Vivienda'!$C$26,Seguros_Oblig!$A$3:$B$55,2,FALSE))),(C333*(VLOOKUP('Crédito de Vivienda'!$C$26,Seguros_Oblig!$A$3:$D$55,4,FALSE))))</f>
        <v>#VALUE!</v>
      </c>
      <c r="I334" s="8" t="e">
        <f>IF('Crédito de Vivienda'!$C$10="TARIFA 1",(C333*(VLOOKUP('Crédito de Vivienda'!$C$27,Seguros_Oblig!$A$3:$B$55,2,FALSE))),(C333*(VLOOKUP('Crédito de Vivienda'!$C$27,Seguros_Oblig!$A$3:$D$55,4,FALSE))))</f>
        <v>#VALUE!</v>
      </c>
      <c r="J334" s="10">
        <f t="shared" si="33"/>
        <v>0</v>
      </c>
      <c r="K334" s="7" t="e">
        <f>IF(C333&lt;1,"0",Seguros_Oblig!$K$2*('Crédito de Vivienda'!$C$12*90%))</f>
        <v>#VALUE!</v>
      </c>
      <c r="L334" s="7" t="e">
        <f>IF(B334=" ","0",PMT('Crédito de Vivienda'!$E$17,'Crédito de Vivienda'!$C$18,-'Crédito de Vivienda'!$C$15,,))</f>
        <v>#VALUE!</v>
      </c>
      <c r="M334" s="9" t="e">
        <f t="shared" si="34"/>
        <v>#VALUE!</v>
      </c>
      <c r="N334" s="7" t="e">
        <f>IF(C333&lt;1,"0",'Crédito de Vivienda'!$C$40)</f>
        <v>#VALUE!</v>
      </c>
      <c r="O334" s="9" t="e">
        <f t="shared" si="29"/>
        <v>#VALUE!</v>
      </c>
    </row>
    <row r="335" spans="2:15" ht="15.5" x14ac:dyDescent="0.35">
      <c r="B335" s="6" t="e">
        <f t="shared" si="31"/>
        <v>#VALUE!</v>
      </c>
      <c r="C335" s="7" t="e">
        <f t="shared" si="32"/>
        <v>#VALUE!</v>
      </c>
      <c r="D335" s="7" t="e">
        <f t="shared" si="30"/>
        <v>#VALUE!</v>
      </c>
      <c r="E335" s="7" t="e">
        <f>C334*'Crédito de Vivienda'!$E$17</f>
        <v>#VALUE!</v>
      </c>
      <c r="F335" s="282" t="e">
        <f>IF(C334&lt;1,"0",IF('Crédito de Vivienda'!$D$28="Si",($C$17*(VLOOKUP('Crédito de Vivienda'!$C$24,Seguros_Oblig!$A$3:$F$55,6,FALSE))),IF('Crédito de Vivienda'!$C$10="TARIFA 1",(C334*(VLOOKUP('Crédito de Vivienda'!$C$24,Seguros_Oblig!$A$3:$B$55,2,FALSE))),(C334*(VLOOKUP('Crédito de Vivienda'!$C$24,Seguros_Oblig!$A$3:$D$55,4,FALSE))))))</f>
        <v>#VALUE!</v>
      </c>
      <c r="G335" s="8" t="e">
        <f>IF('Crédito de Vivienda'!$C$10="TARIFA 1",(C334*(VLOOKUP('Crédito de Vivienda'!$C$25,Seguros_Oblig!$A$3:$B$55,2,FALSE))),(C334*(VLOOKUP('Crédito de Vivienda'!$C$25,Seguros_Oblig!$A$3:$D$55,4,FALSE))))</f>
        <v>#VALUE!</v>
      </c>
      <c r="H335" s="8" t="e">
        <f>IF('Crédito de Vivienda'!$C$10="TARIFA 1",(C334*(VLOOKUP('Crédito de Vivienda'!$C$26,Seguros_Oblig!$A$3:$B$55,2,FALSE))),(C334*(VLOOKUP('Crédito de Vivienda'!$C$26,Seguros_Oblig!$A$3:$D$55,4,FALSE))))</f>
        <v>#VALUE!</v>
      </c>
      <c r="I335" s="8" t="e">
        <f>IF('Crédito de Vivienda'!$C$10="TARIFA 1",(C334*(VLOOKUP('Crédito de Vivienda'!$C$27,Seguros_Oblig!$A$3:$B$55,2,FALSE))),(C334*(VLOOKUP('Crédito de Vivienda'!$C$27,Seguros_Oblig!$A$3:$D$55,4,FALSE))))</f>
        <v>#VALUE!</v>
      </c>
      <c r="J335" s="10">
        <f t="shared" si="33"/>
        <v>0</v>
      </c>
      <c r="K335" s="7" t="e">
        <f>IF(C334&lt;1,"0",Seguros_Oblig!$K$2*('Crédito de Vivienda'!$C$12*90%))</f>
        <v>#VALUE!</v>
      </c>
      <c r="L335" s="7" t="e">
        <f>IF(B335=" ","0",PMT('Crédito de Vivienda'!$E$17,'Crédito de Vivienda'!$C$18,-'Crédito de Vivienda'!$C$15,,))</f>
        <v>#VALUE!</v>
      </c>
      <c r="M335" s="9" t="e">
        <f t="shared" si="34"/>
        <v>#VALUE!</v>
      </c>
      <c r="N335" s="7" t="e">
        <f>IF(C334&lt;1,"0",'Crédito de Vivienda'!$C$40)</f>
        <v>#VALUE!</v>
      </c>
      <c r="O335" s="9" t="e">
        <f t="shared" si="29"/>
        <v>#VALUE!</v>
      </c>
    </row>
    <row r="336" spans="2:15" ht="15.5" x14ac:dyDescent="0.35">
      <c r="B336" s="6" t="e">
        <f t="shared" si="31"/>
        <v>#VALUE!</v>
      </c>
      <c r="C336" s="7" t="e">
        <f t="shared" si="32"/>
        <v>#VALUE!</v>
      </c>
      <c r="D336" s="7" t="e">
        <f t="shared" si="30"/>
        <v>#VALUE!</v>
      </c>
      <c r="E336" s="7" t="e">
        <f>C335*'Crédito de Vivienda'!$E$17</f>
        <v>#VALUE!</v>
      </c>
      <c r="F336" s="282" t="e">
        <f>IF(C335&lt;1,"0",IF('Crédito de Vivienda'!$D$28="Si",($C$17*(VLOOKUP('Crédito de Vivienda'!$C$24,Seguros_Oblig!$A$3:$F$55,6,FALSE))),IF('Crédito de Vivienda'!$C$10="TARIFA 1",(C335*(VLOOKUP('Crédito de Vivienda'!$C$24,Seguros_Oblig!$A$3:$B$55,2,FALSE))),(C335*(VLOOKUP('Crédito de Vivienda'!$C$24,Seguros_Oblig!$A$3:$D$55,4,FALSE))))))</f>
        <v>#VALUE!</v>
      </c>
      <c r="G336" s="8" t="e">
        <f>IF('Crédito de Vivienda'!$C$10="TARIFA 1",(C335*(VLOOKUP('Crédito de Vivienda'!$C$25,Seguros_Oblig!$A$3:$B$55,2,FALSE))),(C335*(VLOOKUP('Crédito de Vivienda'!$C$25,Seguros_Oblig!$A$3:$D$55,4,FALSE))))</f>
        <v>#VALUE!</v>
      </c>
      <c r="H336" s="8" t="e">
        <f>IF('Crédito de Vivienda'!$C$10="TARIFA 1",(C335*(VLOOKUP('Crédito de Vivienda'!$C$26,Seguros_Oblig!$A$3:$B$55,2,FALSE))),(C335*(VLOOKUP('Crédito de Vivienda'!$C$26,Seguros_Oblig!$A$3:$D$55,4,FALSE))))</f>
        <v>#VALUE!</v>
      </c>
      <c r="I336" s="8" t="e">
        <f>IF('Crédito de Vivienda'!$C$10="TARIFA 1",(C335*(VLOOKUP('Crédito de Vivienda'!$C$27,Seguros_Oblig!$A$3:$B$55,2,FALSE))),(C335*(VLOOKUP('Crédito de Vivienda'!$C$27,Seguros_Oblig!$A$3:$D$55,4,FALSE))))</f>
        <v>#VALUE!</v>
      </c>
      <c r="J336" s="10">
        <f t="shared" si="33"/>
        <v>0</v>
      </c>
      <c r="K336" s="7" t="e">
        <f>IF(C335&lt;1,"0",Seguros_Oblig!$K$2*('Crédito de Vivienda'!$C$12*90%))</f>
        <v>#VALUE!</v>
      </c>
      <c r="L336" s="7" t="e">
        <f>IF(B336=" ","0",PMT('Crédito de Vivienda'!$E$17,'Crédito de Vivienda'!$C$18,-'Crédito de Vivienda'!$C$15,,))</f>
        <v>#VALUE!</v>
      </c>
      <c r="M336" s="9" t="e">
        <f t="shared" si="34"/>
        <v>#VALUE!</v>
      </c>
      <c r="N336" s="7" t="e">
        <f>IF(C335&lt;1,"0",'Crédito de Vivienda'!$C$40)</f>
        <v>#VALUE!</v>
      </c>
      <c r="O336" s="9" t="e">
        <f t="shared" si="29"/>
        <v>#VALUE!</v>
      </c>
    </row>
    <row r="337" spans="2:15" ht="15.5" x14ac:dyDescent="0.35">
      <c r="B337" s="6" t="e">
        <f t="shared" si="31"/>
        <v>#VALUE!</v>
      </c>
      <c r="C337" s="7" t="e">
        <f t="shared" si="32"/>
        <v>#VALUE!</v>
      </c>
      <c r="D337" s="7" t="e">
        <f t="shared" si="30"/>
        <v>#VALUE!</v>
      </c>
      <c r="E337" s="7" t="e">
        <f>C336*'Crédito de Vivienda'!$E$17</f>
        <v>#VALUE!</v>
      </c>
      <c r="F337" s="282" t="e">
        <f>IF(C336&lt;1,"0",IF('Crédito de Vivienda'!$D$28="Si",($C$17*(VLOOKUP('Crédito de Vivienda'!$C$24,Seguros_Oblig!$A$3:$F$55,6,FALSE))),IF('Crédito de Vivienda'!$C$10="TARIFA 1",(C336*(VLOOKUP('Crédito de Vivienda'!$C$24,Seguros_Oblig!$A$3:$B$55,2,FALSE))),(C336*(VLOOKUP('Crédito de Vivienda'!$C$24,Seguros_Oblig!$A$3:$D$55,4,FALSE))))))</f>
        <v>#VALUE!</v>
      </c>
      <c r="G337" s="8" t="e">
        <f>IF('Crédito de Vivienda'!$C$10="TARIFA 1",(C336*(VLOOKUP('Crédito de Vivienda'!$C$25,Seguros_Oblig!$A$3:$B$55,2,FALSE))),(C336*(VLOOKUP('Crédito de Vivienda'!$C$25,Seguros_Oblig!$A$3:$D$55,4,FALSE))))</f>
        <v>#VALUE!</v>
      </c>
      <c r="H337" s="8" t="e">
        <f>IF('Crédito de Vivienda'!$C$10="TARIFA 1",(C336*(VLOOKUP('Crédito de Vivienda'!$C$26,Seguros_Oblig!$A$3:$B$55,2,FALSE))),(C336*(VLOOKUP('Crédito de Vivienda'!$C$26,Seguros_Oblig!$A$3:$D$55,4,FALSE))))</f>
        <v>#VALUE!</v>
      </c>
      <c r="I337" s="8" t="e">
        <f>IF('Crédito de Vivienda'!$C$10="TARIFA 1",(C336*(VLOOKUP('Crédito de Vivienda'!$C$27,Seguros_Oblig!$A$3:$B$55,2,FALSE))),(C336*(VLOOKUP('Crédito de Vivienda'!$C$27,Seguros_Oblig!$A$3:$D$55,4,FALSE))))</f>
        <v>#VALUE!</v>
      </c>
      <c r="J337" s="10">
        <f t="shared" si="33"/>
        <v>0</v>
      </c>
      <c r="K337" s="7" t="e">
        <f>IF(C336&lt;1,"0",Seguros_Oblig!$K$2*('Crédito de Vivienda'!$C$12*90%))</f>
        <v>#VALUE!</v>
      </c>
      <c r="L337" s="7" t="e">
        <f>IF(B337=" ","0",PMT('Crédito de Vivienda'!$E$17,'Crédito de Vivienda'!$C$18,-'Crédito de Vivienda'!$C$15,,))</f>
        <v>#VALUE!</v>
      </c>
      <c r="M337" s="9" t="e">
        <f t="shared" si="34"/>
        <v>#VALUE!</v>
      </c>
      <c r="N337" s="7" t="e">
        <f>IF(C336&lt;1,"0",'Crédito de Vivienda'!$C$40)</f>
        <v>#VALUE!</v>
      </c>
      <c r="O337" s="9" t="e">
        <f t="shared" si="29"/>
        <v>#VALUE!</v>
      </c>
    </row>
    <row r="338" spans="2:15" ht="15.5" x14ac:dyDescent="0.35">
      <c r="B338" s="6" t="e">
        <f t="shared" si="31"/>
        <v>#VALUE!</v>
      </c>
      <c r="C338" s="7" t="e">
        <f t="shared" si="32"/>
        <v>#VALUE!</v>
      </c>
      <c r="D338" s="7" t="e">
        <f t="shared" si="30"/>
        <v>#VALUE!</v>
      </c>
      <c r="E338" s="7" t="e">
        <f>C337*'Crédito de Vivienda'!$E$17</f>
        <v>#VALUE!</v>
      </c>
      <c r="F338" s="282" t="e">
        <f>IF(C337&lt;1,"0",IF('Crédito de Vivienda'!$D$28="Si",($C$17*(VLOOKUP('Crédito de Vivienda'!$C$24,Seguros_Oblig!$A$3:$F$55,6,FALSE))),IF('Crédito de Vivienda'!$C$10="TARIFA 1",(C337*(VLOOKUP('Crédito de Vivienda'!$C$24,Seguros_Oblig!$A$3:$B$55,2,FALSE))),(C337*(VLOOKUP('Crédito de Vivienda'!$C$24,Seguros_Oblig!$A$3:$D$55,4,FALSE))))))</f>
        <v>#VALUE!</v>
      </c>
      <c r="G338" s="8" t="e">
        <f>IF('Crédito de Vivienda'!$C$10="TARIFA 1",(C337*(VLOOKUP('Crédito de Vivienda'!$C$25,Seguros_Oblig!$A$3:$B$55,2,FALSE))),(C337*(VLOOKUP('Crédito de Vivienda'!$C$25,Seguros_Oblig!$A$3:$D$55,4,FALSE))))</f>
        <v>#VALUE!</v>
      </c>
      <c r="H338" s="8" t="e">
        <f>IF('Crédito de Vivienda'!$C$10="TARIFA 1",(C337*(VLOOKUP('Crédito de Vivienda'!$C$26,Seguros_Oblig!$A$3:$B$55,2,FALSE))),(C337*(VLOOKUP('Crédito de Vivienda'!$C$26,Seguros_Oblig!$A$3:$D$55,4,FALSE))))</f>
        <v>#VALUE!</v>
      </c>
      <c r="I338" s="8" t="e">
        <f>IF('Crédito de Vivienda'!$C$10="TARIFA 1",(C337*(VLOOKUP('Crédito de Vivienda'!$C$27,Seguros_Oblig!$A$3:$B$55,2,FALSE))),(C337*(VLOOKUP('Crédito de Vivienda'!$C$27,Seguros_Oblig!$A$3:$D$55,4,FALSE))))</f>
        <v>#VALUE!</v>
      </c>
      <c r="J338" s="10">
        <f t="shared" si="33"/>
        <v>0</v>
      </c>
      <c r="K338" s="7" t="e">
        <f>IF(C337&lt;1,"0",Seguros_Oblig!$K$2*('Crédito de Vivienda'!$C$12*90%))</f>
        <v>#VALUE!</v>
      </c>
      <c r="L338" s="7" t="e">
        <f>IF(B338=" ","0",PMT('Crédito de Vivienda'!$E$17,'Crédito de Vivienda'!$C$18,-'Crédito de Vivienda'!$C$15,,))</f>
        <v>#VALUE!</v>
      </c>
      <c r="M338" s="9" t="e">
        <f t="shared" si="34"/>
        <v>#VALUE!</v>
      </c>
      <c r="N338" s="7" t="e">
        <f>IF(C337&lt;1,"0",'Crédito de Vivienda'!$C$40)</f>
        <v>#VALUE!</v>
      </c>
      <c r="O338" s="9" t="e">
        <f t="shared" si="29"/>
        <v>#VALUE!</v>
      </c>
    </row>
    <row r="339" spans="2:15" ht="15.5" x14ac:dyDescent="0.35">
      <c r="B339" s="6" t="e">
        <f t="shared" si="31"/>
        <v>#VALUE!</v>
      </c>
      <c r="C339" s="7" t="e">
        <f t="shared" si="32"/>
        <v>#VALUE!</v>
      </c>
      <c r="D339" s="7" t="e">
        <f t="shared" si="30"/>
        <v>#VALUE!</v>
      </c>
      <c r="E339" s="7" t="e">
        <f>C338*'Crédito de Vivienda'!$E$17</f>
        <v>#VALUE!</v>
      </c>
      <c r="F339" s="282" t="e">
        <f>IF(C338&lt;1,"0",IF('Crédito de Vivienda'!$D$28="Si",($C$17*(VLOOKUP('Crédito de Vivienda'!$C$24,Seguros_Oblig!$A$3:$F$55,6,FALSE))),IF('Crédito de Vivienda'!$C$10="TARIFA 1",(C338*(VLOOKUP('Crédito de Vivienda'!$C$24,Seguros_Oblig!$A$3:$B$55,2,FALSE))),(C338*(VLOOKUP('Crédito de Vivienda'!$C$24,Seguros_Oblig!$A$3:$D$55,4,FALSE))))))</f>
        <v>#VALUE!</v>
      </c>
      <c r="G339" s="8" t="e">
        <f>IF('Crédito de Vivienda'!$C$10="TARIFA 1",(C338*(VLOOKUP('Crédito de Vivienda'!$C$25,Seguros_Oblig!$A$3:$B$55,2,FALSE))),(C338*(VLOOKUP('Crédito de Vivienda'!$C$25,Seguros_Oblig!$A$3:$D$55,4,FALSE))))</f>
        <v>#VALUE!</v>
      </c>
      <c r="H339" s="8" t="e">
        <f>IF('Crédito de Vivienda'!$C$10="TARIFA 1",(C338*(VLOOKUP('Crédito de Vivienda'!$C$26,Seguros_Oblig!$A$3:$B$55,2,FALSE))),(C338*(VLOOKUP('Crédito de Vivienda'!$C$26,Seguros_Oblig!$A$3:$D$55,4,FALSE))))</f>
        <v>#VALUE!</v>
      </c>
      <c r="I339" s="8" t="e">
        <f>IF('Crédito de Vivienda'!$C$10="TARIFA 1",(C338*(VLOOKUP('Crédito de Vivienda'!$C$27,Seguros_Oblig!$A$3:$B$55,2,FALSE))),(C338*(VLOOKUP('Crédito de Vivienda'!$C$27,Seguros_Oblig!$A$3:$D$55,4,FALSE))))</f>
        <v>#VALUE!</v>
      </c>
      <c r="J339" s="10">
        <f t="shared" si="33"/>
        <v>0</v>
      </c>
      <c r="K339" s="7" t="e">
        <f>IF(C338&lt;1,"0",Seguros_Oblig!$K$2*('Crédito de Vivienda'!$C$12*90%))</f>
        <v>#VALUE!</v>
      </c>
      <c r="L339" s="7" t="e">
        <f>IF(B339=" ","0",PMT('Crédito de Vivienda'!$E$17,'Crédito de Vivienda'!$C$18,-'Crédito de Vivienda'!$C$15,,))</f>
        <v>#VALUE!</v>
      </c>
      <c r="M339" s="9" t="e">
        <f t="shared" si="34"/>
        <v>#VALUE!</v>
      </c>
      <c r="N339" s="7" t="e">
        <f>IF(C338&lt;1,"0",'Crédito de Vivienda'!$C$40)</f>
        <v>#VALUE!</v>
      </c>
      <c r="O339" s="9" t="e">
        <f t="shared" ref="O339:O377" si="35">M339+N339</f>
        <v>#VALUE!</v>
      </c>
    </row>
    <row r="340" spans="2:15" ht="15.5" x14ac:dyDescent="0.35">
      <c r="B340" s="6" t="e">
        <f t="shared" si="31"/>
        <v>#VALUE!</v>
      </c>
      <c r="C340" s="7" t="e">
        <f t="shared" si="32"/>
        <v>#VALUE!</v>
      </c>
      <c r="D340" s="7" t="e">
        <f t="shared" si="30"/>
        <v>#VALUE!</v>
      </c>
      <c r="E340" s="7" t="e">
        <f>C339*'Crédito de Vivienda'!$E$17</f>
        <v>#VALUE!</v>
      </c>
      <c r="F340" s="282" t="e">
        <f>IF(C339&lt;1,"0",IF('Crédito de Vivienda'!$D$28="Si",($C$17*(VLOOKUP('Crédito de Vivienda'!$C$24,Seguros_Oblig!$A$3:$F$55,6,FALSE))),IF('Crédito de Vivienda'!$C$10="TARIFA 1",(C339*(VLOOKUP('Crédito de Vivienda'!$C$24,Seguros_Oblig!$A$3:$B$55,2,FALSE))),(C339*(VLOOKUP('Crédito de Vivienda'!$C$24,Seguros_Oblig!$A$3:$D$55,4,FALSE))))))</f>
        <v>#VALUE!</v>
      </c>
      <c r="G340" s="8" t="e">
        <f>IF('Crédito de Vivienda'!$C$10="TARIFA 1",(C339*(VLOOKUP('Crédito de Vivienda'!$C$25,Seguros_Oblig!$A$3:$B$55,2,FALSE))),(C339*(VLOOKUP('Crédito de Vivienda'!$C$25,Seguros_Oblig!$A$3:$D$55,4,FALSE))))</f>
        <v>#VALUE!</v>
      </c>
      <c r="H340" s="8" t="e">
        <f>IF('Crédito de Vivienda'!$C$10="TARIFA 1",(C339*(VLOOKUP('Crédito de Vivienda'!$C$26,Seguros_Oblig!$A$3:$B$55,2,FALSE))),(C339*(VLOOKUP('Crédito de Vivienda'!$C$26,Seguros_Oblig!$A$3:$D$55,4,FALSE))))</f>
        <v>#VALUE!</v>
      </c>
      <c r="I340" s="8" t="e">
        <f>IF('Crédito de Vivienda'!$C$10="TARIFA 1",(C339*(VLOOKUP('Crédito de Vivienda'!$C$27,Seguros_Oblig!$A$3:$B$55,2,FALSE))),(C339*(VLOOKUP('Crédito de Vivienda'!$C$27,Seguros_Oblig!$A$3:$D$55,4,FALSE))))</f>
        <v>#VALUE!</v>
      </c>
      <c r="J340" s="10">
        <f t="shared" si="33"/>
        <v>0</v>
      </c>
      <c r="K340" s="7" t="e">
        <f>IF(C339&lt;1,"0",Seguros_Oblig!$K$2*('Crédito de Vivienda'!$C$12*90%))</f>
        <v>#VALUE!</v>
      </c>
      <c r="L340" s="7" t="e">
        <f>IF(B340=" ","0",PMT('Crédito de Vivienda'!$E$17,'Crédito de Vivienda'!$C$18,-'Crédito de Vivienda'!$C$15,,))</f>
        <v>#VALUE!</v>
      </c>
      <c r="M340" s="9" t="e">
        <f t="shared" si="34"/>
        <v>#VALUE!</v>
      </c>
      <c r="N340" s="7" t="e">
        <f>IF(C339&lt;1,"0",'Crédito de Vivienda'!$C$40)</f>
        <v>#VALUE!</v>
      </c>
      <c r="O340" s="9" t="e">
        <f t="shared" si="35"/>
        <v>#VALUE!</v>
      </c>
    </row>
    <row r="341" spans="2:15" ht="15.5" x14ac:dyDescent="0.35">
      <c r="B341" s="6" t="e">
        <f t="shared" si="31"/>
        <v>#VALUE!</v>
      </c>
      <c r="C341" s="7" t="e">
        <f t="shared" si="32"/>
        <v>#VALUE!</v>
      </c>
      <c r="D341" s="7" t="e">
        <f t="shared" si="30"/>
        <v>#VALUE!</v>
      </c>
      <c r="E341" s="7" t="e">
        <f>C340*'Crédito de Vivienda'!$E$17</f>
        <v>#VALUE!</v>
      </c>
      <c r="F341" s="282" t="e">
        <f>IF(C340&lt;1,"0",IF('Crédito de Vivienda'!$D$28="Si",($C$17*(VLOOKUP('Crédito de Vivienda'!$C$24,Seguros_Oblig!$A$3:$F$55,6,FALSE))),IF('Crédito de Vivienda'!$C$10="TARIFA 1",(C340*(VLOOKUP('Crédito de Vivienda'!$C$24,Seguros_Oblig!$A$3:$B$55,2,FALSE))),(C340*(VLOOKUP('Crédito de Vivienda'!$C$24,Seguros_Oblig!$A$3:$D$55,4,FALSE))))))</f>
        <v>#VALUE!</v>
      </c>
      <c r="G341" s="8" t="e">
        <f>IF('Crédito de Vivienda'!$C$10="TARIFA 1",(C340*(VLOOKUP('Crédito de Vivienda'!$C$25,Seguros_Oblig!$A$3:$B$55,2,FALSE))),(C340*(VLOOKUP('Crédito de Vivienda'!$C$25,Seguros_Oblig!$A$3:$D$55,4,FALSE))))</f>
        <v>#VALUE!</v>
      </c>
      <c r="H341" s="8" t="e">
        <f>IF('Crédito de Vivienda'!$C$10="TARIFA 1",(C340*(VLOOKUP('Crédito de Vivienda'!$C$26,Seguros_Oblig!$A$3:$B$55,2,FALSE))),(C340*(VLOOKUP('Crédito de Vivienda'!$C$26,Seguros_Oblig!$A$3:$D$55,4,FALSE))))</f>
        <v>#VALUE!</v>
      </c>
      <c r="I341" s="8" t="e">
        <f>IF('Crédito de Vivienda'!$C$10="TARIFA 1",(C340*(VLOOKUP('Crédito de Vivienda'!$C$27,Seguros_Oblig!$A$3:$B$55,2,FALSE))),(C340*(VLOOKUP('Crédito de Vivienda'!$C$27,Seguros_Oblig!$A$3:$D$55,4,FALSE))))</f>
        <v>#VALUE!</v>
      </c>
      <c r="J341" s="10">
        <f t="shared" si="33"/>
        <v>0</v>
      </c>
      <c r="K341" s="7" t="e">
        <f>IF(C340&lt;1,"0",Seguros_Oblig!$K$2*('Crédito de Vivienda'!$C$12*90%))</f>
        <v>#VALUE!</v>
      </c>
      <c r="L341" s="7" t="e">
        <f>IF(B341=" ","0",PMT('Crédito de Vivienda'!$E$17,'Crédito de Vivienda'!$C$18,-'Crédito de Vivienda'!$C$15,,))</f>
        <v>#VALUE!</v>
      </c>
      <c r="M341" s="9" t="e">
        <f t="shared" si="34"/>
        <v>#VALUE!</v>
      </c>
      <c r="N341" s="7" t="e">
        <f>IF(C340&lt;1,"0",'Crédito de Vivienda'!$C$40)</f>
        <v>#VALUE!</v>
      </c>
      <c r="O341" s="9" t="e">
        <f t="shared" si="35"/>
        <v>#VALUE!</v>
      </c>
    </row>
    <row r="342" spans="2:15" ht="15.5" x14ac:dyDescent="0.35">
      <c r="B342" s="6" t="e">
        <f t="shared" si="31"/>
        <v>#VALUE!</v>
      </c>
      <c r="C342" s="7" t="e">
        <f t="shared" si="32"/>
        <v>#VALUE!</v>
      </c>
      <c r="D342" s="7" t="e">
        <f t="shared" si="30"/>
        <v>#VALUE!</v>
      </c>
      <c r="E342" s="7" t="e">
        <f>C341*'Crédito de Vivienda'!$E$17</f>
        <v>#VALUE!</v>
      </c>
      <c r="F342" s="282" t="e">
        <f>IF(C341&lt;1,"0",IF('Crédito de Vivienda'!$D$28="Si",($C$17*(VLOOKUP('Crédito de Vivienda'!$C$24,Seguros_Oblig!$A$3:$F$55,6,FALSE))),IF('Crédito de Vivienda'!$C$10="TARIFA 1",(C341*(VLOOKUP('Crédito de Vivienda'!$C$24,Seguros_Oblig!$A$3:$B$55,2,FALSE))),(C341*(VLOOKUP('Crédito de Vivienda'!$C$24,Seguros_Oblig!$A$3:$D$55,4,FALSE))))))</f>
        <v>#VALUE!</v>
      </c>
      <c r="G342" s="8" t="e">
        <f>IF('Crédito de Vivienda'!$C$10="TARIFA 1",(C341*(VLOOKUP('Crédito de Vivienda'!$C$25,Seguros_Oblig!$A$3:$B$55,2,FALSE))),(C341*(VLOOKUP('Crédito de Vivienda'!$C$25,Seguros_Oblig!$A$3:$D$55,4,FALSE))))</f>
        <v>#VALUE!</v>
      </c>
      <c r="H342" s="8" t="e">
        <f>IF('Crédito de Vivienda'!$C$10="TARIFA 1",(C341*(VLOOKUP('Crédito de Vivienda'!$C$26,Seguros_Oblig!$A$3:$B$55,2,FALSE))),(C341*(VLOOKUP('Crédito de Vivienda'!$C$26,Seguros_Oblig!$A$3:$D$55,4,FALSE))))</f>
        <v>#VALUE!</v>
      </c>
      <c r="I342" s="8" t="e">
        <f>IF('Crédito de Vivienda'!$C$10="TARIFA 1",(C341*(VLOOKUP('Crédito de Vivienda'!$C$27,Seguros_Oblig!$A$3:$B$55,2,FALSE))),(C341*(VLOOKUP('Crédito de Vivienda'!$C$27,Seguros_Oblig!$A$3:$D$55,4,FALSE))))</f>
        <v>#VALUE!</v>
      </c>
      <c r="J342" s="10">
        <f t="shared" si="33"/>
        <v>0</v>
      </c>
      <c r="K342" s="7" t="e">
        <f>IF(C341&lt;1,"0",Seguros_Oblig!$K$2*('Crédito de Vivienda'!$C$12*90%))</f>
        <v>#VALUE!</v>
      </c>
      <c r="L342" s="7" t="e">
        <f>IF(B342=" ","0",PMT('Crédito de Vivienda'!$E$17,'Crédito de Vivienda'!$C$18,-'Crédito de Vivienda'!$C$15,,))</f>
        <v>#VALUE!</v>
      </c>
      <c r="M342" s="9" t="e">
        <f t="shared" si="34"/>
        <v>#VALUE!</v>
      </c>
      <c r="N342" s="7" t="e">
        <f>IF(C341&lt;1,"0",'Crédito de Vivienda'!$C$40)</f>
        <v>#VALUE!</v>
      </c>
      <c r="O342" s="9" t="e">
        <f t="shared" si="35"/>
        <v>#VALUE!</v>
      </c>
    </row>
    <row r="343" spans="2:15" ht="15.5" x14ac:dyDescent="0.35">
      <c r="B343" s="6" t="e">
        <f t="shared" si="31"/>
        <v>#VALUE!</v>
      </c>
      <c r="C343" s="7" t="e">
        <f t="shared" si="32"/>
        <v>#VALUE!</v>
      </c>
      <c r="D343" s="7" t="e">
        <f t="shared" si="30"/>
        <v>#VALUE!</v>
      </c>
      <c r="E343" s="7" t="e">
        <f>C342*'Crédito de Vivienda'!$E$17</f>
        <v>#VALUE!</v>
      </c>
      <c r="F343" s="282" t="e">
        <f>IF(C342&lt;1,"0",IF('Crédito de Vivienda'!$D$28="Si",($C$17*(VLOOKUP('Crédito de Vivienda'!$C$24,Seguros_Oblig!$A$3:$F$55,6,FALSE))),IF('Crédito de Vivienda'!$C$10="TARIFA 1",(C342*(VLOOKUP('Crédito de Vivienda'!$C$24,Seguros_Oblig!$A$3:$B$55,2,FALSE))),(C342*(VLOOKUP('Crédito de Vivienda'!$C$24,Seguros_Oblig!$A$3:$D$55,4,FALSE))))))</f>
        <v>#VALUE!</v>
      </c>
      <c r="G343" s="8" t="e">
        <f>IF('Crédito de Vivienda'!$C$10="TARIFA 1",(C342*(VLOOKUP('Crédito de Vivienda'!$C$25,Seguros_Oblig!$A$3:$B$55,2,FALSE))),(C342*(VLOOKUP('Crédito de Vivienda'!$C$25,Seguros_Oblig!$A$3:$D$55,4,FALSE))))</f>
        <v>#VALUE!</v>
      </c>
      <c r="H343" s="8" t="e">
        <f>IF('Crédito de Vivienda'!$C$10="TARIFA 1",(C342*(VLOOKUP('Crédito de Vivienda'!$C$26,Seguros_Oblig!$A$3:$B$55,2,FALSE))),(C342*(VLOOKUP('Crédito de Vivienda'!$C$26,Seguros_Oblig!$A$3:$D$55,4,FALSE))))</f>
        <v>#VALUE!</v>
      </c>
      <c r="I343" s="8" t="e">
        <f>IF('Crédito de Vivienda'!$C$10="TARIFA 1",(C342*(VLOOKUP('Crédito de Vivienda'!$C$27,Seguros_Oblig!$A$3:$B$55,2,FALSE))),(C342*(VLOOKUP('Crédito de Vivienda'!$C$27,Seguros_Oblig!$A$3:$D$55,4,FALSE))))</f>
        <v>#VALUE!</v>
      </c>
      <c r="J343" s="10">
        <f t="shared" si="33"/>
        <v>0</v>
      </c>
      <c r="K343" s="7" t="e">
        <f>IF(C342&lt;1,"0",Seguros_Oblig!$K$2*('Crédito de Vivienda'!$C$12*90%))</f>
        <v>#VALUE!</v>
      </c>
      <c r="L343" s="7" t="e">
        <f>IF(B343=" ","0",PMT('Crédito de Vivienda'!$E$17,'Crédito de Vivienda'!$C$18,-'Crédito de Vivienda'!$C$15,,))</f>
        <v>#VALUE!</v>
      </c>
      <c r="M343" s="9" t="e">
        <f t="shared" si="34"/>
        <v>#VALUE!</v>
      </c>
      <c r="N343" s="7" t="e">
        <f>IF(C342&lt;1,"0",'Crédito de Vivienda'!$C$40)</f>
        <v>#VALUE!</v>
      </c>
      <c r="O343" s="9" t="e">
        <f t="shared" si="35"/>
        <v>#VALUE!</v>
      </c>
    </row>
    <row r="344" spans="2:15" ht="15.5" x14ac:dyDescent="0.35">
      <c r="B344" s="6" t="e">
        <f t="shared" si="31"/>
        <v>#VALUE!</v>
      </c>
      <c r="C344" s="7" t="e">
        <f t="shared" si="32"/>
        <v>#VALUE!</v>
      </c>
      <c r="D344" s="7" t="e">
        <f t="shared" si="30"/>
        <v>#VALUE!</v>
      </c>
      <c r="E344" s="7" t="e">
        <f>C343*'Crédito de Vivienda'!$E$17</f>
        <v>#VALUE!</v>
      </c>
      <c r="F344" s="282" t="e">
        <f>IF(C343&lt;1,"0",IF('Crédito de Vivienda'!$D$28="Si",($C$17*(VLOOKUP('Crédito de Vivienda'!$C$24,Seguros_Oblig!$A$3:$F$55,6,FALSE))),IF('Crédito de Vivienda'!$C$10="TARIFA 1",(C343*(VLOOKUP('Crédito de Vivienda'!$C$24,Seguros_Oblig!$A$3:$B$55,2,FALSE))),(C343*(VLOOKUP('Crédito de Vivienda'!$C$24,Seguros_Oblig!$A$3:$D$55,4,FALSE))))))</f>
        <v>#VALUE!</v>
      </c>
      <c r="G344" s="8" t="e">
        <f>IF('Crédito de Vivienda'!$C$10="TARIFA 1",(C343*(VLOOKUP('Crédito de Vivienda'!$C$25,Seguros_Oblig!$A$3:$B$55,2,FALSE))),(C343*(VLOOKUP('Crédito de Vivienda'!$C$25,Seguros_Oblig!$A$3:$D$55,4,FALSE))))</f>
        <v>#VALUE!</v>
      </c>
      <c r="H344" s="8" t="e">
        <f>IF('Crédito de Vivienda'!$C$10="TARIFA 1",(C343*(VLOOKUP('Crédito de Vivienda'!$C$26,Seguros_Oblig!$A$3:$B$55,2,FALSE))),(C343*(VLOOKUP('Crédito de Vivienda'!$C$26,Seguros_Oblig!$A$3:$D$55,4,FALSE))))</f>
        <v>#VALUE!</v>
      </c>
      <c r="I344" s="8" t="e">
        <f>IF('Crédito de Vivienda'!$C$10="TARIFA 1",(C343*(VLOOKUP('Crédito de Vivienda'!$C$27,Seguros_Oblig!$A$3:$B$55,2,FALSE))),(C343*(VLOOKUP('Crédito de Vivienda'!$C$27,Seguros_Oblig!$A$3:$D$55,4,FALSE))))</f>
        <v>#VALUE!</v>
      </c>
      <c r="J344" s="10">
        <f t="shared" si="33"/>
        <v>0</v>
      </c>
      <c r="K344" s="7" t="e">
        <f>IF(C343&lt;1,"0",Seguros_Oblig!$K$2*('Crédito de Vivienda'!$C$12*90%))</f>
        <v>#VALUE!</v>
      </c>
      <c r="L344" s="7" t="e">
        <f>IF(B344=" ","0",PMT('Crédito de Vivienda'!$E$17,'Crédito de Vivienda'!$C$18,-'Crédito de Vivienda'!$C$15,,))</f>
        <v>#VALUE!</v>
      </c>
      <c r="M344" s="9" t="e">
        <f t="shared" si="34"/>
        <v>#VALUE!</v>
      </c>
      <c r="N344" s="7" t="e">
        <f>IF(C343&lt;1,"0",'Crédito de Vivienda'!$C$40)</f>
        <v>#VALUE!</v>
      </c>
      <c r="O344" s="9" t="e">
        <f t="shared" si="35"/>
        <v>#VALUE!</v>
      </c>
    </row>
    <row r="345" spans="2:15" ht="15.5" x14ac:dyDescent="0.35">
      <c r="B345" s="6" t="e">
        <f t="shared" si="31"/>
        <v>#VALUE!</v>
      </c>
      <c r="C345" s="7" t="e">
        <f t="shared" si="32"/>
        <v>#VALUE!</v>
      </c>
      <c r="D345" s="7" t="e">
        <f t="shared" si="30"/>
        <v>#VALUE!</v>
      </c>
      <c r="E345" s="7" t="e">
        <f>C344*'Crédito de Vivienda'!$E$17</f>
        <v>#VALUE!</v>
      </c>
      <c r="F345" s="282" t="e">
        <f>IF(C344&lt;1,"0",IF('Crédito de Vivienda'!$D$28="Si",($C$17*(VLOOKUP('Crédito de Vivienda'!$C$24,Seguros_Oblig!$A$3:$F$55,6,FALSE))),IF('Crédito de Vivienda'!$C$10="TARIFA 1",(C344*(VLOOKUP('Crédito de Vivienda'!$C$24,Seguros_Oblig!$A$3:$B$55,2,FALSE))),(C344*(VLOOKUP('Crédito de Vivienda'!$C$24,Seguros_Oblig!$A$3:$D$55,4,FALSE))))))</f>
        <v>#VALUE!</v>
      </c>
      <c r="G345" s="8" t="e">
        <f>IF('Crédito de Vivienda'!$C$10="TARIFA 1",(C344*(VLOOKUP('Crédito de Vivienda'!$C$25,Seguros_Oblig!$A$3:$B$55,2,FALSE))),(C344*(VLOOKUP('Crédito de Vivienda'!$C$25,Seguros_Oblig!$A$3:$D$55,4,FALSE))))</f>
        <v>#VALUE!</v>
      </c>
      <c r="H345" s="8" t="e">
        <f>IF('Crédito de Vivienda'!$C$10="TARIFA 1",(C344*(VLOOKUP('Crédito de Vivienda'!$C$26,Seguros_Oblig!$A$3:$B$55,2,FALSE))),(C344*(VLOOKUP('Crédito de Vivienda'!$C$26,Seguros_Oblig!$A$3:$D$55,4,FALSE))))</f>
        <v>#VALUE!</v>
      </c>
      <c r="I345" s="8" t="e">
        <f>IF('Crédito de Vivienda'!$C$10="TARIFA 1",(C344*(VLOOKUP('Crédito de Vivienda'!$C$27,Seguros_Oblig!$A$3:$B$55,2,FALSE))),(C344*(VLOOKUP('Crédito de Vivienda'!$C$27,Seguros_Oblig!$A$3:$D$55,4,FALSE))))</f>
        <v>#VALUE!</v>
      </c>
      <c r="J345" s="10">
        <f t="shared" si="33"/>
        <v>0</v>
      </c>
      <c r="K345" s="7" t="e">
        <f>IF(C344&lt;1,"0",Seguros_Oblig!$K$2*('Crédito de Vivienda'!$C$12*90%))</f>
        <v>#VALUE!</v>
      </c>
      <c r="L345" s="7" t="e">
        <f>IF(B345=" ","0",PMT('Crédito de Vivienda'!$E$17,'Crédito de Vivienda'!$C$18,-'Crédito de Vivienda'!$C$15,,))</f>
        <v>#VALUE!</v>
      </c>
      <c r="M345" s="9" t="e">
        <f t="shared" si="34"/>
        <v>#VALUE!</v>
      </c>
      <c r="N345" s="7" t="e">
        <f>IF(C344&lt;1,"0",'Crédito de Vivienda'!$C$40)</f>
        <v>#VALUE!</v>
      </c>
      <c r="O345" s="9" t="e">
        <f t="shared" si="35"/>
        <v>#VALUE!</v>
      </c>
    </row>
    <row r="346" spans="2:15" ht="15.5" x14ac:dyDescent="0.35">
      <c r="B346" s="6" t="e">
        <f t="shared" si="31"/>
        <v>#VALUE!</v>
      </c>
      <c r="C346" s="7" t="e">
        <f t="shared" si="32"/>
        <v>#VALUE!</v>
      </c>
      <c r="D346" s="7" t="e">
        <f t="shared" si="30"/>
        <v>#VALUE!</v>
      </c>
      <c r="E346" s="7" t="e">
        <f>C345*'Crédito de Vivienda'!$E$17</f>
        <v>#VALUE!</v>
      </c>
      <c r="F346" s="282" t="e">
        <f>IF(C345&lt;1,"0",IF('Crédito de Vivienda'!$D$28="Si",($C$17*(VLOOKUP('Crédito de Vivienda'!$C$24,Seguros_Oblig!$A$3:$F$55,6,FALSE))),IF('Crédito de Vivienda'!$C$10="TARIFA 1",(C345*(VLOOKUP('Crédito de Vivienda'!$C$24,Seguros_Oblig!$A$3:$B$55,2,FALSE))),(C345*(VLOOKUP('Crédito de Vivienda'!$C$24,Seguros_Oblig!$A$3:$D$55,4,FALSE))))))</f>
        <v>#VALUE!</v>
      </c>
      <c r="G346" s="8" t="e">
        <f>IF('Crédito de Vivienda'!$C$10="TARIFA 1",(C345*(VLOOKUP('Crédito de Vivienda'!$C$25,Seguros_Oblig!$A$3:$B$55,2,FALSE))),(C345*(VLOOKUP('Crédito de Vivienda'!$C$25,Seguros_Oblig!$A$3:$D$55,4,FALSE))))</f>
        <v>#VALUE!</v>
      </c>
      <c r="H346" s="8" t="e">
        <f>IF('Crédito de Vivienda'!$C$10="TARIFA 1",(C345*(VLOOKUP('Crédito de Vivienda'!$C$26,Seguros_Oblig!$A$3:$B$55,2,FALSE))),(C345*(VLOOKUP('Crédito de Vivienda'!$C$26,Seguros_Oblig!$A$3:$D$55,4,FALSE))))</f>
        <v>#VALUE!</v>
      </c>
      <c r="I346" s="8" t="e">
        <f>IF('Crédito de Vivienda'!$C$10="TARIFA 1",(C345*(VLOOKUP('Crédito de Vivienda'!$C$27,Seguros_Oblig!$A$3:$B$55,2,FALSE))),(C345*(VLOOKUP('Crédito de Vivienda'!$C$27,Seguros_Oblig!$A$3:$D$55,4,FALSE))))</f>
        <v>#VALUE!</v>
      </c>
      <c r="J346" s="10">
        <f t="shared" si="33"/>
        <v>0</v>
      </c>
      <c r="K346" s="7" t="e">
        <f>IF(C345&lt;1,"0",Seguros_Oblig!$K$2*('Crédito de Vivienda'!$C$12*90%))</f>
        <v>#VALUE!</v>
      </c>
      <c r="L346" s="7" t="e">
        <f>IF(B346=" ","0",PMT('Crédito de Vivienda'!$E$17,'Crédito de Vivienda'!$C$18,-'Crédito de Vivienda'!$C$15,,))</f>
        <v>#VALUE!</v>
      </c>
      <c r="M346" s="9" t="e">
        <f t="shared" si="34"/>
        <v>#VALUE!</v>
      </c>
      <c r="N346" s="7" t="e">
        <f>IF(C345&lt;1,"0",'Crédito de Vivienda'!$C$40)</f>
        <v>#VALUE!</v>
      </c>
      <c r="O346" s="9" t="e">
        <f t="shared" si="35"/>
        <v>#VALUE!</v>
      </c>
    </row>
    <row r="347" spans="2:15" ht="15.5" x14ac:dyDescent="0.35">
      <c r="B347" s="6" t="e">
        <f t="shared" si="31"/>
        <v>#VALUE!</v>
      </c>
      <c r="C347" s="7" t="e">
        <f t="shared" si="32"/>
        <v>#VALUE!</v>
      </c>
      <c r="D347" s="7" t="e">
        <f t="shared" si="30"/>
        <v>#VALUE!</v>
      </c>
      <c r="E347" s="7" t="e">
        <f>C346*'Crédito de Vivienda'!$E$17</f>
        <v>#VALUE!</v>
      </c>
      <c r="F347" s="282" t="e">
        <f>IF(C346&lt;1,"0",IF('Crédito de Vivienda'!$D$28="Si",($C$17*(VLOOKUP('Crédito de Vivienda'!$C$24,Seguros_Oblig!$A$3:$F$55,6,FALSE))),IF('Crédito de Vivienda'!$C$10="TARIFA 1",(C346*(VLOOKUP('Crédito de Vivienda'!$C$24,Seguros_Oblig!$A$3:$B$55,2,FALSE))),(C346*(VLOOKUP('Crédito de Vivienda'!$C$24,Seguros_Oblig!$A$3:$D$55,4,FALSE))))))</f>
        <v>#VALUE!</v>
      </c>
      <c r="G347" s="8" t="e">
        <f>IF('Crédito de Vivienda'!$C$10="TARIFA 1",(C346*(VLOOKUP('Crédito de Vivienda'!$C$25,Seguros_Oblig!$A$3:$B$55,2,FALSE))),(C346*(VLOOKUP('Crédito de Vivienda'!$C$25,Seguros_Oblig!$A$3:$D$55,4,FALSE))))</f>
        <v>#VALUE!</v>
      </c>
      <c r="H347" s="8" t="e">
        <f>IF('Crédito de Vivienda'!$C$10="TARIFA 1",(C346*(VLOOKUP('Crédito de Vivienda'!$C$26,Seguros_Oblig!$A$3:$B$55,2,FALSE))),(C346*(VLOOKUP('Crédito de Vivienda'!$C$26,Seguros_Oblig!$A$3:$D$55,4,FALSE))))</f>
        <v>#VALUE!</v>
      </c>
      <c r="I347" s="8" t="e">
        <f>IF('Crédito de Vivienda'!$C$10="TARIFA 1",(C346*(VLOOKUP('Crédito de Vivienda'!$C$27,Seguros_Oblig!$A$3:$B$55,2,FALSE))),(C346*(VLOOKUP('Crédito de Vivienda'!$C$27,Seguros_Oblig!$A$3:$D$55,4,FALSE))))</f>
        <v>#VALUE!</v>
      </c>
      <c r="J347" s="10">
        <f t="shared" si="33"/>
        <v>0</v>
      </c>
      <c r="K347" s="7" t="e">
        <f>IF(C346&lt;1,"0",Seguros_Oblig!$K$2*('Crédito de Vivienda'!$C$12*90%))</f>
        <v>#VALUE!</v>
      </c>
      <c r="L347" s="7" t="e">
        <f>IF(B347=" ","0",PMT('Crédito de Vivienda'!$E$17,'Crédito de Vivienda'!$C$18,-'Crédito de Vivienda'!$C$15,,))</f>
        <v>#VALUE!</v>
      </c>
      <c r="M347" s="9" t="e">
        <f t="shared" si="34"/>
        <v>#VALUE!</v>
      </c>
      <c r="N347" s="7" t="e">
        <f>IF(C346&lt;1,"0",'Crédito de Vivienda'!$C$40)</f>
        <v>#VALUE!</v>
      </c>
      <c r="O347" s="9" t="e">
        <f t="shared" si="35"/>
        <v>#VALUE!</v>
      </c>
    </row>
    <row r="348" spans="2:15" ht="15.5" x14ac:dyDescent="0.35">
      <c r="B348" s="6" t="e">
        <f t="shared" si="31"/>
        <v>#VALUE!</v>
      </c>
      <c r="C348" s="7" t="e">
        <f t="shared" si="32"/>
        <v>#VALUE!</v>
      </c>
      <c r="D348" s="7" t="e">
        <f t="shared" si="30"/>
        <v>#VALUE!</v>
      </c>
      <c r="E348" s="7" t="e">
        <f>C347*'Crédito de Vivienda'!$E$17</f>
        <v>#VALUE!</v>
      </c>
      <c r="F348" s="282" t="e">
        <f>IF(C347&lt;1,"0",IF('Crédito de Vivienda'!$D$28="Si",($C$17*(VLOOKUP('Crédito de Vivienda'!$C$24,Seguros_Oblig!$A$3:$F$55,6,FALSE))),IF('Crédito de Vivienda'!$C$10="TARIFA 1",(C347*(VLOOKUP('Crédito de Vivienda'!$C$24,Seguros_Oblig!$A$3:$B$55,2,FALSE))),(C347*(VLOOKUP('Crédito de Vivienda'!$C$24,Seguros_Oblig!$A$3:$D$55,4,FALSE))))))</f>
        <v>#VALUE!</v>
      </c>
      <c r="G348" s="8" t="e">
        <f>IF('Crédito de Vivienda'!$C$10="TARIFA 1",(C347*(VLOOKUP('Crédito de Vivienda'!$C$25,Seguros_Oblig!$A$3:$B$55,2,FALSE))),(C347*(VLOOKUP('Crédito de Vivienda'!$C$25,Seguros_Oblig!$A$3:$D$55,4,FALSE))))</f>
        <v>#VALUE!</v>
      </c>
      <c r="H348" s="8" t="e">
        <f>IF('Crédito de Vivienda'!$C$10="TARIFA 1",(C347*(VLOOKUP('Crédito de Vivienda'!$C$26,Seguros_Oblig!$A$3:$B$55,2,FALSE))),(C347*(VLOOKUP('Crédito de Vivienda'!$C$26,Seguros_Oblig!$A$3:$D$55,4,FALSE))))</f>
        <v>#VALUE!</v>
      </c>
      <c r="I348" s="8" t="e">
        <f>IF('Crédito de Vivienda'!$C$10="TARIFA 1",(C347*(VLOOKUP('Crédito de Vivienda'!$C$27,Seguros_Oblig!$A$3:$B$55,2,FALSE))),(C347*(VLOOKUP('Crédito de Vivienda'!$C$27,Seguros_Oblig!$A$3:$D$55,4,FALSE))))</f>
        <v>#VALUE!</v>
      </c>
      <c r="J348" s="10">
        <f t="shared" si="33"/>
        <v>0</v>
      </c>
      <c r="K348" s="7" t="e">
        <f>IF(C347&lt;1,"0",Seguros_Oblig!$K$2*('Crédito de Vivienda'!$C$12*90%))</f>
        <v>#VALUE!</v>
      </c>
      <c r="L348" s="7" t="e">
        <f>IF(B348=" ","0",PMT('Crédito de Vivienda'!$E$17,'Crédito de Vivienda'!$C$18,-'Crédito de Vivienda'!$C$15,,))</f>
        <v>#VALUE!</v>
      </c>
      <c r="M348" s="9" t="e">
        <f t="shared" si="34"/>
        <v>#VALUE!</v>
      </c>
      <c r="N348" s="7" t="e">
        <f>IF(C347&lt;1,"0",'Crédito de Vivienda'!$C$40)</f>
        <v>#VALUE!</v>
      </c>
      <c r="O348" s="9" t="e">
        <f t="shared" si="35"/>
        <v>#VALUE!</v>
      </c>
    </row>
    <row r="349" spans="2:15" ht="15.5" x14ac:dyDescent="0.35">
      <c r="B349" s="6" t="e">
        <f t="shared" si="31"/>
        <v>#VALUE!</v>
      </c>
      <c r="C349" s="7" t="e">
        <f t="shared" si="32"/>
        <v>#VALUE!</v>
      </c>
      <c r="D349" s="7" t="e">
        <f t="shared" si="30"/>
        <v>#VALUE!</v>
      </c>
      <c r="E349" s="7" t="e">
        <f>C348*'Crédito de Vivienda'!$E$17</f>
        <v>#VALUE!</v>
      </c>
      <c r="F349" s="282" t="e">
        <f>IF(C348&lt;1,"0",IF('Crédito de Vivienda'!$D$28="Si",($C$17*(VLOOKUP('Crédito de Vivienda'!$C$24,Seguros_Oblig!$A$3:$F$55,6,FALSE))),IF('Crédito de Vivienda'!$C$10="TARIFA 1",(C348*(VLOOKUP('Crédito de Vivienda'!$C$24,Seguros_Oblig!$A$3:$B$55,2,FALSE))),(C348*(VLOOKUP('Crédito de Vivienda'!$C$24,Seguros_Oblig!$A$3:$D$55,4,FALSE))))))</f>
        <v>#VALUE!</v>
      </c>
      <c r="G349" s="8" t="e">
        <f>IF('Crédito de Vivienda'!$C$10="TARIFA 1",(C348*(VLOOKUP('Crédito de Vivienda'!$C$25,Seguros_Oblig!$A$3:$B$55,2,FALSE))),(C348*(VLOOKUP('Crédito de Vivienda'!$C$25,Seguros_Oblig!$A$3:$D$55,4,FALSE))))</f>
        <v>#VALUE!</v>
      </c>
      <c r="H349" s="8" t="e">
        <f>IF('Crédito de Vivienda'!$C$10="TARIFA 1",(C348*(VLOOKUP('Crédito de Vivienda'!$C$26,Seguros_Oblig!$A$3:$B$55,2,FALSE))),(C348*(VLOOKUP('Crédito de Vivienda'!$C$26,Seguros_Oblig!$A$3:$D$55,4,FALSE))))</f>
        <v>#VALUE!</v>
      </c>
      <c r="I349" s="8" t="e">
        <f>IF('Crédito de Vivienda'!$C$10="TARIFA 1",(C348*(VLOOKUP('Crédito de Vivienda'!$C$27,Seguros_Oblig!$A$3:$B$55,2,FALSE))),(C348*(VLOOKUP('Crédito de Vivienda'!$C$27,Seguros_Oblig!$A$3:$D$55,4,FALSE))))</f>
        <v>#VALUE!</v>
      </c>
      <c r="J349" s="10">
        <f t="shared" si="33"/>
        <v>0</v>
      </c>
      <c r="K349" s="7" t="e">
        <f>IF(C348&lt;1,"0",Seguros_Oblig!$K$2*('Crédito de Vivienda'!$C$12*90%))</f>
        <v>#VALUE!</v>
      </c>
      <c r="L349" s="7" t="e">
        <f>IF(B349=" ","0",PMT('Crédito de Vivienda'!$E$17,'Crédito de Vivienda'!$C$18,-'Crédito de Vivienda'!$C$15,,))</f>
        <v>#VALUE!</v>
      </c>
      <c r="M349" s="9" t="e">
        <f t="shared" si="34"/>
        <v>#VALUE!</v>
      </c>
      <c r="N349" s="7" t="e">
        <f>IF(C348&lt;1,"0",'Crédito de Vivienda'!$C$40)</f>
        <v>#VALUE!</v>
      </c>
      <c r="O349" s="9" t="e">
        <f t="shared" si="35"/>
        <v>#VALUE!</v>
      </c>
    </row>
    <row r="350" spans="2:15" ht="15.5" x14ac:dyDescent="0.35">
      <c r="B350" s="6" t="e">
        <f t="shared" si="31"/>
        <v>#VALUE!</v>
      </c>
      <c r="C350" s="7" t="e">
        <f t="shared" si="32"/>
        <v>#VALUE!</v>
      </c>
      <c r="D350" s="7" t="e">
        <f t="shared" si="30"/>
        <v>#VALUE!</v>
      </c>
      <c r="E350" s="7" t="e">
        <f>C349*'Crédito de Vivienda'!$E$17</f>
        <v>#VALUE!</v>
      </c>
      <c r="F350" s="282" t="e">
        <f>IF(C349&lt;1,"0",IF('Crédito de Vivienda'!$D$28="Si",($C$17*(VLOOKUP('Crédito de Vivienda'!$C$24,Seguros_Oblig!$A$3:$F$55,6,FALSE))),IF('Crédito de Vivienda'!$C$10="TARIFA 1",(C349*(VLOOKUP('Crédito de Vivienda'!$C$24,Seguros_Oblig!$A$3:$B$55,2,FALSE))),(C349*(VLOOKUP('Crédito de Vivienda'!$C$24,Seguros_Oblig!$A$3:$D$55,4,FALSE))))))</f>
        <v>#VALUE!</v>
      </c>
      <c r="G350" s="8" t="e">
        <f>IF('Crédito de Vivienda'!$C$10="TARIFA 1",(C349*(VLOOKUP('Crédito de Vivienda'!$C$25,Seguros_Oblig!$A$3:$B$55,2,FALSE))),(C349*(VLOOKUP('Crédito de Vivienda'!$C$25,Seguros_Oblig!$A$3:$D$55,4,FALSE))))</f>
        <v>#VALUE!</v>
      </c>
      <c r="H350" s="8" t="e">
        <f>IF('Crédito de Vivienda'!$C$10="TARIFA 1",(C349*(VLOOKUP('Crédito de Vivienda'!$C$26,Seguros_Oblig!$A$3:$B$55,2,FALSE))),(C349*(VLOOKUP('Crédito de Vivienda'!$C$26,Seguros_Oblig!$A$3:$D$55,4,FALSE))))</f>
        <v>#VALUE!</v>
      </c>
      <c r="I350" s="8" t="e">
        <f>IF('Crédito de Vivienda'!$C$10="TARIFA 1",(C349*(VLOOKUP('Crédito de Vivienda'!$C$27,Seguros_Oblig!$A$3:$B$55,2,FALSE))),(C349*(VLOOKUP('Crédito de Vivienda'!$C$27,Seguros_Oblig!$A$3:$D$55,4,FALSE))))</f>
        <v>#VALUE!</v>
      </c>
      <c r="J350" s="10">
        <f t="shared" si="33"/>
        <v>0</v>
      </c>
      <c r="K350" s="7" t="e">
        <f>IF(C349&lt;1,"0",Seguros_Oblig!$K$2*('Crédito de Vivienda'!$C$12*90%))</f>
        <v>#VALUE!</v>
      </c>
      <c r="L350" s="7" t="e">
        <f>IF(B350=" ","0",PMT('Crédito de Vivienda'!$E$17,'Crédito de Vivienda'!$C$18,-'Crédito de Vivienda'!$C$15,,))</f>
        <v>#VALUE!</v>
      </c>
      <c r="M350" s="9" t="e">
        <f t="shared" si="34"/>
        <v>#VALUE!</v>
      </c>
      <c r="N350" s="7" t="e">
        <f>IF(C349&lt;1,"0",'Crédito de Vivienda'!$C$40)</f>
        <v>#VALUE!</v>
      </c>
      <c r="O350" s="9" t="e">
        <f t="shared" si="35"/>
        <v>#VALUE!</v>
      </c>
    </row>
    <row r="351" spans="2:15" ht="15.5" x14ac:dyDescent="0.35">
      <c r="B351" s="6" t="e">
        <f t="shared" si="31"/>
        <v>#VALUE!</v>
      </c>
      <c r="C351" s="7" t="e">
        <f t="shared" si="32"/>
        <v>#VALUE!</v>
      </c>
      <c r="D351" s="7" t="e">
        <f t="shared" ref="D351:D377" si="36">IF(C350&lt;1,"0",L351-E351)</f>
        <v>#VALUE!</v>
      </c>
      <c r="E351" s="7" t="e">
        <f>C350*'Crédito de Vivienda'!$E$17</f>
        <v>#VALUE!</v>
      </c>
      <c r="F351" s="282" t="e">
        <f>IF(C350&lt;1,"0",IF('Crédito de Vivienda'!$D$28="Si",($C$17*(VLOOKUP('Crédito de Vivienda'!$C$24,Seguros_Oblig!$A$3:$F$55,6,FALSE))),IF('Crédito de Vivienda'!$C$10="TARIFA 1",(C350*(VLOOKUP('Crédito de Vivienda'!$C$24,Seguros_Oblig!$A$3:$B$55,2,FALSE))),(C350*(VLOOKUP('Crédito de Vivienda'!$C$24,Seguros_Oblig!$A$3:$D$55,4,FALSE))))))</f>
        <v>#VALUE!</v>
      </c>
      <c r="G351" s="8" t="e">
        <f>IF('Crédito de Vivienda'!$C$10="TARIFA 1",(C350*(VLOOKUP('Crédito de Vivienda'!$C$25,Seguros_Oblig!$A$3:$B$55,2,FALSE))),(C350*(VLOOKUP('Crédito de Vivienda'!$C$25,Seguros_Oblig!$A$3:$D$55,4,FALSE))))</f>
        <v>#VALUE!</v>
      </c>
      <c r="H351" s="8" t="e">
        <f>IF('Crédito de Vivienda'!$C$10="TARIFA 1",(C350*(VLOOKUP('Crédito de Vivienda'!$C$26,Seguros_Oblig!$A$3:$B$55,2,FALSE))),(C350*(VLOOKUP('Crédito de Vivienda'!$C$26,Seguros_Oblig!$A$3:$D$55,4,FALSE))))</f>
        <v>#VALUE!</v>
      </c>
      <c r="I351" s="8" t="e">
        <f>IF('Crédito de Vivienda'!$C$10="TARIFA 1",(C350*(VLOOKUP('Crédito de Vivienda'!$C$27,Seguros_Oblig!$A$3:$B$55,2,FALSE))),(C350*(VLOOKUP('Crédito de Vivienda'!$C$27,Seguros_Oblig!$A$3:$D$55,4,FALSE))))</f>
        <v>#VALUE!</v>
      </c>
      <c r="J351" s="10">
        <f t="shared" si="33"/>
        <v>0</v>
      </c>
      <c r="K351" s="7" t="e">
        <f>IF(C350&lt;1,"0",Seguros_Oblig!$K$2*('Crédito de Vivienda'!$C$12*90%))</f>
        <v>#VALUE!</v>
      </c>
      <c r="L351" s="7" t="e">
        <f>IF(B351=" ","0",PMT('Crédito de Vivienda'!$E$17,'Crédito de Vivienda'!$C$18,-'Crédito de Vivienda'!$C$15,,))</f>
        <v>#VALUE!</v>
      </c>
      <c r="M351" s="9" t="e">
        <f t="shared" si="34"/>
        <v>#VALUE!</v>
      </c>
      <c r="N351" s="7" t="e">
        <f>IF(C350&lt;1,"0",'Crédito de Vivienda'!$C$40)</f>
        <v>#VALUE!</v>
      </c>
      <c r="O351" s="9" t="e">
        <f t="shared" si="35"/>
        <v>#VALUE!</v>
      </c>
    </row>
    <row r="352" spans="2:15" ht="15.5" x14ac:dyDescent="0.35">
      <c r="B352" s="6" t="e">
        <f t="shared" si="31"/>
        <v>#VALUE!</v>
      </c>
      <c r="C352" s="7" t="e">
        <f t="shared" si="32"/>
        <v>#VALUE!</v>
      </c>
      <c r="D352" s="7" t="e">
        <f t="shared" si="36"/>
        <v>#VALUE!</v>
      </c>
      <c r="E352" s="7" t="e">
        <f>C351*'Crédito de Vivienda'!$E$17</f>
        <v>#VALUE!</v>
      </c>
      <c r="F352" s="282" t="e">
        <f>IF(C351&lt;1,"0",IF('Crédito de Vivienda'!$D$28="Si",($C$17*(VLOOKUP('Crédito de Vivienda'!$C$24,Seguros_Oblig!$A$3:$F$55,6,FALSE))),IF('Crédito de Vivienda'!$C$10="TARIFA 1",(C351*(VLOOKUP('Crédito de Vivienda'!$C$24,Seguros_Oblig!$A$3:$B$55,2,FALSE))),(C351*(VLOOKUP('Crédito de Vivienda'!$C$24,Seguros_Oblig!$A$3:$D$55,4,FALSE))))))</f>
        <v>#VALUE!</v>
      </c>
      <c r="G352" s="8" t="e">
        <f>IF('Crédito de Vivienda'!$C$10="TARIFA 1",(C351*(VLOOKUP('Crédito de Vivienda'!$C$25,Seguros_Oblig!$A$3:$B$55,2,FALSE))),(C351*(VLOOKUP('Crédito de Vivienda'!$C$25,Seguros_Oblig!$A$3:$D$55,4,FALSE))))</f>
        <v>#VALUE!</v>
      </c>
      <c r="H352" s="8" t="e">
        <f>IF('Crédito de Vivienda'!$C$10="TARIFA 1",(C351*(VLOOKUP('Crédito de Vivienda'!$C$26,Seguros_Oblig!$A$3:$B$55,2,FALSE))),(C351*(VLOOKUP('Crédito de Vivienda'!$C$26,Seguros_Oblig!$A$3:$D$55,4,FALSE))))</f>
        <v>#VALUE!</v>
      </c>
      <c r="I352" s="8" t="e">
        <f>IF('Crédito de Vivienda'!$C$10="TARIFA 1",(C351*(VLOOKUP('Crédito de Vivienda'!$C$27,Seguros_Oblig!$A$3:$B$55,2,FALSE))),(C351*(VLOOKUP('Crédito de Vivienda'!$C$27,Seguros_Oblig!$A$3:$D$55,4,FALSE))))</f>
        <v>#VALUE!</v>
      </c>
      <c r="J352" s="10">
        <f t="shared" si="33"/>
        <v>0</v>
      </c>
      <c r="K352" s="7" t="e">
        <f>IF(C351&lt;1,"0",Seguros_Oblig!$K$2*('Crédito de Vivienda'!$C$12*90%))</f>
        <v>#VALUE!</v>
      </c>
      <c r="L352" s="7" t="e">
        <f>IF(B352=" ","0",PMT('Crédito de Vivienda'!$E$17,'Crédito de Vivienda'!$C$18,-'Crédito de Vivienda'!$C$15,,))</f>
        <v>#VALUE!</v>
      </c>
      <c r="M352" s="9" t="e">
        <f t="shared" si="34"/>
        <v>#VALUE!</v>
      </c>
      <c r="N352" s="7" t="e">
        <f>IF(C351&lt;1,"0",'Crédito de Vivienda'!$C$40)</f>
        <v>#VALUE!</v>
      </c>
      <c r="O352" s="9" t="e">
        <f t="shared" si="35"/>
        <v>#VALUE!</v>
      </c>
    </row>
    <row r="353" spans="2:15" ht="15.5" x14ac:dyDescent="0.35">
      <c r="B353" s="6" t="e">
        <f t="shared" si="31"/>
        <v>#VALUE!</v>
      </c>
      <c r="C353" s="7" t="e">
        <f t="shared" si="32"/>
        <v>#VALUE!</v>
      </c>
      <c r="D353" s="7" t="e">
        <f t="shared" si="36"/>
        <v>#VALUE!</v>
      </c>
      <c r="E353" s="7" t="e">
        <f>C352*'Crédito de Vivienda'!$E$17</f>
        <v>#VALUE!</v>
      </c>
      <c r="F353" s="282" t="e">
        <f>IF(C352&lt;1,"0",IF('Crédito de Vivienda'!$D$28="Si",($C$17*(VLOOKUP('Crédito de Vivienda'!$C$24,Seguros_Oblig!$A$3:$F$55,6,FALSE))),IF('Crédito de Vivienda'!$C$10="TARIFA 1",(C352*(VLOOKUP('Crédito de Vivienda'!$C$24,Seguros_Oblig!$A$3:$B$55,2,FALSE))),(C352*(VLOOKUP('Crédito de Vivienda'!$C$24,Seguros_Oblig!$A$3:$D$55,4,FALSE))))))</f>
        <v>#VALUE!</v>
      </c>
      <c r="G353" s="8" t="e">
        <f>IF('Crédito de Vivienda'!$C$10="TARIFA 1",(C352*(VLOOKUP('Crédito de Vivienda'!$C$25,Seguros_Oblig!$A$3:$B$55,2,FALSE))),(C352*(VLOOKUP('Crédito de Vivienda'!$C$25,Seguros_Oblig!$A$3:$D$55,4,FALSE))))</f>
        <v>#VALUE!</v>
      </c>
      <c r="H353" s="8" t="e">
        <f>IF('Crédito de Vivienda'!$C$10="TARIFA 1",(C352*(VLOOKUP('Crédito de Vivienda'!$C$26,Seguros_Oblig!$A$3:$B$55,2,FALSE))),(C352*(VLOOKUP('Crédito de Vivienda'!$C$26,Seguros_Oblig!$A$3:$D$55,4,FALSE))))</f>
        <v>#VALUE!</v>
      </c>
      <c r="I353" s="8" t="e">
        <f>IF('Crédito de Vivienda'!$C$10="TARIFA 1",(C352*(VLOOKUP('Crédito de Vivienda'!$C$27,Seguros_Oblig!$A$3:$B$55,2,FALSE))),(C352*(VLOOKUP('Crédito de Vivienda'!$C$27,Seguros_Oblig!$A$3:$D$55,4,FALSE))))</f>
        <v>#VALUE!</v>
      </c>
      <c r="J353" s="10">
        <f t="shared" si="33"/>
        <v>0</v>
      </c>
      <c r="K353" s="7" t="e">
        <f>IF(C352&lt;1,"0",Seguros_Oblig!$K$2*('Crédito de Vivienda'!$C$12*90%))</f>
        <v>#VALUE!</v>
      </c>
      <c r="L353" s="7" t="e">
        <f>IF(B353=" ","0",PMT('Crédito de Vivienda'!$E$17,'Crédito de Vivienda'!$C$18,-'Crédito de Vivienda'!$C$15,,))</f>
        <v>#VALUE!</v>
      </c>
      <c r="M353" s="9" t="e">
        <f t="shared" si="34"/>
        <v>#VALUE!</v>
      </c>
      <c r="N353" s="7" t="e">
        <f>IF(C352&lt;1,"0",'Crédito de Vivienda'!$C$40)</f>
        <v>#VALUE!</v>
      </c>
      <c r="O353" s="9" t="e">
        <f t="shared" si="35"/>
        <v>#VALUE!</v>
      </c>
    </row>
    <row r="354" spans="2:15" ht="15.5" x14ac:dyDescent="0.35">
      <c r="B354" s="6" t="e">
        <f t="shared" si="31"/>
        <v>#VALUE!</v>
      </c>
      <c r="C354" s="7" t="e">
        <f t="shared" si="32"/>
        <v>#VALUE!</v>
      </c>
      <c r="D354" s="7" t="e">
        <f t="shared" si="36"/>
        <v>#VALUE!</v>
      </c>
      <c r="E354" s="7" t="e">
        <f>C353*'Crédito de Vivienda'!$E$17</f>
        <v>#VALUE!</v>
      </c>
      <c r="F354" s="282" t="e">
        <f>IF(C353&lt;1,"0",IF('Crédito de Vivienda'!$D$28="Si",($C$17*(VLOOKUP('Crédito de Vivienda'!$C$24,Seguros_Oblig!$A$3:$F$55,6,FALSE))),IF('Crédito de Vivienda'!$C$10="TARIFA 1",(C353*(VLOOKUP('Crédito de Vivienda'!$C$24,Seguros_Oblig!$A$3:$B$55,2,FALSE))),(C353*(VLOOKUP('Crédito de Vivienda'!$C$24,Seguros_Oblig!$A$3:$D$55,4,FALSE))))))</f>
        <v>#VALUE!</v>
      </c>
      <c r="G354" s="8" t="e">
        <f>IF('Crédito de Vivienda'!$C$10="TARIFA 1",(C353*(VLOOKUP('Crédito de Vivienda'!$C$25,Seguros_Oblig!$A$3:$B$55,2,FALSE))),(C353*(VLOOKUP('Crédito de Vivienda'!$C$25,Seguros_Oblig!$A$3:$D$55,4,FALSE))))</f>
        <v>#VALUE!</v>
      </c>
      <c r="H354" s="8" t="e">
        <f>IF('Crédito de Vivienda'!$C$10="TARIFA 1",(C353*(VLOOKUP('Crédito de Vivienda'!$C$26,Seguros_Oblig!$A$3:$B$55,2,FALSE))),(C353*(VLOOKUP('Crédito de Vivienda'!$C$26,Seguros_Oblig!$A$3:$D$55,4,FALSE))))</f>
        <v>#VALUE!</v>
      </c>
      <c r="I354" s="8" t="e">
        <f>IF('Crédito de Vivienda'!$C$10="TARIFA 1",(C353*(VLOOKUP('Crédito de Vivienda'!$C$27,Seguros_Oblig!$A$3:$B$55,2,FALSE))),(C353*(VLOOKUP('Crédito de Vivienda'!$C$27,Seguros_Oblig!$A$3:$D$55,4,FALSE))))</f>
        <v>#VALUE!</v>
      </c>
      <c r="J354" s="10">
        <f t="shared" si="33"/>
        <v>0</v>
      </c>
      <c r="K354" s="7" t="e">
        <f>IF(C353&lt;1,"0",Seguros_Oblig!$K$2*('Crédito de Vivienda'!$C$12*90%))</f>
        <v>#VALUE!</v>
      </c>
      <c r="L354" s="7" t="e">
        <f>IF(B354=" ","0",PMT('Crédito de Vivienda'!$E$17,'Crédito de Vivienda'!$C$18,-'Crédito de Vivienda'!$C$15,,))</f>
        <v>#VALUE!</v>
      </c>
      <c r="M354" s="9" t="e">
        <f t="shared" si="34"/>
        <v>#VALUE!</v>
      </c>
      <c r="N354" s="7" t="e">
        <f>IF(C353&lt;1,"0",'Crédito de Vivienda'!$C$40)</f>
        <v>#VALUE!</v>
      </c>
      <c r="O354" s="9" t="e">
        <f t="shared" si="35"/>
        <v>#VALUE!</v>
      </c>
    </row>
    <row r="355" spans="2:15" ht="15.5" x14ac:dyDescent="0.35">
      <c r="B355" s="6" t="e">
        <f t="shared" si="31"/>
        <v>#VALUE!</v>
      </c>
      <c r="C355" s="7" t="e">
        <f t="shared" si="32"/>
        <v>#VALUE!</v>
      </c>
      <c r="D355" s="7" t="e">
        <f t="shared" si="36"/>
        <v>#VALUE!</v>
      </c>
      <c r="E355" s="7" t="e">
        <f>C354*'Crédito de Vivienda'!$E$17</f>
        <v>#VALUE!</v>
      </c>
      <c r="F355" s="282" t="e">
        <f>IF(C354&lt;1,"0",IF('Crédito de Vivienda'!$D$28="Si",($C$17*(VLOOKUP('Crédito de Vivienda'!$C$24,Seguros_Oblig!$A$3:$F$55,6,FALSE))),IF('Crédito de Vivienda'!$C$10="TARIFA 1",(C354*(VLOOKUP('Crédito de Vivienda'!$C$24,Seguros_Oblig!$A$3:$B$55,2,FALSE))),(C354*(VLOOKUP('Crédito de Vivienda'!$C$24,Seguros_Oblig!$A$3:$D$55,4,FALSE))))))</f>
        <v>#VALUE!</v>
      </c>
      <c r="G355" s="8" t="e">
        <f>IF('Crédito de Vivienda'!$C$10="TARIFA 1",(C354*(VLOOKUP('Crédito de Vivienda'!$C$25,Seguros_Oblig!$A$3:$B$55,2,FALSE))),(C354*(VLOOKUP('Crédito de Vivienda'!$C$25,Seguros_Oblig!$A$3:$D$55,4,FALSE))))</f>
        <v>#VALUE!</v>
      </c>
      <c r="H355" s="8" t="e">
        <f>IF('Crédito de Vivienda'!$C$10="TARIFA 1",(C354*(VLOOKUP('Crédito de Vivienda'!$C$26,Seguros_Oblig!$A$3:$B$55,2,FALSE))),(C354*(VLOOKUP('Crédito de Vivienda'!$C$26,Seguros_Oblig!$A$3:$D$55,4,FALSE))))</f>
        <v>#VALUE!</v>
      </c>
      <c r="I355" s="8" t="e">
        <f>IF('Crédito de Vivienda'!$C$10="TARIFA 1",(C354*(VLOOKUP('Crédito de Vivienda'!$C$27,Seguros_Oblig!$A$3:$B$55,2,FALSE))),(C354*(VLOOKUP('Crédito de Vivienda'!$C$27,Seguros_Oblig!$A$3:$D$55,4,FALSE))))</f>
        <v>#VALUE!</v>
      </c>
      <c r="J355" s="10">
        <f t="shared" si="33"/>
        <v>0</v>
      </c>
      <c r="K355" s="7" t="e">
        <f>IF(C354&lt;1,"0",Seguros_Oblig!$K$2*('Crédito de Vivienda'!$C$12*90%))</f>
        <v>#VALUE!</v>
      </c>
      <c r="L355" s="7" t="e">
        <f>IF(B355=" ","0",PMT('Crédito de Vivienda'!$E$17,'Crédito de Vivienda'!$C$18,-'Crédito de Vivienda'!$C$15,,))</f>
        <v>#VALUE!</v>
      </c>
      <c r="M355" s="9" t="e">
        <f t="shared" si="34"/>
        <v>#VALUE!</v>
      </c>
      <c r="N355" s="7" t="e">
        <f>IF(C354&lt;1,"0",'Crédito de Vivienda'!$C$40)</f>
        <v>#VALUE!</v>
      </c>
      <c r="O355" s="9" t="e">
        <f t="shared" si="35"/>
        <v>#VALUE!</v>
      </c>
    </row>
    <row r="356" spans="2:15" ht="15.5" x14ac:dyDescent="0.35">
      <c r="B356" s="6" t="e">
        <f t="shared" si="31"/>
        <v>#VALUE!</v>
      </c>
      <c r="C356" s="7" t="e">
        <f t="shared" si="32"/>
        <v>#VALUE!</v>
      </c>
      <c r="D356" s="7" t="e">
        <f t="shared" si="36"/>
        <v>#VALUE!</v>
      </c>
      <c r="E356" s="7" t="e">
        <f>C355*'Crédito de Vivienda'!$E$17</f>
        <v>#VALUE!</v>
      </c>
      <c r="F356" s="282" t="e">
        <f>IF(C355&lt;1,"0",IF('Crédito de Vivienda'!$D$28="Si",($C$17*(VLOOKUP('Crédito de Vivienda'!$C$24,Seguros_Oblig!$A$3:$F$55,6,FALSE))),IF('Crédito de Vivienda'!$C$10="TARIFA 1",(C355*(VLOOKUP('Crédito de Vivienda'!$C$24,Seguros_Oblig!$A$3:$B$55,2,FALSE))),(C355*(VLOOKUP('Crédito de Vivienda'!$C$24,Seguros_Oblig!$A$3:$D$55,4,FALSE))))))</f>
        <v>#VALUE!</v>
      </c>
      <c r="G356" s="8" t="e">
        <f>IF('Crédito de Vivienda'!$C$10="TARIFA 1",(C355*(VLOOKUP('Crédito de Vivienda'!$C$25,Seguros_Oblig!$A$3:$B$55,2,FALSE))),(C355*(VLOOKUP('Crédito de Vivienda'!$C$25,Seguros_Oblig!$A$3:$D$55,4,FALSE))))</f>
        <v>#VALUE!</v>
      </c>
      <c r="H356" s="8" t="e">
        <f>IF('Crédito de Vivienda'!$C$10="TARIFA 1",(C355*(VLOOKUP('Crédito de Vivienda'!$C$26,Seguros_Oblig!$A$3:$B$55,2,FALSE))),(C355*(VLOOKUP('Crédito de Vivienda'!$C$26,Seguros_Oblig!$A$3:$D$55,4,FALSE))))</f>
        <v>#VALUE!</v>
      </c>
      <c r="I356" s="8" t="e">
        <f>IF('Crédito de Vivienda'!$C$10="TARIFA 1",(C355*(VLOOKUP('Crédito de Vivienda'!$C$27,Seguros_Oblig!$A$3:$B$55,2,FALSE))),(C355*(VLOOKUP('Crédito de Vivienda'!$C$27,Seguros_Oblig!$A$3:$D$55,4,FALSE))))</f>
        <v>#VALUE!</v>
      </c>
      <c r="J356" s="10">
        <f t="shared" si="33"/>
        <v>0</v>
      </c>
      <c r="K356" s="7" t="e">
        <f>IF(C355&lt;1,"0",Seguros_Oblig!$K$2*('Crédito de Vivienda'!$C$12*90%))</f>
        <v>#VALUE!</v>
      </c>
      <c r="L356" s="7" t="e">
        <f>IF(B356=" ","0",PMT('Crédito de Vivienda'!$E$17,'Crédito de Vivienda'!$C$18,-'Crédito de Vivienda'!$C$15,,))</f>
        <v>#VALUE!</v>
      </c>
      <c r="M356" s="9" t="e">
        <f t="shared" si="34"/>
        <v>#VALUE!</v>
      </c>
      <c r="N356" s="7" t="e">
        <f>IF(C355&lt;1,"0",'Crédito de Vivienda'!$C$40)</f>
        <v>#VALUE!</v>
      </c>
      <c r="O356" s="9" t="e">
        <f t="shared" si="35"/>
        <v>#VALUE!</v>
      </c>
    </row>
    <row r="357" spans="2:15" ht="15.5" x14ac:dyDescent="0.35">
      <c r="B357" s="6" t="e">
        <f t="shared" si="31"/>
        <v>#VALUE!</v>
      </c>
      <c r="C357" s="7" t="e">
        <f t="shared" si="32"/>
        <v>#VALUE!</v>
      </c>
      <c r="D357" s="7" t="e">
        <f t="shared" si="36"/>
        <v>#VALUE!</v>
      </c>
      <c r="E357" s="7" t="e">
        <f>C356*'Crédito de Vivienda'!$E$17</f>
        <v>#VALUE!</v>
      </c>
      <c r="F357" s="282" t="e">
        <f>IF(C356&lt;1,"0",IF('Crédito de Vivienda'!$D$28="Si",($C$17*(VLOOKUP('Crédito de Vivienda'!$C$24,Seguros_Oblig!$A$3:$F$55,6,FALSE))),IF('Crédito de Vivienda'!$C$10="TARIFA 1",(C356*(VLOOKUP('Crédito de Vivienda'!$C$24,Seguros_Oblig!$A$3:$B$55,2,FALSE))),(C356*(VLOOKUP('Crédito de Vivienda'!$C$24,Seguros_Oblig!$A$3:$D$55,4,FALSE))))))</f>
        <v>#VALUE!</v>
      </c>
      <c r="G357" s="8" t="e">
        <f>IF('Crédito de Vivienda'!$C$10="TARIFA 1",(C356*(VLOOKUP('Crédito de Vivienda'!$C$25,Seguros_Oblig!$A$3:$B$55,2,FALSE))),(C356*(VLOOKUP('Crédito de Vivienda'!$C$25,Seguros_Oblig!$A$3:$D$55,4,FALSE))))</f>
        <v>#VALUE!</v>
      </c>
      <c r="H357" s="8" t="e">
        <f>IF('Crédito de Vivienda'!$C$10="TARIFA 1",(C356*(VLOOKUP('Crédito de Vivienda'!$C$26,Seguros_Oblig!$A$3:$B$55,2,FALSE))),(C356*(VLOOKUP('Crédito de Vivienda'!$C$26,Seguros_Oblig!$A$3:$D$55,4,FALSE))))</f>
        <v>#VALUE!</v>
      </c>
      <c r="I357" s="8" t="e">
        <f>IF('Crédito de Vivienda'!$C$10="TARIFA 1",(C356*(VLOOKUP('Crédito de Vivienda'!$C$27,Seguros_Oblig!$A$3:$B$55,2,FALSE))),(C356*(VLOOKUP('Crédito de Vivienda'!$C$27,Seguros_Oblig!$A$3:$D$55,4,FALSE))))</f>
        <v>#VALUE!</v>
      </c>
      <c r="J357" s="10">
        <f t="shared" si="33"/>
        <v>0</v>
      </c>
      <c r="K357" s="7" t="e">
        <f>IF(C356&lt;1,"0",Seguros_Oblig!$K$2*('Crédito de Vivienda'!$C$12*90%))</f>
        <v>#VALUE!</v>
      </c>
      <c r="L357" s="7" t="e">
        <f>IF(B357=" ","0",PMT('Crédito de Vivienda'!$E$17,'Crédito de Vivienda'!$C$18,-'Crédito de Vivienda'!$C$15,,))</f>
        <v>#VALUE!</v>
      </c>
      <c r="M357" s="9" t="e">
        <f t="shared" si="34"/>
        <v>#VALUE!</v>
      </c>
      <c r="N357" s="7" t="e">
        <f>IF(C356&lt;1,"0",'Crédito de Vivienda'!$C$40)</f>
        <v>#VALUE!</v>
      </c>
      <c r="O357" s="9" t="e">
        <f t="shared" si="35"/>
        <v>#VALUE!</v>
      </c>
    </row>
    <row r="358" spans="2:15" ht="15.5" x14ac:dyDescent="0.35">
      <c r="B358" s="6" t="e">
        <f t="shared" si="31"/>
        <v>#VALUE!</v>
      </c>
      <c r="C358" s="7" t="e">
        <f t="shared" si="32"/>
        <v>#VALUE!</v>
      </c>
      <c r="D358" s="7" t="e">
        <f t="shared" si="36"/>
        <v>#VALUE!</v>
      </c>
      <c r="E358" s="7" t="e">
        <f>C357*'Crédito de Vivienda'!$E$17</f>
        <v>#VALUE!</v>
      </c>
      <c r="F358" s="282" t="e">
        <f>IF(C357&lt;1,"0",IF('Crédito de Vivienda'!$D$28="Si",($C$17*(VLOOKUP('Crédito de Vivienda'!$C$24,Seguros_Oblig!$A$3:$F$55,6,FALSE))),IF('Crédito de Vivienda'!$C$10="TARIFA 1",(C357*(VLOOKUP('Crédito de Vivienda'!$C$24,Seguros_Oblig!$A$3:$B$55,2,FALSE))),(C357*(VLOOKUP('Crédito de Vivienda'!$C$24,Seguros_Oblig!$A$3:$D$55,4,FALSE))))))</f>
        <v>#VALUE!</v>
      </c>
      <c r="G358" s="8" t="e">
        <f>IF('Crédito de Vivienda'!$C$10="TARIFA 1",(C357*(VLOOKUP('Crédito de Vivienda'!$C$25,Seguros_Oblig!$A$3:$B$55,2,FALSE))),(C357*(VLOOKUP('Crédito de Vivienda'!$C$25,Seguros_Oblig!$A$3:$D$55,4,FALSE))))</f>
        <v>#VALUE!</v>
      </c>
      <c r="H358" s="8" t="e">
        <f>IF('Crédito de Vivienda'!$C$10="TARIFA 1",(C357*(VLOOKUP('Crédito de Vivienda'!$C$26,Seguros_Oblig!$A$3:$B$55,2,FALSE))),(C357*(VLOOKUP('Crédito de Vivienda'!$C$26,Seguros_Oblig!$A$3:$D$55,4,FALSE))))</f>
        <v>#VALUE!</v>
      </c>
      <c r="I358" s="8" t="e">
        <f>IF('Crédito de Vivienda'!$C$10="TARIFA 1",(C357*(VLOOKUP('Crédito de Vivienda'!$C$27,Seguros_Oblig!$A$3:$B$55,2,FALSE))),(C357*(VLOOKUP('Crédito de Vivienda'!$C$27,Seguros_Oblig!$A$3:$D$55,4,FALSE))))</f>
        <v>#VALUE!</v>
      </c>
      <c r="J358" s="10">
        <f t="shared" si="33"/>
        <v>0</v>
      </c>
      <c r="K358" s="7" t="e">
        <f>IF(C357&lt;1,"0",Seguros_Oblig!$K$2*('Crédito de Vivienda'!$C$12*90%))</f>
        <v>#VALUE!</v>
      </c>
      <c r="L358" s="7" t="e">
        <f>IF(B358=" ","0",PMT('Crédito de Vivienda'!$E$17,'Crédito de Vivienda'!$C$18,-'Crédito de Vivienda'!$C$15,,))</f>
        <v>#VALUE!</v>
      </c>
      <c r="M358" s="9" t="e">
        <f t="shared" si="34"/>
        <v>#VALUE!</v>
      </c>
      <c r="N358" s="7" t="e">
        <f>IF(C357&lt;1,"0",'Crédito de Vivienda'!$C$40)</f>
        <v>#VALUE!</v>
      </c>
      <c r="O358" s="9" t="e">
        <f t="shared" si="35"/>
        <v>#VALUE!</v>
      </c>
    </row>
    <row r="359" spans="2:15" ht="15.5" x14ac:dyDescent="0.35">
      <c r="B359" s="6" t="e">
        <f t="shared" si="31"/>
        <v>#VALUE!</v>
      </c>
      <c r="C359" s="7" t="e">
        <f t="shared" si="32"/>
        <v>#VALUE!</v>
      </c>
      <c r="D359" s="7" t="e">
        <f t="shared" si="36"/>
        <v>#VALUE!</v>
      </c>
      <c r="E359" s="7" t="e">
        <f>C358*'Crédito de Vivienda'!$E$17</f>
        <v>#VALUE!</v>
      </c>
      <c r="F359" s="282" t="e">
        <f>IF(C358&lt;1,"0",IF('Crédito de Vivienda'!$D$28="Si",($C$17*(VLOOKUP('Crédito de Vivienda'!$C$24,Seguros_Oblig!$A$3:$F$55,6,FALSE))),IF('Crédito de Vivienda'!$C$10="TARIFA 1",(C358*(VLOOKUP('Crédito de Vivienda'!$C$24,Seguros_Oblig!$A$3:$B$55,2,FALSE))),(C358*(VLOOKUP('Crédito de Vivienda'!$C$24,Seguros_Oblig!$A$3:$D$55,4,FALSE))))))</f>
        <v>#VALUE!</v>
      </c>
      <c r="G359" s="8" t="e">
        <f>IF('Crédito de Vivienda'!$C$10="TARIFA 1",(C358*(VLOOKUP('Crédito de Vivienda'!$C$25,Seguros_Oblig!$A$3:$B$55,2,FALSE))),(C358*(VLOOKUP('Crédito de Vivienda'!$C$25,Seguros_Oblig!$A$3:$D$55,4,FALSE))))</f>
        <v>#VALUE!</v>
      </c>
      <c r="H359" s="8" t="e">
        <f>IF('Crédito de Vivienda'!$C$10="TARIFA 1",(C358*(VLOOKUP('Crédito de Vivienda'!$C$26,Seguros_Oblig!$A$3:$B$55,2,FALSE))),(C358*(VLOOKUP('Crédito de Vivienda'!$C$26,Seguros_Oblig!$A$3:$D$55,4,FALSE))))</f>
        <v>#VALUE!</v>
      </c>
      <c r="I359" s="8" t="e">
        <f>IF('Crédito de Vivienda'!$C$10="TARIFA 1",(C358*(VLOOKUP('Crédito de Vivienda'!$C$27,Seguros_Oblig!$A$3:$B$55,2,FALSE))),(C358*(VLOOKUP('Crédito de Vivienda'!$C$27,Seguros_Oblig!$A$3:$D$55,4,FALSE))))</f>
        <v>#VALUE!</v>
      </c>
      <c r="J359" s="10">
        <f t="shared" si="33"/>
        <v>0</v>
      </c>
      <c r="K359" s="7" t="e">
        <f>IF(C358&lt;1,"0",Seguros_Oblig!$K$2*('Crédito de Vivienda'!$C$12*90%))</f>
        <v>#VALUE!</v>
      </c>
      <c r="L359" s="7" t="e">
        <f>IF(B359=" ","0",PMT('Crédito de Vivienda'!$E$17,'Crédito de Vivienda'!$C$18,-'Crédito de Vivienda'!$C$15,,))</f>
        <v>#VALUE!</v>
      </c>
      <c r="M359" s="9" t="e">
        <f t="shared" si="34"/>
        <v>#VALUE!</v>
      </c>
      <c r="N359" s="7" t="e">
        <f>IF(C358&lt;1,"0",'Crédito de Vivienda'!$C$40)</f>
        <v>#VALUE!</v>
      </c>
      <c r="O359" s="9" t="e">
        <f t="shared" si="35"/>
        <v>#VALUE!</v>
      </c>
    </row>
    <row r="360" spans="2:15" ht="15.5" x14ac:dyDescent="0.35">
      <c r="B360" s="6" t="e">
        <f t="shared" si="31"/>
        <v>#VALUE!</v>
      </c>
      <c r="C360" s="7" t="e">
        <f t="shared" si="32"/>
        <v>#VALUE!</v>
      </c>
      <c r="D360" s="7" t="e">
        <f t="shared" si="36"/>
        <v>#VALUE!</v>
      </c>
      <c r="E360" s="7" t="e">
        <f>C359*'Crédito de Vivienda'!$E$17</f>
        <v>#VALUE!</v>
      </c>
      <c r="F360" s="282" t="e">
        <f>IF(C359&lt;1,"0",IF('Crédito de Vivienda'!$D$28="Si",($C$17*(VLOOKUP('Crédito de Vivienda'!$C$24,Seguros_Oblig!$A$3:$F$55,6,FALSE))),IF('Crédito de Vivienda'!$C$10="TARIFA 1",(C359*(VLOOKUP('Crédito de Vivienda'!$C$24,Seguros_Oblig!$A$3:$B$55,2,FALSE))),(C359*(VLOOKUP('Crédito de Vivienda'!$C$24,Seguros_Oblig!$A$3:$D$55,4,FALSE))))))</f>
        <v>#VALUE!</v>
      </c>
      <c r="G360" s="8" t="e">
        <f>IF('Crédito de Vivienda'!$C$10="TARIFA 1",(C359*(VLOOKUP('Crédito de Vivienda'!$C$25,Seguros_Oblig!$A$3:$B$55,2,FALSE))),(C359*(VLOOKUP('Crédito de Vivienda'!$C$25,Seguros_Oblig!$A$3:$D$55,4,FALSE))))</f>
        <v>#VALUE!</v>
      </c>
      <c r="H360" s="8" t="e">
        <f>IF('Crédito de Vivienda'!$C$10="TARIFA 1",(C359*(VLOOKUP('Crédito de Vivienda'!$C$26,Seguros_Oblig!$A$3:$B$55,2,FALSE))),(C359*(VLOOKUP('Crédito de Vivienda'!$C$26,Seguros_Oblig!$A$3:$D$55,4,FALSE))))</f>
        <v>#VALUE!</v>
      </c>
      <c r="I360" s="8" t="e">
        <f>IF('Crédito de Vivienda'!$C$10="TARIFA 1",(C359*(VLOOKUP('Crédito de Vivienda'!$C$27,Seguros_Oblig!$A$3:$B$55,2,FALSE))),(C359*(VLOOKUP('Crédito de Vivienda'!$C$27,Seguros_Oblig!$A$3:$D$55,4,FALSE))))</f>
        <v>#VALUE!</v>
      </c>
      <c r="J360" s="10">
        <f t="shared" si="33"/>
        <v>0</v>
      </c>
      <c r="K360" s="7" t="e">
        <f>IF(C359&lt;1,"0",Seguros_Oblig!$K$2*('Crédito de Vivienda'!$C$12*90%))</f>
        <v>#VALUE!</v>
      </c>
      <c r="L360" s="7" t="e">
        <f>IF(B360=" ","0",PMT('Crédito de Vivienda'!$E$17,'Crédito de Vivienda'!$C$18,-'Crédito de Vivienda'!$C$15,,))</f>
        <v>#VALUE!</v>
      </c>
      <c r="M360" s="9" t="e">
        <f t="shared" si="34"/>
        <v>#VALUE!</v>
      </c>
      <c r="N360" s="7" t="e">
        <f>IF(C359&lt;1,"0",'Crédito de Vivienda'!$C$40)</f>
        <v>#VALUE!</v>
      </c>
      <c r="O360" s="9" t="e">
        <f t="shared" si="35"/>
        <v>#VALUE!</v>
      </c>
    </row>
    <row r="361" spans="2:15" ht="15.5" x14ac:dyDescent="0.35">
      <c r="B361" s="6" t="e">
        <f t="shared" si="31"/>
        <v>#VALUE!</v>
      </c>
      <c r="C361" s="7" t="e">
        <f t="shared" si="32"/>
        <v>#VALUE!</v>
      </c>
      <c r="D361" s="7" t="e">
        <f t="shared" si="36"/>
        <v>#VALUE!</v>
      </c>
      <c r="E361" s="7" t="e">
        <f>C360*'Crédito de Vivienda'!$E$17</f>
        <v>#VALUE!</v>
      </c>
      <c r="F361" s="282" t="e">
        <f>IF(C360&lt;1,"0",IF('Crédito de Vivienda'!$D$28="Si",($C$17*(VLOOKUP('Crédito de Vivienda'!$C$24,Seguros_Oblig!$A$3:$F$55,6,FALSE))),IF('Crédito de Vivienda'!$C$10="TARIFA 1",(C360*(VLOOKUP('Crédito de Vivienda'!$C$24,Seguros_Oblig!$A$3:$B$55,2,FALSE))),(C360*(VLOOKUP('Crédito de Vivienda'!$C$24,Seguros_Oblig!$A$3:$D$55,4,FALSE))))))</f>
        <v>#VALUE!</v>
      </c>
      <c r="G361" s="8" t="e">
        <f>IF('Crédito de Vivienda'!$C$10="TARIFA 1",(C360*(VLOOKUP('Crédito de Vivienda'!$C$25,Seguros_Oblig!$A$3:$B$55,2,FALSE))),(C360*(VLOOKUP('Crédito de Vivienda'!$C$25,Seguros_Oblig!$A$3:$D$55,4,FALSE))))</f>
        <v>#VALUE!</v>
      </c>
      <c r="H361" s="8" t="e">
        <f>IF('Crédito de Vivienda'!$C$10="TARIFA 1",(C360*(VLOOKUP('Crédito de Vivienda'!$C$26,Seguros_Oblig!$A$3:$B$55,2,FALSE))),(C360*(VLOOKUP('Crédito de Vivienda'!$C$26,Seguros_Oblig!$A$3:$D$55,4,FALSE))))</f>
        <v>#VALUE!</v>
      </c>
      <c r="I361" s="8" t="e">
        <f>IF('Crédito de Vivienda'!$C$10="TARIFA 1",(C360*(VLOOKUP('Crédito de Vivienda'!$C$27,Seguros_Oblig!$A$3:$B$55,2,FALSE))),(C360*(VLOOKUP('Crédito de Vivienda'!$C$27,Seguros_Oblig!$A$3:$D$55,4,FALSE))))</f>
        <v>#VALUE!</v>
      </c>
      <c r="J361" s="10">
        <f t="shared" si="33"/>
        <v>0</v>
      </c>
      <c r="K361" s="7" t="e">
        <f>IF(C360&lt;1,"0",Seguros_Oblig!$K$2*('Crédito de Vivienda'!$C$12*90%))</f>
        <v>#VALUE!</v>
      </c>
      <c r="L361" s="7" t="e">
        <f>IF(B361=" ","0",PMT('Crédito de Vivienda'!$E$17,'Crédito de Vivienda'!$C$18,-'Crédito de Vivienda'!$C$15,,))</f>
        <v>#VALUE!</v>
      </c>
      <c r="M361" s="9" t="e">
        <f t="shared" si="34"/>
        <v>#VALUE!</v>
      </c>
      <c r="N361" s="7" t="e">
        <f>IF(C360&lt;1,"0",'Crédito de Vivienda'!$C$40)</f>
        <v>#VALUE!</v>
      </c>
      <c r="O361" s="9" t="e">
        <f t="shared" si="35"/>
        <v>#VALUE!</v>
      </c>
    </row>
    <row r="362" spans="2:15" ht="15.5" x14ac:dyDescent="0.35">
      <c r="B362" s="6" t="e">
        <f t="shared" si="31"/>
        <v>#VALUE!</v>
      </c>
      <c r="C362" s="7" t="e">
        <f t="shared" si="32"/>
        <v>#VALUE!</v>
      </c>
      <c r="D362" s="7" t="e">
        <f t="shared" si="36"/>
        <v>#VALUE!</v>
      </c>
      <c r="E362" s="7" t="e">
        <f>C361*'Crédito de Vivienda'!$E$17</f>
        <v>#VALUE!</v>
      </c>
      <c r="F362" s="282" t="e">
        <f>IF(C361&lt;1,"0",IF('Crédito de Vivienda'!$D$28="Si",($C$17*(VLOOKUP('Crédito de Vivienda'!$C$24,Seguros_Oblig!$A$3:$F$55,6,FALSE))),IF('Crédito de Vivienda'!$C$10="TARIFA 1",(C361*(VLOOKUP('Crédito de Vivienda'!$C$24,Seguros_Oblig!$A$3:$B$55,2,FALSE))),(C361*(VLOOKUP('Crédito de Vivienda'!$C$24,Seguros_Oblig!$A$3:$D$55,4,FALSE))))))</f>
        <v>#VALUE!</v>
      </c>
      <c r="G362" s="8" t="e">
        <f>IF('Crédito de Vivienda'!$C$10="TARIFA 1",(C361*(VLOOKUP('Crédito de Vivienda'!$C$25,Seguros_Oblig!$A$3:$B$55,2,FALSE))),(C361*(VLOOKUP('Crédito de Vivienda'!$C$25,Seguros_Oblig!$A$3:$D$55,4,FALSE))))</f>
        <v>#VALUE!</v>
      </c>
      <c r="H362" s="8" t="e">
        <f>IF('Crédito de Vivienda'!$C$10="TARIFA 1",(C361*(VLOOKUP('Crédito de Vivienda'!$C$26,Seguros_Oblig!$A$3:$B$55,2,FALSE))),(C361*(VLOOKUP('Crédito de Vivienda'!$C$26,Seguros_Oblig!$A$3:$D$55,4,FALSE))))</f>
        <v>#VALUE!</v>
      </c>
      <c r="I362" s="8" t="e">
        <f>IF('Crédito de Vivienda'!$C$10="TARIFA 1",(C361*(VLOOKUP('Crédito de Vivienda'!$C$27,Seguros_Oblig!$A$3:$B$55,2,FALSE))),(C361*(VLOOKUP('Crédito de Vivienda'!$C$27,Seguros_Oblig!$A$3:$D$55,4,FALSE))))</f>
        <v>#VALUE!</v>
      </c>
      <c r="J362" s="10">
        <f t="shared" si="33"/>
        <v>0</v>
      </c>
      <c r="K362" s="7" t="e">
        <f>IF(C361&lt;1,"0",Seguros_Oblig!$K$2*('Crédito de Vivienda'!$C$12*90%))</f>
        <v>#VALUE!</v>
      </c>
      <c r="L362" s="7" t="e">
        <f>IF(B362=" ","0",PMT('Crédito de Vivienda'!$E$17,'Crédito de Vivienda'!$C$18,-'Crédito de Vivienda'!$C$15,,))</f>
        <v>#VALUE!</v>
      </c>
      <c r="M362" s="9" t="e">
        <f t="shared" si="34"/>
        <v>#VALUE!</v>
      </c>
      <c r="N362" s="7" t="e">
        <f>IF(C361&lt;1,"0",'Crédito de Vivienda'!$C$40)</f>
        <v>#VALUE!</v>
      </c>
      <c r="O362" s="9" t="e">
        <f t="shared" si="35"/>
        <v>#VALUE!</v>
      </c>
    </row>
    <row r="363" spans="2:15" ht="15.5" x14ac:dyDescent="0.35">
      <c r="B363" s="6" t="e">
        <f t="shared" si="31"/>
        <v>#VALUE!</v>
      </c>
      <c r="C363" s="7" t="e">
        <f t="shared" si="32"/>
        <v>#VALUE!</v>
      </c>
      <c r="D363" s="7" t="e">
        <f t="shared" si="36"/>
        <v>#VALUE!</v>
      </c>
      <c r="E363" s="7" t="e">
        <f>C362*'Crédito de Vivienda'!$E$17</f>
        <v>#VALUE!</v>
      </c>
      <c r="F363" s="282" t="e">
        <f>IF(C362&lt;1,"0",IF('Crédito de Vivienda'!$D$28="Si",($C$17*(VLOOKUP('Crédito de Vivienda'!$C$24,Seguros_Oblig!$A$3:$F$55,6,FALSE))),IF('Crédito de Vivienda'!$C$10="TARIFA 1",(C362*(VLOOKUP('Crédito de Vivienda'!$C$24,Seguros_Oblig!$A$3:$B$55,2,FALSE))),(C362*(VLOOKUP('Crédito de Vivienda'!$C$24,Seguros_Oblig!$A$3:$D$55,4,FALSE))))))</f>
        <v>#VALUE!</v>
      </c>
      <c r="G363" s="8" t="e">
        <f>IF('Crédito de Vivienda'!$C$10="TARIFA 1",(C362*(VLOOKUP('Crédito de Vivienda'!$C$25,Seguros_Oblig!$A$3:$B$55,2,FALSE))),(C362*(VLOOKUP('Crédito de Vivienda'!$C$25,Seguros_Oblig!$A$3:$D$55,4,FALSE))))</f>
        <v>#VALUE!</v>
      </c>
      <c r="H363" s="8" t="e">
        <f>IF('Crédito de Vivienda'!$C$10="TARIFA 1",(C362*(VLOOKUP('Crédito de Vivienda'!$C$26,Seguros_Oblig!$A$3:$B$55,2,FALSE))),(C362*(VLOOKUP('Crédito de Vivienda'!$C$26,Seguros_Oblig!$A$3:$D$55,4,FALSE))))</f>
        <v>#VALUE!</v>
      </c>
      <c r="I363" s="8" t="e">
        <f>IF('Crédito de Vivienda'!$C$10="TARIFA 1",(C362*(VLOOKUP('Crédito de Vivienda'!$C$27,Seguros_Oblig!$A$3:$B$55,2,FALSE))),(C362*(VLOOKUP('Crédito de Vivienda'!$C$27,Seguros_Oblig!$A$3:$D$55,4,FALSE))))</f>
        <v>#VALUE!</v>
      </c>
      <c r="J363" s="10">
        <f t="shared" si="33"/>
        <v>0</v>
      </c>
      <c r="K363" s="7" t="e">
        <f>IF(C362&lt;1,"0",Seguros_Oblig!$K$2*('Crédito de Vivienda'!$C$12*90%))</f>
        <v>#VALUE!</v>
      </c>
      <c r="L363" s="7" t="e">
        <f>IF(B363=" ","0",PMT('Crédito de Vivienda'!$E$17,'Crédito de Vivienda'!$C$18,-'Crédito de Vivienda'!$C$15,,))</f>
        <v>#VALUE!</v>
      </c>
      <c r="M363" s="9" t="e">
        <f t="shared" si="34"/>
        <v>#VALUE!</v>
      </c>
      <c r="N363" s="7" t="e">
        <f>IF(C362&lt;1,"0",'Crédito de Vivienda'!$C$40)</f>
        <v>#VALUE!</v>
      </c>
      <c r="O363" s="9" t="e">
        <f t="shared" si="35"/>
        <v>#VALUE!</v>
      </c>
    </row>
    <row r="364" spans="2:15" ht="15.5" x14ac:dyDescent="0.35">
      <c r="B364" s="6" t="e">
        <f t="shared" si="31"/>
        <v>#VALUE!</v>
      </c>
      <c r="C364" s="7" t="e">
        <f t="shared" si="32"/>
        <v>#VALUE!</v>
      </c>
      <c r="D364" s="7" t="e">
        <f t="shared" si="36"/>
        <v>#VALUE!</v>
      </c>
      <c r="E364" s="7" t="e">
        <f>C363*'Crédito de Vivienda'!$E$17</f>
        <v>#VALUE!</v>
      </c>
      <c r="F364" s="282" t="e">
        <f>IF(C363&lt;1,"0",IF('Crédito de Vivienda'!$D$28="Si",($C$17*(VLOOKUP('Crédito de Vivienda'!$C$24,Seguros_Oblig!$A$3:$F$55,6,FALSE))),IF('Crédito de Vivienda'!$C$10="TARIFA 1",(C363*(VLOOKUP('Crédito de Vivienda'!$C$24,Seguros_Oblig!$A$3:$B$55,2,FALSE))),(C363*(VLOOKUP('Crédito de Vivienda'!$C$24,Seguros_Oblig!$A$3:$D$55,4,FALSE))))))</f>
        <v>#VALUE!</v>
      </c>
      <c r="G364" s="8" t="e">
        <f>IF('Crédito de Vivienda'!$C$10="TARIFA 1",(C363*(VLOOKUP('Crédito de Vivienda'!$C$25,Seguros_Oblig!$A$3:$B$55,2,FALSE))),(C363*(VLOOKUP('Crédito de Vivienda'!$C$25,Seguros_Oblig!$A$3:$D$55,4,FALSE))))</f>
        <v>#VALUE!</v>
      </c>
      <c r="H364" s="8" t="e">
        <f>IF('Crédito de Vivienda'!$C$10="TARIFA 1",(C363*(VLOOKUP('Crédito de Vivienda'!$C$26,Seguros_Oblig!$A$3:$B$55,2,FALSE))),(C363*(VLOOKUP('Crédito de Vivienda'!$C$26,Seguros_Oblig!$A$3:$D$55,4,FALSE))))</f>
        <v>#VALUE!</v>
      </c>
      <c r="I364" s="8" t="e">
        <f>IF('Crédito de Vivienda'!$C$10="TARIFA 1",(C363*(VLOOKUP('Crédito de Vivienda'!$C$27,Seguros_Oblig!$A$3:$B$55,2,FALSE))),(C363*(VLOOKUP('Crédito de Vivienda'!$C$27,Seguros_Oblig!$A$3:$D$55,4,FALSE))))</f>
        <v>#VALUE!</v>
      </c>
      <c r="J364" s="10">
        <f t="shared" si="33"/>
        <v>0</v>
      </c>
      <c r="K364" s="7" t="e">
        <f>IF(C363&lt;1,"0",Seguros_Oblig!$K$2*('Crédito de Vivienda'!$C$12*90%))</f>
        <v>#VALUE!</v>
      </c>
      <c r="L364" s="7" t="e">
        <f>IF(B364=" ","0",PMT('Crédito de Vivienda'!$E$17,'Crédito de Vivienda'!$C$18,-'Crédito de Vivienda'!$C$15,,))</f>
        <v>#VALUE!</v>
      </c>
      <c r="M364" s="9" t="e">
        <f t="shared" si="34"/>
        <v>#VALUE!</v>
      </c>
      <c r="N364" s="7" t="e">
        <f>IF(C363&lt;1,"0",'Crédito de Vivienda'!$C$40)</f>
        <v>#VALUE!</v>
      </c>
      <c r="O364" s="9" t="e">
        <f t="shared" si="35"/>
        <v>#VALUE!</v>
      </c>
    </row>
    <row r="365" spans="2:15" ht="15.5" x14ac:dyDescent="0.35">
      <c r="B365" s="6" t="e">
        <f t="shared" si="31"/>
        <v>#VALUE!</v>
      </c>
      <c r="C365" s="7" t="e">
        <f t="shared" si="32"/>
        <v>#VALUE!</v>
      </c>
      <c r="D365" s="7" t="e">
        <f t="shared" si="36"/>
        <v>#VALUE!</v>
      </c>
      <c r="E365" s="7" t="e">
        <f>C364*'Crédito de Vivienda'!$E$17</f>
        <v>#VALUE!</v>
      </c>
      <c r="F365" s="282" t="e">
        <f>IF(C364&lt;1,"0",IF('Crédito de Vivienda'!$D$28="Si",($C$17*(VLOOKUP('Crédito de Vivienda'!$C$24,Seguros_Oblig!$A$3:$F$55,6,FALSE))),IF('Crédito de Vivienda'!$C$10="TARIFA 1",(C364*(VLOOKUP('Crédito de Vivienda'!$C$24,Seguros_Oblig!$A$3:$B$55,2,FALSE))),(C364*(VLOOKUP('Crédito de Vivienda'!$C$24,Seguros_Oblig!$A$3:$D$55,4,FALSE))))))</f>
        <v>#VALUE!</v>
      </c>
      <c r="G365" s="8" t="e">
        <f>IF('Crédito de Vivienda'!$C$10="TARIFA 1",(C364*(VLOOKUP('Crédito de Vivienda'!$C$25,Seguros_Oblig!$A$3:$B$55,2,FALSE))),(C364*(VLOOKUP('Crédito de Vivienda'!$C$25,Seguros_Oblig!$A$3:$D$55,4,FALSE))))</f>
        <v>#VALUE!</v>
      </c>
      <c r="H365" s="8" t="e">
        <f>IF('Crédito de Vivienda'!$C$10="TARIFA 1",(C364*(VLOOKUP('Crédito de Vivienda'!$C$26,Seguros_Oblig!$A$3:$B$55,2,FALSE))),(C364*(VLOOKUP('Crédito de Vivienda'!$C$26,Seguros_Oblig!$A$3:$D$55,4,FALSE))))</f>
        <v>#VALUE!</v>
      </c>
      <c r="I365" s="8" t="e">
        <f>IF('Crédito de Vivienda'!$C$10="TARIFA 1",(C364*(VLOOKUP('Crédito de Vivienda'!$C$27,Seguros_Oblig!$A$3:$B$55,2,FALSE))),(C364*(VLOOKUP('Crédito de Vivienda'!$C$27,Seguros_Oblig!$A$3:$D$55,4,FALSE))))</f>
        <v>#VALUE!</v>
      </c>
      <c r="J365" s="10">
        <f t="shared" si="33"/>
        <v>0</v>
      </c>
      <c r="K365" s="7" t="e">
        <f>IF(C364&lt;1,"0",Seguros_Oblig!$K$2*('Crédito de Vivienda'!$C$12*90%))</f>
        <v>#VALUE!</v>
      </c>
      <c r="L365" s="7" t="e">
        <f>IF(B365=" ","0",PMT('Crédito de Vivienda'!$E$17,'Crédito de Vivienda'!$C$18,-'Crédito de Vivienda'!$C$15,,))</f>
        <v>#VALUE!</v>
      </c>
      <c r="M365" s="9" t="e">
        <f t="shared" si="34"/>
        <v>#VALUE!</v>
      </c>
      <c r="N365" s="7" t="e">
        <f>IF(C364&lt;1,"0",'Crédito de Vivienda'!$C$40)</f>
        <v>#VALUE!</v>
      </c>
      <c r="O365" s="9" t="e">
        <f t="shared" si="35"/>
        <v>#VALUE!</v>
      </c>
    </row>
    <row r="366" spans="2:15" ht="15.5" x14ac:dyDescent="0.35">
      <c r="B366" s="6" t="e">
        <f t="shared" si="31"/>
        <v>#VALUE!</v>
      </c>
      <c r="C366" s="7" t="e">
        <f t="shared" si="32"/>
        <v>#VALUE!</v>
      </c>
      <c r="D366" s="7" t="e">
        <f t="shared" si="36"/>
        <v>#VALUE!</v>
      </c>
      <c r="E366" s="7" t="e">
        <f>C365*'Crédito de Vivienda'!$E$17</f>
        <v>#VALUE!</v>
      </c>
      <c r="F366" s="282" t="e">
        <f>IF(C365&lt;1,"0",IF('Crédito de Vivienda'!$D$28="Si",($C$17*(VLOOKUP('Crédito de Vivienda'!$C$24,Seguros_Oblig!$A$3:$F$55,6,FALSE))),IF('Crédito de Vivienda'!$C$10="TARIFA 1",(C365*(VLOOKUP('Crédito de Vivienda'!$C$24,Seguros_Oblig!$A$3:$B$55,2,FALSE))),(C365*(VLOOKUP('Crédito de Vivienda'!$C$24,Seguros_Oblig!$A$3:$D$55,4,FALSE))))))</f>
        <v>#VALUE!</v>
      </c>
      <c r="G366" s="8" t="e">
        <f>IF('Crédito de Vivienda'!$C$10="TARIFA 1",(C365*(VLOOKUP('Crédito de Vivienda'!$C$25,Seguros_Oblig!$A$3:$B$55,2,FALSE))),(C365*(VLOOKUP('Crédito de Vivienda'!$C$25,Seguros_Oblig!$A$3:$D$55,4,FALSE))))</f>
        <v>#VALUE!</v>
      </c>
      <c r="H366" s="8" t="e">
        <f>IF('Crédito de Vivienda'!$C$10="TARIFA 1",(C365*(VLOOKUP('Crédito de Vivienda'!$C$26,Seguros_Oblig!$A$3:$B$55,2,FALSE))),(C365*(VLOOKUP('Crédito de Vivienda'!$C$26,Seguros_Oblig!$A$3:$D$55,4,FALSE))))</f>
        <v>#VALUE!</v>
      </c>
      <c r="I366" s="8" t="e">
        <f>IF('Crédito de Vivienda'!$C$10="TARIFA 1",(C365*(VLOOKUP('Crédito de Vivienda'!$C$27,Seguros_Oblig!$A$3:$B$55,2,FALSE))),(C365*(VLOOKUP('Crédito de Vivienda'!$C$27,Seguros_Oblig!$A$3:$D$55,4,FALSE))))</f>
        <v>#VALUE!</v>
      </c>
      <c r="J366" s="10">
        <f t="shared" si="33"/>
        <v>0</v>
      </c>
      <c r="K366" s="7" t="e">
        <f>IF(C365&lt;1,"0",Seguros_Oblig!$K$2*('Crédito de Vivienda'!$C$12*90%))</f>
        <v>#VALUE!</v>
      </c>
      <c r="L366" s="7" t="e">
        <f>IF(B366=" ","0",PMT('Crédito de Vivienda'!$E$17,'Crédito de Vivienda'!$C$18,-'Crédito de Vivienda'!$C$15,,))</f>
        <v>#VALUE!</v>
      </c>
      <c r="M366" s="9" t="e">
        <f t="shared" si="34"/>
        <v>#VALUE!</v>
      </c>
      <c r="N366" s="7" t="e">
        <f>IF(C365&lt;1,"0",'Crédito de Vivienda'!$C$40)</f>
        <v>#VALUE!</v>
      </c>
      <c r="O366" s="9" t="e">
        <f t="shared" si="35"/>
        <v>#VALUE!</v>
      </c>
    </row>
    <row r="367" spans="2:15" ht="15.5" x14ac:dyDescent="0.35">
      <c r="B367" s="6" t="e">
        <f t="shared" si="31"/>
        <v>#VALUE!</v>
      </c>
      <c r="C367" s="7" t="e">
        <f t="shared" si="32"/>
        <v>#VALUE!</v>
      </c>
      <c r="D367" s="7" t="e">
        <f t="shared" si="36"/>
        <v>#VALUE!</v>
      </c>
      <c r="E367" s="7" t="e">
        <f>C366*'Crédito de Vivienda'!$E$17</f>
        <v>#VALUE!</v>
      </c>
      <c r="F367" s="282" t="e">
        <f>IF(C366&lt;1,"0",IF('Crédito de Vivienda'!$D$28="Si",($C$17*(VLOOKUP('Crédito de Vivienda'!$C$24,Seguros_Oblig!$A$3:$F$55,6,FALSE))),IF('Crédito de Vivienda'!$C$10="TARIFA 1",(C366*(VLOOKUP('Crédito de Vivienda'!$C$24,Seguros_Oblig!$A$3:$B$55,2,FALSE))),(C366*(VLOOKUP('Crédito de Vivienda'!$C$24,Seguros_Oblig!$A$3:$D$55,4,FALSE))))))</f>
        <v>#VALUE!</v>
      </c>
      <c r="G367" s="8" t="e">
        <f>IF('Crédito de Vivienda'!$C$10="TARIFA 1",(C366*(VLOOKUP('Crédito de Vivienda'!$C$25,Seguros_Oblig!$A$3:$B$55,2,FALSE))),(C366*(VLOOKUP('Crédito de Vivienda'!$C$25,Seguros_Oblig!$A$3:$D$55,4,FALSE))))</f>
        <v>#VALUE!</v>
      </c>
      <c r="H367" s="8" t="e">
        <f>IF('Crédito de Vivienda'!$C$10="TARIFA 1",(C366*(VLOOKUP('Crédito de Vivienda'!$C$26,Seguros_Oblig!$A$3:$B$55,2,FALSE))),(C366*(VLOOKUP('Crédito de Vivienda'!$C$26,Seguros_Oblig!$A$3:$D$55,4,FALSE))))</f>
        <v>#VALUE!</v>
      </c>
      <c r="I367" s="8" t="e">
        <f>IF('Crédito de Vivienda'!$C$10="TARIFA 1",(C366*(VLOOKUP('Crédito de Vivienda'!$C$27,Seguros_Oblig!$A$3:$B$55,2,FALSE))),(C366*(VLOOKUP('Crédito de Vivienda'!$C$27,Seguros_Oblig!$A$3:$D$55,4,FALSE))))</f>
        <v>#VALUE!</v>
      </c>
      <c r="J367" s="10">
        <f t="shared" si="33"/>
        <v>0</v>
      </c>
      <c r="K367" s="7" t="e">
        <f>IF(C366&lt;1,"0",Seguros_Oblig!$K$2*('Crédito de Vivienda'!$C$12*90%))</f>
        <v>#VALUE!</v>
      </c>
      <c r="L367" s="7" t="e">
        <f>IF(B367=" ","0",PMT('Crédito de Vivienda'!$E$17,'Crédito de Vivienda'!$C$18,-'Crédito de Vivienda'!$C$15,,))</f>
        <v>#VALUE!</v>
      </c>
      <c r="M367" s="9" t="e">
        <f t="shared" si="34"/>
        <v>#VALUE!</v>
      </c>
      <c r="N367" s="7" t="e">
        <f>IF(C366&lt;1,"0",'Crédito de Vivienda'!$C$40)</f>
        <v>#VALUE!</v>
      </c>
      <c r="O367" s="9" t="e">
        <f t="shared" si="35"/>
        <v>#VALUE!</v>
      </c>
    </row>
    <row r="368" spans="2:15" ht="15.5" x14ac:dyDescent="0.35">
      <c r="B368" s="6" t="e">
        <f t="shared" si="31"/>
        <v>#VALUE!</v>
      </c>
      <c r="C368" s="7" t="e">
        <f t="shared" si="32"/>
        <v>#VALUE!</v>
      </c>
      <c r="D368" s="7" t="e">
        <f t="shared" si="36"/>
        <v>#VALUE!</v>
      </c>
      <c r="E368" s="7" t="e">
        <f>C367*'Crédito de Vivienda'!$E$17</f>
        <v>#VALUE!</v>
      </c>
      <c r="F368" s="282" t="e">
        <f>IF(C367&lt;1,"0",IF('Crédito de Vivienda'!$D$28="Si",($C$17*(VLOOKUP('Crédito de Vivienda'!$C$24,Seguros_Oblig!$A$3:$F$55,6,FALSE))),IF('Crédito de Vivienda'!$C$10="TARIFA 1",(C367*(VLOOKUP('Crédito de Vivienda'!$C$24,Seguros_Oblig!$A$3:$B$55,2,FALSE))),(C367*(VLOOKUP('Crédito de Vivienda'!$C$24,Seguros_Oblig!$A$3:$D$55,4,FALSE))))))</f>
        <v>#VALUE!</v>
      </c>
      <c r="G368" s="8" t="e">
        <f>IF('Crédito de Vivienda'!$C$10="TARIFA 1",(C367*(VLOOKUP('Crédito de Vivienda'!$C$25,Seguros_Oblig!$A$3:$B$55,2,FALSE))),(C367*(VLOOKUP('Crédito de Vivienda'!$C$25,Seguros_Oblig!$A$3:$D$55,4,FALSE))))</f>
        <v>#VALUE!</v>
      </c>
      <c r="H368" s="8" t="e">
        <f>IF('Crédito de Vivienda'!$C$10="TARIFA 1",(C367*(VLOOKUP('Crédito de Vivienda'!$C$26,Seguros_Oblig!$A$3:$B$55,2,FALSE))),(C367*(VLOOKUP('Crédito de Vivienda'!$C$26,Seguros_Oblig!$A$3:$D$55,4,FALSE))))</f>
        <v>#VALUE!</v>
      </c>
      <c r="I368" s="8" t="e">
        <f>IF('Crédito de Vivienda'!$C$10="TARIFA 1",(C367*(VLOOKUP('Crédito de Vivienda'!$C$27,Seguros_Oblig!$A$3:$B$55,2,FALSE))),(C367*(VLOOKUP('Crédito de Vivienda'!$C$27,Seguros_Oblig!$A$3:$D$55,4,FALSE))))</f>
        <v>#VALUE!</v>
      </c>
      <c r="J368" s="10">
        <f t="shared" si="33"/>
        <v>0</v>
      </c>
      <c r="K368" s="7" t="e">
        <f>IF(C367&lt;1,"0",Seguros_Oblig!$K$2*('Crédito de Vivienda'!$C$12*90%))</f>
        <v>#VALUE!</v>
      </c>
      <c r="L368" s="7" t="e">
        <f>IF(B368=" ","0",PMT('Crédito de Vivienda'!$E$17,'Crédito de Vivienda'!$C$18,-'Crédito de Vivienda'!$C$15,,))</f>
        <v>#VALUE!</v>
      </c>
      <c r="M368" s="9" t="e">
        <f t="shared" si="34"/>
        <v>#VALUE!</v>
      </c>
      <c r="N368" s="7" t="e">
        <f>IF(C367&lt;1,"0",'Crédito de Vivienda'!$C$40)</f>
        <v>#VALUE!</v>
      </c>
      <c r="O368" s="9" t="e">
        <f t="shared" si="35"/>
        <v>#VALUE!</v>
      </c>
    </row>
    <row r="369" spans="2:15" ht="15.5" x14ac:dyDescent="0.35">
      <c r="B369" s="6" t="e">
        <f t="shared" si="31"/>
        <v>#VALUE!</v>
      </c>
      <c r="C369" s="7" t="e">
        <f t="shared" si="32"/>
        <v>#VALUE!</v>
      </c>
      <c r="D369" s="7" t="e">
        <f t="shared" si="36"/>
        <v>#VALUE!</v>
      </c>
      <c r="E369" s="7" t="e">
        <f>C368*'Crédito de Vivienda'!$E$17</f>
        <v>#VALUE!</v>
      </c>
      <c r="F369" s="282" t="e">
        <f>IF(C368&lt;1,"0",IF('Crédito de Vivienda'!$D$28="Si",($C$17*(VLOOKUP('Crédito de Vivienda'!$C$24,Seguros_Oblig!$A$3:$F$55,6,FALSE))),IF('Crédito de Vivienda'!$C$10="TARIFA 1",(C368*(VLOOKUP('Crédito de Vivienda'!$C$24,Seguros_Oblig!$A$3:$B$55,2,FALSE))),(C368*(VLOOKUP('Crédito de Vivienda'!$C$24,Seguros_Oblig!$A$3:$D$55,4,FALSE))))))</f>
        <v>#VALUE!</v>
      </c>
      <c r="G369" s="8" t="e">
        <f>IF('Crédito de Vivienda'!$C$10="TARIFA 1",(C368*(VLOOKUP('Crédito de Vivienda'!$C$25,Seguros_Oblig!$A$3:$B$55,2,FALSE))),(C368*(VLOOKUP('Crédito de Vivienda'!$C$25,Seguros_Oblig!$A$3:$D$55,4,FALSE))))</f>
        <v>#VALUE!</v>
      </c>
      <c r="H369" s="8" t="e">
        <f>IF('Crédito de Vivienda'!$C$10="TARIFA 1",(C368*(VLOOKUP('Crédito de Vivienda'!$C$26,Seguros_Oblig!$A$3:$B$55,2,FALSE))),(C368*(VLOOKUP('Crédito de Vivienda'!$C$26,Seguros_Oblig!$A$3:$D$55,4,FALSE))))</f>
        <v>#VALUE!</v>
      </c>
      <c r="I369" s="8" t="e">
        <f>IF('Crédito de Vivienda'!$C$10="TARIFA 1",(C368*(VLOOKUP('Crédito de Vivienda'!$C$27,Seguros_Oblig!$A$3:$B$55,2,FALSE))),(C368*(VLOOKUP('Crédito de Vivienda'!$C$27,Seguros_Oblig!$A$3:$D$55,4,FALSE))))</f>
        <v>#VALUE!</v>
      </c>
      <c r="J369" s="10">
        <f t="shared" si="33"/>
        <v>0</v>
      </c>
      <c r="K369" s="7" t="e">
        <f>IF(C368&lt;1,"0",Seguros_Oblig!$K$2*('Crédito de Vivienda'!$C$12*90%))</f>
        <v>#VALUE!</v>
      </c>
      <c r="L369" s="7" t="e">
        <f>IF(B369=" ","0",PMT('Crédito de Vivienda'!$E$17,'Crédito de Vivienda'!$C$18,-'Crédito de Vivienda'!$C$15,,))</f>
        <v>#VALUE!</v>
      </c>
      <c r="M369" s="9" t="e">
        <f t="shared" si="34"/>
        <v>#VALUE!</v>
      </c>
      <c r="N369" s="7" t="e">
        <f>IF(C368&lt;1,"0",'Crédito de Vivienda'!$C$40)</f>
        <v>#VALUE!</v>
      </c>
      <c r="O369" s="9" t="e">
        <f t="shared" si="35"/>
        <v>#VALUE!</v>
      </c>
    </row>
    <row r="370" spans="2:15" ht="15.5" x14ac:dyDescent="0.35">
      <c r="B370" s="6" t="e">
        <f t="shared" si="31"/>
        <v>#VALUE!</v>
      </c>
      <c r="C370" s="7" t="e">
        <f t="shared" si="32"/>
        <v>#VALUE!</v>
      </c>
      <c r="D370" s="7" t="e">
        <f t="shared" si="36"/>
        <v>#VALUE!</v>
      </c>
      <c r="E370" s="7" t="e">
        <f>C369*'Crédito de Vivienda'!$E$17</f>
        <v>#VALUE!</v>
      </c>
      <c r="F370" s="282" t="e">
        <f>IF(C369&lt;1,"0",IF('Crédito de Vivienda'!$D$28="Si",($C$17*(VLOOKUP('Crédito de Vivienda'!$C$24,Seguros_Oblig!$A$3:$F$55,6,FALSE))),IF('Crédito de Vivienda'!$C$10="TARIFA 1",(C369*(VLOOKUP('Crédito de Vivienda'!$C$24,Seguros_Oblig!$A$3:$B$55,2,FALSE))),(C369*(VLOOKUP('Crédito de Vivienda'!$C$24,Seguros_Oblig!$A$3:$D$55,4,FALSE))))))</f>
        <v>#VALUE!</v>
      </c>
      <c r="G370" s="8" t="e">
        <f>IF('Crédito de Vivienda'!$C$10="TARIFA 1",(C369*(VLOOKUP('Crédito de Vivienda'!$C$25,Seguros_Oblig!$A$3:$B$55,2,FALSE))),(C369*(VLOOKUP('Crédito de Vivienda'!$C$25,Seguros_Oblig!$A$3:$D$55,4,FALSE))))</f>
        <v>#VALUE!</v>
      </c>
      <c r="H370" s="8" t="e">
        <f>IF('Crédito de Vivienda'!$C$10="TARIFA 1",(C369*(VLOOKUP('Crédito de Vivienda'!$C$26,Seguros_Oblig!$A$3:$B$55,2,FALSE))),(C369*(VLOOKUP('Crédito de Vivienda'!$C$26,Seguros_Oblig!$A$3:$D$55,4,FALSE))))</f>
        <v>#VALUE!</v>
      </c>
      <c r="I370" s="8" t="e">
        <f>IF('Crédito de Vivienda'!$C$10="TARIFA 1",(C369*(VLOOKUP('Crédito de Vivienda'!$C$27,Seguros_Oblig!$A$3:$B$55,2,FALSE))),(C369*(VLOOKUP('Crédito de Vivienda'!$C$27,Seguros_Oblig!$A$3:$D$55,4,FALSE))))</f>
        <v>#VALUE!</v>
      </c>
      <c r="J370" s="10">
        <f t="shared" si="33"/>
        <v>0</v>
      </c>
      <c r="K370" s="7" t="e">
        <f>IF(C369&lt;1,"0",Seguros_Oblig!$K$2*('Crédito de Vivienda'!$C$12*90%))</f>
        <v>#VALUE!</v>
      </c>
      <c r="L370" s="7" t="e">
        <f>IF(B370=" ","0",PMT('Crédito de Vivienda'!$E$17,'Crédito de Vivienda'!$C$18,-'Crédito de Vivienda'!$C$15,,))</f>
        <v>#VALUE!</v>
      </c>
      <c r="M370" s="9" t="e">
        <f t="shared" si="34"/>
        <v>#VALUE!</v>
      </c>
      <c r="N370" s="7" t="e">
        <f>IF(C369&lt;1,"0",'Crédito de Vivienda'!$C$40)</f>
        <v>#VALUE!</v>
      </c>
      <c r="O370" s="9" t="e">
        <f t="shared" si="35"/>
        <v>#VALUE!</v>
      </c>
    </row>
    <row r="371" spans="2:15" ht="15.5" x14ac:dyDescent="0.35">
      <c r="B371" s="6" t="e">
        <f t="shared" si="31"/>
        <v>#VALUE!</v>
      </c>
      <c r="C371" s="7" t="e">
        <f t="shared" si="32"/>
        <v>#VALUE!</v>
      </c>
      <c r="D371" s="7" t="e">
        <f t="shared" si="36"/>
        <v>#VALUE!</v>
      </c>
      <c r="E371" s="7" t="e">
        <f>C370*'Crédito de Vivienda'!$E$17</f>
        <v>#VALUE!</v>
      </c>
      <c r="F371" s="282" t="e">
        <f>IF(C370&lt;1,"0",IF('Crédito de Vivienda'!$D$28="Si",($C$17*(VLOOKUP('Crédito de Vivienda'!$C$24,Seguros_Oblig!$A$3:$F$55,6,FALSE))),IF('Crédito de Vivienda'!$C$10="TARIFA 1",(C370*(VLOOKUP('Crédito de Vivienda'!$C$24,Seguros_Oblig!$A$3:$B$55,2,FALSE))),(C370*(VLOOKUP('Crédito de Vivienda'!$C$24,Seguros_Oblig!$A$3:$D$55,4,FALSE))))))</f>
        <v>#VALUE!</v>
      </c>
      <c r="G371" s="8" t="e">
        <f>IF('Crédito de Vivienda'!$C$10="TARIFA 1",(C370*(VLOOKUP('Crédito de Vivienda'!$C$25,Seguros_Oblig!$A$3:$B$55,2,FALSE))),(C370*(VLOOKUP('Crédito de Vivienda'!$C$25,Seguros_Oblig!$A$3:$D$55,4,FALSE))))</f>
        <v>#VALUE!</v>
      </c>
      <c r="H371" s="8" t="e">
        <f>IF('Crédito de Vivienda'!$C$10="TARIFA 1",(C370*(VLOOKUP('Crédito de Vivienda'!$C$26,Seguros_Oblig!$A$3:$B$55,2,FALSE))),(C370*(VLOOKUP('Crédito de Vivienda'!$C$26,Seguros_Oblig!$A$3:$D$55,4,FALSE))))</f>
        <v>#VALUE!</v>
      </c>
      <c r="I371" s="8" t="e">
        <f>IF('Crédito de Vivienda'!$C$10="TARIFA 1",(C370*(VLOOKUP('Crédito de Vivienda'!$C$27,Seguros_Oblig!$A$3:$B$55,2,FALSE))),(C370*(VLOOKUP('Crédito de Vivienda'!$C$27,Seguros_Oblig!$A$3:$D$55,4,FALSE))))</f>
        <v>#VALUE!</v>
      </c>
      <c r="J371" s="10">
        <f t="shared" si="33"/>
        <v>0</v>
      </c>
      <c r="K371" s="7" t="e">
        <f>IF(C370&lt;1,"0",Seguros_Oblig!$K$2*('Crédito de Vivienda'!$C$12*90%))</f>
        <v>#VALUE!</v>
      </c>
      <c r="L371" s="7" t="e">
        <f>IF(B371=" ","0",PMT('Crédito de Vivienda'!$E$17,'Crédito de Vivienda'!$C$18,-'Crédito de Vivienda'!$C$15,,))</f>
        <v>#VALUE!</v>
      </c>
      <c r="M371" s="9" t="e">
        <f t="shared" si="34"/>
        <v>#VALUE!</v>
      </c>
      <c r="N371" s="7" t="e">
        <f>IF(C370&lt;1,"0",'Crédito de Vivienda'!$C$40)</f>
        <v>#VALUE!</v>
      </c>
      <c r="O371" s="9" t="e">
        <f t="shared" si="35"/>
        <v>#VALUE!</v>
      </c>
    </row>
    <row r="372" spans="2:15" ht="15.5" x14ac:dyDescent="0.35">
      <c r="B372" s="6" t="e">
        <f t="shared" si="31"/>
        <v>#VALUE!</v>
      </c>
      <c r="C372" s="7" t="e">
        <f t="shared" si="32"/>
        <v>#VALUE!</v>
      </c>
      <c r="D372" s="7" t="e">
        <f t="shared" si="36"/>
        <v>#VALUE!</v>
      </c>
      <c r="E372" s="7" t="e">
        <f>C371*'Crédito de Vivienda'!$E$17</f>
        <v>#VALUE!</v>
      </c>
      <c r="F372" s="282" t="e">
        <f>IF(C371&lt;1,"0",IF('Crédito de Vivienda'!$D$28="Si",($C$17*(VLOOKUP('Crédito de Vivienda'!$C$24,Seguros_Oblig!$A$3:$F$55,6,FALSE))),IF('Crédito de Vivienda'!$C$10="TARIFA 1",(C371*(VLOOKUP('Crédito de Vivienda'!$C$24,Seguros_Oblig!$A$3:$B$55,2,FALSE))),(C371*(VLOOKUP('Crédito de Vivienda'!$C$24,Seguros_Oblig!$A$3:$D$55,4,FALSE))))))</f>
        <v>#VALUE!</v>
      </c>
      <c r="G372" s="8" t="e">
        <f>IF('Crédito de Vivienda'!$C$10="TARIFA 1",(C371*(VLOOKUP('Crédito de Vivienda'!$C$25,Seguros_Oblig!$A$3:$B$55,2,FALSE))),(C371*(VLOOKUP('Crédito de Vivienda'!$C$25,Seguros_Oblig!$A$3:$D$55,4,FALSE))))</f>
        <v>#VALUE!</v>
      </c>
      <c r="H372" s="8" t="e">
        <f>IF('Crédito de Vivienda'!$C$10="TARIFA 1",(C371*(VLOOKUP('Crédito de Vivienda'!$C$26,Seguros_Oblig!$A$3:$B$55,2,FALSE))),(C371*(VLOOKUP('Crédito de Vivienda'!$C$26,Seguros_Oblig!$A$3:$D$55,4,FALSE))))</f>
        <v>#VALUE!</v>
      </c>
      <c r="I372" s="8" t="e">
        <f>IF('Crédito de Vivienda'!$C$10="TARIFA 1",(C371*(VLOOKUP('Crédito de Vivienda'!$C$27,Seguros_Oblig!$A$3:$B$55,2,FALSE))),(C371*(VLOOKUP('Crédito de Vivienda'!$C$27,Seguros_Oblig!$A$3:$D$55,4,FALSE))))</f>
        <v>#VALUE!</v>
      </c>
      <c r="J372" s="10">
        <f t="shared" si="33"/>
        <v>0</v>
      </c>
      <c r="K372" s="7" t="e">
        <f>IF(C371&lt;1,"0",Seguros_Oblig!$K$2*('Crédito de Vivienda'!$C$12*90%))</f>
        <v>#VALUE!</v>
      </c>
      <c r="L372" s="7" t="e">
        <f>IF(B372=" ","0",PMT('Crédito de Vivienda'!$E$17,'Crédito de Vivienda'!$C$18,-'Crédito de Vivienda'!$C$15,,))</f>
        <v>#VALUE!</v>
      </c>
      <c r="M372" s="9" t="e">
        <f t="shared" si="34"/>
        <v>#VALUE!</v>
      </c>
      <c r="N372" s="7" t="e">
        <f>IF(C371&lt;1,"0",'Crédito de Vivienda'!$C$40)</f>
        <v>#VALUE!</v>
      </c>
      <c r="O372" s="9" t="e">
        <f t="shared" si="35"/>
        <v>#VALUE!</v>
      </c>
    </row>
    <row r="373" spans="2:15" ht="15.5" x14ac:dyDescent="0.35">
      <c r="B373" s="6" t="e">
        <f t="shared" si="31"/>
        <v>#VALUE!</v>
      </c>
      <c r="C373" s="7" t="e">
        <f t="shared" si="32"/>
        <v>#VALUE!</v>
      </c>
      <c r="D373" s="7" t="e">
        <f t="shared" si="36"/>
        <v>#VALUE!</v>
      </c>
      <c r="E373" s="7" t="e">
        <f>C372*'Crédito de Vivienda'!$E$17</f>
        <v>#VALUE!</v>
      </c>
      <c r="F373" s="282" t="e">
        <f>IF(C372&lt;1,"0",IF('Crédito de Vivienda'!$D$28="Si",($C$17*(VLOOKUP('Crédito de Vivienda'!$C$24,Seguros_Oblig!$A$3:$F$55,6,FALSE))),IF('Crédito de Vivienda'!$C$10="TARIFA 1",(C372*(VLOOKUP('Crédito de Vivienda'!$C$24,Seguros_Oblig!$A$3:$B$55,2,FALSE))),(C372*(VLOOKUP('Crédito de Vivienda'!$C$24,Seguros_Oblig!$A$3:$D$55,4,FALSE))))))</f>
        <v>#VALUE!</v>
      </c>
      <c r="G373" s="8" t="e">
        <f>IF('Crédito de Vivienda'!$C$10="TARIFA 1",(C372*(VLOOKUP('Crédito de Vivienda'!$C$25,Seguros_Oblig!$A$3:$B$55,2,FALSE))),(C372*(VLOOKUP('Crédito de Vivienda'!$C$25,Seguros_Oblig!$A$3:$D$55,4,FALSE))))</f>
        <v>#VALUE!</v>
      </c>
      <c r="H373" s="8" t="e">
        <f>IF('Crédito de Vivienda'!$C$10="TARIFA 1",(C372*(VLOOKUP('Crédito de Vivienda'!$C$26,Seguros_Oblig!$A$3:$B$55,2,FALSE))),(C372*(VLOOKUP('Crédito de Vivienda'!$C$26,Seguros_Oblig!$A$3:$D$55,4,FALSE))))</f>
        <v>#VALUE!</v>
      </c>
      <c r="I373" s="8" t="e">
        <f>IF('Crédito de Vivienda'!$C$10="TARIFA 1",(C372*(VLOOKUP('Crédito de Vivienda'!$C$27,Seguros_Oblig!$A$3:$B$55,2,FALSE))),(C372*(VLOOKUP('Crédito de Vivienda'!$C$27,Seguros_Oblig!$A$3:$D$55,4,FALSE))))</f>
        <v>#VALUE!</v>
      </c>
      <c r="J373" s="10">
        <f t="shared" si="33"/>
        <v>0</v>
      </c>
      <c r="K373" s="7" t="e">
        <f>IF(C372&lt;1,"0",Seguros_Oblig!$K$2*('Crédito de Vivienda'!$C$12*90%))</f>
        <v>#VALUE!</v>
      </c>
      <c r="L373" s="7" t="e">
        <f>IF(B373=" ","0",PMT('Crédito de Vivienda'!$E$17,'Crédito de Vivienda'!$C$18,-'Crédito de Vivienda'!$C$15,,))</f>
        <v>#VALUE!</v>
      </c>
      <c r="M373" s="9" t="e">
        <f t="shared" si="34"/>
        <v>#VALUE!</v>
      </c>
      <c r="N373" s="7" t="e">
        <f>IF(C372&lt;1,"0",'Crédito de Vivienda'!$C$40)</f>
        <v>#VALUE!</v>
      </c>
      <c r="O373" s="9" t="e">
        <f t="shared" si="35"/>
        <v>#VALUE!</v>
      </c>
    </row>
    <row r="374" spans="2:15" ht="15.5" x14ac:dyDescent="0.35">
      <c r="B374" s="6" t="e">
        <f t="shared" si="31"/>
        <v>#VALUE!</v>
      </c>
      <c r="C374" s="7" t="e">
        <f t="shared" si="32"/>
        <v>#VALUE!</v>
      </c>
      <c r="D374" s="7" t="e">
        <f t="shared" si="36"/>
        <v>#VALUE!</v>
      </c>
      <c r="E374" s="7" t="e">
        <f>C373*'Crédito de Vivienda'!$E$17</f>
        <v>#VALUE!</v>
      </c>
      <c r="F374" s="282" t="e">
        <f>IF(C373&lt;1,"0",IF('Crédito de Vivienda'!$D$28="Si",($C$17*(VLOOKUP('Crédito de Vivienda'!$C$24,Seguros_Oblig!$A$3:$F$55,6,FALSE))),IF('Crédito de Vivienda'!$C$10="TARIFA 1",(C373*(VLOOKUP('Crédito de Vivienda'!$C$24,Seguros_Oblig!$A$3:$B$55,2,FALSE))),(C373*(VLOOKUP('Crédito de Vivienda'!$C$24,Seguros_Oblig!$A$3:$D$55,4,FALSE))))))</f>
        <v>#VALUE!</v>
      </c>
      <c r="G374" s="8" t="e">
        <f>IF('Crédito de Vivienda'!$C$10="TARIFA 1",(C373*(VLOOKUP('Crédito de Vivienda'!$C$25,Seguros_Oblig!$A$3:$B$55,2,FALSE))),(C373*(VLOOKUP('Crédito de Vivienda'!$C$25,Seguros_Oblig!$A$3:$D$55,4,FALSE))))</f>
        <v>#VALUE!</v>
      </c>
      <c r="H374" s="8" t="e">
        <f>IF('Crédito de Vivienda'!$C$10="TARIFA 1",(C373*(VLOOKUP('Crédito de Vivienda'!$C$26,Seguros_Oblig!$A$3:$B$55,2,FALSE))),(C373*(VLOOKUP('Crédito de Vivienda'!$C$26,Seguros_Oblig!$A$3:$D$55,4,FALSE))))</f>
        <v>#VALUE!</v>
      </c>
      <c r="I374" s="8" t="e">
        <f>IF('Crédito de Vivienda'!$C$10="TARIFA 1",(C373*(VLOOKUP('Crédito de Vivienda'!$C$27,Seguros_Oblig!$A$3:$B$55,2,FALSE))),(C373*(VLOOKUP('Crédito de Vivienda'!$C$27,Seguros_Oblig!$A$3:$D$55,4,FALSE))))</f>
        <v>#VALUE!</v>
      </c>
      <c r="J374" s="10">
        <f t="shared" si="33"/>
        <v>0</v>
      </c>
      <c r="K374" s="7" t="e">
        <f>IF(C373&lt;1,"0",Seguros_Oblig!$K$2*('Crédito de Vivienda'!$C$12*90%))</f>
        <v>#VALUE!</v>
      </c>
      <c r="L374" s="7" t="e">
        <f>IF(B374=" ","0",PMT('Crédito de Vivienda'!$E$17,'Crédito de Vivienda'!$C$18,-'Crédito de Vivienda'!$C$15,,))</f>
        <v>#VALUE!</v>
      </c>
      <c r="M374" s="9" t="e">
        <f t="shared" si="34"/>
        <v>#VALUE!</v>
      </c>
      <c r="N374" s="7" t="e">
        <f>IF(C373&lt;1,"0",'Crédito de Vivienda'!$C$40)</f>
        <v>#VALUE!</v>
      </c>
      <c r="O374" s="9" t="e">
        <f t="shared" si="35"/>
        <v>#VALUE!</v>
      </c>
    </row>
    <row r="375" spans="2:15" ht="15.5" x14ac:dyDescent="0.35">
      <c r="B375" s="6" t="e">
        <f t="shared" si="31"/>
        <v>#VALUE!</v>
      </c>
      <c r="C375" s="7" t="e">
        <f t="shared" si="32"/>
        <v>#VALUE!</v>
      </c>
      <c r="D375" s="7" t="e">
        <f t="shared" si="36"/>
        <v>#VALUE!</v>
      </c>
      <c r="E375" s="7" t="e">
        <f>C374*'Crédito de Vivienda'!$E$17</f>
        <v>#VALUE!</v>
      </c>
      <c r="F375" s="282" t="e">
        <f>IF(C374&lt;1,"0",IF('Crédito de Vivienda'!$D$28="Si",($C$17*(VLOOKUP('Crédito de Vivienda'!$C$24,Seguros_Oblig!$A$3:$F$55,6,FALSE))),IF('Crédito de Vivienda'!$C$10="TARIFA 1",(C374*(VLOOKUP('Crédito de Vivienda'!$C$24,Seguros_Oblig!$A$3:$B$55,2,FALSE))),(C374*(VLOOKUP('Crédito de Vivienda'!$C$24,Seguros_Oblig!$A$3:$D$55,4,FALSE))))))</f>
        <v>#VALUE!</v>
      </c>
      <c r="G375" s="8" t="e">
        <f>IF('Crédito de Vivienda'!$C$10="TARIFA 1",(C374*(VLOOKUP('Crédito de Vivienda'!$C$25,Seguros_Oblig!$A$3:$B$55,2,FALSE))),(C374*(VLOOKUP('Crédito de Vivienda'!$C$25,Seguros_Oblig!$A$3:$D$55,4,FALSE))))</f>
        <v>#VALUE!</v>
      </c>
      <c r="H375" s="8" t="e">
        <f>IF('Crédito de Vivienda'!$C$10="TARIFA 1",(C374*(VLOOKUP('Crédito de Vivienda'!$C$26,Seguros_Oblig!$A$3:$B$55,2,FALSE))),(C374*(VLOOKUP('Crédito de Vivienda'!$C$26,Seguros_Oblig!$A$3:$D$55,4,FALSE))))</f>
        <v>#VALUE!</v>
      </c>
      <c r="I375" s="8" t="e">
        <f>IF('Crédito de Vivienda'!$C$10="TARIFA 1",(C374*(VLOOKUP('Crédito de Vivienda'!$C$27,Seguros_Oblig!$A$3:$B$55,2,FALSE))),(C374*(VLOOKUP('Crédito de Vivienda'!$C$27,Seguros_Oblig!$A$3:$D$55,4,FALSE))))</f>
        <v>#VALUE!</v>
      </c>
      <c r="J375" s="10">
        <f t="shared" si="33"/>
        <v>0</v>
      </c>
      <c r="K375" s="7" t="e">
        <f>IF(C374&lt;1,"0",Seguros_Oblig!$K$2*('Crédito de Vivienda'!$C$12*90%))</f>
        <v>#VALUE!</v>
      </c>
      <c r="L375" s="7" t="e">
        <f>IF(B375=" ","0",PMT('Crédito de Vivienda'!$E$17,'Crédito de Vivienda'!$C$18,-'Crédito de Vivienda'!$C$15,,))</f>
        <v>#VALUE!</v>
      </c>
      <c r="M375" s="9" t="e">
        <f t="shared" si="34"/>
        <v>#VALUE!</v>
      </c>
      <c r="N375" s="7" t="e">
        <f>IF(C374&lt;1,"0",'Crédito de Vivienda'!$C$40)</f>
        <v>#VALUE!</v>
      </c>
      <c r="O375" s="9" t="e">
        <f t="shared" si="35"/>
        <v>#VALUE!</v>
      </c>
    </row>
    <row r="376" spans="2:15" ht="15.5" x14ac:dyDescent="0.35">
      <c r="B376" s="6" t="e">
        <f t="shared" si="31"/>
        <v>#VALUE!</v>
      </c>
      <c r="C376" s="7" t="e">
        <f t="shared" si="32"/>
        <v>#VALUE!</v>
      </c>
      <c r="D376" s="7" t="e">
        <f t="shared" si="36"/>
        <v>#VALUE!</v>
      </c>
      <c r="E376" s="7" t="e">
        <f>C375*'Crédito de Vivienda'!$E$17</f>
        <v>#VALUE!</v>
      </c>
      <c r="F376" s="282" t="e">
        <f>IF(C375&lt;1,"0",IF('Crédito de Vivienda'!$D$28="Si",($C$17*(VLOOKUP('Crédito de Vivienda'!$C$24,Seguros_Oblig!$A$3:$F$55,6,FALSE))),IF('Crédito de Vivienda'!$C$10="TARIFA 1",(C375*(VLOOKUP('Crédito de Vivienda'!$C$24,Seguros_Oblig!$A$3:$B$55,2,FALSE))),(C375*(VLOOKUP('Crédito de Vivienda'!$C$24,Seguros_Oblig!$A$3:$D$55,4,FALSE))))))</f>
        <v>#VALUE!</v>
      </c>
      <c r="G376" s="8" t="e">
        <f>IF('Crédito de Vivienda'!$C$10="TARIFA 1",(C375*(VLOOKUP('Crédito de Vivienda'!$C$25,Seguros_Oblig!$A$3:$B$55,2,FALSE))),(C375*(VLOOKUP('Crédito de Vivienda'!$C$25,Seguros_Oblig!$A$3:$D$55,4,FALSE))))</f>
        <v>#VALUE!</v>
      </c>
      <c r="H376" s="8" t="e">
        <f>IF('Crédito de Vivienda'!$C$10="TARIFA 1",(C375*(VLOOKUP('Crédito de Vivienda'!$C$26,Seguros_Oblig!$A$3:$B$55,2,FALSE))),(C375*(VLOOKUP('Crédito de Vivienda'!$C$26,Seguros_Oblig!$A$3:$D$55,4,FALSE))))</f>
        <v>#VALUE!</v>
      </c>
      <c r="I376" s="8" t="e">
        <f>IF('Crédito de Vivienda'!$C$10="TARIFA 1",(C375*(VLOOKUP('Crédito de Vivienda'!$C$27,Seguros_Oblig!$A$3:$B$55,2,FALSE))),(C375*(VLOOKUP('Crédito de Vivienda'!$C$27,Seguros_Oblig!$A$3:$D$55,4,FALSE))))</f>
        <v>#VALUE!</v>
      </c>
      <c r="J376" s="10">
        <f t="shared" si="33"/>
        <v>0</v>
      </c>
      <c r="K376" s="7" t="e">
        <f>IF(C375&lt;1,"0",Seguros_Oblig!$K$2*('Crédito de Vivienda'!$C$12*90%))</f>
        <v>#VALUE!</v>
      </c>
      <c r="L376" s="7" t="e">
        <f>IF(B376=" ","0",PMT('Crédito de Vivienda'!$E$17,'Crédito de Vivienda'!$C$18,-'Crédito de Vivienda'!$C$15,,))</f>
        <v>#VALUE!</v>
      </c>
      <c r="M376" s="9" t="e">
        <f t="shared" si="34"/>
        <v>#VALUE!</v>
      </c>
      <c r="N376" s="7" t="e">
        <f>IF(C375&lt;1,"0",'Crédito de Vivienda'!$C$40)</f>
        <v>#VALUE!</v>
      </c>
      <c r="O376" s="9" t="e">
        <f t="shared" si="35"/>
        <v>#VALUE!</v>
      </c>
    </row>
    <row r="377" spans="2:15" ht="15.5" x14ac:dyDescent="0.35">
      <c r="B377" s="6" t="e">
        <f t="shared" si="31"/>
        <v>#VALUE!</v>
      </c>
      <c r="C377" s="7" t="e">
        <f t="shared" si="32"/>
        <v>#VALUE!</v>
      </c>
      <c r="D377" s="7" t="e">
        <f t="shared" si="36"/>
        <v>#VALUE!</v>
      </c>
      <c r="E377" s="7" t="e">
        <f>C376*'Crédito de Vivienda'!$E$17</f>
        <v>#VALUE!</v>
      </c>
      <c r="F377" s="282" t="e">
        <f>IF(C376&lt;1,"0",IF('Crédito de Vivienda'!$D$28="Si",($C$17*(VLOOKUP('Crédito de Vivienda'!$C$24,Seguros_Oblig!$A$3:$F$55,6,FALSE))),IF('Crédito de Vivienda'!$C$10="TARIFA 1",(C376*(VLOOKUP('Crédito de Vivienda'!$C$24,Seguros_Oblig!$A$3:$B$55,2,FALSE))),(C376*(VLOOKUP('Crédito de Vivienda'!$C$24,Seguros_Oblig!$A$3:$D$55,4,FALSE))))))</f>
        <v>#VALUE!</v>
      </c>
      <c r="G377" s="8" t="e">
        <f>IF('Crédito de Vivienda'!$C$10="TARIFA 1",(C376*(VLOOKUP('Crédito de Vivienda'!$C$25,Seguros_Oblig!$A$3:$B$55,2,FALSE))),(C376*(VLOOKUP('Crédito de Vivienda'!$C$25,Seguros_Oblig!$A$3:$D$55,4,FALSE))))</f>
        <v>#VALUE!</v>
      </c>
      <c r="H377" s="8" t="e">
        <f>IF('Crédito de Vivienda'!$C$10="TARIFA 1",(C376*(VLOOKUP('Crédito de Vivienda'!$C$26,Seguros_Oblig!$A$3:$B$55,2,FALSE))),(C376*(VLOOKUP('Crédito de Vivienda'!$C$26,Seguros_Oblig!$A$3:$D$55,4,FALSE))))</f>
        <v>#VALUE!</v>
      </c>
      <c r="I377" s="8" t="e">
        <f>IF('Crédito de Vivienda'!$C$10="TARIFA 1",(C376*(VLOOKUP('Crédito de Vivienda'!$C$27,Seguros_Oblig!$A$3:$B$55,2,FALSE))),(C376*(VLOOKUP('Crédito de Vivienda'!$C$27,Seguros_Oblig!$A$3:$D$55,4,FALSE))))</f>
        <v>#VALUE!</v>
      </c>
      <c r="J377" s="10">
        <f t="shared" si="33"/>
        <v>0</v>
      </c>
      <c r="K377" s="7" t="e">
        <f>IF(C376&lt;1,"0",Seguros_Oblig!$K$2*('Crédito de Vivienda'!$C$12*90%))</f>
        <v>#VALUE!</v>
      </c>
      <c r="L377" s="7" t="e">
        <f>IF(B377=" ","0",PMT('Crédito de Vivienda'!$E$17,'Crédito de Vivienda'!$C$18,-'Crédito de Vivienda'!$C$15,,))</f>
        <v>#VALUE!</v>
      </c>
      <c r="M377" s="9" t="e">
        <f t="shared" si="34"/>
        <v>#VALUE!</v>
      </c>
      <c r="N377" s="7" t="e">
        <f>IF(C376&lt;1,"0",'Crédito de Vivienda'!$C$40)</f>
        <v>#VALUE!</v>
      </c>
      <c r="O377" s="9" t="e">
        <f t="shared" si="35"/>
        <v>#VALUE!</v>
      </c>
    </row>
  </sheetData>
  <sheetProtection algorithmName="SHA-512" hashValue="rDMfjf3ZL7lbtIqt+6ZFWoDt0ggBNTGnwAm9ED24hGZ+dHG7Ktxrdkw6ajvx3GGDPoE9cix8JpcocQK32kemeQ==" saltValue="/lf75+T/wftwm6g/ZSUpFw==" spinCount="100000" sheet="1" objects="1" scenarios="1"/>
  <mergeCells count="5">
    <mergeCell ref="N1:O4"/>
    <mergeCell ref="E2:L3"/>
    <mergeCell ref="B5:O11"/>
    <mergeCell ref="B12:O13"/>
    <mergeCell ref="B14:C14"/>
  </mergeCells>
  <conditionalFormatting sqref="B17:B377">
    <cfRule type="cellIs" dxfId="65" priority="10" stopIfTrue="1" operator="greaterThan">
      <formula>$E$23</formula>
    </cfRule>
  </conditionalFormatting>
  <conditionalFormatting sqref="C17:C377">
    <cfRule type="cellIs" dxfId="64" priority="4" operator="lessThan">
      <formula>0</formula>
    </cfRule>
  </conditionalFormatting>
  <conditionalFormatting sqref="C258">
    <cfRule type="cellIs" dxfId="63" priority="7" operator="lessThan">
      <formula>0</formula>
    </cfRule>
    <cfRule type="cellIs" dxfId="62" priority="8" operator="lessThan">
      <formula>0</formula>
    </cfRule>
  </conditionalFormatting>
  <conditionalFormatting sqref="E17:E377 G138:J377">
    <cfRule type="cellIs" dxfId="61" priority="1" operator="lessThan">
      <formula>0</formula>
    </cfRule>
  </conditionalFormatting>
  <pageMargins left="0.7" right="0.7" top="0.75" bottom="0.75" header="0.3" footer="0.3"/>
  <pageSetup paperSize="9" scale="57" fitToHeight="0" orientation="portrait" r:id="rId1"/>
  <ignoredErrors>
    <ignoredError sqref="B20"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D0791-5AF9-43BF-B533-77B7F09271C2}">
  <sheetPr codeName="Hoja8"/>
  <dimension ref="A2:U57"/>
  <sheetViews>
    <sheetView showGridLines="0" zoomScale="55" zoomScaleNormal="55" workbookViewId="0">
      <selection activeCell="L70" sqref="L70"/>
    </sheetView>
  </sheetViews>
  <sheetFormatPr baseColWidth="10" defaultColWidth="11.453125" defaultRowHeight="14.5" x14ac:dyDescent="0.35"/>
  <cols>
    <col min="1" max="1" width="10.26953125" style="125" customWidth="1"/>
    <col min="2" max="5" width="11.453125" style="2"/>
    <col min="6" max="6" width="21.453125" style="2" bestFit="1" customWidth="1"/>
    <col min="7" max="7" width="2.453125" style="2" customWidth="1"/>
    <col min="8" max="13" width="11.453125" style="2"/>
    <col min="14" max="14" width="2.453125" style="2" customWidth="1"/>
    <col min="15" max="20" width="11.453125" style="2"/>
    <col min="21" max="21" width="2.453125" style="2" customWidth="1"/>
    <col min="22" max="16384" width="11.453125" style="2"/>
  </cols>
  <sheetData>
    <row r="2" spans="1:21" x14ac:dyDescent="0.35">
      <c r="A2" s="125" t="e">
        <f>"Crédito de Vivienda"&amp;Comparativo!E12</f>
        <v>#N/A</v>
      </c>
      <c r="O2" s="125" t="e">
        <f>"Leasing Habitacional Familiar"&amp;Comparativo!E12</f>
        <v>#N/A</v>
      </c>
    </row>
    <row r="3" spans="1:21" x14ac:dyDescent="0.35">
      <c r="A3" s="125" t="str">
        <f>CV!D24&amp;CV!D14&amp;CV!D11&amp;CV!F20&amp;CV!D22</f>
        <v>&lt;789Asalariado y Pensionado</v>
      </c>
      <c r="O3" s="125" t="str">
        <f>Comparativo!D8&amp;Comparativo!D10&amp;Comparativo!D7&amp;Comparativo!E13&amp;Comparativo!E11</f>
        <v>00&lt;770Asalariado y Pensionado</v>
      </c>
    </row>
    <row r="5" spans="1:21" x14ac:dyDescent="0.35">
      <c r="H5" s="2" t="s">
        <v>0</v>
      </c>
      <c r="I5" s="2" t="s">
        <v>1</v>
      </c>
      <c r="J5" s="2" t="s">
        <v>2</v>
      </c>
      <c r="K5" s="2" t="s">
        <v>3</v>
      </c>
      <c r="L5" s="2" t="s">
        <v>4</v>
      </c>
      <c r="M5" s="2" t="s">
        <v>5</v>
      </c>
      <c r="O5" s="2" t="s">
        <v>6</v>
      </c>
      <c r="P5" s="2" t="s">
        <v>7</v>
      </c>
      <c r="Q5" s="2" t="s">
        <v>8</v>
      </c>
      <c r="R5" s="2" t="s">
        <v>9</v>
      </c>
      <c r="S5" s="2" t="s">
        <v>10</v>
      </c>
      <c r="T5" s="2" t="s">
        <v>11</v>
      </c>
    </row>
    <row r="6" spans="1:21" ht="18.5" x14ac:dyDescent="0.45">
      <c r="B6" s="126" t="s">
        <v>30</v>
      </c>
      <c r="H6" s="463" t="s">
        <v>129</v>
      </c>
      <c r="I6" s="463"/>
      <c r="J6" s="463"/>
      <c r="K6" s="463"/>
      <c r="L6" s="463"/>
      <c r="M6" s="463"/>
      <c r="O6" s="463" t="s">
        <v>32</v>
      </c>
      <c r="P6" s="463"/>
      <c r="Q6" s="463"/>
      <c r="R6" s="463"/>
      <c r="S6" s="463"/>
      <c r="T6" s="463"/>
    </row>
    <row r="7" spans="1:21" ht="29" x14ac:dyDescent="0.35">
      <c r="B7" s="127" t="s">
        <v>37</v>
      </c>
      <c r="C7" s="127" t="s">
        <v>38</v>
      </c>
      <c r="D7" s="127" t="s">
        <v>39</v>
      </c>
      <c r="E7" s="127" t="s">
        <v>40</v>
      </c>
      <c r="F7" s="127" t="s">
        <v>41</v>
      </c>
      <c r="G7" s="128"/>
      <c r="H7" s="127" t="s">
        <v>42</v>
      </c>
      <c r="I7" s="127" t="s">
        <v>43</v>
      </c>
      <c r="J7" s="127" t="s">
        <v>44</v>
      </c>
      <c r="K7" s="127" t="s">
        <v>45</v>
      </c>
      <c r="L7" s="127" t="s">
        <v>46</v>
      </c>
      <c r="M7" s="127" t="s">
        <v>47</v>
      </c>
      <c r="N7" s="129"/>
      <c r="O7" s="127" t="s">
        <v>42</v>
      </c>
      <c r="P7" s="127" t="s">
        <v>43</v>
      </c>
      <c r="Q7" s="127" t="s">
        <v>44</v>
      </c>
      <c r="R7" s="127" t="s">
        <v>45</v>
      </c>
      <c r="S7" s="127" t="s">
        <v>46</v>
      </c>
      <c r="T7" s="127" t="s">
        <v>47</v>
      </c>
      <c r="U7" s="129"/>
    </row>
    <row r="8" spans="1:21" x14ac:dyDescent="0.35">
      <c r="A8" s="125" t="s">
        <v>49</v>
      </c>
      <c r="B8" s="130" t="s">
        <v>50</v>
      </c>
      <c r="C8" s="130" t="s">
        <v>51</v>
      </c>
      <c r="D8" s="130" t="s">
        <v>52</v>
      </c>
      <c r="E8" s="130" t="s">
        <v>53</v>
      </c>
      <c r="F8" s="130" t="s">
        <v>54</v>
      </c>
      <c r="H8" s="220">
        <f>'Tasas inteligentes'!H8</f>
        <v>0.14707191153891563</v>
      </c>
      <c r="I8" s="220">
        <f>'Tasas inteligentes'!I8</f>
        <v>0.14843348840566883</v>
      </c>
      <c r="J8" s="220">
        <f>'Tasas inteligentes'!J8</f>
        <v>0.1497965466377309</v>
      </c>
      <c r="K8" s="220">
        <f>'Tasas inteligentes'!K8</f>
        <v>0.15116108770013081</v>
      </c>
      <c r="L8" s="220">
        <f>'Tasas inteligentes'!L8</f>
        <v>0.15526362253922477</v>
      </c>
      <c r="M8" s="220">
        <f>'Tasas inteligentes'!M8</f>
        <v>0.15937955571773355</v>
      </c>
      <c r="N8" s="221"/>
      <c r="O8" s="220">
        <f>'Tasas inteligentes'!O8</f>
        <v>0.14707191153891563</v>
      </c>
      <c r="P8" s="220">
        <f>'Tasas inteligentes'!P8</f>
        <v>0.14843348840566883</v>
      </c>
      <c r="Q8" s="220">
        <f>'Tasas inteligentes'!Q8</f>
        <v>0.1497965466377309</v>
      </c>
      <c r="R8" s="220">
        <f>'Tasas inteligentes'!R8</f>
        <v>0.15116108770013081</v>
      </c>
      <c r="S8" s="220">
        <f>'Tasas inteligentes'!S8</f>
        <v>0.15526362253922477</v>
      </c>
      <c r="T8" s="220">
        <f>'Tasas inteligentes'!T8</f>
        <v>0.15937955571773355</v>
      </c>
      <c r="U8" s="221"/>
    </row>
    <row r="9" spans="1:21" x14ac:dyDescent="0.35">
      <c r="A9" s="125" t="s">
        <v>55</v>
      </c>
      <c r="B9" s="130" t="s">
        <v>50</v>
      </c>
      <c r="C9" s="130" t="s">
        <v>51</v>
      </c>
      <c r="D9" s="130" t="s">
        <v>52</v>
      </c>
      <c r="E9" s="130" t="s">
        <v>53</v>
      </c>
      <c r="F9" s="130" t="s">
        <v>56</v>
      </c>
      <c r="H9" s="220">
        <f>'Tasas inteligentes'!H9</f>
        <v>0.14843348840566883</v>
      </c>
      <c r="I9" s="220">
        <f>'Tasas inteligentes'!I9</f>
        <v>0.1497965466377309</v>
      </c>
      <c r="J9" s="220">
        <f>'Tasas inteligentes'!J9</f>
        <v>0.15116108770013081</v>
      </c>
      <c r="K9" s="220">
        <f>'Tasas inteligentes'!K9</f>
        <v>0.15252711305920341</v>
      </c>
      <c r="L9" s="220">
        <f>'Tasas inteligentes'!L9</f>
        <v>0.15663410959937174</v>
      </c>
      <c r="M9" s="220">
        <f>'Tasas inteligentes'!M9</f>
        <v>0.16075451772299854</v>
      </c>
      <c r="N9" s="221"/>
      <c r="O9" s="220">
        <f>'Tasas inteligentes'!O9</f>
        <v>0.14707191153891563</v>
      </c>
      <c r="P9" s="220">
        <f>'Tasas inteligentes'!P9</f>
        <v>0.14843348840566883</v>
      </c>
      <c r="Q9" s="220">
        <f>'Tasas inteligentes'!Q9</f>
        <v>0.1497965466377309</v>
      </c>
      <c r="R9" s="220">
        <f>'Tasas inteligentes'!R9</f>
        <v>0.15116108770013081</v>
      </c>
      <c r="S9" s="220">
        <f>'Tasas inteligentes'!S9</f>
        <v>0.15526362253922477</v>
      </c>
      <c r="T9" s="220">
        <f>'Tasas inteligentes'!T9</f>
        <v>0.15937955571773355</v>
      </c>
      <c r="U9" s="221"/>
    </row>
    <row r="10" spans="1:21" x14ac:dyDescent="0.35">
      <c r="A10" s="125" t="s">
        <v>57</v>
      </c>
      <c r="B10" s="130" t="s">
        <v>50</v>
      </c>
      <c r="C10" s="130" t="s">
        <v>51</v>
      </c>
      <c r="D10" s="130" t="s">
        <v>52</v>
      </c>
      <c r="E10" s="130" t="s">
        <v>58</v>
      </c>
      <c r="F10" s="130" t="s">
        <v>54</v>
      </c>
      <c r="H10" s="220">
        <f>'Tasas inteligentes'!H10</f>
        <v>0.14843348840566883</v>
      </c>
      <c r="I10" s="220">
        <f>'Tasas inteligentes'!I10</f>
        <v>0.1497965466377309</v>
      </c>
      <c r="J10" s="220">
        <f>'Tasas inteligentes'!J10</f>
        <v>0.15116108770013081</v>
      </c>
      <c r="K10" s="220">
        <f>'Tasas inteligentes'!K10</f>
        <v>0.15252711305920341</v>
      </c>
      <c r="L10" s="220">
        <f>'Tasas inteligentes'!L10</f>
        <v>0.15663410959937174</v>
      </c>
      <c r="M10" s="220">
        <f>'Tasas inteligentes'!M10</f>
        <v>0.16075451772299854</v>
      </c>
      <c r="N10" s="221"/>
      <c r="O10" s="220">
        <f>'Tasas inteligentes'!O10</f>
        <v>0.14707191153891563</v>
      </c>
      <c r="P10" s="220">
        <f>'Tasas inteligentes'!P10</f>
        <v>0.14843348840566883</v>
      </c>
      <c r="Q10" s="220">
        <f>'Tasas inteligentes'!Q10</f>
        <v>0.1497965466377309</v>
      </c>
      <c r="R10" s="220">
        <f>'Tasas inteligentes'!R10</f>
        <v>0.15116108770013081</v>
      </c>
      <c r="S10" s="220">
        <f>'Tasas inteligentes'!S10</f>
        <v>0.15526362253922477</v>
      </c>
      <c r="T10" s="220">
        <f>'Tasas inteligentes'!T10</f>
        <v>0.15937955571773355</v>
      </c>
      <c r="U10" s="221"/>
    </row>
    <row r="11" spans="1:21" x14ac:dyDescent="0.35">
      <c r="A11" s="125" t="s">
        <v>59</v>
      </c>
      <c r="B11" s="130" t="s">
        <v>50</v>
      </c>
      <c r="C11" s="130" t="s">
        <v>51</v>
      </c>
      <c r="D11" s="130" t="s">
        <v>52</v>
      </c>
      <c r="E11" s="130" t="s">
        <v>58</v>
      </c>
      <c r="F11" s="130" t="s">
        <v>56</v>
      </c>
      <c r="H11" s="220">
        <f>'Tasas inteligentes'!H11</f>
        <v>0.14843348840566883</v>
      </c>
      <c r="I11" s="220">
        <f>'Tasas inteligentes'!I11</f>
        <v>0.1497965466377309</v>
      </c>
      <c r="J11" s="220">
        <f>'Tasas inteligentes'!J11</f>
        <v>0.15116108770013081</v>
      </c>
      <c r="K11" s="220">
        <f>'Tasas inteligentes'!K11</f>
        <v>0.15252711305920341</v>
      </c>
      <c r="L11" s="220">
        <f>'Tasas inteligentes'!L11</f>
        <v>0.15663410959937174</v>
      </c>
      <c r="M11" s="220">
        <f>'Tasas inteligentes'!M11</f>
        <v>0.16075451772299854</v>
      </c>
      <c r="N11" s="221"/>
      <c r="O11" s="220">
        <f>'Tasas inteligentes'!O11</f>
        <v>0.14707191153891563</v>
      </c>
      <c r="P11" s="220">
        <f>'Tasas inteligentes'!P11</f>
        <v>0.14843348840566883</v>
      </c>
      <c r="Q11" s="220">
        <f>'Tasas inteligentes'!Q11</f>
        <v>0.1497965466377309</v>
      </c>
      <c r="R11" s="220">
        <f>'Tasas inteligentes'!R11</f>
        <v>0.15116108770013081</v>
      </c>
      <c r="S11" s="220">
        <f>'Tasas inteligentes'!S11</f>
        <v>0.15526362253922477</v>
      </c>
      <c r="T11" s="220">
        <f>'Tasas inteligentes'!T11</f>
        <v>0.15937955571773355</v>
      </c>
      <c r="U11" s="221"/>
    </row>
    <row r="12" spans="1:21" x14ac:dyDescent="0.35">
      <c r="A12" s="125" t="s">
        <v>60</v>
      </c>
      <c r="B12" s="130" t="s">
        <v>50</v>
      </c>
      <c r="C12" s="130" t="s">
        <v>51</v>
      </c>
      <c r="D12" s="130" t="s">
        <v>61</v>
      </c>
      <c r="E12" s="130" t="s">
        <v>53</v>
      </c>
      <c r="F12" s="130" t="s">
        <v>54</v>
      </c>
      <c r="H12" s="220">
        <f>'Tasas inteligentes'!H12</f>
        <v>0.16075451772299854</v>
      </c>
      <c r="I12" s="220">
        <f>'Tasas inteligentes'!I12</f>
        <v>0.1621309743258661</v>
      </c>
      <c r="J12" s="220">
        <f>'Tasas inteligentes'!J12</f>
        <v>0.16350892700314201</v>
      </c>
      <c r="K12" s="220">
        <f>'Tasas inteligentes'!K12</f>
        <v>0.16488837723293726</v>
      </c>
      <c r="L12" s="220">
        <f>'Tasas inteligentes'!L12</f>
        <v>0.1704211832856668</v>
      </c>
      <c r="M12" s="220">
        <f>'Tasas inteligentes'!M12</f>
        <v>0.1745865847500423</v>
      </c>
      <c r="N12" s="221"/>
      <c r="O12" s="220">
        <f>'Tasas inteligentes'!O12</f>
        <v>0.15389462418258582</v>
      </c>
      <c r="P12" s="220">
        <f>'Tasas inteligentes'!P12</f>
        <v>0.15526362253922477</v>
      </c>
      <c r="Q12" s="220">
        <f>'Tasas inteligentes'!Q12</f>
        <v>0.15663410959937174</v>
      </c>
      <c r="R12" s="220">
        <f>'Tasas inteligentes'!R12</f>
        <v>0.15800608683458517</v>
      </c>
      <c r="S12" s="220">
        <f>'Tasas inteligentes'!S12</f>
        <v>0.16350892700314201</v>
      </c>
      <c r="T12" s="220">
        <f>'Tasas inteligentes'!T12</f>
        <v>0.16765177626913008</v>
      </c>
      <c r="U12" s="221"/>
    </row>
    <row r="13" spans="1:21" x14ac:dyDescent="0.35">
      <c r="A13" s="125" t="s">
        <v>62</v>
      </c>
      <c r="B13" s="130" t="s">
        <v>50</v>
      </c>
      <c r="C13" s="130" t="s">
        <v>51</v>
      </c>
      <c r="D13" s="130" t="s">
        <v>61</v>
      </c>
      <c r="E13" s="130" t="s">
        <v>53</v>
      </c>
      <c r="F13" s="130" t="s">
        <v>56</v>
      </c>
      <c r="H13" s="220">
        <f>'Tasas inteligentes'!H13</f>
        <v>0.16350892700314201</v>
      </c>
      <c r="I13" s="220">
        <f>'Tasas inteligentes'!I13</f>
        <v>0.16488837723293726</v>
      </c>
      <c r="J13" s="220">
        <f>'Tasas inteligentes'!J13</f>
        <v>0.16626932649468618</v>
      </c>
      <c r="K13" s="220">
        <f>'Tasas inteligentes'!K13</f>
        <v>0.16765177626913008</v>
      </c>
      <c r="L13" s="220">
        <f>'Tasas inteligentes'!L13</f>
        <v>0.17319661015484678</v>
      </c>
      <c r="M13" s="220">
        <f>'Tasas inteligentes'!M13</f>
        <v>0.17737106370494238</v>
      </c>
      <c r="N13" s="221"/>
      <c r="O13" s="220">
        <f>'Tasas inteligentes'!O13</f>
        <v>0.15389462418258582</v>
      </c>
      <c r="P13" s="220">
        <f>'Tasas inteligentes'!P13</f>
        <v>0.15526362253922477</v>
      </c>
      <c r="Q13" s="220">
        <f>'Tasas inteligentes'!Q13</f>
        <v>0.15663410959937174</v>
      </c>
      <c r="R13" s="220">
        <f>'Tasas inteligentes'!R13</f>
        <v>0.15800608683458517</v>
      </c>
      <c r="S13" s="220">
        <f>'Tasas inteligentes'!S13</f>
        <v>0.16350892700314201</v>
      </c>
      <c r="T13" s="220">
        <f>'Tasas inteligentes'!T13</f>
        <v>0.16765177626913008</v>
      </c>
      <c r="U13" s="221"/>
    </row>
    <row r="14" spans="1:21" x14ac:dyDescent="0.35">
      <c r="A14" s="125" t="s">
        <v>63</v>
      </c>
      <c r="B14" s="130" t="s">
        <v>50</v>
      </c>
      <c r="C14" s="130" t="s">
        <v>51</v>
      </c>
      <c r="D14" s="130" t="s">
        <v>61</v>
      </c>
      <c r="E14" s="130" t="s">
        <v>58</v>
      </c>
      <c r="F14" s="130" t="s">
        <v>54</v>
      </c>
      <c r="H14" s="220">
        <f>'Tasas inteligentes'!H14</f>
        <v>0.1621309743258661</v>
      </c>
      <c r="I14" s="220">
        <f>'Tasas inteligentes'!I14</f>
        <v>0.16350892700314201</v>
      </c>
      <c r="J14" s="220">
        <f>'Tasas inteligentes'!J14</f>
        <v>0.16488837723293726</v>
      </c>
      <c r="K14" s="220">
        <f>'Tasas inteligentes'!K14</f>
        <v>0.16626932649468618</v>
      </c>
      <c r="L14" s="220">
        <f>'Tasas inteligentes'!L14</f>
        <v>0.17180814349583362</v>
      </c>
      <c r="M14" s="220">
        <f>'Tasas inteligentes'!M14</f>
        <v>0.17597806877008071</v>
      </c>
      <c r="N14" s="221"/>
      <c r="O14" s="220">
        <f>'Tasas inteligentes'!O14</f>
        <v>0.15526362253922477</v>
      </c>
      <c r="P14" s="220">
        <f>'Tasas inteligentes'!P14</f>
        <v>0.15663410959937174</v>
      </c>
      <c r="Q14" s="220">
        <f>'Tasas inteligentes'!Q14</f>
        <v>0.15800608683458517</v>
      </c>
      <c r="R14" s="220">
        <f>'Tasas inteligentes'!R14</f>
        <v>0.15937955571773355</v>
      </c>
      <c r="S14" s="220">
        <f>'Tasas inteligentes'!S14</f>
        <v>0.16488837723293726</v>
      </c>
      <c r="T14" s="220">
        <f>'Tasas inteligentes'!T14</f>
        <v>0.16903572803833167</v>
      </c>
      <c r="U14" s="221"/>
    </row>
    <row r="15" spans="1:21" x14ac:dyDescent="0.35">
      <c r="A15" s="125" t="s">
        <v>64</v>
      </c>
      <c r="B15" s="130" t="s">
        <v>50</v>
      </c>
      <c r="C15" s="130" t="s">
        <v>51</v>
      </c>
      <c r="D15" s="130" t="s">
        <v>61</v>
      </c>
      <c r="E15" s="130" t="s">
        <v>58</v>
      </c>
      <c r="F15" s="130" t="s">
        <v>56</v>
      </c>
      <c r="H15" s="220">
        <f>'Tasas inteligentes'!H15</f>
        <v>0.16350892700314201</v>
      </c>
      <c r="I15" s="220">
        <f>'Tasas inteligentes'!I15</f>
        <v>0.16488837723293726</v>
      </c>
      <c r="J15" s="220">
        <f>'Tasas inteligentes'!J15</f>
        <v>0.16626932649468618</v>
      </c>
      <c r="K15" s="220">
        <f>'Tasas inteligentes'!K15</f>
        <v>0.16765177626913008</v>
      </c>
      <c r="L15" s="220">
        <f>'Tasas inteligentes'!L15</f>
        <v>0.17319661015484678</v>
      </c>
      <c r="M15" s="220">
        <f>'Tasas inteligentes'!M15</f>
        <v>0.17737106370494238</v>
      </c>
      <c r="N15" s="221"/>
      <c r="O15" s="220">
        <f>'Tasas inteligentes'!O15</f>
        <v>0.15526362253922477</v>
      </c>
      <c r="P15" s="220">
        <f>'Tasas inteligentes'!P15</f>
        <v>0.15663410959937174</v>
      </c>
      <c r="Q15" s="220">
        <f>'Tasas inteligentes'!Q15</f>
        <v>0.15800608683458517</v>
      </c>
      <c r="R15" s="220">
        <f>'Tasas inteligentes'!R15</f>
        <v>0.15937955571773355</v>
      </c>
      <c r="S15" s="220">
        <f>'Tasas inteligentes'!S15</f>
        <v>0.16488837723293726</v>
      </c>
      <c r="T15" s="220">
        <f>'Tasas inteligentes'!T15</f>
        <v>0.16903572803833167</v>
      </c>
      <c r="U15" s="221"/>
    </row>
    <row r="16" spans="1:21" x14ac:dyDescent="0.35">
      <c r="A16" s="125" t="s">
        <v>65</v>
      </c>
      <c r="B16" s="130" t="s">
        <v>50</v>
      </c>
      <c r="C16" s="130" t="s">
        <v>66</v>
      </c>
      <c r="D16" s="130" t="s">
        <v>52</v>
      </c>
      <c r="E16" s="130" t="s">
        <v>53</v>
      </c>
      <c r="F16" s="130" t="s">
        <v>54</v>
      </c>
      <c r="H16" s="220">
        <f>'Tasas inteligentes'!H16</f>
        <v>0.1375822289110713</v>
      </c>
      <c r="I16" s="220">
        <f>'Tasas inteligentes'!I16</f>
        <v>0.13893347713220328</v>
      </c>
      <c r="J16" s="220">
        <f>'Tasas inteligentes'!J16</f>
        <v>0.14028619649985408</v>
      </c>
      <c r="K16" s="220">
        <f>'Tasas inteligentes'!K16</f>
        <v>0.14164038846995752</v>
      </c>
      <c r="L16" s="220">
        <f>'Tasas inteligentes'!L16</f>
        <v>0.14571181457374238</v>
      </c>
      <c r="M16" s="220">
        <f>'Tasas inteligentes'!M16</f>
        <v>0.15526362253922477</v>
      </c>
      <c r="N16" s="221"/>
      <c r="O16" s="220">
        <f>'Tasas inteligentes'!O16</f>
        <v>0.1375822289110713</v>
      </c>
      <c r="P16" s="220">
        <f>'Tasas inteligentes'!P16</f>
        <v>0.13893347713220328</v>
      </c>
      <c r="Q16" s="220">
        <f>'Tasas inteligentes'!Q16</f>
        <v>0.14028619649985408</v>
      </c>
      <c r="R16" s="220">
        <f>'Tasas inteligentes'!R16</f>
        <v>0.14164038846995752</v>
      </c>
      <c r="S16" s="220">
        <f>'Tasas inteligentes'!S16</f>
        <v>0.14571181457374238</v>
      </c>
      <c r="T16" s="220">
        <f>'Tasas inteligentes'!T16</f>
        <v>0.15526362253922477</v>
      </c>
      <c r="U16" s="221"/>
    </row>
    <row r="17" spans="1:21" x14ac:dyDescent="0.35">
      <c r="A17" s="125" t="s">
        <v>67</v>
      </c>
      <c r="B17" s="130" t="s">
        <v>50</v>
      </c>
      <c r="C17" s="130" t="s">
        <v>66</v>
      </c>
      <c r="D17" s="130" t="s">
        <v>52</v>
      </c>
      <c r="E17" s="130" t="s">
        <v>53</v>
      </c>
      <c r="F17" s="130" t="s">
        <v>56</v>
      </c>
      <c r="H17" s="220">
        <f>'Tasas inteligentes'!H17</f>
        <v>0.13893347713220328</v>
      </c>
      <c r="I17" s="220">
        <f>'Tasas inteligentes'!I17</f>
        <v>0.14028619649985408</v>
      </c>
      <c r="J17" s="220">
        <f>'Tasas inteligentes'!J17</f>
        <v>0.14164038846995752</v>
      </c>
      <c r="K17" s="220">
        <f>'Tasas inteligentes'!K17</f>
        <v>0.14299605449973818</v>
      </c>
      <c r="L17" s="220">
        <f>'Tasas inteligentes'!L17</f>
        <v>0.14707191153891563</v>
      </c>
      <c r="M17" s="220">
        <f>'Tasas inteligentes'!M17</f>
        <v>0.15526362253922477</v>
      </c>
      <c r="N17" s="221"/>
      <c r="O17" s="220">
        <f>'Tasas inteligentes'!O17</f>
        <v>0.13623245038182419</v>
      </c>
      <c r="P17" s="220">
        <f>'Tasas inteligentes'!P17</f>
        <v>0.1375822289110713</v>
      </c>
      <c r="Q17" s="220">
        <f>'Tasas inteligentes'!Q17</f>
        <v>0.13893347713220328</v>
      </c>
      <c r="R17" s="220">
        <f>'Tasas inteligentes'!R17</f>
        <v>0.14028619649985408</v>
      </c>
      <c r="S17" s="220">
        <f>'Tasas inteligentes'!S17</f>
        <v>0.1443531960477249</v>
      </c>
      <c r="T17" s="220">
        <f>'Tasas inteligentes'!T17</f>
        <v>0.15526362253922477</v>
      </c>
      <c r="U17" s="221"/>
    </row>
    <row r="18" spans="1:21" x14ac:dyDescent="0.35">
      <c r="A18" s="125" t="s">
        <v>68</v>
      </c>
      <c r="B18" s="130" t="s">
        <v>50</v>
      </c>
      <c r="C18" s="130" t="s">
        <v>66</v>
      </c>
      <c r="D18" s="130" t="s">
        <v>52</v>
      </c>
      <c r="E18" s="130" t="s">
        <v>58</v>
      </c>
      <c r="F18" s="130" t="s">
        <v>54</v>
      </c>
      <c r="H18" s="220">
        <f>'Tasas inteligentes'!H18</f>
        <v>0.14028619649985408</v>
      </c>
      <c r="I18" s="220">
        <f>'Tasas inteligentes'!I18</f>
        <v>0.14164038846995752</v>
      </c>
      <c r="J18" s="220">
        <f>'Tasas inteligentes'!J18</f>
        <v>0.14299605449973818</v>
      </c>
      <c r="K18" s="220">
        <f>'Tasas inteligentes'!K18</f>
        <v>0.1443531960477249</v>
      </c>
      <c r="L18" s="220">
        <f>'Tasas inteligentes'!L18</f>
        <v>0.14843348840566883</v>
      </c>
      <c r="M18" s="220">
        <f>'Tasas inteligentes'!M18</f>
        <v>0.15526362253922477</v>
      </c>
      <c r="N18" s="221"/>
      <c r="O18" s="220">
        <f>'Tasas inteligentes'!O18</f>
        <v>0.14028619649985408</v>
      </c>
      <c r="P18" s="220">
        <f>'Tasas inteligentes'!P18</f>
        <v>0.14164038846995752</v>
      </c>
      <c r="Q18" s="220">
        <f>'Tasas inteligentes'!Q18</f>
        <v>0.14299605449973818</v>
      </c>
      <c r="R18" s="220">
        <f>'Tasas inteligentes'!R18</f>
        <v>0.1443531960477249</v>
      </c>
      <c r="S18" s="220">
        <f>'Tasas inteligentes'!S18</f>
        <v>0.14843348840566883</v>
      </c>
      <c r="T18" s="220">
        <f>'Tasas inteligentes'!T18</f>
        <v>0.15526362253922477</v>
      </c>
      <c r="U18" s="221"/>
    </row>
    <row r="19" spans="1:21" x14ac:dyDescent="0.35">
      <c r="A19" s="125" t="s">
        <v>69</v>
      </c>
      <c r="B19" s="130" t="s">
        <v>50</v>
      </c>
      <c r="C19" s="130" t="s">
        <v>66</v>
      </c>
      <c r="D19" s="130" t="s">
        <v>52</v>
      </c>
      <c r="E19" s="130" t="s">
        <v>58</v>
      </c>
      <c r="F19" s="130" t="s">
        <v>56</v>
      </c>
      <c r="H19" s="220">
        <f>'Tasas inteligentes'!H19</f>
        <v>0.14164038846995752</v>
      </c>
      <c r="I19" s="220">
        <f>'Tasas inteligentes'!I19</f>
        <v>0.14299605449973818</v>
      </c>
      <c r="J19" s="220">
        <f>'Tasas inteligentes'!J19</f>
        <v>0.1443531960477249</v>
      </c>
      <c r="K19" s="220">
        <f>'Tasas inteligentes'!K19</f>
        <v>0.14571181457374238</v>
      </c>
      <c r="L19" s="220">
        <f>'Tasas inteligentes'!L19</f>
        <v>0.1497965466377309</v>
      </c>
      <c r="M19" s="220">
        <f>'Tasas inteligentes'!M19</f>
        <v>0.15526362253922477</v>
      </c>
      <c r="N19" s="221"/>
      <c r="O19" s="220">
        <f>'Tasas inteligentes'!O19</f>
        <v>0.14028619649985408</v>
      </c>
      <c r="P19" s="220">
        <f>'Tasas inteligentes'!P19</f>
        <v>0.14164038846995752</v>
      </c>
      <c r="Q19" s="220">
        <f>'Tasas inteligentes'!Q19</f>
        <v>0.14299605449973818</v>
      </c>
      <c r="R19" s="220">
        <f>'Tasas inteligentes'!R19</f>
        <v>0.1443531960477249</v>
      </c>
      <c r="S19" s="220">
        <f>'Tasas inteligentes'!S19</f>
        <v>0.14843348840566883</v>
      </c>
      <c r="T19" s="220">
        <f>'Tasas inteligentes'!T19</f>
        <v>0.15526362253922477</v>
      </c>
      <c r="U19" s="221"/>
    </row>
    <row r="20" spans="1:21" x14ac:dyDescent="0.35">
      <c r="A20" s="125" t="s">
        <v>70</v>
      </c>
      <c r="B20" s="130" t="s">
        <v>50</v>
      </c>
      <c r="C20" s="130" t="s">
        <v>66</v>
      </c>
      <c r="D20" s="130" t="s">
        <v>61</v>
      </c>
      <c r="E20" s="130" t="s">
        <v>53</v>
      </c>
      <c r="F20" s="130" t="s">
        <v>54</v>
      </c>
      <c r="H20" s="220">
        <f>'Tasas inteligentes'!H20</f>
        <v>0.14843348840566883</v>
      </c>
      <c r="I20" s="220">
        <f>'Tasas inteligentes'!I20</f>
        <v>0.1497965466377309</v>
      </c>
      <c r="J20" s="220">
        <f>'Tasas inteligentes'!J20</f>
        <v>0.15116108770013081</v>
      </c>
      <c r="K20" s="220">
        <f>'Tasas inteligentes'!K20</f>
        <v>0.15252711305920341</v>
      </c>
      <c r="L20" s="220">
        <f>'Tasas inteligentes'!L20</f>
        <v>0.15389462418258582</v>
      </c>
      <c r="M20" s="220">
        <f>'Tasas inteligentes'!M20</f>
        <v>0.15526362253922477</v>
      </c>
      <c r="N20" s="221"/>
      <c r="O20" s="220">
        <f>'Tasas inteligentes'!O20</f>
        <v>0.14299605449973818</v>
      </c>
      <c r="P20" s="220">
        <f>'Tasas inteligentes'!P20</f>
        <v>0.1443531960477249</v>
      </c>
      <c r="Q20" s="220">
        <f>'Tasas inteligentes'!Q20</f>
        <v>0.14571181457374238</v>
      </c>
      <c r="R20" s="220">
        <f>'Tasas inteligentes'!R20</f>
        <v>0.14707191153891563</v>
      </c>
      <c r="S20" s="220">
        <f>'Tasas inteligentes'!S20</f>
        <v>0.14843348840566883</v>
      </c>
      <c r="T20" s="220">
        <f>'Tasas inteligentes'!T20</f>
        <v>0.15526362253922477</v>
      </c>
      <c r="U20" s="221"/>
    </row>
    <row r="21" spans="1:21" x14ac:dyDescent="0.35">
      <c r="A21" s="125" t="s">
        <v>71</v>
      </c>
      <c r="B21" s="130" t="s">
        <v>50</v>
      </c>
      <c r="C21" s="130" t="s">
        <v>66</v>
      </c>
      <c r="D21" s="130" t="s">
        <v>61</v>
      </c>
      <c r="E21" s="130" t="s">
        <v>53</v>
      </c>
      <c r="F21" s="130" t="s">
        <v>56</v>
      </c>
      <c r="H21" s="220">
        <f>'Tasas inteligentes'!H21</f>
        <v>0.1497965466377309</v>
      </c>
      <c r="I21" s="220">
        <f>'Tasas inteligentes'!I21</f>
        <v>0.15116108770013081</v>
      </c>
      <c r="J21" s="220">
        <f>'Tasas inteligentes'!J21</f>
        <v>0.15252711305920341</v>
      </c>
      <c r="K21" s="220">
        <f>'Tasas inteligentes'!K21</f>
        <v>0.15389462418258582</v>
      </c>
      <c r="L21" s="220">
        <f>'Tasas inteligentes'!L21</f>
        <v>0.15526362253922477</v>
      </c>
      <c r="M21" s="220">
        <f>'Tasas inteligentes'!M21</f>
        <v>0.15526362253922477</v>
      </c>
      <c r="N21" s="221"/>
      <c r="O21" s="220">
        <f>'Tasas inteligentes'!O21</f>
        <v>0.14299605449973818</v>
      </c>
      <c r="P21" s="220">
        <f>'Tasas inteligentes'!P21</f>
        <v>0.1443531960477249</v>
      </c>
      <c r="Q21" s="220">
        <f>'Tasas inteligentes'!Q21</f>
        <v>0.14571181457374238</v>
      </c>
      <c r="R21" s="220">
        <f>'Tasas inteligentes'!R21</f>
        <v>0.14707191153891563</v>
      </c>
      <c r="S21" s="220">
        <f>'Tasas inteligentes'!S21</f>
        <v>0.14843348840566883</v>
      </c>
      <c r="T21" s="220">
        <f>'Tasas inteligentes'!T21</f>
        <v>0.15526362253922477</v>
      </c>
      <c r="U21" s="221"/>
    </row>
    <row r="22" spans="1:21" x14ac:dyDescent="0.35">
      <c r="A22" s="125" t="s">
        <v>72</v>
      </c>
      <c r="B22" s="130" t="s">
        <v>50</v>
      </c>
      <c r="C22" s="130" t="s">
        <v>66</v>
      </c>
      <c r="D22" s="130" t="s">
        <v>61</v>
      </c>
      <c r="E22" s="130" t="s">
        <v>58</v>
      </c>
      <c r="F22" s="130" t="s">
        <v>54</v>
      </c>
      <c r="H22" s="220">
        <f>'Tasas inteligentes'!H22</f>
        <v>0.1497965466377309</v>
      </c>
      <c r="I22" s="220">
        <f>'Tasas inteligentes'!I22</f>
        <v>0.15116108770013081</v>
      </c>
      <c r="J22" s="220">
        <f>'Tasas inteligentes'!J22</f>
        <v>0.15252711305920341</v>
      </c>
      <c r="K22" s="220">
        <f>'Tasas inteligentes'!K22</f>
        <v>0.15389462418258582</v>
      </c>
      <c r="L22" s="220">
        <f>'Tasas inteligentes'!L22</f>
        <v>0.15526362253922477</v>
      </c>
      <c r="M22" s="220">
        <f>'Tasas inteligentes'!M22</f>
        <v>0.15526362253922477</v>
      </c>
      <c r="N22" s="221"/>
      <c r="O22" s="220">
        <f>'Tasas inteligentes'!O22</f>
        <v>0.14571181457374238</v>
      </c>
      <c r="P22" s="220">
        <f>'Tasas inteligentes'!P22</f>
        <v>0.14707191153891563</v>
      </c>
      <c r="Q22" s="220">
        <f>'Tasas inteligentes'!Q22</f>
        <v>0.14843348840566883</v>
      </c>
      <c r="R22" s="220">
        <f>'Tasas inteligentes'!R22</f>
        <v>0.1497965466377309</v>
      </c>
      <c r="S22" s="220">
        <f>'Tasas inteligentes'!S22</f>
        <v>0.15116108770013081</v>
      </c>
      <c r="T22" s="220">
        <f>'Tasas inteligentes'!T22</f>
        <v>0.15526362253922477</v>
      </c>
      <c r="U22" s="221"/>
    </row>
    <row r="23" spans="1:21" x14ac:dyDescent="0.35">
      <c r="A23" s="125" t="s">
        <v>73</v>
      </c>
      <c r="B23" s="130" t="s">
        <v>50</v>
      </c>
      <c r="C23" s="130" t="s">
        <v>66</v>
      </c>
      <c r="D23" s="130" t="s">
        <v>61</v>
      </c>
      <c r="E23" s="130" t="s">
        <v>58</v>
      </c>
      <c r="F23" s="130" t="s">
        <v>56</v>
      </c>
      <c r="H23" s="220">
        <f>'Tasas inteligentes'!H23</f>
        <v>0.15116108770013081</v>
      </c>
      <c r="I23" s="220">
        <f>'Tasas inteligentes'!I23</f>
        <v>0.15252711305920341</v>
      </c>
      <c r="J23" s="220">
        <f>'Tasas inteligentes'!J23</f>
        <v>0.15389462418258582</v>
      </c>
      <c r="K23" s="220">
        <f>'Tasas inteligentes'!K23</f>
        <v>0.15526362253922477</v>
      </c>
      <c r="L23" s="220">
        <f>'Tasas inteligentes'!L23</f>
        <v>0.15663410959937174</v>
      </c>
      <c r="M23" s="220">
        <f>'Tasas inteligentes'!M23</f>
        <v>0.15526362253922477</v>
      </c>
      <c r="N23" s="221"/>
      <c r="O23" s="220">
        <f>'Tasas inteligentes'!O23</f>
        <v>0.14843348840566883</v>
      </c>
      <c r="P23" s="220">
        <f>'Tasas inteligentes'!P23</f>
        <v>0.1497965466377309</v>
      </c>
      <c r="Q23" s="220">
        <f>'Tasas inteligentes'!Q23</f>
        <v>0.15116108770013081</v>
      </c>
      <c r="R23" s="220">
        <f>'Tasas inteligentes'!R23</f>
        <v>0.15252711305920341</v>
      </c>
      <c r="S23" s="220">
        <f>'Tasas inteligentes'!S23</f>
        <v>0.15389462418258582</v>
      </c>
      <c r="T23" s="220">
        <f>'Tasas inteligentes'!T23</f>
        <v>0.15526362253922477</v>
      </c>
      <c r="U23" s="221"/>
    </row>
    <row r="24" spans="1:21" x14ac:dyDescent="0.35">
      <c r="A24" s="125" t="s">
        <v>74</v>
      </c>
      <c r="B24" s="130" t="s">
        <v>75</v>
      </c>
      <c r="C24" s="130" t="s">
        <v>51</v>
      </c>
      <c r="D24" s="130" t="s">
        <v>52</v>
      </c>
      <c r="E24" s="130" t="s">
        <v>53</v>
      </c>
      <c r="F24" s="130" t="s">
        <v>54</v>
      </c>
      <c r="H24" s="220">
        <f>'Tasas inteligentes'!H24</f>
        <v>0.14164038846995752</v>
      </c>
      <c r="I24" s="220">
        <f>'Tasas inteligentes'!I24</f>
        <v>0.14299605449973818</v>
      </c>
      <c r="J24" s="220">
        <f>'Tasas inteligentes'!J24</f>
        <v>0.14571181457374238</v>
      </c>
      <c r="K24" s="220">
        <f>'Tasas inteligentes'!K24</f>
        <v>0.14571181457374238</v>
      </c>
      <c r="L24" s="220">
        <f>'Tasas inteligentes'!L24</f>
        <v>0.15116108770013081</v>
      </c>
      <c r="M24" s="220">
        <f>'Tasas inteligentes'!M24</f>
        <v>0.15526362253922477</v>
      </c>
      <c r="N24" s="221"/>
      <c r="O24" s="220">
        <f>'Tasas inteligentes'!O24</f>
        <v>0.14164038846995752</v>
      </c>
      <c r="P24" s="220">
        <f>'Tasas inteligentes'!P24</f>
        <v>0.14299605449973818</v>
      </c>
      <c r="Q24" s="220">
        <f>'Tasas inteligentes'!Q24</f>
        <v>0.14571181457374238</v>
      </c>
      <c r="R24" s="220">
        <f>'Tasas inteligentes'!R24</f>
        <v>0.14571181457374238</v>
      </c>
      <c r="S24" s="220">
        <f>'Tasas inteligentes'!S24</f>
        <v>0.15116108770013081</v>
      </c>
      <c r="T24" s="220">
        <f>'Tasas inteligentes'!T24</f>
        <v>0.15526362253922477</v>
      </c>
      <c r="U24" s="221"/>
    </row>
    <row r="25" spans="1:21" x14ac:dyDescent="0.35">
      <c r="A25" s="125" t="s">
        <v>76</v>
      </c>
      <c r="B25" s="130" t="s">
        <v>75</v>
      </c>
      <c r="C25" s="130" t="s">
        <v>51</v>
      </c>
      <c r="D25" s="130" t="s">
        <v>52</v>
      </c>
      <c r="E25" s="130" t="s">
        <v>53</v>
      </c>
      <c r="F25" s="130" t="s">
        <v>56</v>
      </c>
      <c r="H25" s="220">
        <f>'Tasas inteligentes'!H25</f>
        <v>0.14164038846995752</v>
      </c>
      <c r="I25" s="220">
        <f>'Tasas inteligentes'!I25</f>
        <v>0.14299605449973818</v>
      </c>
      <c r="J25" s="220">
        <f>'Tasas inteligentes'!J25</f>
        <v>0.14571181457374238</v>
      </c>
      <c r="K25" s="220">
        <f>'Tasas inteligentes'!K25</f>
        <v>0.14571181457374238</v>
      </c>
      <c r="L25" s="220">
        <f>'Tasas inteligentes'!L25</f>
        <v>0.15116108770013081</v>
      </c>
      <c r="M25" s="220">
        <f>'Tasas inteligentes'!M25</f>
        <v>0.15526362253922477</v>
      </c>
      <c r="N25" s="221"/>
      <c r="O25" s="220">
        <f>'Tasas inteligentes'!O25</f>
        <v>0.14164038846995752</v>
      </c>
      <c r="P25" s="220">
        <f>'Tasas inteligentes'!P25</f>
        <v>0.14299605449973818</v>
      </c>
      <c r="Q25" s="220">
        <f>'Tasas inteligentes'!Q25</f>
        <v>0.14571181457374238</v>
      </c>
      <c r="R25" s="220">
        <f>'Tasas inteligentes'!R25</f>
        <v>0.14571181457374238</v>
      </c>
      <c r="S25" s="220">
        <f>'Tasas inteligentes'!S25</f>
        <v>0.15116108770013081</v>
      </c>
      <c r="T25" s="220">
        <f>'Tasas inteligentes'!T25</f>
        <v>0.15526362253922477</v>
      </c>
      <c r="U25" s="221"/>
    </row>
    <row r="26" spans="1:21" x14ac:dyDescent="0.35">
      <c r="A26" s="125" t="s">
        <v>77</v>
      </c>
      <c r="B26" s="130" t="s">
        <v>75</v>
      </c>
      <c r="C26" s="130" t="s">
        <v>51</v>
      </c>
      <c r="D26" s="130" t="s">
        <v>52</v>
      </c>
      <c r="E26" s="130" t="s">
        <v>58</v>
      </c>
      <c r="F26" s="130" t="s">
        <v>54</v>
      </c>
      <c r="H26" s="220">
        <f>'Tasas inteligentes'!H26</f>
        <v>0.1443531960477249</v>
      </c>
      <c r="I26" s="220">
        <f>'Tasas inteligentes'!I26</f>
        <v>0.14571181457374238</v>
      </c>
      <c r="J26" s="220">
        <f>'Tasas inteligentes'!J26</f>
        <v>0.14843348840566883</v>
      </c>
      <c r="K26" s="220">
        <f>'Tasas inteligentes'!K26</f>
        <v>0.14843348840566883</v>
      </c>
      <c r="L26" s="220">
        <f>'Tasas inteligentes'!L26</f>
        <v>0.15389462418258582</v>
      </c>
      <c r="M26" s="220">
        <f>'Tasas inteligentes'!M26</f>
        <v>0.15800608683458517</v>
      </c>
      <c r="N26" s="221"/>
      <c r="O26" s="220">
        <f>'Tasas inteligentes'!O26</f>
        <v>0.14299605449973818</v>
      </c>
      <c r="P26" s="220">
        <f>'Tasas inteligentes'!P26</f>
        <v>0.1443531960477249</v>
      </c>
      <c r="Q26" s="220">
        <f>'Tasas inteligentes'!Q26</f>
        <v>0.14707191153891563</v>
      </c>
      <c r="R26" s="220">
        <f>'Tasas inteligentes'!R26</f>
        <v>0.14707191153891563</v>
      </c>
      <c r="S26" s="220">
        <f>'Tasas inteligentes'!S26</f>
        <v>0.15252711305920341</v>
      </c>
      <c r="T26" s="220">
        <f>'Tasas inteligentes'!T26</f>
        <v>0.15663410959937174</v>
      </c>
      <c r="U26" s="221"/>
    </row>
    <row r="27" spans="1:21" x14ac:dyDescent="0.35">
      <c r="A27" s="125" t="s">
        <v>78</v>
      </c>
      <c r="B27" s="130" t="s">
        <v>75</v>
      </c>
      <c r="C27" s="130" t="s">
        <v>51</v>
      </c>
      <c r="D27" s="130" t="s">
        <v>52</v>
      </c>
      <c r="E27" s="130" t="s">
        <v>58</v>
      </c>
      <c r="F27" s="130" t="s">
        <v>56</v>
      </c>
      <c r="H27" s="220">
        <f>'Tasas inteligentes'!H27</f>
        <v>0.14299605449973818</v>
      </c>
      <c r="I27" s="220">
        <f>'Tasas inteligentes'!I27</f>
        <v>0.1443531960477249</v>
      </c>
      <c r="J27" s="220">
        <f>'Tasas inteligentes'!J27</f>
        <v>0.14707191153891563</v>
      </c>
      <c r="K27" s="220">
        <f>'Tasas inteligentes'!K27</f>
        <v>0.14707191153891563</v>
      </c>
      <c r="L27" s="220">
        <f>'Tasas inteligentes'!L27</f>
        <v>0.15252711305920341</v>
      </c>
      <c r="M27" s="220">
        <f>'Tasas inteligentes'!M27</f>
        <v>0.15663410959937174</v>
      </c>
      <c r="N27" s="221"/>
      <c r="O27" s="220">
        <f>'Tasas inteligentes'!O27</f>
        <v>0.14299605449973818</v>
      </c>
      <c r="P27" s="220">
        <f>'Tasas inteligentes'!P27</f>
        <v>0.1443531960477249</v>
      </c>
      <c r="Q27" s="220">
        <f>'Tasas inteligentes'!Q27</f>
        <v>0.14707191153891563</v>
      </c>
      <c r="R27" s="220">
        <f>'Tasas inteligentes'!R27</f>
        <v>0.14707191153891563</v>
      </c>
      <c r="S27" s="220">
        <f>'Tasas inteligentes'!S27</f>
        <v>0.15252711305920341</v>
      </c>
      <c r="T27" s="220">
        <f>'Tasas inteligentes'!T27</f>
        <v>0.15663410959937174</v>
      </c>
      <c r="U27" s="221"/>
    </row>
    <row r="28" spans="1:21" x14ac:dyDescent="0.35">
      <c r="A28" s="125" t="s">
        <v>79</v>
      </c>
      <c r="B28" s="130" t="s">
        <v>75</v>
      </c>
      <c r="C28" s="130" t="s">
        <v>51</v>
      </c>
      <c r="D28" s="130" t="s">
        <v>61</v>
      </c>
      <c r="E28" s="130" t="s">
        <v>53</v>
      </c>
      <c r="F28" s="130" t="s">
        <v>54</v>
      </c>
      <c r="H28" s="220">
        <f>'Tasas inteligentes'!H28</f>
        <v>0.15663410959937174</v>
      </c>
      <c r="I28" s="220">
        <f>'Tasas inteligentes'!I28</f>
        <v>0.15800608683458517</v>
      </c>
      <c r="J28" s="220">
        <f>'Tasas inteligentes'!J28</f>
        <v>0.16075451772299854</v>
      </c>
      <c r="K28" s="220">
        <f>'Tasas inteligentes'!K28</f>
        <v>0.16075451772299854</v>
      </c>
      <c r="L28" s="220">
        <f>'Tasas inteligentes'!L28</f>
        <v>0.16765177626913008</v>
      </c>
      <c r="M28" s="220">
        <f>'Tasas inteligentes'!M28</f>
        <v>0.17180814349583362</v>
      </c>
      <c r="N28" s="221"/>
      <c r="O28" s="220">
        <f>'Tasas inteligentes'!O28</f>
        <v>0.15252711305920341</v>
      </c>
      <c r="P28" s="220">
        <f>'Tasas inteligentes'!P28</f>
        <v>0.15389462418258582</v>
      </c>
      <c r="Q28" s="220">
        <f>'Tasas inteligentes'!Q28</f>
        <v>0.15663410959937174</v>
      </c>
      <c r="R28" s="220">
        <f>'Tasas inteligentes'!R28</f>
        <v>0.15663410959937174</v>
      </c>
      <c r="S28" s="220">
        <f>'Tasas inteligentes'!S28</f>
        <v>0.16350892700314201</v>
      </c>
      <c r="T28" s="220">
        <f>'Tasas inteligentes'!T28</f>
        <v>0.16765177626913008</v>
      </c>
      <c r="U28" s="221"/>
    </row>
    <row r="29" spans="1:21" x14ac:dyDescent="0.35">
      <c r="A29" s="125" t="s">
        <v>80</v>
      </c>
      <c r="B29" s="130" t="s">
        <v>75</v>
      </c>
      <c r="C29" s="130" t="s">
        <v>51</v>
      </c>
      <c r="D29" s="130" t="s">
        <v>61</v>
      </c>
      <c r="E29" s="130" t="s">
        <v>53</v>
      </c>
      <c r="F29" s="130" t="s">
        <v>56</v>
      </c>
      <c r="H29" s="220">
        <f>'Tasas inteligentes'!H29</f>
        <v>0.15663410959937174</v>
      </c>
      <c r="I29" s="220">
        <f>'Tasas inteligentes'!I29</f>
        <v>0.15800608683458517</v>
      </c>
      <c r="J29" s="220">
        <f>'Tasas inteligentes'!J29</f>
        <v>0.16075451772299854</v>
      </c>
      <c r="K29" s="220">
        <f>'Tasas inteligentes'!K29</f>
        <v>0.16075451772299854</v>
      </c>
      <c r="L29" s="220">
        <f>'Tasas inteligentes'!L29</f>
        <v>0.16350892700314201</v>
      </c>
      <c r="M29" s="220">
        <f>'Tasas inteligentes'!M29</f>
        <v>0.17180814349583362</v>
      </c>
      <c r="N29" s="221"/>
      <c r="O29" s="220">
        <f>'Tasas inteligentes'!O29</f>
        <v>0.15252711305920341</v>
      </c>
      <c r="P29" s="220">
        <f>'Tasas inteligentes'!P29</f>
        <v>0.15389462418258582</v>
      </c>
      <c r="Q29" s="220">
        <f>'Tasas inteligentes'!Q29</f>
        <v>0.15663410959937174</v>
      </c>
      <c r="R29" s="220">
        <f>'Tasas inteligentes'!R29</f>
        <v>0.15663410959937174</v>
      </c>
      <c r="S29" s="220">
        <f>'Tasas inteligentes'!S29</f>
        <v>0.15937955571773355</v>
      </c>
      <c r="T29" s="220">
        <f>'Tasas inteligentes'!T29</f>
        <v>0.16765177626913008</v>
      </c>
      <c r="U29" s="221"/>
    </row>
    <row r="30" spans="1:21" x14ac:dyDescent="0.35">
      <c r="A30" s="125" t="s">
        <v>81</v>
      </c>
      <c r="B30" s="130" t="s">
        <v>75</v>
      </c>
      <c r="C30" s="130" t="s">
        <v>51</v>
      </c>
      <c r="D30" s="130" t="s">
        <v>61</v>
      </c>
      <c r="E30" s="130" t="s">
        <v>58</v>
      </c>
      <c r="F30" s="130" t="s">
        <v>54</v>
      </c>
      <c r="H30" s="220">
        <f>'Tasas inteligentes'!H30</f>
        <v>0.15800608683458517</v>
      </c>
      <c r="I30" s="220">
        <f>'Tasas inteligentes'!I30</f>
        <v>0.15937955571773355</v>
      </c>
      <c r="J30" s="220">
        <f>'Tasas inteligentes'!J30</f>
        <v>0.1621309743258661</v>
      </c>
      <c r="K30" s="220">
        <f>'Tasas inteligentes'!K30</f>
        <v>0.1621309743258661</v>
      </c>
      <c r="L30" s="220">
        <f>'Tasas inteligentes'!L30</f>
        <v>0.16488837723293726</v>
      </c>
      <c r="M30" s="220">
        <f>'Tasas inteligentes'!M30</f>
        <v>0.17319661015484678</v>
      </c>
      <c r="N30" s="221"/>
      <c r="O30" s="220">
        <f>'Tasas inteligentes'!O30</f>
        <v>0.15389462418258582</v>
      </c>
      <c r="P30" s="220">
        <f>'Tasas inteligentes'!P30</f>
        <v>0.15526362253922477</v>
      </c>
      <c r="Q30" s="220">
        <f>'Tasas inteligentes'!Q30</f>
        <v>0.15800608683458517</v>
      </c>
      <c r="R30" s="220">
        <f>'Tasas inteligentes'!R30</f>
        <v>0.15800608683458517</v>
      </c>
      <c r="S30" s="220">
        <f>'Tasas inteligentes'!S30</f>
        <v>0.16075451772299854</v>
      </c>
      <c r="T30" s="220">
        <f>'Tasas inteligentes'!T30</f>
        <v>0.16903572803833167</v>
      </c>
      <c r="U30" s="221"/>
    </row>
    <row r="31" spans="1:21" x14ac:dyDescent="0.35">
      <c r="A31" s="125" t="s">
        <v>82</v>
      </c>
      <c r="B31" s="130" t="s">
        <v>75</v>
      </c>
      <c r="C31" s="130" t="s">
        <v>51</v>
      </c>
      <c r="D31" s="130" t="s">
        <v>61</v>
      </c>
      <c r="E31" s="130" t="s">
        <v>58</v>
      </c>
      <c r="F31" s="130" t="s">
        <v>56</v>
      </c>
      <c r="H31" s="220">
        <f>'Tasas inteligentes'!H31</f>
        <v>0.15663410959937174</v>
      </c>
      <c r="I31" s="220">
        <f>'Tasas inteligentes'!I31</f>
        <v>0.15800608683458517</v>
      </c>
      <c r="J31" s="220">
        <f>'Tasas inteligentes'!J31</f>
        <v>0.16075451772299854</v>
      </c>
      <c r="K31" s="220">
        <f>'Tasas inteligentes'!K31</f>
        <v>0.16075451772299854</v>
      </c>
      <c r="L31" s="220">
        <f>'Tasas inteligentes'!L31</f>
        <v>0.16350892700314201</v>
      </c>
      <c r="M31" s="220">
        <f>'Tasas inteligentes'!M31</f>
        <v>0.17180814349583362</v>
      </c>
      <c r="N31" s="221"/>
      <c r="O31" s="220">
        <f>'Tasas inteligentes'!O31</f>
        <v>0.15389462418258582</v>
      </c>
      <c r="P31" s="220">
        <f>'Tasas inteligentes'!P31</f>
        <v>0.15526362253922477</v>
      </c>
      <c r="Q31" s="220">
        <f>'Tasas inteligentes'!Q31</f>
        <v>0.15800608683458517</v>
      </c>
      <c r="R31" s="220">
        <f>'Tasas inteligentes'!R31</f>
        <v>0.15800608683458517</v>
      </c>
      <c r="S31" s="220">
        <f>'Tasas inteligentes'!S31</f>
        <v>0.16075451772299854</v>
      </c>
      <c r="T31" s="220">
        <f>'Tasas inteligentes'!T31</f>
        <v>0.16903572803833167</v>
      </c>
      <c r="U31" s="221"/>
    </row>
    <row r="32" spans="1:21" x14ac:dyDescent="0.35">
      <c r="A32" s="125" t="s">
        <v>83</v>
      </c>
      <c r="B32" s="130" t="s">
        <v>75</v>
      </c>
      <c r="C32" s="130" t="s">
        <v>66</v>
      </c>
      <c r="D32" s="130" t="s">
        <v>52</v>
      </c>
      <c r="E32" s="130" t="s">
        <v>53</v>
      </c>
      <c r="F32" s="130" t="s">
        <v>54</v>
      </c>
      <c r="H32" s="220">
        <f>'Tasas inteligentes'!H32</f>
        <v>0.1335372965869035</v>
      </c>
      <c r="I32" s="220">
        <f>'Tasas inteligentes'!I32</f>
        <v>0.13488414009111604</v>
      </c>
      <c r="J32" s="220">
        <f>'Tasas inteligentes'!J32</f>
        <v>0.1375822289110713</v>
      </c>
      <c r="K32" s="220">
        <f>'Tasas inteligentes'!K32</f>
        <v>0.1375822289110713</v>
      </c>
      <c r="L32" s="220">
        <f>'Tasas inteligentes'!L32</f>
        <v>0.14028619649985408</v>
      </c>
      <c r="M32" s="220">
        <f>'Tasas inteligentes'!M32</f>
        <v>0.15526362253922477</v>
      </c>
      <c r="N32" s="221"/>
      <c r="O32" s="220">
        <f>'Tasas inteligentes'!O32</f>
        <v>0.13219191841842548</v>
      </c>
      <c r="P32" s="220">
        <f>'Tasas inteligentes'!P32</f>
        <v>0.1335372965869035</v>
      </c>
      <c r="Q32" s="220">
        <f>'Tasas inteligentes'!Q32</f>
        <v>0.13623245038182419</v>
      </c>
      <c r="R32" s="220">
        <f>'Tasas inteligentes'!R32</f>
        <v>0.13623245038182419</v>
      </c>
      <c r="S32" s="220">
        <f>'Tasas inteligentes'!S32</f>
        <v>0.13893347713220328</v>
      </c>
      <c r="T32" s="220">
        <f>'Tasas inteligentes'!T32</f>
        <v>0.15526362253922477</v>
      </c>
      <c r="U32" s="221"/>
    </row>
    <row r="33" spans="1:21" x14ac:dyDescent="0.35">
      <c r="A33" s="125" t="s">
        <v>84</v>
      </c>
      <c r="B33" s="130" t="s">
        <v>75</v>
      </c>
      <c r="C33" s="130" t="s">
        <v>66</v>
      </c>
      <c r="D33" s="130" t="s">
        <v>52</v>
      </c>
      <c r="E33" s="130" t="s">
        <v>53</v>
      </c>
      <c r="F33" s="130" t="s">
        <v>56</v>
      </c>
      <c r="H33" s="220">
        <f>'Tasas inteligentes'!H33</f>
        <v>0.1335372965869035</v>
      </c>
      <c r="I33" s="220">
        <f>'Tasas inteligentes'!I33</f>
        <v>0.13488414009111604</v>
      </c>
      <c r="J33" s="220">
        <f>'Tasas inteligentes'!J33</f>
        <v>0.1375822289110713</v>
      </c>
      <c r="K33" s="220">
        <f>'Tasas inteligentes'!K33</f>
        <v>0.1375822289110713</v>
      </c>
      <c r="L33" s="220">
        <f>'Tasas inteligentes'!L33</f>
        <v>0.14028619649985408</v>
      </c>
      <c r="M33" s="220">
        <f>'Tasas inteligentes'!M33</f>
        <v>0.15526362253922477</v>
      </c>
      <c r="N33" s="221"/>
      <c r="O33" s="220">
        <f>'Tasas inteligentes'!O33</f>
        <v>0.13219191841842548</v>
      </c>
      <c r="P33" s="220">
        <f>'Tasas inteligentes'!P33</f>
        <v>0.1335372965869035</v>
      </c>
      <c r="Q33" s="220">
        <f>'Tasas inteligentes'!Q33</f>
        <v>0.13623245038182419</v>
      </c>
      <c r="R33" s="220">
        <f>'Tasas inteligentes'!R33</f>
        <v>0.13623245038182419</v>
      </c>
      <c r="S33" s="220">
        <f>'Tasas inteligentes'!S33</f>
        <v>0.13893347713220328</v>
      </c>
      <c r="T33" s="220">
        <f>'Tasas inteligentes'!T33</f>
        <v>0.15526362253922477</v>
      </c>
      <c r="U33" s="221"/>
    </row>
    <row r="34" spans="1:21" x14ac:dyDescent="0.35">
      <c r="A34" s="125" t="s">
        <v>85</v>
      </c>
      <c r="B34" s="130" t="s">
        <v>75</v>
      </c>
      <c r="C34" s="130" t="s">
        <v>66</v>
      </c>
      <c r="D34" s="130" t="s">
        <v>52</v>
      </c>
      <c r="E34" s="130" t="s">
        <v>58</v>
      </c>
      <c r="F34" s="130" t="s">
        <v>54</v>
      </c>
      <c r="H34" s="220">
        <f>'Tasas inteligentes'!H34</f>
        <v>0.1375822289110713</v>
      </c>
      <c r="I34" s="220">
        <f>'Tasas inteligentes'!I34</f>
        <v>0.13893347713220328</v>
      </c>
      <c r="J34" s="220">
        <f>'Tasas inteligentes'!J34</f>
        <v>0.14164038846995752</v>
      </c>
      <c r="K34" s="220">
        <f>'Tasas inteligentes'!K34</f>
        <v>0.14164038846995752</v>
      </c>
      <c r="L34" s="220">
        <f>'Tasas inteligentes'!L34</f>
        <v>0.1443531960477249</v>
      </c>
      <c r="M34" s="220">
        <f>'Tasas inteligentes'!M34</f>
        <v>0.15526362253922477</v>
      </c>
      <c r="N34" s="221"/>
      <c r="O34" s="220">
        <f>'Tasas inteligentes'!O34</f>
        <v>0.13488414009111604</v>
      </c>
      <c r="P34" s="220">
        <f>'Tasas inteligentes'!P34</f>
        <v>0.13623245038182419</v>
      </c>
      <c r="Q34" s="220">
        <f>'Tasas inteligentes'!Q34</f>
        <v>0.13893347713220328</v>
      </c>
      <c r="R34" s="220">
        <f>'Tasas inteligentes'!R34</f>
        <v>0.13893347713220328</v>
      </c>
      <c r="S34" s="220">
        <f>'Tasas inteligentes'!S34</f>
        <v>0.14164038846995752</v>
      </c>
      <c r="T34" s="220">
        <f>'Tasas inteligentes'!T34</f>
        <v>0.15526362253922477</v>
      </c>
      <c r="U34" s="221"/>
    </row>
    <row r="35" spans="1:21" x14ac:dyDescent="0.35">
      <c r="A35" s="125" t="s">
        <v>86</v>
      </c>
      <c r="B35" s="130" t="s">
        <v>75</v>
      </c>
      <c r="C35" s="130" t="s">
        <v>66</v>
      </c>
      <c r="D35" s="130" t="s">
        <v>52</v>
      </c>
      <c r="E35" s="130" t="s">
        <v>58</v>
      </c>
      <c r="F35" s="130" t="s">
        <v>56</v>
      </c>
      <c r="H35" s="220">
        <f>'Tasas inteligentes'!H35</f>
        <v>0.13623245038182419</v>
      </c>
      <c r="I35" s="220">
        <f>'Tasas inteligentes'!I35</f>
        <v>0.1375822289110713</v>
      </c>
      <c r="J35" s="220">
        <f>'Tasas inteligentes'!J35</f>
        <v>0.14028619649985408</v>
      </c>
      <c r="K35" s="220">
        <f>'Tasas inteligentes'!K35</f>
        <v>0.14028619649985408</v>
      </c>
      <c r="L35" s="220">
        <f>'Tasas inteligentes'!L35</f>
        <v>0.14299605449973818</v>
      </c>
      <c r="M35" s="220">
        <f>'Tasas inteligentes'!M35</f>
        <v>0.15526362253922477</v>
      </c>
      <c r="N35" s="221"/>
      <c r="O35" s="220">
        <f>'Tasas inteligentes'!O35</f>
        <v>0.13488414009111604</v>
      </c>
      <c r="P35" s="220">
        <f>'Tasas inteligentes'!P35</f>
        <v>0.13623245038182419</v>
      </c>
      <c r="Q35" s="220">
        <f>'Tasas inteligentes'!Q35</f>
        <v>0.13893347713220328</v>
      </c>
      <c r="R35" s="220">
        <f>'Tasas inteligentes'!R35</f>
        <v>0.13893347713220328</v>
      </c>
      <c r="S35" s="220">
        <f>'Tasas inteligentes'!S35</f>
        <v>0.14164038846995752</v>
      </c>
      <c r="T35" s="220">
        <f>'Tasas inteligentes'!T35</f>
        <v>0.15526362253922477</v>
      </c>
      <c r="U35" s="221"/>
    </row>
    <row r="36" spans="1:21" x14ac:dyDescent="0.35">
      <c r="A36" s="125" t="s">
        <v>87</v>
      </c>
      <c r="B36" s="130" t="s">
        <v>75</v>
      </c>
      <c r="C36" s="130" t="s">
        <v>66</v>
      </c>
      <c r="D36" s="130" t="s">
        <v>61</v>
      </c>
      <c r="E36" s="130" t="s">
        <v>53</v>
      </c>
      <c r="F36" s="130" t="s">
        <v>54</v>
      </c>
      <c r="H36" s="220">
        <f>'Tasas inteligentes'!H36</f>
        <v>0.14299605449973818</v>
      </c>
      <c r="I36" s="220">
        <f>'Tasas inteligentes'!I36</f>
        <v>0.1443531960477249</v>
      </c>
      <c r="J36" s="220">
        <f>'Tasas inteligentes'!J36</f>
        <v>0.14707191153891563</v>
      </c>
      <c r="K36" s="220">
        <f>'Tasas inteligentes'!K36</f>
        <v>0.14707191153891563</v>
      </c>
      <c r="L36" s="220">
        <f>'Tasas inteligentes'!L36</f>
        <v>0.1497965466377309</v>
      </c>
      <c r="M36" s="220">
        <f>'Tasas inteligentes'!M36</f>
        <v>0.15526362253922477</v>
      </c>
      <c r="N36" s="221"/>
      <c r="O36" s="220">
        <f>'Tasas inteligentes'!O36</f>
        <v>0.13893347713220328</v>
      </c>
      <c r="P36" s="220">
        <f>'Tasas inteligentes'!P36</f>
        <v>0.14028619649985408</v>
      </c>
      <c r="Q36" s="220">
        <f>'Tasas inteligentes'!Q36</f>
        <v>0.14299605449973818</v>
      </c>
      <c r="R36" s="220">
        <f>'Tasas inteligentes'!R36</f>
        <v>0.14299605449973818</v>
      </c>
      <c r="S36" s="220">
        <f>'Tasas inteligentes'!S36</f>
        <v>0.14571181457374238</v>
      </c>
      <c r="T36" s="220">
        <f>'Tasas inteligentes'!T36</f>
        <v>0.15526362253922477</v>
      </c>
      <c r="U36" s="221"/>
    </row>
    <row r="37" spans="1:21" x14ac:dyDescent="0.35">
      <c r="A37" s="125" t="s">
        <v>88</v>
      </c>
      <c r="B37" s="130" t="s">
        <v>75</v>
      </c>
      <c r="C37" s="130" t="s">
        <v>66</v>
      </c>
      <c r="D37" s="130" t="s">
        <v>61</v>
      </c>
      <c r="E37" s="130" t="s">
        <v>53</v>
      </c>
      <c r="F37" s="130" t="s">
        <v>56</v>
      </c>
      <c r="H37" s="220">
        <f>'Tasas inteligentes'!H37</f>
        <v>0.14299605449973818</v>
      </c>
      <c r="I37" s="220">
        <f>'Tasas inteligentes'!I37</f>
        <v>0.1443531960477249</v>
      </c>
      <c r="J37" s="220">
        <f>'Tasas inteligentes'!J37</f>
        <v>0.14707191153891563</v>
      </c>
      <c r="K37" s="220">
        <f>'Tasas inteligentes'!K37</f>
        <v>0.14707191153891563</v>
      </c>
      <c r="L37" s="220">
        <f>'Tasas inteligentes'!L37</f>
        <v>0.1497965466377309</v>
      </c>
      <c r="M37" s="220">
        <f>'Tasas inteligentes'!M37</f>
        <v>0.15526362253922477</v>
      </c>
      <c r="N37" s="221"/>
      <c r="O37" s="220">
        <f>'Tasas inteligentes'!O37</f>
        <v>0.13893347713220328</v>
      </c>
      <c r="P37" s="220">
        <f>'Tasas inteligentes'!P37</f>
        <v>0.14028619649985408</v>
      </c>
      <c r="Q37" s="220">
        <f>'Tasas inteligentes'!Q37</f>
        <v>0.14299605449973818</v>
      </c>
      <c r="R37" s="220">
        <f>'Tasas inteligentes'!R37</f>
        <v>0.14299605449973818</v>
      </c>
      <c r="S37" s="220">
        <f>'Tasas inteligentes'!S37</f>
        <v>0.14571181457374238</v>
      </c>
      <c r="T37" s="220">
        <f>'Tasas inteligentes'!T37</f>
        <v>0.15526362253922477</v>
      </c>
      <c r="U37" s="221"/>
    </row>
    <row r="38" spans="1:21" x14ac:dyDescent="0.35">
      <c r="A38" s="125" t="s">
        <v>89</v>
      </c>
      <c r="B38" s="130" t="s">
        <v>75</v>
      </c>
      <c r="C38" s="130" t="s">
        <v>66</v>
      </c>
      <c r="D38" s="130" t="s">
        <v>61</v>
      </c>
      <c r="E38" s="130" t="s">
        <v>58</v>
      </c>
      <c r="F38" s="130" t="s">
        <v>54</v>
      </c>
      <c r="H38" s="220">
        <f>'Tasas inteligentes'!H38</f>
        <v>0.14571181457374238</v>
      </c>
      <c r="I38" s="220">
        <f>'Tasas inteligentes'!I38</f>
        <v>0.14707191153891563</v>
      </c>
      <c r="J38" s="220">
        <f>'Tasas inteligentes'!J38</f>
        <v>0.1497965466377309</v>
      </c>
      <c r="K38" s="220">
        <f>'Tasas inteligentes'!K38</f>
        <v>0.1497965466377309</v>
      </c>
      <c r="L38" s="220">
        <f>'Tasas inteligentes'!L38</f>
        <v>0.15252711305920341</v>
      </c>
      <c r="M38" s="220">
        <f>'Tasas inteligentes'!M38</f>
        <v>0.15526362253922477</v>
      </c>
      <c r="N38" s="221"/>
      <c r="O38" s="220">
        <f>'Tasas inteligentes'!O38</f>
        <v>0.14164038846995752</v>
      </c>
      <c r="P38" s="220">
        <f>'Tasas inteligentes'!P38</f>
        <v>0.14299605449973818</v>
      </c>
      <c r="Q38" s="220">
        <f>'Tasas inteligentes'!Q38</f>
        <v>0.14571181457374238</v>
      </c>
      <c r="R38" s="220">
        <f>'Tasas inteligentes'!R38</f>
        <v>0.14571181457374238</v>
      </c>
      <c r="S38" s="220">
        <f>'Tasas inteligentes'!S38</f>
        <v>0.14843348840566883</v>
      </c>
      <c r="T38" s="220">
        <f>'Tasas inteligentes'!T38</f>
        <v>0.15526362253922477</v>
      </c>
      <c r="U38" s="221"/>
    </row>
    <row r="39" spans="1:21" x14ac:dyDescent="0.35">
      <c r="A39" s="125" t="s">
        <v>90</v>
      </c>
      <c r="B39" s="130" t="s">
        <v>75</v>
      </c>
      <c r="C39" s="130" t="s">
        <v>66</v>
      </c>
      <c r="D39" s="130" t="s">
        <v>61</v>
      </c>
      <c r="E39" s="130" t="s">
        <v>58</v>
      </c>
      <c r="F39" s="130" t="s">
        <v>56</v>
      </c>
      <c r="H39" s="220">
        <f>'Tasas inteligentes'!H39</f>
        <v>0.1443531960477249</v>
      </c>
      <c r="I39" s="220">
        <f>'Tasas inteligentes'!I39</f>
        <v>0.14571181457374238</v>
      </c>
      <c r="J39" s="220">
        <f>'Tasas inteligentes'!J39</f>
        <v>0.14843348840566883</v>
      </c>
      <c r="K39" s="220">
        <f>'Tasas inteligentes'!K39</f>
        <v>0.14843348840566883</v>
      </c>
      <c r="L39" s="220">
        <f>'Tasas inteligentes'!L39</f>
        <v>0.15116108770013081</v>
      </c>
      <c r="M39" s="220">
        <f>'Tasas inteligentes'!M39</f>
        <v>0.15526362253922477</v>
      </c>
      <c r="N39" s="221"/>
      <c r="O39" s="220">
        <f>'Tasas inteligentes'!O39</f>
        <v>0.14164038846995752</v>
      </c>
      <c r="P39" s="220">
        <f>'Tasas inteligentes'!P39</f>
        <v>0.14299605449973818</v>
      </c>
      <c r="Q39" s="220">
        <f>'Tasas inteligentes'!Q39</f>
        <v>0.14571181457374238</v>
      </c>
      <c r="R39" s="220">
        <f>'Tasas inteligentes'!R39</f>
        <v>0.14571181457374238</v>
      </c>
      <c r="S39" s="220">
        <f>'Tasas inteligentes'!S39</f>
        <v>0.14843348840566883</v>
      </c>
      <c r="T39" s="220">
        <f>'Tasas inteligentes'!T39</f>
        <v>0.15526362253922477</v>
      </c>
      <c r="U39" s="221"/>
    </row>
    <row r="40" spans="1:21" x14ac:dyDescent="0.35">
      <c r="A40" s="125" t="s">
        <v>91</v>
      </c>
      <c r="B40" s="130" t="s">
        <v>92</v>
      </c>
      <c r="C40" s="130" t="s">
        <v>51</v>
      </c>
      <c r="D40" s="130" t="s">
        <v>52</v>
      </c>
      <c r="E40" s="130" t="s">
        <v>53</v>
      </c>
      <c r="F40" s="130" t="s">
        <v>54</v>
      </c>
      <c r="H40" s="220">
        <f>'Tasas inteligentes'!H40</f>
        <v>0.13893347713220328</v>
      </c>
      <c r="I40" s="220">
        <f>'Tasas inteligentes'!I40</f>
        <v>0.14028619649985408</v>
      </c>
      <c r="J40" s="220">
        <f>'Tasas inteligentes'!J40</f>
        <v>0.14299605449973818</v>
      </c>
      <c r="K40" s="220">
        <f>'Tasas inteligentes'!K40</f>
        <v>0.14299605449973818</v>
      </c>
      <c r="L40" s="220">
        <f>'Tasas inteligentes'!L40</f>
        <v>0.14571181457374238</v>
      </c>
      <c r="M40" s="220">
        <f>'Tasas inteligentes'!M40</f>
        <v>0.15252711305920341</v>
      </c>
      <c r="N40" s="221"/>
      <c r="O40" s="220">
        <f>'Tasas inteligentes'!O40</f>
        <v>0.13893347713220328</v>
      </c>
      <c r="P40" s="220">
        <f>'Tasas inteligentes'!P40</f>
        <v>0.14028619649985408</v>
      </c>
      <c r="Q40" s="220">
        <f>'Tasas inteligentes'!Q40</f>
        <v>0.14299605449973818</v>
      </c>
      <c r="R40" s="220">
        <f>'Tasas inteligentes'!R40</f>
        <v>0.14299605449973818</v>
      </c>
      <c r="S40" s="220">
        <f>'Tasas inteligentes'!S40</f>
        <v>0.14571181457374238</v>
      </c>
      <c r="T40" s="220">
        <f>'Tasas inteligentes'!T40</f>
        <v>0.15252711305920341</v>
      </c>
      <c r="U40" s="221"/>
    </row>
    <row r="41" spans="1:21" x14ac:dyDescent="0.35">
      <c r="A41" s="125" t="s">
        <v>93</v>
      </c>
      <c r="B41" s="130" t="s">
        <v>92</v>
      </c>
      <c r="C41" s="130" t="s">
        <v>51</v>
      </c>
      <c r="D41" s="130" t="s">
        <v>52</v>
      </c>
      <c r="E41" s="130" t="s">
        <v>53</v>
      </c>
      <c r="F41" s="130" t="s">
        <v>56</v>
      </c>
      <c r="H41" s="220">
        <f>'Tasas inteligentes'!H41</f>
        <v>0.13893347713220328</v>
      </c>
      <c r="I41" s="220">
        <f>'Tasas inteligentes'!I41</f>
        <v>0.14028619649985408</v>
      </c>
      <c r="J41" s="220">
        <f>'Tasas inteligentes'!J41</f>
        <v>0.14299605449973818</v>
      </c>
      <c r="K41" s="220">
        <f>'Tasas inteligentes'!K41</f>
        <v>0.14299605449973818</v>
      </c>
      <c r="L41" s="220">
        <f>'Tasas inteligentes'!L41</f>
        <v>0.14571181457374238</v>
      </c>
      <c r="M41" s="220">
        <f>'Tasas inteligentes'!M41</f>
        <v>0.15252711305920341</v>
      </c>
      <c r="N41" s="221"/>
      <c r="O41" s="220">
        <f>'Tasas inteligentes'!O41</f>
        <v>0.13893347713220328</v>
      </c>
      <c r="P41" s="220">
        <f>'Tasas inteligentes'!P41</f>
        <v>0.14028619649985408</v>
      </c>
      <c r="Q41" s="220">
        <f>'Tasas inteligentes'!Q41</f>
        <v>0.14299605449973818</v>
      </c>
      <c r="R41" s="220">
        <f>'Tasas inteligentes'!R41</f>
        <v>0.14299605449973818</v>
      </c>
      <c r="S41" s="220">
        <f>'Tasas inteligentes'!S41</f>
        <v>0.14571181457374238</v>
      </c>
      <c r="T41" s="220">
        <f>'Tasas inteligentes'!T41</f>
        <v>0.15252711305920341</v>
      </c>
      <c r="U41" s="221"/>
    </row>
    <row r="42" spans="1:21" x14ac:dyDescent="0.35">
      <c r="A42" s="125" t="s">
        <v>94</v>
      </c>
      <c r="B42" s="130" t="s">
        <v>92</v>
      </c>
      <c r="C42" s="130" t="s">
        <v>51</v>
      </c>
      <c r="D42" s="130" t="s">
        <v>52</v>
      </c>
      <c r="E42" s="130" t="s">
        <v>58</v>
      </c>
      <c r="F42" s="130" t="s">
        <v>54</v>
      </c>
      <c r="H42" s="220">
        <f>'Tasas inteligentes'!H42</f>
        <v>0.14164038846995752</v>
      </c>
      <c r="I42" s="220">
        <f>'Tasas inteligentes'!I42</f>
        <v>0.14299605449973818</v>
      </c>
      <c r="J42" s="220">
        <f>'Tasas inteligentes'!J42</f>
        <v>0.14571181457374238</v>
      </c>
      <c r="K42" s="220">
        <f>'Tasas inteligentes'!K42</f>
        <v>0.14571181457374238</v>
      </c>
      <c r="L42" s="220">
        <f>'Tasas inteligentes'!L42</f>
        <v>0.14843348840566883</v>
      </c>
      <c r="M42" s="220">
        <f>'Tasas inteligentes'!M42</f>
        <v>0.15526362253922477</v>
      </c>
      <c r="N42" s="221"/>
      <c r="O42" s="220">
        <f>'Tasas inteligentes'!O42</f>
        <v>0.13893347713220328</v>
      </c>
      <c r="P42" s="220">
        <f>'Tasas inteligentes'!P42</f>
        <v>0.14028619649985408</v>
      </c>
      <c r="Q42" s="220">
        <f>'Tasas inteligentes'!Q42</f>
        <v>0.14299605449973818</v>
      </c>
      <c r="R42" s="220">
        <f>'Tasas inteligentes'!R42</f>
        <v>0.14299605449973818</v>
      </c>
      <c r="S42" s="220">
        <f>'Tasas inteligentes'!S42</f>
        <v>0.14571181457374238</v>
      </c>
      <c r="T42" s="220">
        <f>'Tasas inteligentes'!T42</f>
        <v>0.15252711305920341</v>
      </c>
      <c r="U42" s="221"/>
    </row>
    <row r="43" spans="1:21" x14ac:dyDescent="0.35">
      <c r="A43" s="125" t="s">
        <v>95</v>
      </c>
      <c r="B43" s="130" t="s">
        <v>92</v>
      </c>
      <c r="C43" s="130" t="s">
        <v>51</v>
      </c>
      <c r="D43" s="130" t="s">
        <v>52</v>
      </c>
      <c r="E43" s="130" t="s">
        <v>58</v>
      </c>
      <c r="F43" s="130" t="s">
        <v>56</v>
      </c>
      <c r="H43" s="220">
        <f>'Tasas inteligentes'!H43</f>
        <v>0.14028619649985408</v>
      </c>
      <c r="I43" s="220">
        <f>'Tasas inteligentes'!I43</f>
        <v>0.14164038846995752</v>
      </c>
      <c r="J43" s="220">
        <f>'Tasas inteligentes'!J43</f>
        <v>0.1443531960477249</v>
      </c>
      <c r="K43" s="220">
        <f>'Tasas inteligentes'!K43</f>
        <v>0.1443531960477249</v>
      </c>
      <c r="L43" s="220">
        <f>'Tasas inteligentes'!L43</f>
        <v>0.14707191153891563</v>
      </c>
      <c r="M43" s="220">
        <f>'Tasas inteligentes'!M43</f>
        <v>0.15389462418258582</v>
      </c>
      <c r="N43" s="221"/>
      <c r="O43" s="220">
        <f>'Tasas inteligentes'!O43</f>
        <v>0.13893347713220328</v>
      </c>
      <c r="P43" s="220">
        <f>'Tasas inteligentes'!P43</f>
        <v>0.14028619649985408</v>
      </c>
      <c r="Q43" s="220">
        <f>'Tasas inteligentes'!Q43</f>
        <v>0.14299605449973818</v>
      </c>
      <c r="R43" s="220">
        <f>'Tasas inteligentes'!R43</f>
        <v>0.14299605449973818</v>
      </c>
      <c r="S43" s="220">
        <f>'Tasas inteligentes'!S43</f>
        <v>0.14571181457374238</v>
      </c>
      <c r="T43" s="220">
        <f>'Tasas inteligentes'!T43</f>
        <v>0.15252711305920341</v>
      </c>
      <c r="U43" s="221"/>
    </row>
    <row r="44" spans="1:21" x14ac:dyDescent="0.35">
      <c r="A44" s="125" t="s">
        <v>96</v>
      </c>
      <c r="B44" s="130" t="s">
        <v>92</v>
      </c>
      <c r="C44" s="130" t="s">
        <v>51</v>
      </c>
      <c r="D44" s="130" t="s">
        <v>61</v>
      </c>
      <c r="E44" s="130" t="s">
        <v>53</v>
      </c>
      <c r="F44" s="130" t="s">
        <v>54</v>
      </c>
      <c r="H44" s="220">
        <f>'Tasas inteligentes'!H44</f>
        <v>0.15252711305920341</v>
      </c>
      <c r="I44" s="220">
        <f>'Tasas inteligentes'!I44</f>
        <v>0.15389462418258582</v>
      </c>
      <c r="J44" s="220">
        <f>'Tasas inteligentes'!J44</f>
        <v>0.15663410959937174</v>
      </c>
      <c r="K44" s="220">
        <f>'Tasas inteligentes'!K44</f>
        <v>0.15663410959937174</v>
      </c>
      <c r="L44" s="220">
        <f>'Tasas inteligentes'!L44</f>
        <v>0.15937955571773355</v>
      </c>
      <c r="M44" s="220">
        <f>'Tasas inteligentes'!M44</f>
        <v>0.16765177626913008</v>
      </c>
      <c r="N44" s="221"/>
      <c r="O44" s="220">
        <f>'Tasas inteligentes'!O44</f>
        <v>0.14707191153891563</v>
      </c>
      <c r="P44" s="220">
        <f>'Tasas inteligentes'!P44</f>
        <v>0.14843348840566883</v>
      </c>
      <c r="Q44" s="220">
        <f>'Tasas inteligentes'!Q44</f>
        <v>0.15116108770013081</v>
      </c>
      <c r="R44" s="220">
        <f>'Tasas inteligentes'!R44</f>
        <v>0.15116108770013081</v>
      </c>
      <c r="S44" s="220">
        <f>'Tasas inteligentes'!S44</f>
        <v>0.15389462418258582</v>
      </c>
      <c r="T44" s="220">
        <f>'Tasas inteligentes'!T44</f>
        <v>0.1621309743258661</v>
      </c>
      <c r="U44" s="221"/>
    </row>
    <row r="45" spans="1:21" x14ac:dyDescent="0.35">
      <c r="A45" s="125" t="s">
        <v>97</v>
      </c>
      <c r="B45" s="130" t="s">
        <v>92</v>
      </c>
      <c r="C45" s="130" t="s">
        <v>51</v>
      </c>
      <c r="D45" s="130" t="s">
        <v>61</v>
      </c>
      <c r="E45" s="130" t="s">
        <v>53</v>
      </c>
      <c r="F45" s="130" t="s">
        <v>56</v>
      </c>
      <c r="H45" s="220">
        <f>'Tasas inteligentes'!H45</f>
        <v>0.15252711305920341</v>
      </c>
      <c r="I45" s="220">
        <f>'Tasas inteligentes'!I45</f>
        <v>0.15389462418258582</v>
      </c>
      <c r="J45" s="220">
        <f>'Tasas inteligentes'!J45</f>
        <v>0.15663410959937174</v>
      </c>
      <c r="K45" s="220">
        <f>'Tasas inteligentes'!K45</f>
        <v>0.15663410959937174</v>
      </c>
      <c r="L45" s="220">
        <f>'Tasas inteligentes'!L45</f>
        <v>0.15937955571773355</v>
      </c>
      <c r="M45" s="220">
        <f>'Tasas inteligentes'!M45</f>
        <v>0.16765177626913008</v>
      </c>
      <c r="N45" s="221"/>
      <c r="O45" s="220">
        <f>'Tasas inteligentes'!O45</f>
        <v>0.14707191153891563</v>
      </c>
      <c r="P45" s="220">
        <f>'Tasas inteligentes'!P45</f>
        <v>0.14843348840566883</v>
      </c>
      <c r="Q45" s="220">
        <f>'Tasas inteligentes'!Q45</f>
        <v>0.15116108770013081</v>
      </c>
      <c r="R45" s="220">
        <f>'Tasas inteligentes'!R45</f>
        <v>0.15116108770013081</v>
      </c>
      <c r="S45" s="220">
        <f>'Tasas inteligentes'!S45</f>
        <v>0.15389462418258582</v>
      </c>
      <c r="T45" s="220">
        <f>'Tasas inteligentes'!T45</f>
        <v>0.1621309743258661</v>
      </c>
      <c r="U45" s="221"/>
    </row>
    <row r="46" spans="1:21" x14ac:dyDescent="0.35">
      <c r="A46" s="125" t="s">
        <v>98</v>
      </c>
      <c r="B46" s="130" t="s">
        <v>92</v>
      </c>
      <c r="C46" s="130" t="s">
        <v>51</v>
      </c>
      <c r="D46" s="130" t="s">
        <v>61</v>
      </c>
      <c r="E46" s="130" t="s">
        <v>58</v>
      </c>
      <c r="F46" s="130" t="s">
        <v>54</v>
      </c>
      <c r="H46" s="220">
        <f>'Tasas inteligentes'!H46</f>
        <v>0.15389462418258582</v>
      </c>
      <c r="I46" s="220">
        <f>'Tasas inteligentes'!I46</f>
        <v>0.15526362253922477</v>
      </c>
      <c r="J46" s="220">
        <f>'Tasas inteligentes'!J46</f>
        <v>0.15800608683458517</v>
      </c>
      <c r="K46" s="220">
        <f>'Tasas inteligentes'!K46</f>
        <v>0.15800608683458517</v>
      </c>
      <c r="L46" s="220">
        <f>'Tasas inteligentes'!L46</f>
        <v>0.16075451772299854</v>
      </c>
      <c r="M46" s="220">
        <f>'Tasas inteligentes'!M46</f>
        <v>0.16903572803833167</v>
      </c>
      <c r="N46" s="221"/>
      <c r="O46" s="220">
        <f>'Tasas inteligentes'!O46</f>
        <v>0.14843348840566883</v>
      </c>
      <c r="P46" s="220">
        <f>'Tasas inteligentes'!P46</f>
        <v>0.1497965466377309</v>
      </c>
      <c r="Q46" s="220">
        <f>'Tasas inteligentes'!Q46</f>
        <v>0.15252711305920341</v>
      </c>
      <c r="R46" s="220">
        <f>'Tasas inteligentes'!R46</f>
        <v>0.15252711305920341</v>
      </c>
      <c r="S46" s="220">
        <f>'Tasas inteligentes'!S46</f>
        <v>0.15526362253922477</v>
      </c>
      <c r="T46" s="220">
        <f>'Tasas inteligentes'!T46</f>
        <v>0.16350892700314201</v>
      </c>
      <c r="U46" s="221"/>
    </row>
    <row r="47" spans="1:21" x14ac:dyDescent="0.35">
      <c r="A47" s="125" t="s">
        <v>99</v>
      </c>
      <c r="B47" s="130" t="s">
        <v>92</v>
      </c>
      <c r="C47" s="130" t="s">
        <v>51</v>
      </c>
      <c r="D47" s="130" t="s">
        <v>61</v>
      </c>
      <c r="E47" s="130" t="s">
        <v>58</v>
      </c>
      <c r="F47" s="130" t="s">
        <v>56</v>
      </c>
      <c r="H47" s="220">
        <f>'Tasas inteligentes'!H47</f>
        <v>0.15252711305920341</v>
      </c>
      <c r="I47" s="220">
        <f>'Tasas inteligentes'!I47</f>
        <v>0.15389462418258582</v>
      </c>
      <c r="J47" s="220">
        <f>'Tasas inteligentes'!J47</f>
        <v>0.15663410959937174</v>
      </c>
      <c r="K47" s="220">
        <f>'Tasas inteligentes'!K47</f>
        <v>0.15663410959937174</v>
      </c>
      <c r="L47" s="220">
        <f>'Tasas inteligentes'!L47</f>
        <v>0.15937955571773355</v>
      </c>
      <c r="M47" s="220">
        <f>'Tasas inteligentes'!M47</f>
        <v>0.16765177626913008</v>
      </c>
      <c r="N47" s="221"/>
      <c r="O47" s="220">
        <f>'Tasas inteligentes'!O47</f>
        <v>0.14843348840566883</v>
      </c>
      <c r="P47" s="220">
        <f>'Tasas inteligentes'!P47</f>
        <v>0.1497965466377309</v>
      </c>
      <c r="Q47" s="220">
        <f>'Tasas inteligentes'!Q47</f>
        <v>0.15252711305920341</v>
      </c>
      <c r="R47" s="220">
        <f>'Tasas inteligentes'!R47</f>
        <v>0.15252711305920341</v>
      </c>
      <c r="S47" s="220">
        <f>'Tasas inteligentes'!S47</f>
        <v>0.15526362253922477</v>
      </c>
      <c r="T47" s="220">
        <f>'Tasas inteligentes'!T47</f>
        <v>0.16350892700314201</v>
      </c>
      <c r="U47" s="221"/>
    </row>
    <row r="48" spans="1:21" x14ac:dyDescent="0.35">
      <c r="A48" s="125" t="s">
        <v>100</v>
      </c>
      <c r="B48" s="130" t="s">
        <v>92</v>
      </c>
      <c r="C48" s="130" t="s">
        <v>66</v>
      </c>
      <c r="D48" s="130" t="s">
        <v>52</v>
      </c>
      <c r="E48" s="130" t="s">
        <v>53</v>
      </c>
      <c r="F48" s="130" t="s">
        <v>54</v>
      </c>
      <c r="H48" s="220">
        <f>'Tasas inteligentes'!H48</f>
        <v>0.12950555229212202</v>
      </c>
      <c r="I48" s="220">
        <f>'Tasas inteligentes'!I48</f>
        <v>0.13084800413622433</v>
      </c>
      <c r="J48" s="220">
        <f>'Tasas inteligentes'!J48</f>
        <v>0.1335372965869035</v>
      </c>
      <c r="K48" s="220">
        <f>'Tasas inteligentes'!K48</f>
        <v>0.13488414009111604</v>
      </c>
      <c r="L48" s="220">
        <f>'Tasas inteligentes'!L48</f>
        <v>0.13623245038182419</v>
      </c>
      <c r="M48" s="220">
        <f>'Tasas inteligentes'!M48</f>
        <v>0.15526362253922477</v>
      </c>
      <c r="N48" s="221"/>
      <c r="O48" s="220">
        <f>'Tasas inteligentes'!O48</f>
        <v>0.12816456143923505</v>
      </c>
      <c r="P48" s="220">
        <f>'Tasas inteligentes'!P48</f>
        <v>0.12950555229212202</v>
      </c>
      <c r="Q48" s="220">
        <f>'Tasas inteligentes'!Q48</f>
        <v>0.13219191841842548</v>
      </c>
      <c r="R48" s="220">
        <f>'Tasas inteligentes'!R48</f>
        <v>0.1335372965869035</v>
      </c>
      <c r="S48" s="220">
        <f>'Tasas inteligentes'!S48</f>
        <v>0.13488414009111604</v>
      </c>
      <c r="T48" s="220">
        <f>'Tasas inteligentes'!T48</f>
        <v>0.15526362253922477</v>
      </c>
      <c r="U48" s="221"/>
    </row>
    <row r="49" spans="1:21" x14ac:dyDescent="0.35">
      <c r="A49" s="125" t="s">
        <v>101</v>
      </c>
      <c r="B49" s="130" t="s">
        <v>92</v>
      </c>
      <c r="C49" s="130" t="s">
        <v>66</v>
      </c>
      <c r="D49" s="130" t="s">
        <v>52</v>
      </c>
      <c r="E49" s="130" t="s">
        <v>53</v>
      </c>
      <c r="F49" s="130" t="s">
        <v>56</v>
      </c>
      <c r="H49" s="220">
        <f>'Tasas inteligentes'!H49</f>
        <v>0.12950555229212202</v>
      </c>
      <c r="I49" s="220">
        <f>'Tasas inteligentes'!I49</f>
        <v>0.13084800413622433</v>
      </c>
      <c r="J49" s="220">
        <f>'Tasas inteligentes'!J49</f>
        <v>0.1335372965869035</v>
      </c>
      <c r="K49" s="220">
        <f>'Tasas inteligentes'!K49</f>
        <v>0.13488414009111604</v>
      </c>
      <c r="L49" s="220">
        <f>'Tasas inteligentes'!L49</f>
        <v>0.13623245038182419</v>
      </c>
      <c r="M49" s="220">
        <f>'Tasas inteligentes'!M49</f>
        <v>0.15526362253922477</v>
      </c>
      <c r="N49" s="221"/>
      <c r="O49" s="220">
        <f>'Tasas inteligentes'!O49</f>
        <v>0.12816456143923505</v>
      </c>
      <c r="P49" s="220">
        <f>'Tasas inteligentes'!P49</f>
        <v>0.12950555229212202</v>
      </c>
      <c r="Q49" s="220">
        <f>'Tasas inteligentes'!Q49</f>
        <v>0.13219191841842548</v>
      </c>
      <c r="R49" s="220">
        <f>'Tasas inteligentes'!R49</f>
        <v>0.1335372965869035</v>
      </c>
      <c r="S49" s="220">
        <f>'Tasas inteligentes'!S49</f>
        <v>0.13488414009111604</v>
      </c>
      <c r="T49" s="220">
        <f>'Tasas inteligentes'!T49</f>
        <v>0.15526362253922477</v>
      </c>
      <c r="U49" s="221"/>
    </row>
    <row r="50" spans="1:21" x14ac:dyDescent="0.35">
      <c r="A50" s="125" t="s">
        <v>102</v>
      </c>
      <c r="B50" s="130" t="s">
        <v>92</v>
      </c>
      <c r="C50" s="130" t="s">
        <v>66</v>
      </c>
      <c r="D50" s="130" t="s">
        <v>52</v>
      </c>
      <c r="E50" s="130" t="s">
        <v>58</v>
      </c>
      <c r="F50" s="130" t="s">
        <v>54</v>
      </c>
      <c r="H50" s="220">
        <f>'Tasas inteligentes'!H50</f>
        <v>0.1335372965869035</v>
      </c>
      <c r="I50" s="220">
        <f>'Tasas inteligentes'!I50</f>
        <v>0.13488414009111604</v>
      </c>
      <c r="J50" s="220">
        <f>'Tasas inteligentes'!J50</f>
        <v>0.1375822289110713</v>
      </c>
      <c r="K50" s="220">
        <f>'Tasas inteligentes'!K50</f>
        <v>0.1375822289110713</v>
      </c>
      <c r="L50" s="220">
        <f>'Tasas inteligentes'!L50</f>
        <v>0.14028619649985408</v>
      </c>
      <c r="M50" s="220">
        <f>'Tasas inteligentes'!M50</f>
        <v>0.15526362253922477</v>
      </c>
      <c r="N50" s="221"/>
      <c r="O50" s="220">
        <f>'Tasas inteligentes'!O50</f>
        <v>0.13084800413622433</v>
      </c>
      <c r="P50" s="220">
        <f>'Tasas inteligentes'!P50</f>
        <v>0.13219191841842548</v>
      </c>
      <c r="Q50" s="220">
        <f>'Tasas inteligentes'!Q50</f>
        <v>0.13488414009111604</v>
      </c>
      <c r="R50" s="220">
        <f>'Tasas inteligentes'!R50</f>
        <v>0.13488414009111604</v>
      </c>
      <c r="S50" s="220">
        <f>'Tasas inteligentes'!S50</f>
        <v>0.1375822289110713</v>
      </c>
      <c r="T50" s="220">
        <f>'Tasas inteligentes'!T50</f>
        <v>0.15526362253922477</v>
      </c>
      <c r="U50" s="221"/>
    </row>
    <row r="51" spans="1:21" x14ac:dyDescent="0.35">
      <c r="A51" s="125" t="s">
        <v>103</v>
      </c>
      <c r="B51" s="130" t="s">
        <v>92</v>
      </c>
      <c r="C51" s="130" t="s">
        <v>66</v>
      </c>
      <c r="D51" s="130" t="s">
        <v>52</v>
      </c>
      <c r="E51" s="130" t="s">
        <v>58</v>
      </c>
      <c r="F51" s="130" t="s">
        <v>56</v>
      </c>
      <c r="H51" s="220">
        <f>'Tasas inteligentes'!H51</f>
        <v>0.13219191841842548</v>
      </c>
      <c r="I51" s="220">
        <f>'Tasas inteligentes'!I51</f>
        <v>0.1335372965869035</v>
      </c>
      <c r="J51" s="220">
        <f>'Tasas inteligentes'!J51</f>
        <v>0.13623245038182419</v>
      </c>
      <c r="K51" s="220">
        <f>'Tasas inteligentes'!K51</f>
        <v>0.13623245038182419</v>
      </c>
      <c r="L51" s="220">
        <f>'Tasas inteligentes'!L51</f>
        <v>0.13893347713220328</v>
      </c>
      <c r="M51" s="220">
        <f>'Tasas inteligentes'!M51</f>
        <v>0.15526362253922477</v>
      </c>
      <c r="N51" s="221"/>
      <c r="O51" s="220">
        <f>'Tasas inteligentes'!O51</f>
        <v>0.13084800413622433</v>
      </c>
      <c r="P51" s="220">
        <f>'Tasas inteligentes'!P51</f>
        <v>0.13219191841842548</v>
      </c>
      <c r="Q51" s="220">
        <f>'Tasas inteligentes'!Q51</f>
        <v>0.13488414009111604</v>
      </c>
      <c r="R51" s="220">
        <f>'Tasas inteligentes'!R51</f>
        <v>0.13488414009111604</v>
      </c>
      <c r="S51" s="220">
        <f>'Tasas inteligentes'!S51</f>
        <v>0.1375822289110713</v>
      </c>
      <c r="T51" s="220">
        <f>'Tasas inteligentes'!T51</f>
        <v>0.15526362253922477</v>
      </c>
      <c r="U51" s="221"/>
    </row>
    <row r="52" spans="1:21" x14ac:dyDescent="0.35">
      <c r="A52" s="125" t="s">
        <v>104</v>
      </c>
      <c r="B52" s="130" t="s">
        <v>92</v>
      </c>
      <c r="C52" s="130" t="s">
        <v>66</v>
      </c>
      <c r="D52" s="130" t="s">
        <v>61</v>
      </c>
      <c r="E52" s="130" t="s">
        <v>53</v>
      </c>
      <c r="F52" s="130" t="s">
        <v>54</v>
      </c>
      <c r="H52" s="220">
        <f>'Tasas inteligentes'!H52</f>
        <v>0.14028619649985408</v>
      </c>
      <c r="I52" s="220">
        <f>'Tasas inteligentes'!I52</f>
        <v>0.14164038846995752</v>
      </c>
      <c r="J52" s="220">
        <f>'Tasas inteligentes'!J52</f>
        <v>0.1443531960477249</v>
      </c>
      <c r="K52" s="220">
        <f>'Tasas inteligentes'!K52</f>
        <v>0.1443531960477249</v>
      </c>
      <c r="L52" s="220">
        <f>'Tasas inteligentes'!L52</f>
        <v>0.14707191153891563</v>
      </c>
      <c r="M52" s="220">
        <f>'Tasas inteligentes'!M52</f>
        <v>0.15526362253922477</v>
      </c>
      <c r="N52" s="221"/>
      <c r="O52" s="220">
        <f>'Tasas inteligentes'!O52</f>
        <v>0.1335372965869035</v>
      </c>
      <c r="P52" s="220">
        <f>'Tasas inteligentes'!P52</f>
        <v>0.13488414009111604</v>
      </c>
      <c r="Q52" s="220">
        <f>'Tasas inteligentes'!Q52</f>
        <v>0.1375822289110713</v>
      </c>
      <c r="R52" s="220">
        <f>'Tasas inteligentes'!R52</f>
        <v>0.1375822289110713</v>
      </c>
      <c r="S52" s="220">
        <f>'Tasas inteligentes'!S52</f>
        <v>0.14028619649985408</v>
      </c>
      <c r="T52" s="220">
        <f>'Tasas inteligentes'!T52</f>
        <v>0.15526362253922477</v>
      </c>
      <c r="U52" s="221"/>
    </row>
    <row r="53" spans="1:21" x14ac:dyDescent="0.35">
      <c r="A53" s="125" t="s">
        <v>105</v>
      </c>
      <c r="B53" s="130" t="s">
        <v>92</v>
      </c>
      <c r="C53" s="130" t="s">
        <v>66</v>
      </c>
      <c r="D53" s="130" t="s">
        <v>61</v>
      </c>
      <c r="E53" s="130" t="s">
        <v>53</v>
      </c>
      <c r="F53" s="130" t="s">
        <v>56</v>
      </c>
      <c r="H53" s="220">
        <f>'Tasas inteligentes'!H53</f>
        <v>0.14028619649985408</v>
      </c>
      <c r="I53" s="220">
        <f>'Tasas inteligentes'!I53</f>
        <v>0.14164038846995752</v>
      </c>
      <c r="J53" s="220">
        <f>'Tasas inteligentes'!J53</f>
        <v>0.1443531960477249</v>
      </c>
      <c r="K53" s="220">
        <f>'Tasas inteligentes'!K53</f>
        <v>0.1443531960477249</v>
      </c>
      <c r="L53" s="220">
        <f>'Tasas inteligentes'!L53</f>
        <v>0.14707191153891563</v>
      </c>
      <c r="M53" s="220">
        <f>'Tasas inteligentes'!M53</f>
        <v>0.15526362253922477</v>
      </c>
      <c r="N53" s="221"/>
      <c r="O53" s="220">
        <f>'Tasas inteligentes'!O53</f>
        <v>0.1335372965869035</v>
      </c>
      <c r="P53" s="220">
        <f>'Tasas inteligentes'!P53</f>
        <v>0.13488414009111604</v>
      </c>
      <c r="Q53" s="220">
        <f>'Tasas inteligentes'!Q53</f>
        <v>0.1375822289110713</v>
      </c>
      <c r="R53" s="220">
        <f>'Tasas inteligentes'!R53</f>
        <v>0.1375822289110713</v>
      </c>
      <c r="S53" s="220">
        <f>'Tasas inteligentes'!S53</f>
        <v>0.14028619649985408</v>
      </c>
      <c r="T53" s="220">
        <f>'Tasas inteligentes'!T53</f>
        <v>0.15526362253922477</v>
      </c>
      <c r="U53" s="221"/>
    </row>
    <row r="54" spans="1:21" x14ac:dyDescent="0.35">
      <c r="A54" s="125" t="s">
        <v>106</v>
      </c>
      <c r="B54" s="130" t="s">
        <v>92</v>
      </c>
      <c r="C54" s="130" t="s">
        <v>66</v>
      </c>
      <c r="D54" s="130" t="s">
        <v>61</v>
      </c>
      <c r="E54" s="130" t="s">
        <v>58</v>
      </c>
      <c r="F54" s="130" t="s">
        <v>54</v>
      </c>
      <c r="H54" s="220">
        <f>'Tasas inteligentes'!H54</f>
        <v>0.14299605449973818</v>
      </c>
      <c r="I54" s="220">
        <f>'Tasas inteligentes'!I54</f>
        <v>0.1443531960477249</v>
      </c>
      <c r="J54" s="220">
        <f>'Tasas inteligentes'!J54</f>
        <v>0.14707191153891563</v>
      </c>
      <c r="K54" s="220">
        <f>'Tasas inteligentes'!K54</f>
        <v>0.14707191153891563</v>
      </c>
      <c r="L54" s="220">
        <f>'Tasas inteligentes'!L54</f>
        <v>0.1497965466377309</v>
      </c>
      <c r="M54" s="220">
        <f>'Tasas inteligentes'!M54</f>
        <v>0.15526362253922477</v>
      </c>
      <c r="N54" s="221"/>
      <c r="O54" s="220">
        <f>'Tasas inteligentes'!O54</f>
        <v>0.13623245038182419</v>
      </c>
      <c r="P54" s="220">
        <f>'Tasas inteligentes'!P54</f>
        <v>0.1375822289110713</v>
      </c>
      <c r="Q54" s="220">
        <f>'Tasas inteligentes'!Q54</f>
        <v>0.14028619649985408</v>
      </c>
      <c r="R54" s="220">
        <f>'Tasas inteligentes'!R54</f>
        <v>0.14028619649985408</v>
      </c>
      <c r="S54" s="220">
        <f>'Tasas inteligentes'!S54</f>
        <v>0.14299605449973818</v>
      </c>
      <c r="T54" s="220">
        <f>'Tasas inteligentes'!T54</f>
        <v>0.15526362253922477</v>
      </c>
      <c r="U54" s="221"/>
    </row>
    <row r="55" spans="1:21" x14ac:dyDescent="0.35">
      <c r="A55" s="125" t="s">
        <v>107</v>
      </c>
      <c r="B55" s="130" t="s">
        <v>92</v>
      </c>
      <c r="C55" s="130" t="s">
        <v>66</v>
      </c>
      <c r="D55" s="130" t="s">
        <v>61</v>
      </c>
      <c r="E55" s="130" t="s">
        <v>58</v>
      </c>
      <c r="F55" s="130" t="s">
        <v>56</v>
      </c>
      <c r="H55" s="220">
        <f>'Tasas inteligentes'!H55</f>
        <v>0.14164038846995752</v>
      </c>
      <c r="I55" s="220">
        <f>'Tasas inteligentes'!I55</f>
        <v>0.14299605449973818</v>
      </c>
      <c r="J55" s="220">
        <f>'Tasas inteligentes'!J55</f>
        <v>0.14571181457374238</v>
      </c>
      <c r="K55" s="220">
        <f>'Tasas inteligentes'!K55</f>
        <v>0.14571181457374238</v>
      </c>
      <c r="L55" s="220">
        <f>'Tasas inteligentes'!L55</f>
        <v>0.14843348840566883</v>
      </c>
      <c r="M55" s="220">
        <f>'Tasas inteligentes'!M55</f>
        <v>0.15526362253922477</v>
      </c>
      <c r="N55" s="221"/>
      <c r="O55" s="220">
        <f>'Tasas inteligentes'!O55</f>
        <v>0.13623245038182419</v>
      </c>
      <c r="P55" s="220">
        <f>'Tasas inteligentes'!P55</f>
        <v>0.1375822289110713</v>
      </c>
      <c r="Q55" s="220">
        <f>'Tasas inteligentes'!Q55</f>
        <v>0.14028619649985408</v>
      </c>
      <c r="R55" s="220">
        <f>'Tasas inteligentes'!R55</f>
        <v>0.14028619649985408</v>
      </c>
      <c r="S55" s="220">
        <f>'Tasas inteligentes'!S55</f>
        <v>0.14299605449973818</v>
      </c>
      <c r="T55" s="220">
        <f>'Tasas inteligentes'!T55</f>
        <v>0.15526362253922477</v>
      </c>
      <c r="U55" s="221"/>
    </row>
    <row r="56" spans="1:21" x14ac:dyDescent="0.35">
      <c r="H56" s="131"/>
      <c r="I56" s="131"/>
      <c r="J56" s="131"/>
      <c r="K56" s="131"/>
      <c r="L56" s="131"/>
      <c r="M56" s="131"/>
      <c r="N56" s="131"/>
      <c r="O56" s="131"/>
      <c r="P56" s="131"/>
      <c r="Q56" s="131"/>
      <c r="R56" s="131"/>
      <c r="S56" s="131"/>
      <c r="T56" s="131"/>
      <c r="U56" s="131"/>
    </row>
    <row r="57" spans="1:21" x14ac:dyDescent="0.35">
      <c r="H57" s="131"/>
      <c r="I57" s="131"/>
      <c r="J57" s="131"/>
      <c r="K57" s="131"/>
      <c r="L57" s="131"/>
      <c r="M57" s="131"/>
      <c r="N57" s="131"/>
      <c r="O57" s="131"/>
      <c r="P57" s="131"/>
      <c r="Q57" s="131"/>
      <c r="R57" s="131"/>
      <c r="S57" s="131"/>
      <c r="T57" s="131"/>
      <c r="U57" s="131"/>
    </row>
  </sheetData>
  <sheetProtection algorithmName="SHA-512" hashValue="4W0Ft0J8qeX8hTzhE/9OSi8+2Tx7Fn4DKcyTRHyZ/q6D8Iyq6oorkSgzTkE+d8Xvu5K7ycOJpL1xlfCISrV1YA==" saltValue="LbWuVNrzZfNOj4GVThaAfw==" spinCount="100000" sheet="1" objects="1" scenarios="1"/>
  <mergeCells count="2">
    <mergeCell ref="H6:M6"/>
    <mergeCell ref="O6:T6"/>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9CA16-0FDA-42BC-8391-7D81D24BECCA}">
  <sheetPr codeName="Hoja11"/>
  <dimension ref="A2:O57"/>
  <sheetViews>
    <sheetView showGridLines="0" zoomScale="55" zoomScaleNormal="55" workbookViewId="0">
      <selection activeCell="I28" sqref="I28"/>
    </sheetView>
  </sheetViews>
  <sheetFormatPr baseColWidth="10" defaultColWidth="11.453125" defaultRowHeight="14.5" x14ac:dyDescent="0.35"/>
  <cols>
    <col min="1" max="1" width="10.26953125" style="125" customWidth="1"/>
    <col min="2" max="5" width="11.453125" style="2"/>
    <col min="6" max="6" width="21.453125" style="2" bestFit="1" customWidth="1"/>
    <col min="7" max="8" width="2.453125" style="2" customWidth="1"/>
    <col min="9" max="14" width="11.453125" style="2"/>
    <col min="15" max="15" width="2.453125" style="2" customWidth="1"/>
    <col min="16" max="16384" width="11.453125" style="2"/>
  </cols>
  <sheetData>
    <row r="2" spans="1:15" x14ac:dyDescent="0.35">
      <c r="A2" s="125" t="e">
        <f>LHF!B5&amp;LHF!F14</f>
        <v>#N/A</v>
      </c>
    </row>
    <row r="3" spans="1:15" x14ac:dyDescent="0.35">
      <c r="A3" s="125" t="str">
        <f>LHF!D24&amp;LHF!D14&amp;LHF!D11&amp;LHF!F20&amp;LHF!D22</f>
        <v>&lt;789Asalariado y Pensionado</v>
      </c>
    </row>
    <row r="5" spans="1:15" x14ac:dyDescent="0.35">
      <c r="I5" s="2" t="s">
        <v>6</v>
      </c>
      <c r="J5" s="2" t="s">
        <v>7</v>
      </c>
      <c r="K5" s="2" t="s">
        <v>8</v>
      </c>
      <c r="L5" s="2" t="s">
        <v>9</v>
      </c>
      <c r="M5" s="2" t="s">
        <v>10</v>
      </c>
      <c r="N5" s="2" t="s">
        <v>11</v>
      </c>
    </row>
    <row r="6" spans="1:15" ht="18.5" x14ac:dyDescent="0.45">
      <c r="B6" s="126" t="s">
        <v>30</v>
      </c>
      <c r="I6" s="463" t="s">
        <v>32</v>
      </c>
      <c r="J6" s="463"/>
      <c r="K6" s="463"/>
      <c r="L6" s="463"/>
      <c r="M6" s="463"/>
      <c r="N6" s="463"/>
    </row>
    <row r="7" spans="1:15" ht="29" x14ac:dyDescent="0.35">
      <c r="B7" s="127" t="s">
        <v>37</v>
      </c>
      <c r="C7" s="127" t="s">
        <v>38</v>
      </c>
      <c r="D7" s="127" t="s">
        <v>39</v>
      </c>
      <c r="E7" s="127" t="s">
        <v>40</v>
      </c>
      <c r="F7" s="127" t="s">
        <v>41</v>
      </c>
      <c r="G7" s="128"/>
      <c r="H7" s="129"/>
      <c r="I7" s="127" t="s">
        <v>42</v>
      </c>
      <c r="J7" s="127" t="s">
        <v>43</v>
      </c>
      <c r="K7" s="127" t="s">
        <v>44</v>
      </c>
      <c r="L7" s="127" t="s">
        <v>45</v>
      </c>
      <c r="M7" s="127" t="s">
        <v>46</v>
      </c>
      <c r="N7" s="127" t="s">
        <v>47</v>
      </c>
      <c r="O7" s="129"/>
    </row>
    <row r="8" spans="1:15" x14ac:dyDescent="0.35">
      <c r="A8" s="125" t="s">
        <v>49</v>
      </c>
      <c r="B8" s="130" t="s">
        <v>50</v>
      </c>
      <c r="C8" s="130" t="s">
        <v>51</v>
      </c>
      <c r="D8" s="130" t="s">
        <v>52</v>
      </c>
      <c r="E8" s="130" t="s">
        <v>53</v>
      </c>
      <c r="F8" s="130" t="s">
        <v>54</v>
      </c>
      <c r="H8" s="221"/>
      <c r="I8" s="220">
        <f>'Tasas inteligentes'!O8</f>
        <v>0.14707191153891563</v>
      </c>
      <c r="J8" s="220">
        <f>'Tasas inteligentes'!P8</f>
        <v>0.14843348840566883</v>
      </c>
      <c r="K8" s="220">
        <f>'Tasas inteligentes'!Q8</f>
        <v>0.1497965466377309</v>
      </c>
      <c r="L8" s="220">
        <f>'Tasas inteligentes'!R8</f>
        <v>0.15116108770013081</v>
      </c>
      <c r="M8" s="220">
        <f>'Tasas inteligentes'!S8</f>
        <v>0.15526362253922477</v>
      </c>
      <c r="N8" s="220">
        <f>'Tasas inteligentes'!T8</f>
        <v>0.15937955571773355</v>
      </c>
      <c r="O8" s="221"/>
    </row>
    <row r="9" spans="1:15" x14ac:dyDescent="0.35">
      <c r="A9" s="125" t="s">
        <v>55</v>
      </c>
      <c r="B9" s="130" t="s">
        <v>50</v>
      </c>
      <c r="C9" s="130" t="s">
        <v>51</v>
      </c>
      <c r="D9" s="130" t="s">
        <v>52</v>
      </c>
      <c r="E9" s="130" t="s">
        <v>53</v>
      </c>
      <c r="F9" s="130" t="s">
        <v>56</v>
      </c>
      <c r="H9" s="221"/>
      <c r="I9" s="220">
        <f>'Tasas inteligentes'!O9</f>
        <v>0.14707191153891563</v>
      </c>
      <c r="J9" s="220">
        <f>'Tasas inteligentes'!P9</f>
        <v>0.14843348840566883</v>
      </c>
      <c r="K9" s="220">
        <f>'Tasas inteligentes'!Q9</f>
        <v>0.1497965466377309</v>
      </c>
      <c r="L9" s="220">
        <f>'Tasas inteligentes'!R9</f>
        <v>0.15116108770013081</v>
      </c>
      <c r="M9" s="220">
        <f>'Tasas inteligentes'!S9</f>
        <v>0.15526362253922477</v>
      </c>
      <c r="N9" s="220">
        <f>'Tasas inteligentes'!T9</f>
        <v>0.15937955571773355</v>
      </c>
      <c r="O9" s="221"/>
    </row>
    <row r="10" spans="1:15" x14ac:dyDescent="0.35">
      <c r="A10" s="125" t="s">
        <v>57</v>
      </c>
      <c r="B10" s="130" t="s">
        <v>50</v>
      </c>
      <c r="C10" s="130" t="s">
        <v>51</v>
      </c>
      <c r="D10" s="130" t="s">
        <v>52</v>
      </c>
      <c r="E10" s="130" t="s">
        <v>58</v>
      </c>
      <c r="F10" s="130" t="s">
        <v>54</v>
      </c>
      <c r="H10" s="221"/>
      <c r="I10" s="220">
        <f>'Tasas inteligentes'!O10</f>
        <v>0.14707191153891563</v>
      </c>
      <c r="J10" s="220">
        <f>'Tasas inteligentes'!P10</f>
        <v>0.14843348840566883</v>
      </c>
      <c r="K10" s="220">
        <f>'Tasas inteligentes'!Q10</f>
        <v>0.1497965466377309</v>
      </c>
      <c r="L10" s="220">
        <f>'Tasas inteligentes'!R10</f>
        <v>0.15116108770013081</v>
      </c>
      <c r="M10" s="220">
        <f>'Tasas inteligentes'!S10</f>
        <v>0.15526362253922477</v>
      </c>
      <c r="N10" s="220">
        <f>'Tasas inteligentes'!T10</f>
        <v>0.15937955571773355</v>
      </c>
      <c r="O10" s="221"/>
    </row>
    <row r="11" spans="1:15" x14ac:dyDescent="0.35">
      <c r="A11" s="125" t="s">
        <v>59</v>
      </c>
      <c r="B11" s="130" t="s">
        <v>50</v>
      </c>
      <c r="C11" s="130" t="s">
        <v>51</v>
      </c>
      <c r="D11" s="130" t="s">
        <v>52</v>
      </c>
      <c r="E11" s="130" t="s">
        <v>58</v>
      </c>
      <c r="F11" s="130" t="s">
        <v>56</v>
      </c>
      <c r="H11" s="221"/>
      <c r="I11" s="220">
        <f>'Tasas inteligentes'!O11</f>
        <v>0.14707191153891563</v>
      </c>
      <c r="J11" s="220">
        <f>'Tasas inteligentes'!P11</f>
        <v>0.14843348840566883</v>
      </c>
      <c r="K11" s="220">
        <f>'Tasas inteligentes'!Q11</f>
        <v>0.1497965466377309</v>
      </c>
      <c r="L11" s="220">
        <f>'Tasas inteligentes'!R11</f>
        <v>0.15116108770013081</v>
      </c>
      <c r="M11" s="220">
        <f>'Tasas inteligentes'!S11</f>
        <v>0.15526362253922477</v>
      </c>
      <c r="N11" s="220">
        <f>'Tasas inteligentes'!T11</f>
        <v>0.15937955571773355</v>
      </c>
      <c r="O11" s="221"/>
    </row>
    <row r="12" spans="1:15" x14ac:dyDescent="0.35">
      <c r="A12" s="125" t="s">
        <v>60</v>
      </c>
      <c r="B12" s="130" t="s">
        <v>50</v>
      </c>
      <c r="C12" s="130" t="s">
        <v>51</v>
      </c>
      <c r="D12" s="130" t="s">
        <v>61</v>
      </c>
      <c r="E12" s="130" t="s">
        <v>53</v>
      </c>
      <c r="F12" s="130" t="s">
        <v>54</v>
      </c>
      <c r="H12" s="221"/>
      <c r="I12" s="220">
        <f>'Tasas inteligentes'!O12</f>
        <v>0.15389462418258582</v>
      </c>
      <c r="J12" s="220">
        <f>'Tasas inteligentes'!P12</f>
        <v>0.15526362253922477</v>
      </c>
      <c r="K12" s="220">
        <f>'Tasas inteligentes'!Q12</f>
        <v>0.15663410959937174</v>
      </c>
      <c r="L12" s="220">
        <f>'Tasas inteligentes'!R12</f>
        <v>0.15800608683458517</v>
      </c>
      <c r="M12" s="220">
        <f>'Tasas inteligentes'!S12</f>
        <v>0.16350892700314201</v>
      </c>
      <c r="N12" s="220">
        <f>'Tasas inteligentes'!T12</f>
        <v>0.16765177626913008</v>
      </c>
      <c r="O12" s="221"/>
    </row>
    <row r="13" spans="1:15" x14ac:dyDescent="0.35">
      <c r="A13" s="125" t="s">
        <v>62</v>
      </c>
      <c r="B13" s="130" t="s">
        <v>50</v>
      </c>
      <c r="C13" s="130" t="s">
        <v>51</v>
      </c>
      <c r="D13" s="130" t="s">
        <v>61</v>
      </c>
      <c r="E13" s="130" t="s">
        <v>53</v>
      </c>
      <c r="F13" s="130" t="s">
        <v>56</v>
      </c>
      <c r="H13" s="221"/>
      <c r="I13" s="220">
        <f>'Tasas inteligentes'!O13</f>
        <v>0.15389462418258582</v>
      </c>
      <c r="J13" s="220">
        <f>'Tasas inteligentes'!P13</f>
        <v>0.15526362253922477</v>
      </c>
      <c r="K13" s="220">
        <f>'Tasas inteligentes'!Q13</f>
        <v>0.15663410959937174</v>
      </c>
      <c r="L13" s="220">
        <f>'Tasas inteligentes'!R13</f>
        <v>0.15800608683458517</v>
      </c>
      <c r="M13" s="220">
        <f>'Tasas inteligentes'!S13</f>
        <v>0.16350892700314201</v>
      </c>
      <c r="N13" s="220">
        <f>'Tasas inteligentes'!T13</f>
        <v>0.16765177626913008</v>
      </c>
      <c r="O13" s="221"/>
    </row>
    <row r="14" spans="1:15" x14ac:dyDescent="0.35">
      <c r="A14" s="125" t="s">
        <v>63</v>
      </c>
      <c r="B14" s="130" t="s">
        <v>50</v>
      </c>
      <c r="C14" s="130" t="s">
        <v>51</v>
      </c>
      <c r="D14" s="130" t="s">
        <v>61</v>
      </c>
      <c r="E14" s="130" t="s">
        <v>58</v>
      </c>
      <c r="F14" s="130" t="s">
        <v>54</v>
      </c>
      <c r="H14" s="221"/>
      <c r="I14" s="220">
        <f>'Tasas inteligentes'!O14</f>
        <v>0.15526362253922477</v>
      </c>
      <c r="J14" s="220">
        <f>'Tasas inteligentes'!P14</f>
        <v>0.15663410959937174</v>
      </c>
      <c r="K14" s="220">
        <f>'Tasas inteligentes'!Q14</f>
        <v>0.15800608683458517</v>
      </c>
      <c r="L14" s="220">
        <f>'Tasas inteligentes'!R14</f>
        <v>0.15937955571773355</v>
      </c>
      <c r="M14" s="220">
        <f>'Tasas inteligentes'!S14</f>
        <v>0.16488837723293726</v>
      </c>
      <c r="N14" s="220">
        <f>'Tasas inteligentes'!T14</f>
        <v>0.16903572803833167</v>
      </c>
      <c r="O14" s="221"/>
    </row>
    <row r="15" spans="1:15" x14ac:dyDescent="0.35">
      <c r="A15" s="125" t="s">
        <v>64</v>
      </c>
      <c r="B15" s="130" t="s">
        <v>50</v>
      </c>
      <c r="C15" s="130" t="s">
        <v>51</v>
      </c>
      <c r="D15" s="130" t="s">
        <v>61</v>
      </c>
      <c r="E15" s="130" t="s">
        <v>58</v>
      </c>
      <c r="F15" s="130" t="s">
        <v>56</v>
      </c>
      <c r="H15" s="221"/>
      <c r="I15" s="220">
        <f>'Tasas inteligentes'!O15</f>
        <v>0.15526362253922477</v>
      </c>
      <c r="J15" s="220">
        <f>'Tasas inteligentes'!P15</f>
        <v>0.15663410959937174</v>
      </c>
      <c r="K15" s="220">
        <f>'Tasas inteligentes'!Q15</f>
        <v>0.15800608683458517</v>
      </c>
      <c r="L15" s="220">
        <f>'Tasas inteligentes'!R15</f>
        <v>0.15937955571773355</v>
      </c>
      <c r="M15" s="220">
        <f>'Tasas inteligentes'!S15</f>
        <v>0.16488837723293726</v>
      </c>
      <c r="N15" s="220">
        <f>'Tasas inteligentes'!T15</f>
        <v>0.16903572803833167</v>
      </c>
      <c r="O15" s="221"/>
    </row>
    <row r="16" spans="1:15" x14ac:dyDescent="0.35">
      <c r="A16" s="125" t="s">
        <v>65</v>
      </c>
      <c r="B16" s="130" t="s">
        <v>50</v>
      </c>
      <c r="C16" s="130" t="s">
        <v>66</v>
      </c>
      <c r="D16" s="130" t="s">
        <v>52</v>
      </c>
      <c r="E16" s="130" t="s">
        <v>53</v>
      </c>
      <c r="F16" s="130" t="s">
        <v>54</v>
      </c>
      <c r="H16" s="221"/>
      <c r="I16" s="220">
        <f>'Tasas inteligentes'!O16</f>
        <v>0.1375822289110713</v>
      </c>
      <c r="J16" s="220">
        <f>'Tasas inteligentes'!P16</f>
        <v>0.13893347713220328</v>
      </c>
      <c r="K16" s="220">
        <f>'Tasas inteligentes'!Q16</f>
        <v>0.14028619649985408</v>
      </c>
      <c r="L16" s="220">
        <f>'Tasas inteligentes'!R16</f>
        <v>0.14164038846995752</v>
      </c>
      <c r="M16" s="220">
        <f>'Tasas inteligentes'!S16</f>
        <v>0.14571181457374238</v>
      </c>
      <c r="N16" s="220">
        <f>'Tasas inteligentes'!T16</f>
        <v>0.15526362253922477</v>
      </c>
      <c r="O16" s="221"/>
    </row>
    <row r="17" spans="1:15" x14ac:dyDescent="0.35">
      <c r="A17" s="125" t="s">
        <v>67</v>
      </c>
      <c r="B17" s="130" t="s">
        <v>50</v>
      </c>
      <c r="C17" s="130" t="s">
        <v>66</v>
      </c>
      <c r="D17" s="130" t="s">
        <v>52</v>
      </c>
      <c r="E17" s="130" t="s">
        <v>53</v>
      </c>
      <c r="F17" s="130" t="s">
        <v>56</v>
      </c>
      <c r="H17" s="221"/>
      <c r="I17" s="220">
        <f>'Tasas inteligentes'!O17</f>
        <v>0.13623245038182419</v>
      </c>
      <c r="J17" s="220">
        <f>'Tasas inteligentes'!P17</f>
        <v>0.1375822289110713</v>
      </c>
      <c r="K17" s="220">
        <f>'Tasas inteligentes'!Q17</f>
        <v>0.13893347713220328</v>
      </c>
      <c r="L17" s="220">
        <f>'Tasas inteligentes'!R17</f>
        <v>0.14028619649985408</v>
      </c>
      <c r="M17" s="220">
        <f>'Tasas inteligentes'!S17</f>
        <v>0.1443531960477249</v>
      </c>
      <c r="N17" s="220">
        <f>'Tasas inteligentes'!T17</f>
        <v>0.15526362253922477</v>
      </c>
      <c r="O17" s="221"/>
    </row>
    <row r="18" spans="1:15" x14ac:dyDescent="0.35">
      <c r="A18" s="125" t="s">
        <v>68</v>
      </c>
      <c r="B18" s="130" t="s">
        <v>50</v>
      </c>
      <c r="C18" s="130" t="s">
        <v>66</v>
      </c>
      <c r="D18" s="130" t="s">
        <v>52</v>
      </c>
      <c r="E18" s="130" t="s">
        <v>58</v>
      </c>
      <c r="F18" s="130" t="s">
        <v>54</v>
      </c>
      <c r="H18" s="221"/>
      <c r="I18" s="220">
        <f>'Tasas inteligentes'!O18</f>
        <v>0.14028619649985408</v>
      </c>
      <c r="J18" s="220">
        <f>'Tasas inteligentes'!P18</f>
        <v>0.14164038846995752</v>
      </c>
      <c r="K18" s="220">
        <f>'Tasas inteligentes'!Q18</f>
        <v>0.14299605449973818</v>
      </c>
      <c r="L18" s="220">
        <f>'Tasas inteligentes'!R18</f>
        <v>0.1443531960477249</v>
      </c>
      <c r="M18" s="220">
        <f>'Tasas inteligentes'!S18</f>
        <v>0.14843348840566883</v>
      </c>
      <c r="N18" s="220">
        <f>'Tasas inteligentes'!T18</f>
        <v>0.15526362253922477</v>
      </c>
      <c r="O18" s="221"/>
    </row>
    <row r="19" spans="1:15" x14ac:dyDescent="0.35">
      <c r="A19" s="125" t="s">
        <v>69</v>
      </c>
      <c r="B19" s="130" t="s">
        <v>50</v>
      </c>
      <c r="C19" s="130" t="s">
        <v>66</v>
      </c>
      <c r="D19" s="130" t="s">
        <v>52</v>
      </c>
      <c r="E19" s="130" t="s">
        <v>58</v>
      </c>
      <c r="F19" s="130" t="s">
        <v>56</v>
      </c>
      <c r="H19" s="221"/>
      <c r="I19" s="220">
        <f>'Tasas inteligentes'!O19</f>
        <v>0.14028619649985408</v>
      </c>
      <c r="J19" s="220">
        <f>'Tasas inteligentes'!P19</f>
        <v>0.14164038846995752</v>
      </c>
      <c r="K19" s="220">
        <f>'Tasas inteligentes'!Q19</f>
        <v>0.14299605449973818</v>
      </c>
      <c r="L19" s="220">
        <f>'Tasas inteligentes'!R19</f>
        <v>0.1443531960477249</v>
      </c>
      <c r="M19" s="220">
        <f>'Tasas inteligentes'!S19</f>
        <v>0.14843348840566883</v>
      </c>
      <c r="N19" s="220">
        <f>'Tasas inteligentes'!T19</f>
        <v>0.15526362253922477</v>
      </c>
      <c r="O19" s="221"/>
    </row>
    <row r="20" spans="1:15" x14ac:dyDescent="0.35">
      <c r="A20" s="125" t="s">
        <v>70</v>
      </c>
      <c r="B20" s="130" t="s">
        <v>50</v>
      </c>
      <c r="C20" s="130" t="s">
        <v>66</v>
      </c>
      <c r="D20" s="130" t="s">
        <v>61</v>
      </c>
      <c r="E20" s="130" t="s">
        <v>53</v>
      </c>
      <c r="F20" s="130" t="s">
        <v>54</v>
      </c>
      <c r="H20" s="221"/>
      <c r="I20" s="220">
        <f>'Tasas inteligentes'!O20</f>
        <v>0.14299605449973818</v>
      </c>
      <c r="J20" s="220">
        <f>'Tasas inteligentes'!P20</f>
        <v>0.1443531960477249</v>
      </c>
      <c r="K20" s="220">
        <f>'Tasas inteligentes'!Q20</f>
        <v>0.14571181457374238</v>
      </c>
      <c r="L20" s="220">
        <f>'Tasas inteligentes'!R20</f>
        <v>0.14707191153891563</v>
      </c>
      <c r="M20" s="220">
        <f>'Tasas inteligentes'!S20</f>
        <v>0.14843348840566883</v>
      </c>
      <c r="N20" s="220">
        <f>'Tasas inteligentes'!T20</f>
        <v>0.15526362253922477</v>
      </c>
      <c r="O20" s="221"/>
    </row>
    <row r="21" spans="1:15" x14ac:dyDescent="0.35">
      <c r="A21" s="125" t="s">
        <v>71</v>
      </c>
      <c r="B21" s="130" t="s">
        <v>50</v>
      </c>
      <c r="C21" s="130" t="s">
        <v>66</v>
      </c>
      <c r="D21" s="130" t="s">
        <v>61</v>
      </c>
      <c r="E21" s="130" t="s">
        <v>53</v>
      </c>
      <c r="F21" s="130" t="s">
        <v>56</v>
      </c>
      <c r="H21" s="221"/>
      <c r="I21" s="220">
        <f>'Tasas inteligentes'!O21</f>
        <v>0.14299605449973818</v>
      </c>
      <c r="J21" s="220">
        <f>'Tasas inteligentes'!P21</f>
        <v>0.1443531960477249</v>
      </c>
      <c r="K21" s="220">
        <f>'Tasas inteligentes'!Q21</f>
        <v>0.14571181457374238</v>
      </c>
      <c r="L21" s="220">
        <f>'Tasas inteligentes'!R21</f>
        <v>0.14707191153891563</v>
      </c>
      <c r="M21" s="220">
        <f>'Tasas inteligentes'!S21</f>
        <v>0.14843348840566883</v>
      </c>
      <c r="N21" s="220">
        <f>'Tasas inteligentes'!T21</f>
        <v>0.15526362253922477</v>
      </c>
      <c r="O21" s="221"/>
    </row>
    <row r="22" spans="1:15" x14ac:dyDescent="0.35">
      <c r="A22" s="125" t="s">
        <v>72</v>
      </c>
      <c r="B22" s="130" t="s">
        <v>50</v>
      </c>
      <c r="C22" s="130" t="s">
        <v>66</v>
      </c>
      <c r="D22" s="130" t="s">
        <v>61</v>
      </c>
      <c r="E22" s="130" t="s">
        <v>58</v>
      </c>
      <c r="F22" s="130" t="s">
        <v>54</v>
      </c>
      <c r="H22" s="221"/>
      <c r="I22" s="220">
        <f>'Tasas inteligentes'!O22</f>
        <v>0.14571181457374238</v>
      </c>
      <c r="J22" s="220">
        <f>'Tasas inteligentes'!P22</f>
        <v>0.14707191153891563</v>
      </c>
      <c r="K22" s="220">
        <f>'Tasas inteligentes'!Q22</f>
        <v>0.14843348840566883</v>
      </c>
      <c r="L22" s="220">
        <f>'Tasas inteligentes'!R22</f>
        <v>0.1497965466377309</v>
      </c>
      <c r="M22" s="220">
        <f>'Tasas inteligentes'!S22</f>
        <v>0.15116108770013081</v>
      </c>
      <c r="N22" s="220">
        <f>'Tasas inteligentes'!T22</f>
        <v>0.15526362253922477</v>
      </c>
      <c r="O22" s="221"/>
    </row>
    <row r="23" spans="1:15" x14ac:dyDescent="0.35">
      <c r="A23" s="125" t="s">
        <v>73</v>
      </c>
      <c r="B23" s="130" t="s">
        <v>50</v>
      </c>
      <c r="C23" s="130" t="s">
        <v>66</v>
      </c>
      <c r="D23" s="130" t="s">
        <v>61</v>
      </c>
      <c r="E23" s="130" t="s">
        <v>58</v>
      </c>
      <c r="F23" s="130" t="s">
        <v>56</v>
      </c>
      <c r="H23" s="221"/>
      <c r="I23" s="220">
        <f>'Tasas inteligentes'!O23</f>
        <v>0.14843348840566883</v>
      </c>
      <c r="J23" s="220">
        <f>'Tasas inteligentes'!P23</f>
        <v>0.1497965466377309</v>
      </c>
      <c r="K23" s="220">
        <f>'Tasas inteligentes'!Q23</f>
        <v>0.15116108770013081</v>
      </c>
      <c r="L23" s="220">
        <f>'Tasas inteligentes'!R23</f>
        <v>0.15252711305920341</v>
      </c>
      <c r="M23" s="220">
        <f>'Tasas inteligentes'!S23</f>
        <v>0.15389462418258582</v>
      </c>
      <c r="N23" s="220">
        <f>'Tasas inteligentes'!T23</f>
        <v>0.15526362253922477</v>
      </c>
      <c r="O23" s="221"/>
    </row>
    <row r="24" spans="1:15" x14ac:dyDescent="0.35">
      <c r="A24" s="125" t="s">
        <v>74</v>
      </c>
      <c r="B24" s="130" t="s">
        <v>75</v>
      </c>
      <c r="C24" s="130" t="s">
        <v>51</v>
      </c>
      <c r="D24" s="130" t="s">
        <v>52</v>
      </c>
      <c r="E24" s="130" t="s">
        <v>53</v>
      </c>
      <c r="F24" s="130" t="s">
        <v>54</v>
      </c>
      <c r="H24" s="221"/>
      <c r="I24" s="220">
        <f>'Tasas inteligentes'!O24</f>
        <v>0.14164038846995752</v>
      </c>
      <c r="J24" s="220">
        <f>'Tasas inteligentes'!P24</f>
        <v>0.14299605449973818</v>
      </c>
      <c r="K24" s="220">
        <f>'Tasas inteligentes'!Q24</f>
        <v>0.14571181457374238</v>
      </c>
      <c r="L24" s="220">
        <f>'Tasas inteligentes'!R24</f>
        <v>0.14571181457374238</v>
      </c>
      <c r="M24" s="220">
        <f>'Tasas inteligentes'!S24</f>
        <v>0.15116108770013081</v>
      </c>
      <c r="N24" s="220">
        <f>'Tasas inteligentes'!T24</f>
        <v>0.15526362253922477</v>
      </c>
      <c r="O24" s="221"/>
    </row>
    <row r="25" spans="1:15" x14ac:dyDescent="0.35">
      <c r="A25" s="125" t="s">
        <v>76</v>
      </c>
      <c r="B25" s="130" t="s">
        <v>75</v>
      </c>
      <c r="C25" s="130" t="s">
        <v>51</v>
      </c>
      <c r="D25" s="130" t="s">
        <v>52</v>
      </c>
      <c r="E25" s="130" t="s">
        <v>53</v>
      </c>
      <c r="F25" s="130" t="s">
        <v>56</v>
      </c>
      <c r="H25" s="221"/>
      <c r="I25" s="220">
        <f>'Tasas inteligentes'!O25</f>
        <v>0.14164038846995752</v>
      </c>
      <c r="J25" s="220">
        <f>'Tasas inteligentes'!P25</f>
        <v>0.14299605449973818</v>
      </c>
      <c r="K25" s="220">
        <f>'Tasas inteligentes'!Q25</f>
        <v>0.14571181457374238</v>
      </c>
      <c r="L25" s="220">
        <f>'Tasas inteligentes'!R25</f>
        <v>0.14571181457374238</v>
      </c>
      <c r="M25" s="220">
        <f>'Tasas inteligentes'!S25</f>
        <v>0.15116108770013081</v>
      </c>
      <c r="N25" s="220">
        <f>'Tasas inteligentes'!T25</f>
        <v>0.15526362253922477</v>
      </c>
      <c r="O25" s="221"/>
    </row>
    <row r="26" spans="1:15" x14ac:dyDescent="0.35">
      <c r="A26" s="125" t="s">
        <v>77</v>
      </c>
      <c r="B26" s="130" t="s">
        <v>75</v>
      </c>
      <c r="C26" s="130" t="s">
        <v>51</v>
      </c>
      <c r="D26" s="130" t="s">
        <v>52</v>
      </c>
      <c r="E26" s="130" t="s">
        <v>58</v>
      </c>
      <c r="F26" s="130" t="s">
        <v>54</v>
      </c>
      <c r="H26" s="221"/>
      <c r="I26" s="220">
        <f>'Tasas inteligentes'!O26</f>
        <v>0.14299605449973818</v>
      </c>
      <c r="J26" s="220">
        <f>'Tasas inteligentes'!P26</f>
        <v>0.1443531960477249</v>
      </c>
      <c r="K26" s="220">
        <f>'Tasas inteligentes'!Q26</f>
        <v>0.14707191153891563</v>
      </c>
      <c r="L26" s="220">
        <f>'Tasas inteligentes'!R26</f>
        <v>0.14707191153891563</v>
      </c>
      <c r="M26" s="220">
        <f>'Tasas inteligentes'!S26</f>
        <v>0.15252711305920341</v>
      </c>
      <c r="N26" s="220">
        <f>'Tasas inteligentes'!T26</f>
        <v>0.15663410959937174</v>
      </c>
      <c r="O26" s="221"/>
    </row>
    <row r="27" spans="1:15" x14ac:dyDescent="0.35">
      <c r="A27" s="125" t="s">
        <v>78</v>
      </c>
      <c r="B27" s="130" t="s">
        <v>75</v>
      </c>
      <c r="C27" s="130" t="s">
        <v>51</v>
      </c>
      <c r="D27" s="130" t="s">
        <v>52</v>
      </c>
      <c r="E27" s="130" t="s">
        <v>58</v>
      </c>
      <c r="F27" s="130" t="s">
        <v>56</v>
      </c>
      <c r="H27" s="221"/>
      <c r="I27" s="220">
        <f>'Tasas inteligentes'!O27</f>
        <v>0.14299605449973818</v>
      </c>
      <c r="J27" s="220">
        <f>'Tasas inteligentes'!P27</f>
        <v>0.1443531960477249</v>
      </c>
      <c r="K27" s="220">
        <f>'Tasas inteligentes'!Q27</f>
        <v>0.14707191153891563</v>
      </c>
      <c r="L27" s="220">
        <f>'Tasas inteligentes'!R27</f>
        <v>0.14707191153891563</v>
      </c>
      <c r="M27" s="220">
        <f>'Tasas inteligentes'!S27</f>
        <v>0.15252711305920341</v>
      </c>
      <c r="N27" s="220">
        <f>'Tasas inteligentes'!T27</f>
        <v>0.15663410959937174</v>
      </c>
      <c r="O27" s="221"/>
    </row>
    <row r="28" spans="1:15" x14ac:dyDescent="0.35">
      <c r="A28" s="125" t="s">
        <v>79</v>
      </c>
      <c r="B28" s="130" t="s">
        <v>75</v>
      </c>
      <c r="C28" s="130" t="s">
        <v>51</v>
      </c>
      <c r="D28" s="130" t="s">
        <v>61</v>
      </c>
      <c r="E28" s="130" t="s">
        <v>53</v>
      </c>
      <c r="F28" s="130" t="s">
        <v>54</v>
      </c>
      <c r="H28" s="221"/>
      <c r="I28" s="220">
        <f>'Tasas inteligentes'!O28</f>
        <v>0.15252711305920341</v>
      </c>
      <c r="J28" s="220">
        <f>'Tasas inteligentes'!P28</f>
        <v>0.15389462418258582</v>
      </c>
      <c r="K28" s="220">
        <f>'Tasas inteligentes'!Q28</f>
        <v>0.15663410959937174</v>
      </c>
      <c r="L28" s="220">
        <f>'Tasas inteligentes'!R28</f>
        <v>0.15663410959937174</v>
      </c>
      <c r="M28" s="220">
        <f>'Tasas inteligentes'!S28</f>
        <v>0.16350892700314201</v>
      </c>
      <c r="N28" s="220">
        <f>'Tasas inteligentes'!T28</f>
        <v>0.16765177626913008</v>
      </c>
      <c r="O28" s="221"/>
    </row>
    <row r="29" spans="1:15" x14ac:dyDescent="0.35">
      <c r="A29" s="125" t="s">
        <v>80</v>
      </c>
      <c r="B29" s="130" t="s">
        <v>75</v>
      </c>
      <c r="C29" s="130" t="s">
        <v>51</v>
      </c>
      <c r="D29" s="130" t="s">
        <v>61</v>
      </c>
      <c r="E29" s="130" t="s">
        <v>53</v>
      </c>
      <c r="F29" s="130" t="s">
        <v>56</v>
      </c>
      <c r="H29" s="221"/>
      <c r="I29" s="220">
        <f>'Tasas inteligentes'!O29</f>
        <v>0.15252711305920341</v>
      </c>
      <c r="J29" s="220">
        <f>'Tasas inteligentes'!P29</f>
        <v>0.15389462418258582</v>
      </c>
      <c r="K29" s="220">
        <f>'Tasas inteligentes'!Q29</f>
        <v>0.15663410959937174</v>
      </c>
      <c r="L29" s="220">
        <f>'Tasas inteligentes'!R29</f>
        <v>0.15663410959937174</v>
      </c>
      <c r="M29" s="220">
        <f>'Tasas inteligentes'!S29</f>
        <v>0.15937955571773355</v>
      </c>
      <c r="N29" s="220">
        <f>'Tasas inteligentes'!T29</f>
        <v>0.16765177626913008</v>
      </c>
      <c r="O29" s="221"/>
    </row>
    <row r="30" spans="1:15" x14ac:dyDescent="0.35">
      <c r="A30" s="125" t="s">
        <v>81</v>
      </c>
      <c r="B30" s="130" t="s">
        <v>75</v>
      </c>
      <c r="C30" s="130" t="s">
        <v>51</v>
      </c>
      <c r="D30" s="130" t="s">
        <v>61</v>
      </c>
      <c r="E30" s="130" t="s">
        <v>58</v>
      </c>
      <c r="F30" s="130" t="s">
        <v>54</v>
      </c>
      <c r="H30" s="221"/>
      <c r="I30" s="220">
        <f>'Tasas inteligentes'!O30</f>
        <v>0.15389462418258582</v>
      </c>
      <c r="J30" s="220">
        <f>'Tasas inteligentes'!P30</f>
        <v>0.15526362253922477</v>
      </c>
      <c r="K30" s="220">
        <f>'Tasas inteligentes'!Q30</f>
        <v>0.15800608683458517</v>
      </c>
      <c r="L30" s="220">
        <f>'Tasas inteligentes'!R30</f>
        <v>0.15800608683458517</v>
      </c>
      <c r="M30" s="220">
        <f>'Tasas inteligentes'!S30</f>
        <v>0.16075451772299854</v>
      </c>
      <c r="N30" s="220">
        <f>'Tasas inteligentes'!T30</f>
        <v>0.16903572803833167</v>
      </c>
      <c r="O30" s="221"/>
    </row>
    <row r="31" spans="1:15" x14ac:dyDescent="0.35">
      <c r="A31" s="125" t="s">
        <v>82</v>
      </c>
      <c r="B31" s="130" t="s">
        <v>75</v>
      </c>
      <c r="C31" s="130" t="s">
        <v>51</v>
      </c>
      <c r="D31" s="130" t="s">
        <v>61</v>
      </c>
      <c r="E31" s="130" t="s">
        <v>58</v>
      </c>
      <c r="F31" s="130" t="s">
        <v>56</v>
      </c>
      <c r="H31" s="221"/>
      <c r="I31" s="220">
        <f>'Tasas inteligentes'!O31</f>
        <v>0.15389462418258582</v>
      </c>
      <c r="J31" s="220">
        <f>'Tasas inteligentes'!P31</f>
        <v>0.15526362253922477</v>
      </c>
      <c r="K31" s="220">
        <f>'Tasas inteligentes'!Q31</f>
        <v>0.15800608683458517</v>
      </c>
      <c r="L31" s="220">
        <f>'Tasas inteligentes'!R31</f>
        <v>0.15800608683458517</v>
      </c>
      <c r="M31" s="220">
        <f>'Tasas inteligentes'!S31</f>
        <v>0.16075451772299854</v>
      </c>
      <c r="N31" s="220">
        <f>'Tasas inteligentes'!T31</f>
        <v>0.16903572803833167</v>
      </c>
      <c r="O31" s="221"/>
    </row>
    <row r="32" spans="1:15" x14ac:dyDescent="0.35">
      <c r="A32" s="125" t="s">
        <v>83</v>
      </c>
      <c r="B32" s="130" t="s">
        <v>75</v>
      </c>
      <c r="C32" s="130" t="s">
        <v>66</v>
      </c>
      <c r="D32" s="130" t="s">
        <v>52</v>
      </c>
      <c r="E32" s="130" t="s">
        <v>53</v>
      </c>
      <c r="F32" s="130" t="s">
        <v>54</v>
      </c>
      <c r="H32" s="221"/>
      <c r="I32" s="220">
        <f>'Tasas inteligentes'!O32</f>
        <v>0.13219191841842548</v>
      </c>
      <c r="J32" s="220">
        <f>'Tasas inteligentes'!P32</f>
        <v>0.1335372965869035</v>
      </c>
      <c r="K32" s="220">
        <f>'Tasas inteligentes'!Q32</f>
        <v>0.13623245038182419</v>
      </c>
      <c r="L32" s="220">
        <f>'Tasas inteligentes'!R32</f>
        <v>0.13623245038182419</v>
      </c>
      <c r="M32" s="220">
        <f>'Tasas inteligentes'!S32</f>
        <v>0.13893347713220328</v>
      </c>
      <c r="N32" s="220">
        <f>'Tasas inteligentes'!T32</f>
        <v>0.15526362253922477</v>
      </c>
      <c r="O32" s="221"/>
    </row>
    <row r="33" spans="1:15" x14ac:dyDescent="0.35">
      <c r="A33" s="125" t="s">
        <v>84</v>
      </c>
      <c r="B33" s="130" t="s">
        <v>75</v>
      </c>
      <c r="C33" s="130" t="s">
        <v>66</v>
      </c>
      <c r="D33" s="130" t="s">
        <v>52</v>
      </c>
      <c r="E33" s="130" t="s">
        <v>53</v>
      </c>
      <c r="F33" s="130" t="s">
        <v>56</v>
      </c>
      <c r="H33" s="221"/>
      <c r="I33" s="220">
        <f>'Tasas inteligentes'!O33</f>
        <v>0.13219191841842548</v>
      </c>
      <c r="J33" s="220">
        <f>'Tasas inteligentes'!P33</f>
        <v>0.1335372965869035</v>
      </c>
      <c r="K33" s="220">
        <f>'Tasas inteligentes'!Q33</f>
        <v>0.13623245038182419</v>
      </c>
      <c r="L33" s="220">
        <f>'Tasas inteligentes'!R33</f>
        <v>0.13623245038182419</v>
      </c>
      <c r="M33" s="220">
        <f>'Tasas inteligentes'!S33</f>
        <v>0.13893347713220328</v>
      </c>
      <c r="N33" s="220">
        <f>'Tasas inteligentes'!T33</f>
        <v>0.15526362253922477</v>
      </c>
      <c r="O33" s="221"/>
    </row>
    <row r="34" spans="1:15" x14ac:dyDescent="0.35">
      <c r="A34" s="125" t="s">
        <v>85</v>
      </c>
      <c r="B34" s="130" t="s">
        <v>75</v>
      </c>
      <c r="C34" s="130" t="s">
        <v>66</v>
      </c>
      <c r="D34" s="130" t="s">
        <v>52</v>
      </c>
      <c r="E34" s="130" t="s">
        <v>58</v>
      </c>
      <c r="F34" s="130" t="s">
        <v>54</v>
      </c>
      <c r="H34" s="221"/>
      <c r="I34" s="220">
        <f>'Tasas inteligentes'!O34</f>
        <v>0.13488414009111604</v>
      </c>
      <c r="J34" s="220">
        <f>'Tasas inteligentes'!P34</f>
        <v>0.13623245038182419</v>
      </c>
      <c r="K34" s="220">
        <f>'Tasas inteligentes'!Q34</f>
        <v>0.13893347713220328</v>
      </c>
      <c r="L34" s="220">
        <f>'Tasas inteligentes'!R34</f>
        <v>0.13893347713220328</v>
      </c>
      <c r="M34" s="220">
        <f>'Tasas inteligentes'!S34</f>
        <v>0.14164038846995752</v>
      </c>
      <c r="N34" s="220">
        <f>'Tasas inteligentes'!T34</f>
        <v>0.15526362253922477</v>
      </c>
      <c r="O34" s="221"/>
    </row>
    <row r="35" spans="1:15" x14ac:dyDescent="0.35">
      <c r="A35" s="125" t="s">
        <v>86</v>
      </c>
      <c r="B35" s="130" t="s">
        <v>75</v>
      </c>
      <c r="C35" s="130" t="s">
        <v>66</v>
      </c>
      <c r="D35" s="130" t="s">
        <v>52</v>
      </c>
      <c r="E35" s="130" t="s">
        <v>58</v>
      </c>
      <c r="F35" s="130" t="s">
        <v>56</v>
      </c>
      <c r="H35" s="221"/>
      <c r="I35" s="220">
        <f>'Tasas inteligentes'!O35</f>
        <v>0.13488414009111604</v>
      </c>
      <c r="J35" s="220">
        <f>'Tasas inteligentes'!P35</f>
        <v>0.13623245038182419</v>
      </c>
      <c r="K35" s="220">
        <f>'Tasas inteligentes'!Q35</f>
        <v>0.13893347713220328</v>
      </c>
      <c r="L35" s="220">
        <f>'Tasas inteligentes'!R35</f>
        <v>0.13893347713220328</v>
      </c>
      <c r="M35" s="220">
        <f>'Tasas inteligentes'!S35</f>
        <v>0.14164038846995752</v>
      </c>
      <c r="N35" s="220">
        <f>'Tasas inteligentes'!T35</f>
        <v>0.15526362253922477</v>
      </c>
      <c r="O35" s="221"/>
    </row>
    <row r="36" spans="1:15" x14ac:dyDescent="0.35">
      <c r="A36" s="125" t="s">
        <v>87</v>
      </c>
      <c r="B36" s="130" t="s">
        <v>75</v>
      </c>
      <c r="C36" s="130" t="s">
        <v>66</v>
      </c>
      <c r="D36" s="130" t="s">
        <v>61</v>
      </c>
      <c r="E36" s="130" t="s">
        <v>53</v>
      </c>
      <c r="F36" s="130" t="s">
        <v>54</v>
      </c>
      <c r="H36" s="221"/>
      <c r="I36" s="220">
        <f>'Tasas inteligentes'!O36</f>
        <v>0.13893347713220328</v>
      </c>
      <c r="J36" s="220">
        <f>'Tasas inteligentes'!P36</f>
        <v>0.14028619649985408</v>
      </c>
      <c r="K36" s="220">
        <f>'Tasas inteligentes'!Q36</f>
        <v>0.14299605449973818</v>
      </c>
      <c r="L36" s="220">
        <f>'Tasas inteligentes'!R36</f>
        <v>0.14299605449973818</v>
      </c>
      <c r="M36" s="220">
        <f>'Tasas inteligentes'!S36</f>
        <v>0.14571181457374238</v>
      </c>
      <c r="N36" s="220">
        <f>'Tasas inteligentes'!T36</f>
        <v>0.15526362253922477</v>
      </c>
      <c r="O36" s="221"/>
    </row>
    <row r="37" spans="1:15" x14ac:dyDescent="0.35">
      <c r="A37" s="125" t="s">
        <v>88</v>
      </c>
      <c r="B37" s="130" t="s">
        <v>75</v>
      </c>
      <c r="C37" s="130" t="s">
        <v>66</v>
      </c>
      <c r="D37" s="130" t="s">
        <v>61</v>
      </c>
      <c r="E37" s="130" t="s">
        <v>53</v>
      </c>
      <c r="F37" s="130" t="s">
        <v>56</v>
      </c>
      <c r="H37" s="221"/>
      <c r="I37" s="220">
        <f>'Tasas inteligentes'!O37</f>
        <v>0.13893347713220328</v>
      </c>
      <c r="J37" s="220">
        <f>'Tasas inteligentes'!P37</f>
        <v>0.14028619649985408</v>
      </c>
      <c r="K37" s="220">
        <f>'Tasas inteligentes'!Q37</f>
        <v>0.14299605449973818</v>
      </c>
      <c r="L37" s="220">
        <f>'Tasas inteligentes'!R37</f>
        <v>0.14299605449973818</v>
      </c>
      <c r="M37" s="220">
        <f>'Tasas inteligentes'!S37</f>
        <v>0.14571181457374238</v>
      </c>
      <c r="N37" s="220">
        <f>'Tasas inteligentes'!T37</f>
        <v>0.15526362253922477</v>
      </c>
      <c r="O37" s="221"/>
    </row>
    <row r="38" spans="1:15" x14ac:dyDescent="0.35">
      <c r="A38" s="125" t="s">
        <v>89</v>
      </c>
      <c r="B38" s="130" t="s">
        <v>75</v>
      </c>
      <c r="C38" s="130" t="s">
        <v>66</v>
      </c>
      <c r="D38" s="130" t="s">
        <v>61</v>
      </c>
      <c r="E38" s="130" t="s">
        <v>58</v>
      </c>
      <c r="F38" s="130" t="s">
        <v>54</v>
      </c>
      <c r="H38" s="221"/>
      <c r="I38" s="220">
        <f>'Tasas inteligentes'!O38</f>
        <v>0.14164038846995752</v>
      </c>
      <c r="J38" s="220">
        <f>'Tasas inteligentes'!P38</f>
        <v>0.14299605449973818</v>
      </c>
      <c r="K38" s="220">
        <f>'Tasas inteligentes'!Q38</f>
        <v>0.14571181457374238</v>
      </c>
      <c r="L38" s="220">
        <f>'Tasas inteligentes'!R38</f>
        <v>0.14571181457374238</v>
      </c>
      <c r="M38" s="220">
        <f>'Tasas inteligentes'!S38</f>
        <v>0.14843348840566883</v>
      </c>
      <c r="N38" s="220">
        <f>'Tasas inteligentes'!T38</f>
        <v>0.15526362253922477</v>
      </c>
      <c r="O38" s="221"/>
    </row>
    <row r="39" spans="1:15" x14ac:dyDescent="0.35">
      <c r="A39" s="125" t="s">
        <v>90</v>
      </c>
      <c r="B39" s="130" t="s">
        <v>75</v>
      </c>
      <c r="C39" s="130" t="s">
        <v>66</v>
      </c>
      <c r="D39" s="130" t="s">
        <v>61</v>
      </c>
      <c r="E39" s="130" t="s">
        <v>58</v>
      </c>
      <c r="F39" s="130" t="s">
        <v>56</v>
      </c>
      <c r="H39" s="221"/>
      <c r="I39" s="220">
        <f>'Tasas inteligentes'!O39</f>
        <v>0.14164038846995752</v>
      </c>
      <c r="J39" s="220">
        <f>'Tasas inteligentes'!P39</f>
        <v>0.14299605449973818</v>
      </c>
      <c r="K39" s="220">
        <f>'Tasas inteligentes'!Q39</f>
        <v>0.14571181457374238</v>
      </c>
      <c r="L39" s="220">
        <f>'Tasas inteligentes'!R39</f>
        <v>0.14571181457374238</v>
      </c>
      <c r="M39" s="220">
        <f>'Tasas inteligentes'!S39</f>
        <v>0.14843348840566883</v>
      </c>
      <c r="N39" s="220">
        <f>'Tasas inteligentes'!T39</f>
        <v>0.15526362253922477</v>
      </c>
      <c r="O39" s="221"/>
    </row>
    <row r="40" spans="1:15" x14ac:dyDescent="0.35">
      <c r="A40" s="125" t="s">
        <v>91</v>
      </c>
      <c r="B40" s="130" t="s">
        <v>92</v>
      </c>
      <c r="C40" s="130" t="s">
        <v>51</v>
      </c>
      <c r="D40" s="130" t="s">
        <v>52</v>
      </c>
      <c r="E40" s="130" t="s">
        <v>53</v>
      </c>
      <c r="F40" s="130" t="s">
        <v>54</v>
      </c>
      <c r="H40" s="221"/>
      <c r="I40" s="220">
        <f>'Tasas inteligentes'!O40</f>
        <v>0.13893347713220328</v>
      </c>
      <c r="J40" s="220">
        <f>'Tasas inteligentes'!P40</f>
        <v>0.14028619649985408</v>
      </c>
      <c r="K40" s="220">
        <f>'Tasas inteligentes'!Q40</f>
        <v>0.14299605449973818</v>
      </c>
      <c r="L40" s="220">
        <f>'Tasas inteligentes'!R40</f>
        <v>0.14299605449973818</v>
      </c>
      <c r="M40" s="220">
        <f>'Tasas inteligentes'!S40</f>
        <v>0.14571181457374238</v>
      </c>
      <c r="N40" s="220">
        <f>'Tasas inteligentes'!T40</f>
        <v>0.15252711305920341</v>
      </c>
      <c r="O40" s="221"/>
    </row>
    <row r="41" spans="1:15" x14ac:dyDescent="0.35">
      <c r="A41" s="125" t="s">
        <v>93</v>
      </c>
      <c r="B41" s="130" t="s">
        <v>92</v>
      </c>
      <c r="C41" s="130" t="s">
        <v>51</v>
      </c>
      <c r="D41" s="130" t="s">
        <v>52</v>
      </c>
      <c r="E41" s="130" t="s">
        <v>53</v>
      </c>
      <c r="F41" s="130" t="s">
        <v>56</v>
      </c>
      <c r="H41" s="221"/>
      <c r="I41" s="220">
        <f>'Tasas inteligentes'!O41</f>
        <v>0.13893347713220328</v>
      </c>
      <c r="J41" s="220">
        <f>'Tasas inteligentes'!P41</f>
        <v>0.14028619649985408</v>
      </c>
      <c r="K41" s="220">
        <f>'Tasas inteligentes'!Q41</f>
        <v>0.14299605449973818</v>
      </c>
      <c r="L41" s="220">
        <f>'Tasas inteligentes'!R41</f>
        <v>0.14299605449973818</v>
      </c>
      <c r="M41" s="220">
        <f>'Tasas inteligentes'!S41</f>
        <v>0.14571181457374238</v>
      </c>
      <c r="N41" s="220">
        <f>'Tasas inteligentes'!T41</f>
        <v>0.15252711305920341</v>
      </c>
      <c r="O41" s="221"/>
    </row>
    <row r="42" spans="1:15" x14ac:dyDescent="0.35">
      <c r="A42" s="125" t="s">
        <v>94</v>
      </c>
      <c r="B42" s="130" t="s">
        <v>92</v>
      </c>
      <c r="C42" s="130" t="s">
        <v>51</v>
      </c>
      <c r="D42" s="130" t="s">
        <v>52</v>
      </c>
      <c r="E42" s="130" t="s">
        <v>58</v>
      </c>
      <c r="F42" s="130" t="s">
        <v>54</v>
      </c>
      <c r="H42" s="221"/>
      <c r="I42" s="220">
        <f>'Tasas inteligentes'!O42</f>
        <v>0.13893347713220328</v>
      </c>
      <c r="J42" s="220">
        <f>'Tasas inteligentes'!P42</f>
        <v>0.14028619649985408</v>
      </c>
      <c r="K42" s="220">
        <f>'Tasas inteligentes'!Q42</f>
        <v>0.14299605449973818</v>
      </c>
      <c r="L42" s="220">
        <f>'Tasas inteligentes'!R42</f>
        <v>0.14299605449973818</v>
      </c>
      <c r="M42" s="220">
        <f>'Tasas inteligentes'!S42</f>
        <v>0.14571181457374238</v>
      </c>
      <c r="N42" s="220">
        <f>'Tasas inteligentes'!T42</f>
        <v>0.15252711305920341</v>
      </c>
      <c r="O42" s="221"/>
    </row>
    <row r="43" spans="1:15" x14ac:dyDescent="0.35">
      <c r="A43" s="125" t="s">
        <v>95</v>
      </c>
      <c r="B43" s="130" t="s">
        <v>92</v>
      </c>
      <c r="C43" s="130" t="s">
        <v>51</v>
      </c>
      <c r="D43" s="130" t="s">
        <v>52</v>
      </c>
      <c r="E43" s="130" t="s">
        <v>58</v>
      </c>
      <c r="F43" s="130" t="s">
        <v>56</v>
      </c>
      <c r="H43" s="221"/>
      <c r="I43" s="220">
        <f>'Tasas inteligentes'!O43</f>
        <v>0.13893347713220328</v>
      </c>
      <c r="J43" s="220">
        <f>'Tasas inteligentes'!P43</f>
        <v>0.14028619649985408</v>
      </c>
      <c r="K43" s="220">
        <f>'Tasas inteligentes'!Q43</f>
        <v>0.14299605449973818</v>
      </c>
      <c r="L43" s="220">
        <f>'Tasas inteligentes'!R43</f>
        <v>0.14299605449973818</v>
      </c>
      <c r="M43" s="220">
        <f>'Tasas inteligentes'!S43</f>
        <v>0.14571181457374238</v>
      </c>
      <c r="N43" s="220">
        <f>'Tasas inteligentes'!T43</f>
        <v>0.15252711305920341</v>
      </c>
      <c r="O43" s="221"/>
    </row>
    <row r="44" spans="1:15" x14ac:dyDescent="0.35">
      <c r="A44" s="125" t="s">
        <v>96</v>
      </c>
      <c r="B44" s="130" t="s">
        <v>92</v>
      </c>
      <c r="C44" s="130" t="s">
        <v>51</v>
      </c>
      <c r="D44" s="130" t="s">
        <v>61</v>
      </c>
      <c r="E44" s="130" t="s">
        <v>53</v>
      </c>
      <c r="F44" s="130" t="s">
        <v>54</v>
      </c>
      <c r="H44" s="221"/>
      <c r="I44" s="220">
        <f>'Tasas inteligentes'!O44</f>
        <v>0.14707191153891563</v>
      </c>
      <c r="J44" s="220">
        <f>'Tasas inteligentes'!P44</f>
        <v>0.14843348840566883</v>
      </c>
      <c r="K44" s="220">
        <f>'Tasas inteligentes'!Q44</f>
        <v>0.15116108770013081</v>
      </c>
      <c r="L44" s="220">
        <f>'Tasas inteligentes'!R44</f>
        <v>0.15116108770013081</v>
      </c>
      <c r="M44" s="220">
        <f>'Tasas inteligentes'!S44</f>
        <v>0.15389462418258582</v>
      </c>
      <c r="N44" s="220">
        <f>'Tasas inteligentes'!T44</f>
        <v>0.1621309743258661</v>
      </c>
      <c r="O44" s="221"/>
    </row>
    <row r="45" spans="1:15" x14ac:dyDescent="0.35">
      <c r="A45" s="125" t="s">
        <v>97</v>
      </c>
      <c r="B45" s="130" t="s">
        <v>92</v>
      </c>
      <c r="C45" s="130" t="s">
        <v>51</v>
      </c>
      <c r="D45" s="130" t="s">
        <v>61</v>
      </c>
      <c r="E45" s="130" t="s">
        <v>53</v>
      </c>
      <c r="F45" s="130" t="s">
        <v>56</v>
      </c>
      <c r="H45" s="221"/>
      <c r="I45" s="220">
        <f>'Tasas inteligentes'!O45</f>
        <v>0.14707191153891563</v>
      </c>
      <c r="J45" s="220">
        <f>'Tasas inteligentes'!P45</f>
        <v>0.14843348840566883</v>
      </c>
      <c r="K45" s="220">
        <f>'Tasas inteligentes'!Q45</f>
        <v>0.15116108770013081</v>
      </c>
      <c r="L45" s="220">
        <f>'Tasas inteligentes'!R45</f>
        <v>0.15116108770013081</v>
      </c>
      <c r="M45" s="220">
        <f>'Tasas inteligentes'!S45</f>
        <v>0.15389462418258582</v>
      </c>
      <c r="N45" s="220">
        <f>'Tasas inteligentes'!T45</f>
        <v>0.1621309743258661</v>
      </c>
      <c r="O45" s="221"/>
    </row>
    <row r="46" spans="1:15" x14ac:dyDescent="0.35">
      <c r="A46" s="125" t="s">
        <v>98</v>
      </c>
      <c r="B46" s="130" t="s">
        <v>92</v>
      </c>
      <c r="C46" s="130" t="s">
        <v>51</v>
      </c>
      <c r="D46" s="130" t="s">
        <v>61</v>
      </c>
      <c r="E46" s="130" t="s">
        <v>58</v>
      </c>
      <c r="F46" s="130" t="s">
        <v>54</v>
      </c>
      <c r="H46" s="221"/>
      <c r="I46" s="220">
        <f>'Tasas inteligentes'!O46</f>
        <v>0.14843348840566883</v>
      </c>
      <c r="J46" s="220">
        <f>'Tasas inteligentes'!P46</f>
        <v>0.1497965466377309</v>
      </c>
      <c r="K46" s="220">
        <f>'Tasas inteligentes'!Q46</f>
        <v>0.15252711305920341</v>
      </c>
      <c r="L46" s="220">
        <f>'Tasas inteligentes'!R46</f>
        <v>0.15252711305920341</v>
      </c>
      <c r="M46" s="220">
        <f>'Tasas inteligentes'!S46</f>
        <v>0.15526362253922477</v>
      </c>
      <c r="N46" s="220">
        <f>'Tasas inteligentes'!T46</f>
        <v>0.16350892700314201</v>
      </c>
      <c r="O46" s="221"/>
    </row>
    <row r="47" spans="1:15" x14ac:dyDescent="0.35">
      <c r="A47" s="125" t="s">
        <v>99</v>
      </c>
      <c r="B47" s="130" t="s">
        <v>92</v>
      </c>
      <c r="C47" s="130" t="s">
        <v>51</v>
      </c>
      <c r="D47" s="130" t="s">
        <v>61</v>
      </c>
      <c r="E47" s="130" t="s">
        <v>58</v>
      </c>
      <c r="F47" s="130" t="s">
        <v>56</v>
      </c>
      <c r="H47" s="221"/>
      <c r="I47" s="220">
        <f>'Tasas inteligentes'!O47</f>
        <v>0.14843348840566883</v>
      </c>
      <c r="J47" s="220">
        <f>'Tasas inteligentes'!P47</f>
        <v>0.1497965466377309</v>
      </c>
      <c r="K47" s="220">
        <f>'Tasas inteligentes'!Q47</f>
        <v>0.15252711305920341</v>
      </c>
      <c r="L47" s="220">
        <f>'Tasas inteligentes'!R47</f>
        <v>0.15252711305920341</v>
      </c>
      <c r="M47" s="220">
        <f>'Tasas inteligentes'!S47</f>
        <v>0.15526362253922477</v>
      </c>
      <c r="N47" s="220">
        <f>'Tasas inteligentes'!T47</f>
        <v>0.16350892700314201</v>
      </c>
      <c r="O47" s="221"/>
    </row>
    <row r="48" spans="1:15" x14ac:dyDescent="0.35">
      <c r="A48" s="125" t="s">
        <v>100</v>
      </c>
      <c r="B48" s="130" t="s">
        <v>92</v>
      </c>
      <c r="C48" s="130" t="s">
        <v>66</v>
      </c>
      <c r="D48" s="130" t="s">
        <v>52</v>
      </c>
      <c r="E48" s="130" t="s">
        <v>53</v>
      </c>
      <c r="F48" s="130" t="s">
        <v>54</v>
      </c>
      <c r="H48" s="221"/>
      <c r="I48" s="220">
        <f>'Tasas inteligentes'!O48</f>
        <v>0.12816456143923505</v>
      </c>
      <c r="J48" s="220">
        <f>'Tasas inteligentes'!P48</f>
        <v>0.12950555229212202</v>
      </c>
      <c r="K48" s="220">
        <f>'Tasas inteligentes'!Q48</f>
        <v>0.13219191841842548</v>
      </c>
      <c r="L48" s="220">
        <f>'Tasas inteligentes'!R48</f>
        <v>0.1335372965869035</v>
      </c>
      <c r="M48" s="220">
        <f>'Tasas inteligentes'!S48</f>
        <v>0.13488414009111604</v>
      </c>
      <c r="N48" s="220">
        <f>'Tasas inteligentes'!T48</f>
        <v>0.15526362253922477</v>
      </c>
      <c r="O48" s="221"/>
    </row>
    <row r="49" spans="1:15" x14ac:dyDescent="0.35">
      <c r="A49" s="125" t="s">
        <v>101</v>
      </c>
      <c r="B49" s="130" t="s">
        <v>92</v>
      </c>
      <c r="C49" s="130" t="s">
        <v>66</v>
      </c>
      <c r="D49" s="130" t="s">
        <v>52</v>
      </c>
      <c r="E49" s="130" t="s">
        <v>53</v>
      </c>
      <c r="F49" s="130" t="s">
        <v>56</v>
      </c>
      <c r="H49" s="221"/>
      <c r="I49" s="220">
        <f>'Tasas inteligentes'!O49</f>
        <v>0.12816456143923505</v>
      </c>
      <c r="J49" s="220">
        <f>'Tasas inteligentes'!P49</f>
        <v>0.12950555229212202</v>
      </c>
      <c r="K49" s="220">
        <f>'Tasas inteligentes'!Q49</f>
        <v>0.13219191841842548</v>
      </c>
      <c r="L49" s="220">
        <f>'Tasas inteligentes'!R49</f>
        <v>0.1335372965869035</v>
      </c>
      <c r="M49" s="220">
        <f>'Tasas inteligentes'!S49</f>
        <v>0.13488414009111604</v>
      </c>
      <c r="N49" s="220">
        <f>'Tasas inteligentes'!T49</f>
        <v>0.15526362253922477</v>
      </c>
      <c r="O49" s="221"/>
    </row>
    <row r="50" spans="1:15" x14ac:dyDescent="0.35">
      <c r="A50" s="125" t="s">
        <v>102</v>
      </c>
      <c r="B50" s="130" t="s">
        <v>92</v>
      </c>
      <c r="C50" s="130" t="s">
        <v>66</v>
      </c>
      <c r="D50" s="130" t="s">
        <v>52</v>
      </c>
      <c r="E50" s="130" t="s">
        <v>58</v>
      </c>
      <c r="F50" s="130" t="s">
        <v>54</v>
      </c>
      <c r="H50" s="221"/>
      <c r="I50" s="220">
        <f>'Tasas inteligentes'!O50</f>
        <v>0.13084800413622433</v>
      </c>
      <c r="J50" s="220">
        <f>'Tasas inteligentes'!P50</f>
        <v>0.13219191841842548</v>
      </c>
      <c r="K50" s="220">
        <f>'Tasas inteligentes'!Q50</f>
        <v>0.13488414009111604</v>
      </c>
      <c r="L50" s="220">
        <f>'Tasas inteligentes'!R50</f>
        <v>0.13488414009111604</v>
      </c>
      <c r="M50" s="220">
        <f>'Tasas inteligentes'!S50</f>
        <v>0.1375822289110713</v>
      </c>
      <c r="N50" s="220">
        <f>'Tasas inteligentes'!T50</f>
        <v>0.15526362253922477</v>
      </c>
      <c r="O50" s="221"/>
    </row>
    <row r="51" spans="1:15" x14ac:dyDescent="0.35">
      <c r="A51" s="125" t="s">
        <v>103</v>
      </c>
      <c r="B51" s="130" t="s">
        <v>92</v>
      </c>
      <c r="C51" s="130" t="s">
        <v>66</v>
      </c>
      <c r="D51" s="130" t="s">
        <v>52</v>
      </c>
      <c r="E51" s="130" t="s">
        <v>58</v>
      </c>
      <c r="F51" s="130" t="s">
        <v>56</v>
      </c>
      <c r="H51" s="221"/>
      <c r="I51" s="220">
        <f>'Tasas inteligentes'!O51</f>
        <v>0.13084800413622433</v>
      </c>
      <c r="J51" s="220">
        <f>'Tasas inteligentes'!P51</f>
        <v>0.13219191841842548</v>
      </c>
      <c r="K51" s="220">
        <f>'Tasas inteligentes'!Q51</f>
        <v>0.13488414009111604</v>
      </c>
      <c r="L51" s="220">
        <f>'Tasas inteligentes'!R51</f>
        <v>0.13488414009111604</v>
      </c>
      <c r="M51" s="220">
        <f>'Tasas inteligentes'!S51</f>
        <v>0.1375822289110713</v>
      </c>
      <c r="N51" s="220">
        <f>'Tasas inteligentes'!T51</f>
        <v>0.15526362253922477</v>
      </c>
      <c r="O51" s="221"/>
    </row>
    <row r="52" spans="1:15" x14ac:dyDescent="0.35">
      <c r="A52" s="125" t="s">
        <v>104</v>
      </c>
      <c r="B52" s="130" t="s">
        <v>92</v>
      </c>
      <c r="C52" s="130" t="s">
        <v>66</v>
      </c>
      <c r="D52" s="130" t="s">
        <v>61</v>
      </c>
      <c r="E52" s="130" t="s">
        <v>53</v>
      </c>
      <c r="F52" s="130" t="s">
        <v>54</v>
      </c>
      <c r="H52" s="221"/>
      <c r="I52" s="220">
        <f>'Tasas inteligentes'!O52</f>
        <v>0.1335372965869035</v>
      </c>
      <c r="J52" s="220">
        <f>'Tasas inteligentes'!P52</f>
        <v>0.13488414009111604</v>
      </c>
      <c r="K52" s="220">
        <f>'Tasas inteligentes'!Q52</f>
        <v>0.1375822289110713</v>
      </c>
      <c r="L52" s="220">
        <f>'Tasas inteligentes'!R52</f>
        <v>0.1375822289110713</v>
      </c>
      <c r="M52" s="220">
        <f>'Tasas inteligentes'!S52</f>
        <v>0.14028619649985408</v>
      </c>
      <c r="N52" s="220">
        <f>'Tasas inteligentes'!T52</f>
        <v>0.15526362253922477</v>
      </c>
      <c r="O52" s="221"/>
    </row>
    <row r="53" spans="1:15" x14ac:dyDescent="0.35">
      <c r="A53" s="125" t="s">
        <v>105</v>
      </c>
      <c r="B53" s="130" t="s">
        <v>92</v>
      </c>
      <c r="C53" s="130" t="s">
        <v>66</v>
      </c>
      <c r="D53" s="130" t="s">
        <v>61</v>
      </c>
      <c r="E53" s="130" t="s">
        <v>53</v>
      </c>
      <c r="F53" s="130" t="s">
        <v>56</v>
      </c>
      <c r="H53" s="221"/>
      <c r="I53" s="220">
        <f>'Tasas inteligentes'!O53</f>
        <v>0.1335372965869035</v>
      </c>
      <c r="J53" s="220">
        <f>'Tasas inteligentes'!P53</f>
        <v>0.13488414009111604</v>
      </c>
      <c r="K53" s="220">
        <f>'Tasas inteligentes'!Q53</f>
        <v>0.1375822289110713</v>
      </c>
      <c r="L53" s="220">
        <f>'Tasas inteligentes'!R53</f>
        <v>0.1375822289110713</v>
      </c>
      <c r="M53" s="220">
        <f>'Tasas inteligentes'!S53</f>
        <v>0.14028619649985408</v>
      </c>
      <c r="N53" s="220">
        <f>'Tasas inteligentes'!T53</f>
        <v>0.15526362253922477</v>
      </c>
      <c r="O53" s="221"/>
    </row>
    <row r="54" spans="1:15" x14ac:dyDescent="0.35">
      <c r="A54" s="125" t="s">
        <v>106</v>
      </c>
      <c r="B54" s="130" t="s">
        <v>92</v>
      </c>
      <c r="C54" s="130" t="s">
        <v>66</v>
      </c>
      <c r="D54" s="130" t="s">
        <v>61</v>
      </c>
      <c r="E54" s="130" t="s">
        <v>58</v>
      </c>
      <c r="F54" s="130" t="s">
        <v>54</v>
      </c>
      <c r="H54" s="221"/>
      <c r="I54" s="220">
        <f>'Tasas inteligentes'!O54</f>
        <v>0.13623245038182419</v>
      </c>
      <c r="J54" s="220">
        <f>'Tasas inteligentes'!P54</f>
        <v>0.1375822289110713</v>
      </c>
      <c r="K54" s="220">
        <f>'Tasas inteligentes'!Q54</f>
        <v>0.14028619649985408</v>
      </c>
      <c r="L54" s="220">
        <f>'Tasas inteligentes'!R54</f>
        <v>0.14028619649985408</v>
      </c>
      <c r="M54" s="220">
        <f>'Tasas inteligentes'!S54</f>
        <v>0.14299605449973818</v>
      </c>
      <c r="N54" s="220">
        <f>'Tasas inteligentes'!T54</f>
        <v>0.15526362253922477</v>
      </c>
      <c r="O54" s="221"/>
    </row>
    <row r="55" spans="1:15" x14ac:dyDescent="0.35">
      <c r="A55" s="125" t="s">
        <v>107</v>
      </c>
      <c r="B55" s="130" t="s">
        <v>92</v>
      </c>
      <c r="C55" s="130" t="s">
        <v>66</v>
      </c>
      <c r="D55" s="130" t="s">
        <v>61</v>
      </c>
      <c r="E55" s="130" t="s">
        <v>58</v>
      </c>
      <c r="F55" s="130" t="s">
        <v>56</v>
      </c>
      <c r="H55" s="221"/>
      <c r="I55" s="220">
        <f>'Tasas inteligentes'!O55</f>
        <v>0.13623245038182419</v>
      </c>
      <c r="J55" s="220">
        <f>'Tasas inteligentes'!P55</f>
        <v>0.1375822289110713</v>
      </c>
      <c r="K55" s="220">
        <f>'Tasas inteligentes'!Q55</f>
        <v>0.14028619649985408</v>
      </c>
      <c r="L55" s="220">
        <f>'Tasas inteligentes'!R55</f>
        <v>0.14028619649985408</v>
      </c>
      <c r="M55" s="220">
        <f>'Tasas inteligentes'!S55</f>
        <v>0.14299605449973818</v>
      </c>
      <c r="N55" s="220">
        <f>'Tasas inteligentes'!T55</f>
        <v>0.15526362253922477</v>
      </c>
      <c r="O55" s="221"/>
    </row>
    <row r="56" spans="1:15" x14ac:dyDescent="0.35">
      <c r="H56" s="131"/>
      <c r="I56" s="131"/>
      <c r="J56" s="131"/>
      <c r="K56" s="131"/>
      <c r="L56" s="131"/>
      <c r="M56" s="131"/>
      <c r="N56" s="131"/>
      <c r="O56" s="131"/>
    </row>
    <row r="57" spans="1:15" x14ac:dyDescent="0.35">
      <c r="H57" s="131"/>
      <c r="I57" s="131"/>
      <c r="J57" s="131"/>
      <c r="K57" s="131"/>
      <c r="L57" s="131"/>
      <c r="M57" s="131"/>
      <c r="N57" s="131"/>
      <c r="O57" s="131"/>
    </row>
  </sheetData>
  <sheetProtection algorithmName="SHA-512" hashValue="yrtHhDRAW/cOB96xbvesGIHQFylUvohUiCi5dMIU+jyaURax7XgyjseSOhxMPTtb6256dlK2Mt3dE+/iUA6yQw==" saltValue="uNcWuLH1jgGC4sXw8KR+9w==" spinCount="100000" sheet="1" objects="1" scenarios="1"/>
  <mergeCells count="1">
    <mergeCell ref="I6:N6"/>
  </mergeCells>
  <conditionalFormatting sqref="I8:N55">
    <cfRule type="containsText" dxfId="60" priority="1" operator="containsText" text="N">
      <formula>NOT(ISERROR(SEARCH("N",I8)))</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65DE2-F5E0-4FF3-8A8D-A47FA3DDBD77}">
  <sheetPr codeName="Hoja5"/>
  <dimension ref="A1:O102"/>
  <sheetViews>
    <sheetView zoomScale="70" zoomScaleNormal="70" workbookViewId="0">
      <selection activeCell="B6" sqref="B6"/>
    </sheetView>
  </sheetViews>
  <sheetFormatPr baseColWidth="10" defaultColWidth="10.81640625" defaultRowHeight="15" customHeight="1" x14ac:dyDescent="0.35"/>
  <cols>
    <col min="1" max="1" width="10.81640625" style="2"/>
    <col min="2" max="2" width="12.1796875" style="2" bestFit="1" customWidth="1"/>
    <col min="3" max="3" width="10.81640625" style="2" hidden="1" customWidth="1"/>
    <col min="4" max="5" width="15.1796875" style="2" customWidth="1"/>
    <col min="6" max="6" width="17.26953125" style="2" bestFit="1" customWidth="1"/>
    <col min="7" max="7" width="4.81640625" style="2" customWidth="1"/>
    <col min="8" max="8" width="13.26953125" style="2" hidden="1" customWidth="1"/>
    <col min="9" max="9" width="0" style="2" hidden="1" customWidth="1"/>
    <col min="10" max="10" width="12" style="2" customWidth="1"/>
    <col min="11" max="12" width="10.81640625" style="2"/>
    <col min="13" max="13" width="12" style="2" bestFit="1" customWidth="1"/>
    <col min="14" max="14" width="10.81640625" style="2"/>
    <col min="15" max="15" width="30.453125" style="2" customWidth="1"/>
    <col min="16" max="16384" width="10.81640625" style="2"/>
  </cols>
  <sheetData>
    <row r="1" spans="1:15" ht="15.5" x14ac:dyDescent="0.35">
      <c r="A1" s="586" t="s">
        <v>2664</v>
      </c>
      <c r="B1" s="211" t="s">
        <v>2665</v>
      </c>
      <c r="C1" s="211" t="s">
        <v>2665</v>
      </c>
      <c r="D1" s="212" t="s">
        <v>51</v>
      </c>
      <c r="E1" s="212" t="s">
        <v>2666</v>
      </c>
      <c r="F1" s="212" t="s">
        <v>2667</v>
      </c>
      <c r="J1" s="584" t="s">
        <v>2668</v>
      </c>
      <c r="K1" s="584"/>
      <c r="M1" s="584" t="s">
        <v>2668</v>
      </c>
      <c r="N1" s="584"/>
      <c r="O1" s="584"/>
    </row>
    <row r="2" spans="1:15" ht="15.5" x14ac:dyDescent="0.35">
      <c r="A2" s="586"/>
      <c r="B2" s="211" t="s">
        <v>2669</v>
      </c>
      <c r="C2" s="211" t="s">
        <v>2670</v>
      </c>
      <c r="D2" s="211" t="s">
        <v>2669</v>
      </c>
      <c r="E2" s="211" t="s">
        <v>2669</v>
      </c>
      <c r="F2" s="211" t="s">
        <v>2669</v>
      </c>
      <c r="H2" s="213" t="s">
        <v>2671</v>
      </c>
      <c r="J2" s="214" t="s">
        <v>2386</v>
      </c>
      <c r="K2" s="215">
        <v>2.5399999999999999E-4</v>
      </c>
      <c r="M2" s="130" t="s">
        <v>2672</v>
      </c>
      <c r="N2" s="130" t="s">
        <v>2386</v>
      </c>
      <c r="O2" s="130" t="s">
        <v>2673</v>
      </c>
    </row>
    <row r="3" spans="1:15" ht="14.5" x14ac:dyDescent="0.35">
      <c r="A3" s="130">
        <v>18</v>
      </c>
      <c r="B3" s="216">
        <v>1.2320000000000001E-4</v>
      </c>
      <c r="C3" s="217">
        <v>0.10299999999999999</v>
      </c>
      <c r="D3" s="216">
        <v>1.2320000000000001E-4</v>
      </c>
      <c r="E3" s="216">
        <v>1.2320000000000001E-4</v>
      </c>
      <c r="F3" s="216">
        <v>1.0752E-4</v>
      </c>
      <c r="G3" s="218"/>
      <c r="M3" s="130" t="s">
        <v>2674</v>
      </c>
      <c r="N3" s="281">
        <v>6.2600000000000004E-4</v>
      </c>
      <c r="O3" s="130" t="s">
        <v>2675</v>
      </c>
    </row>
    <row r="4" spans="1:15" ht="14.5" x14ac:dyDescent="0.35">
      <c r="A4" s="130">
        <v>19</v>
      </c>
      <c r="B4" s="216">
        <v>1.2759999999999998E-4</v>
      </c>
      <c r="C4" s="217">
        <v>0.107</v>
      </c>
      <c r="D4" s="216">
        <v>1.2759999999999998E-4</v>
      </c>
      <c r="E4" s="216">
        <v>1.2759999999999998E-4</v>
      </c>
      <c r="F4" s="216">
        <v>1.1136E-4</v>
      </c>
      <c r="G4" s="218"/>
      <c r="H4" s="587"/>
      <c r="I4" s="587"/>
      <c r="J4" s="131"/>
      <c r="M4" s="130" t="s">
        <v>2676</v>
      </c>
      <c r="N4" s="281">
        <v>2.4399999999999999E-4</v>
      </c>
      <c r="O4" s="130" t="s">
        <v>2677</v>
      </c>
    </row>
    <row r="5" spans="1:15" ht="14.5" x14ac:dyDescent="0.35">
      <c r="A5" s="130">
        <v>20</v>
      </c>
      <c r="B5" s="216">
        <v>1.3200000000000001E-4</v>
      </c>
      <c r="C5" s="217">
        <v>0.111</v>
      </c>
      <c r="D5" s="216">
        <v>1.3200000000000001E-4</v>
      </c>
      <c r="E5" s="216">
        <v>1.3200000000000001E-4</v>
      </c>
      <c r="F5" s="216">
        <v>1.1520000000000001E-4</v>
      </c>
      <c r="G5" s="218"/>
      <c r="H5" s="585"/>
      <c r="I5" s="585"/>
      <c r="J5" s="136"/>
    </row>
    <row r="6" spans="1:15" ht="14.5" x14ac:dyDescent="0.35">
      <c r="A6" s="130">
        <v>21</v>
      </c>
      <c r="B6" s="216">
        <v>1.3750000000000001E-4</v>
      </c>
      <c r="C6" s="217">
        <v>0.115</v>
      </c>
      <c r="D6" s="216">
        <v>1.3750000000000001E-4</v>
      </c>
      <c r="E6" s="216">
        <v>1.3750000000000001E-4</v>
      </c>
      <c r="F6" s="216">
        <v>1.2E-4</v>
      </c>
      <c r="G6" s="218"/>
      <c r="H6" s="585"/>
      <c r="I6" s="585"/>
      <c r="J6" s="136"/>
    </row>
    <row r="7" spans="1:15" ht="14.5" x14ac:dyDescent="0.35">
      <c r="A7" s="130">
        <v>22</v>
      </c>
      <c r="B7" s="216">
        <v>1.4190000000000001E-4</v>
      </c>
      <c r="C7" s="217">
        <v>0.11899999999999999</v>
      </c>
      <c r="D7" s="216">
        <v>1.4190000000000001E-4</v>
      </c>
      <c r="E7" s="216">
        <v>1.4190000000000001E-4</v>
      </c>
      <c r="F7" s="216">
        <v>1.2383999999999998E-4</v>
      </c>
      <c r="G7" s="218"/>
      <c r="H7" s="585"/>
      <c r="I7" s="585"/>
      <c r="J7" s="136"/>
    </row>
    <row r="8" spans="1:15" ht="14.5" x14ac:dyDescent="0.35">
      <c r="A8" s="130">
        <v>23</v>
      </c>
      <c r="B8" s="216">
        <v>1.474E-4</v>
      </c>
      <c r="C8" s="217">
        <v>0.124</v>
      </c>
      <c r="D8" s="216">
        <v>1.474E-4</v>
      </c>
      <c r="E8" s="216">
        <v>1.474E-4</v>
      </c>
      <c r="F8" s="216">
        <v>1.2864000000000002E-4</v>
      </c>
      <c r="G8" s="218"/>
    </row>
    <row r="9" spans="1:15" ht="14.5" x14ac:dyDescent="0.35">
      <c r="A9" s="130">
        <v>24</v>
      </c>
      <c r="B9" s="216">
        <v>1.529E-4</v>
      </c>
      <c r="C9" s="217">
        <v>0.128</v>
      </c>
      <c r="D9" s="216">
        <v>1.529E-4</v>
      </c>
      <c r="E9" s="216">
        <v>1.529E-4</v>
      </c>
      <c r="F9" s="216">
        <v>1.3344E-4</v>
      </c>
      <c r="G9" s="218"/>
    </row>
    <row r="10" spans="1:15" ht="14.5" x14ac:dyDescent="0.35">
      <c r="A10" s="130">
        <v>25</v>
      </c>
      <c r="B10" s="216">
        <v>1.5840000000000003E-4</v>
      </c>
      <c r="C10" s="217">
        <v>0.13300000000000001</v>
      </c>
      <c r="D10" s="216">
        <v>1.5840000000000003E-4</v>
      </c>
      <c r="E10" s="216">
        <v>1.5840000000000003E-4</v>
      </c>
      <c r="F10" s="216">
        <v>1.3824E-4</v>
      </c>
      <c r="G10" s="218"/>
    </row>
    <row r="11" spans="1:15" ht="14.5" x14ac:dyDescent="0.35">
      <c r="A11" s="130">
        <v>26</v>
      </c>
      <c r="B11" s="216">
        <v>1.65E-4</v>
      </c>
      <c r="C11" s="217">
        <v>0.13800000000000001</v>
      </c>
      <c r="D11" s="216">
        <v>1.65E-4</v>
      </c>
      <c r="E11" s="216">
        <v>1.65E-4</v>
      </c>
      <c r="F11" s="216">
        <v>1.4399999999999998E-4</v>
      </c>
      <c r="G11" s="218"/>
    </row>
    <row r="12" spans="1:15" ht="14.5" x14ac:dyDescent="0.35">
      <c r="A12" s="130">
        <v>27</v>
      </c>
      <c r="B12" s="216">
        <v>1.7050000000000002E-4</v>
      </c>
      <c r="C12" s="217">
        <v>0.14299999999999999</v>
      </c>
      <c r="D12" s="216">
        <v>1.7050000000000002E-4</v>
      </c>
      <c r="E12" s="216">
        <v>1.7050000000000002E-4</v>
      </c>
      <c r="F12" s="216">
        <v>1.4880000000000001E-4</v>
      </c>
      <c r="G12" s="218"/>
    </row>
    <row r="13" spans="1:15" ht="14.5" x14ac:dyDescent="0.35">
      <c r="A13" s="130">
        <v>28</v>
      </c>
      <c r="B13" s="216">
        <v>1.7600000000000002E-4</v>
      </c>
      <c r="C13" s="217">
        <v>0.14799999999999999</v>
      </c>
      <c r="D13" s="216">
        <v>1.7600000000000002E-4</v>
      </c>
      <c r="E13" s="216">
        <v>1.7600000000000002E-4</v>
      </c>
      <c r="F13" s="216">
        <v>1.5360000000000002E-4</v>
      </c>
      <c r="G13" s="218"/>
    </row>
    <row r="14" spans="1:15" ht="14.5" x14ac:dyDescent="0.35">
      <c r="A14" s="130">
        <v>29</v>
      </c>
      <c r="B14" s="216">
        <v>1.8260000000000002E-4</v>
      </c>
      <c r="C14" s="217">
        <v>0.153</v>
      </c>
      <c r="D14" s="216">
        <v>1.8260000000000002E-4</v>
      </c>
      <c r="E14" s="216">
        <v>1.8260000000000002E-4</v>
      </c>
      <c r="F14" s="216">
        <v>1.5935999999999999E-4</v>
      </c>
      <c r="G14" s="218"/>
    </row>
    <row r="15" spans="1:15" ht="14.5" x14ac:dyDescent="0.35">
      <c r="A15" s="130">
        <v>30</v>
      </c>
      <c r="B15" s="216">
        <v>1.8920000000000002E-4</v>
      </c>
      <c r="C15" s="217">
        <v>0.159</v>
      </c>
      <c r="D15" s="216">
        <v>1.8920000000000002E-4</v>
      </c>
      <c r="E15" s="216">
        <v>1.8920000000000002E-4</v>
      </c>
      <c r="F15" s="216">
        <v>1.6512000000000002E-4</v>
      </c>
      <c r="G15" s="218"/>
    </row>
    <row r="16" spans="1:15" ht="14.5" x14ac:dyDescent="0.35">
      <c r="A16" s="130">
        <v>31</v>
      </c>
      <c r="B16" s="216">
        <v>1.9579999999999996E-4</v>
      </c>
      <c r="C16" s="217">
        <v>0.16400000000000001</v>
      </c>
      <c r="D16" s="216">
        <v>1.9579999999999996E-4</v>
      </c>
      <c r="E16" s="216">
        <v>1.9579999999999996E-4</v>
      </c>
      <c r="F16" s="216">
        <v>1.7087999999999999E-4</v>
      </c>
      <c r="G16" s="218"/>
    </row>
    <row r="17" spans="1:7" ht="14.5" x14ac:dyDescent="0.35">
      <c r="A17" s="130">
        <v>32</v>
      </c>
      <c r="B17" s="216">
        <v>2.0240000000000004E-4</v>
      </c>
      <c r="C17" s="217">
        <v>0.17</v>
      </c>
      <c r="D17" s="216">
        <v>2.0240000000000004E-4</v>
      </c>
      <c r="E17" s="216">
        <v>2.0240000000000004E-4</v>
      </c>
      <c r="F17" s="216">
        <v>1.7663999999999999E-4</v>
      </c>
      <c r="G17" s="218"/>
    </row>
    <row r="18" spans="1:7" ht="14.5" x14ac:dyDescent="0.35">
      <c r="A18" s="130">
        <v>33</v>
      </c>
      <c r="B18" s="216">
        <v>2.1120000000000006E-4</v>
      </c>
      <c r="C18" s="217">
        <v>0.17699999999999999</v>
      </c>
      <c r="D18" s="216">
        <v>2.1120000000000006E-4</v>
      </c>
      <c r="E18" s="216">
        <v>2.1120000000000006E-4</v>
      </c>
      <c r="F18" s="216">
        <v>1.8432E-4</v>
      </c>
      <c r="G18" s="218"/>
    </row>
    <row r="19" spans="1:7" ht="14.5" x14ac:dyDescent="0.35">
      <c r="A19" s="130">
        <v>34</v>
      </c>
      <c r="B19" s="216">
        <v>2.2660000000000001E-4</v>
      </c>
      <c r="C19" s="217">
        <v>0.19</v>
      </c>
      <c r="D19" s="216">
        <v>2.2660000000000001E-4</v>
      </c>
      <c r="E19" s="216">
        <v>2.2660000000000001E-4</v>
      </c>
      <c r="F19" s="216">
        <v>1.9776E-4</v>
      </c>
      <c r="G19" s="218"/>
    </row>
    <row r="20" spans="1:7" ht="14.5" x14ac:dyDescent="0.35">
      <c r="A20" s="130">
        <v>35</v>
      </c>
      <c r="B20" s="216">
        <v>2.4090000000000003E-4</v>
      </c>
      <c r="C20" s="217">
        <v>0.20200000000000001</v>
      </c>
      <c r="D20" s="216">
        <v>2.4090000000000003E-4</v>
      </c>
      <c r="E20" s="216">
        <v>2.4090000000000003E-4</v>
      </c>
      <c r="F20" s="216">
        <v>2.1024000000000002E-4</v>
      </c>
      <c r="G20" s="218"/>
    </row>
    <row r="21" spans="1:7" ht="14.5" x14ac:dyDescent="0.35">
      <c r="A21" s="130">
        <v>36</v>
      </c>
      <c r="B21" s="216">
        <v>2.5519999999999997E-4</v>
      </c>
      <c r="C21" s="217">
        <v>0.214</v>
      </c>
      <c r="D21" s="216">
        <v>2.5519999999999997E-4</v>
      </c>
      <c r="E21" s="228">
        <v>2.5519999999999997E-4</v>
      </c>
      <c r="F21" s="216">
        <v>2.2272000000000001E-4</v>
      </c>
      <c r="G21" s="218"/>
    </row>
    <row r="22" spans="1:7" ht="14.5" x14ac:dyDescent="0.35">
      <c r="A22" s="130">
        <v>37</v>
      </c>
      <c r="B22" s="216">
        <v>2.7280000000000002E-4</v>
      </c>
      <c r="C22" s="217">
        <v>0.22800000000000001</v>
      </c>
      <c r="D22" s="216">
        <v>2.7280000000000002E-4</v>
      </c>
      <c r="E22" s="216">
        <v>2.7280000000000002E-4</v>
      </c>
      <c r="F22" s="216">
        <v>2.3808E-4</v>
      </c>
      <c r="G22" s="218"/>
    </row>
    <row r="23" spans="1:7" ht="14.5" x14ac:dyDescent="0.35">
      <c r="A23" s="130">
        <v>38</v>
      </c>
      <c r="B23" s="216">
        <v>2.8930000000000004E-4</v>
      </c>
      <c r="C23" s="217">
        <v>0.24199999999999999</v>
      </c>
      <c r="D23" s="216">
        <v>2.8930000000000004E-4</v>
      </c>
      <c r="E23" s="287">
        <v>2.3599999999999999E-4</v>
      </c>
      <c r="F23" s="216">
        <v>2.5248000000000002E-4</v>
      </c>
      <c r="G23" s="218"/>
    </row>
    <row r="24" spans="1:7" ht="14.5" x14ac:dyDescent="0.35">
      <c r="A24" s="130">
        <v>39</v>
      </c>
      <c r="B24" s="216">
        <v>3.0690000000000003E-4</v>
      </c>
      <c r="C24" s="217">
        <v>0.25700000000000001</v>
      </c>
      <c r="D24" s="216">
        <v>3.0690000000000003E-4</v>
      </c>
      <c r="E24" s="216">
        <v>2.3599999999999999E-4</v>
      </c>
      <c r="F24" s="216">
        <v>2.6783999999999998E-4</v>
      </c>
      <c r="G24" s="218"/>
    </row>
    <row r="25" spans="1:7" ht="14.5" x14ac:dyDescent="0.35">
      <c r="A25" s="130">
        <v>40</v>
      </c>
      <c r="B25" s="216">
        <v>3.278E-4</v>
      </c>
      <c r="C25" s="217">
        <v>0.27400000000000002</v>
      </c>
      <c r="D25" s="216">
        <v>3.278E-4</v>
      </c>
      <c r="E25" s="216">
        <v>2.3599999999999999E-4</v>
      </c>
      <c r="F25" s="216">
        <v>2.8607999999999997E-4</v>
      </c>
      <c r="G25" s="218"/>
    </row>
    <row r="26" spans="1:7" ht="14.5" x14ac:dyDescent="0.35">
      <c r="A26" s="130">
        <v>41</v>
      </c>
      <c r="B26" s="216">
        <v>3.4759999999999999E-4</v>
      </c>
      <c r="C26" s="217">
        <v>0.29099999999999998</v>
      </c>
      <c r="D26" s="216">
        <v>3.4759999999999999E-4</v>
      </c>
      <c r="E26" s="216">
        <v>2.3599999999999999E-4</v>
      </c>
      <c r="F26" s="216">
        <v>3.0335999999999997E-4</v>
      </c>
      <c r="G26" s="218"/>
    </row>
    <row r="27" spans="1:7" ht="14.5" x14ac:dyDescent="0.35">
      <c r="A27" s="130">
        <v>42</v>
      </c>
      <c r="B27" s="216">
        <v>3.6959999999999998E-4</v>
      </c>
      <c r="C27" s="217">
        <v>0.309</v>
      </c>
      <c r="D27" s="216">
        <v>3.6959999999999998E-4</v>
      </c>
      <c r="E27" s="216">
        <v>2.3599999999999999E-4</v>
      </c>
      <c r="F27" s="216">
        <v>3.2256E-4</v>
      </c>
      <c r="G27" s="218"/>
    </row>
    <row r="28" spans="1:7" ht="14.5" x14ac:dyDescent="0.35">
      <c r="A28" s="130">
        <v>43</v>
      </c>
      <c r="B28" s="216">
        <v>3.9270000000000006E-4</v>
      </c>
      <c r="C28" s="217">
        <v>0.32900000000000001</v>
      </c>
      <c r="D28" s="216">
        <v>3.9270000000000006E-4</v>
      </c>
      <c r="E28" s="216">
        <v>2.3599999999999999E-4</v>
      </c>
      <c r="F28" s="216">
        <v>3.4272000000000003E-4</v>
      </c>
      <c r="G28" s="218"/>
    </row>
    <row r="29" spans="1:7" ht="14.5" x14ac:dyDescent="0.35">
      <c r="A29" s="130">
        <v>44</v>
      </c>
      <c r="B29" s="216">
        <v>4.1800000000000008E-4</v>
      </c>
      <c r="C29" s="217">
        <v>0.35</v>
      </c>
      <c r="D29" s="216">
        <v>4.1800000000000008E-4</v>
      </c>
      <c r="E29" s="216">
        <v>2.3599999999999999E-4</v>
      </c>
      <c r="F29" s="216">
        <v>3.6480000000000003E-4</v>
      </c>
      <c r="G29" s="218"/>
    </row>
    <row r="30" spans="1:7" ht="14.5" x14ac:dyDescent="0.35">
      <c r="A30" s="130">
        <v>45</v>
      </c>
      <c r="B30" s="216">
        <v>4.4440000000000007E-4</v>
      </c>
      <c r="C30" s="217">
        <v>0.372</v>
      </c>
      <c r="D30" s="216">
        <v>4.4440000000000007E-4</v>
      </c>
      <c r="E30" s="216">
        <v>2.3599999999999999E-4</v>
      </c>
      <c r="F30" s="216">
        <v>3.8784000000000003E-4</v>
      </c>
      <c r="G30" s="218"/>
    </row>
    <row r="31" spans="1:7" ht="14.5" x14ac:dyDescent="0.35">
      <c r="A31" s="130">
        <v>46</v>
      </c>
      <c r="B31" s="216">
        <v>4.7190000000000014E-4</v>
      </c>
      <c r="C31" s="217">
        <v>0.39500000000000002</v>
      </c>
      <c r="D31" s="216">
        <v>4.7190000000000014E-4</v>
      </c>
      <c r="E31" s="216">
        <v>2.3599999999999999E-4</v>
      </c>
      <c r="F31" s="216">
        <v>4.1184000000000001E-4</v>
      </c>
      <c r="G31" s="218"/>
    </row>
    <row r="32" spans="1:7" ht="14.5" x14ac:dyDescent="0.35">
      <c r="A32" s="130">
        <v>47</v>
      </c>
      <c r="B32" s="216">
        <v>5.0160000000000005E-4</v>
      </c>
      <c r="C32" s="217">
        <v>0.42</v>
      </c>
      <c r="D32" s="216">
        <v>5.0160000000000005E-4</v>
      </c>
      <c r="E32" s="216">
        <v>2.3599999999999999E-4</v>
      </c>
      <c r="F32" s="216">
        <v>4.3776000000000004E-4</v>
      </c>
      <c r="G32" s="218"/>
    </row>
    <row r="33" spans="1:7" ht="14.5" x14ac:dyDescent="0.35">
      <c r="A33" s="130">
        <v>48</v>
      </c>
      <c r="B33" s="216">
        <v>5.4779999999999998E-4</v>
      </c>
      <c r="C33" s="217">
        <v>0.45800000000000002</v>
      </c>
      <c r="D33" s="287">
        <v>4.417E-4</v>
      </c>
      <c r="E33" s="216">
        <v>2.3599999999999999E-4</v>
      </c>
      <c r="F33" s="216">
        <v>4.7807999999999998E-4</v>
      </c>
      <c r="G33" s="218"/>
    </row>
    <row r="34" spans="1:7" ht="14.5" x14ac:dyDescent="0.35">
      <c r="A34" s="130">
        <v>49</v>
      </c>
      <c r="B34" s="216">
        <v>5.9619999999999996E-4</v>
      </c>
      <c r="C34" s="217">
        <v>0.499</v>
      </c>
      <c r="D34" s="216">
        <v>4.417E-4</v>
      </c>
      <c r="E34" s="216">
        <v>2.3599999999999999E-4</v>
      </c>
      <c r="F34" s="216">
        <v>5.203199999999999E-4</v>
      </c>
      <c r="G34" s="218"/>
    </row>
    <row r="35" spans="1:7" ht="14.5" x14ac:dyDescent="0.35">
      <c r="A35" s="130">
        <v>50</v>
      </c>
      <c r="B35" s="216">
        <v>6.4900000000000005E-4</v>
      </c>
      <c r="C35" s="217">
        <v>0.54300000000000004</v>
      </c>
      <c r="D35" s="216">
        <v>4.417E-4</v>
      </c>
      <c r="E35" s="216">
        <v>4.6999999999999999E-4</v>
      </c>
      <c r="F35" s="216">
        <v>5.664E-4</v>
      </c>
      <c r="G35" s="218"/>
    </row>
    <row r="36" spans="1:7" ht="14.5" x14ac:dyDescent="0.35">
      <c r="A36" s="130">
        <v>51</v>
      </c>
      <c r="B36" s="216">
        <v>7.0730000000000012E-4</v>
      </c>
      <c r="C36" s="217">
        <v>0.59199999999999997</v>
      </c>
      <c r="D36" s="216">
        <v>4.417E-4</v>
      </c>
      <c r="E36" s="216">
        <v>4.6999999999999999E-4</v>
      </c>
      <c r="F36" s="216">
        <v>6.1728E-4</v>
      </c>
      <c r="G36" s="218"/>
    </row>
    <row r="37" spans="1:7" ht="14.5" x14ac:dyDescent="0.35">
      <c r="A37" s="130">
        <v>52</v>
      </c>
      <c r="B37" s="216">
        <v>7.7110000000000004E-4</v>
      </c>
      <c r="C37" s="217">
        <v>0.64500000000000002</v>
      </c>
      <c r="D37" s="216">
        <v>4.417E-4</v>
      </c>
      <c r="E37" s="216">
        <v>4.6999999999999999E-4</v>
      </c>
      <c r="F37" s="216">
        <v>6.7296000000000001E-4</v>
      </c>
      <c r="G37" s="218"/>
    </row>
    <row r="38" spans="1:7" ht="14.5" x14ac:dyDescent="0.35">
      <c r="A38" s="130">
        <v>53</v>
      </c>
      <c r="B38" s="216">
        <v>8.4040000000000026E-4</v>
      </c>
      <c r="C38" s="217">
        <v>0.70299999999999996</v>
      </c>
      <c r="D38" s="216">
        <v>4.417E-4</v>
      </c>
      <c r="E38" s="216">
        <v>4.6999999999999999E-4</v>
      </c>
      <c r="F38" s="216">
        <v>7.3344000000000003E-4</v>
      </c>
      <c r="G38" s="218"/>
    </row>
    <row r="39" spans="1:7" ht="14.5" x14ac:dyDescent="0.35">
      <c r="A39" s="130">
        <v>54</v>
      </c>
      <c r="B39" s="216">
        <v>9.1630000000000021E-4</v>
      </c>
      <c r="C39" s="217">
        <v>0.76600000000000001</v>
      </c>
      <c r="D39" s="216">
        <v>4.417E-4</v>
      </c>
      <c r="E39" s="216">
        <v>4.6999999999999999E-4</v>
      </c>
      <c r="F39" s="216">
        <v>7.9967999999999999E-4</v>
      </c>
      <c r="G39" s="218"/>
    </row>
    <row r="40" spans="1:7" ht="14.5" x14ac:dyDescent="0.35">
      <c r="A40" s="130">
        <v>55</v>
      </c>
      <c r="B40" s="216">
        <v>9.9879999999999999E-4</v>
      </c>
      <c r="C40" s="217">
        <v>0.83499999999999996</v>
      </c>
      <c r="D40" s="216">
        <v>4.417E-4</v>
      </c>
      <c r="E40" s="216">
        <v>4.6999999999999999E-4</v>
      </c>
      <c r="F40" s="216">
        <v>8.7168E-4</v>
      </c>
      <c r="G40" s="218"/>
    </row>
    <row r="41" spans="1:7" ht="14.5" x14ac:dyDescent="0.35">
      <c r="A41" s="130">
        <v>56</v>
      </c>
      <c r="B41" s="216">
        <v>1.0879000000000002E-3</v>
      </c>
      <c r="C41" s="217">
        <v>0.91</v>
      </c>
      <c r="D41" s="216">
        <v>4.417E-4</v>
      </c>
      <c r="E41" s="216">
        <v>4.6999999999999999E-4</v>
      </c>
      <c r="F41" s="216">
        <v>9.4944000000000007E-4</v>
      </c>
      <c r="G41" s="218"/>
    </row>
    <row r="42" spans="1:7" ht="14.5" x14ac:dyDescent="0.35">
      <c r="A42" s="130">
        <v>57</v>
      </c>
      <c r="B42" s="216">
        <v>1.1869000000000003E-3</v>
      </c>
      <c r="C42" s="217">
        <v>0.99199999999999999</v>
      </c>
      <c r="D42" s="216">
        <v>4.417E-4</v>
      </c>
      <c r="E42" s="216">
        <v>4.6999999999999999E-4</v>
      </c>
      <c r="F42" s="216">
        <v>1.0358400000000001E-3</v>
      </c>
      <c r="G42" s="218"/>
    </row>
    <row r="43" spans="1:7" ht="14.5" x14ac:dyDescent="0.35">
      <c r="A43" s="130">
        <v>58</v>
      </c>
      <c r="B43" s="216">
        <v>1.2925000000000002E-3</v>
      </c>
      <c r="C43" s="217">
        <v>0.1081</v>
      </c>
      <c r="D43" s="216">
        <v>4.417E-4</v>
      </c>
      <c r="E43" s="216">
        <v>4.6999999999999999E-4</v>
      </c>
      <c r="F43" s="216">
        <v>1.1280000000000001E-3</v>
      </c>
      <c r="G43" s="218"/>
    </row>
    <row r="44" spans="1:7" ht="14.5" x14ac:dyDescent="0.35">
      <c r="A44" s="130">
        <v>59</v>
      </c>
      <c r="B44" s="216">
        <v>1.4091000000000002E-3</v>
      </c>
      <c r="C44" s="217">
        <v>0.1178</v>
      </c>
      <c r="D44" s="216">
        <v>4.417E-4</v>
      </c>
      <c r="E44" s="216">
        <v>4.6999999999999999E-4</v>
      </c>
      <c r="F44" s="216">
        <v>1.2297600000000001E-3</v>
      </c>
      <c r="G44" s="218"/>
    </row>
    <row r="45" spans="1:7" ht="14.5" x14ac:dyDescent="0.35">
      <c r="A45" s="130">
        <v>60</v>
      </c>
      <c r="B45" s="216">
        <v>1.5345000000000001E-3</v>
      </c>
      <c r="C45" s="217">
        <v>0.1283</v>
      </c>
      <c r="D45" s="216">
        <v>4.417E-4</v>
      </c>
      <c r="E45" s="216">
        <v>4.6999999999999999E-4</v>
      </c>
      <c r="F45" s="216">
        <v>1.3392E-3</v>
      </c>
      <c r="G45" s="218"/>
    </row>
    <row r="46" spans="1:7" ht="14.5" x14ac:dyDescent="0.35">
      <c r="A46" s="130">
        <v>61</v>
      </c>
      <c r="B46" s="216">
        <v>1.6720000000000003E-3</v>
      </c>
      <c r="C46" s="217">
        <v>0.13980000000000001</v>
      </c>
      <c r="D46" s="216">
        <v>4.417E-4</v>
      </c>
      <c r="E46" s="216">
        <v>4.6999999999999999E-4</v>
      </c>
      <c r="F46" s="216">
        <v>1.4592000000000001E-3</v>
      </c>
      <c r="G46" s="218"/>
    </row>
    <row r="47" spans="1:7" ht="14.5" x14ac:dyDescent="0.35">
      <c r="A47" s="130">
        <v>62</v>
      </c>
      <c r="B47" s="216">
        <v>1.8227000000000002E-3</v>
      </c>
      <c r="C47" s="217">
        <v>0.15240000000000001</v>
      </c>
      <c r="D47" s="216">
        <v>4.417E-4</v>
      </c>
      <c r="E47" s="216">
        <v>4.6999999999999999E-4</v>
      </c>
      <c r="F47" s="216">
        <v>1.5907200000000001E-3</v>
      </c>
      <c r="G47" s="218"/>
    </row>
    <row r="48" spans="1:7" ht="14.5" x14ac:dyDescent="0.35">
      <c r="A48" s="130">
        <v>63</v>
      </c>
      <c r="B48" s="216">
        <v>1.9855000000000003E-3</v>
      </c>
      <c r="C48" s="217">
        <v>0.16600000000000001</v>
      </c>
      <c r="D48" s="216">
        <v>5.8330000000000003E-4</v>
      </c>
      <c r="E48" s="216">
        <v>4.6999999999999999E-4</v>
      </c>
      <c r="F48" s="216">
        <v>1.7328000000000001E-3</v>
      </c>
      <c r="G48" s="218"/>
    </row>
    <row r="49" spans="1:7" ht="14.5" x14ac:dyDescent="0.35">
      <c r="A49" s="130">
        <v>64</v>
      </c>
      <c r="B49" s="216">
        <v>2.1637000000000002E-3</v>
      </c>
      <c r="C49" s="217">
        <v>0.18090000000000001</v>
      </c>
      <c r="D49" s="216">
        <v>5.8330000000000003E-4</v>
      </c>
      <c r="E49" s="216">
        <v>4.6999999999999999E-4</v>
      </c>
      <c r="F49" s="216">
        <v>1.88832E-3</v>
      </c>
      <c r="G49" s="218"/>
    </row>
    <row r="50" spans="1:7" ht="14.5" x14ac:dyDescent="0.35">
      <c r="A50" s="130">
        <v>65</v>
      </c>
      <c r="B50" s="216">
        <v>2.3595000000000005E-3</v>
      </c>
      <c r="C50" s="217">
        <v>0.19719999999999999</v>
      </c>
      <c r="D50" s="216">
        <v>5.8330000000000003E-4</v>
      </c>
      <c r="E50" s="216">
        <v>4.6999999999999999E-4</v>
      </c>
      <c r="F50" s="216">
        <v>2.0592000000000002E-3</v>
      </c>
      <c r="G50" s="218"/>
    </row>
    <row r="51" spans="1:7" ht="14.5" x14ac:dyDescent="0.35">
      <c r="A51" s="130">
        <v>66</v>
      </c>
      <c r="B51" s="216">
        <v>2.5696E-3</v>
      </c>
      <c r="C51" s="217">
        <v>0.21479999999999999</v>
      </c>
      <c r="D51" s="216">
        <v>5.8330000000000003E-4</v>
      </c>
      <c r="E51" s="216">
        <v>4.6999999999999999E-4</v>
      </c>
      <c r="F51" s="216">
        <v>2.2425599999999998E-3</v>
      </c>
      <c r="G51" s="218"/>
    </row>
    <row r="52" spans="1:7" ht="14.5" x14ac:dyDescent="0.35">
      <c r="A52" s="130">
        <v>67</v>
      </c>
      <c r="B52" s="216">
        <v>2.8006000000000003E-3</v>
      </c>
      <c r="C52" s="217">
        <v>0.2341</v>
      </c>
      <c r="D52" s="216">
        <v>5.8330000000000003E-4</v>
      </c>
      <c r="E52" s="216">
        <v>4.6999999999999999E-4</v>
      </c>
      <c r="F52" s="216">
        <v>2.4441599999999999E-3</v>
      </c>
      <c r="G52" s="218"/>
    </row>
    <row r="53" spans="1:7" ht="14.5" x14ac:dyDescent="0.35">
      <c r="A53" s="130">
        <v>68</v>
      </c>
      <c r="B53" s="216">
        <v>3.0513999999999997E-3</v>
      </c>
      <c r="C53" s="217">
        <v>0.25509999999999999</v>
      </c>
      <c r="D53" s="216">
        <v>5.8330000000000003E-4</v>
      </c>
      <c r="E53" s="216">
        <v>4.6999999999999999E-4</v>
      </c>
      <c r="F53" s="216">
        <v>2.6630400000000002E-3</v>
      </c>
      <c r="G53" s="218"/>
    </row>
    <row r="54" spans="1:7" ht="14.5" x14ac:dyDescent="0.35">
      <c r="A54" s="130">
        <v>69</v>
      </c>
      <c r="B54" s="216">
        <v>3.3264000000000006E-3</v>
      </c>
      <c r="C54" s="217">
        <v>0.27800000000000002</v>
      </c>
      <c r="D54" s="216">
        <v>5.8330000000000003E-4</v>
      </c>
      <c r="E54" s="216">
        <v>4.6999999999999999E-4</v>
      </c>
      <c r="F54" s="216">
        <v>2.9030400000000004E-3</v>
      </c>
      <c r="G54" s="218"/>
    </row>
    <row r="55" spans="1:7" ht="14.5" x14ac:dyDescent="0.35">
      <c r="A55" s="130">
        <v>70</v>
      </c>
      <c r="B55" s="216">
        <v>3.6234000000000001E-3</v>
      </c>
      <c r="C55" s="216">
        <v>0.3029</v>
      </c>
      <c r="D55" s="216">
        <v>5.8330000000000003E-4</v>
      </c>
      <c r="E55" s="216">
        <v>4.6999999999999999E-4</v>
      </c>
      <c r="F55" s="216">
        <v>3.1622400000000002E-3</v>
      </c>
      <c r="G55" s="218"/>
    </row>
    <row r="56" spans="1:7" ht="15" customHeight="1" x14ac:dyDescent="0.35">
      <c r="A56" s="130">
        <v>71</v>
      </c>
      <c r="B56" s="216">
        <v>3.9490000000000003E-3</v>
      </c>
      <c r="C56" s="219"/>
      <c r="D56" s="216">
        <v>5.8330000000000003E-4</v>
      </c>
      <c r="E56" s="216">
        <v>4.6999999999999999E-4</v>
      </c>
      <c r="F56" s="216">
        <v>3.4464000000000001E-3</v>
      </c>
    </row>
    <row r="57" spans="1:7" ht="15" customHeight="1" x14ac:dyDescent="0.35">
      <c r="A57" s="130">
        <v>72</v>
      </c>
      <c r="B57" s="216">
        <v>4.3032000000000001E-3</v>
      </c>
      <c r="C57" s="219"/>
      <c r="D57" s="216">
        <v>5.8330000000000003E-4</v>
      </c>
      <c r="E57" s="216">
        <v>4.6999999999999999E-4</v>
      </c>
      <c r="F57" s="216">
        <v>3.7555199999999996E-3</v>
      </c>
    </row>
    <row r="58" spans="1:7" ht="15" customHeight="1" x14ac:dyDescent="0.35">
      <c r="A58" s="130">
        <v>73</v>
      </c>
      <c r="B58" s="216">
        <v>4.3032000000000001E-3</v>
      </c>
      <c r="C58" s="219"/>
      <c r="D58" s="216">
        <v>3.9119999999999997E-3</v>
      </c>
      <c r="E58" s="216">
        <v>3.9119999999999997E-3</v>
      </c>
      <c r="F58" s="216">
        <v>3.7555199999999996E-3</v>
      </c>
    </row>
    <row r="59" spans="1:7" ht="15" customHeight="1" x14ac:dyDescent="0.35">
      <c r="A59" s="130">
        <v>74</v>
      </c>
      <c r="B59" s="216">
        <v>4.3032000000000001E-3</v>
      </c>
      <c r="C59" s="219"/>
      <c r="D59" s="216">
        <v>3.9119999999999997E-3</v>
      </c>
      <c r="E59" s="216">
        <v>3.9119999999999997E-3</v>
      </c>
      <c r="F59" s="216">
        <v>3.7555199999999996E-3</v>
      </c>
    </row>
    <row r="60" spans="1:7" ht="15" customHeight="1" x14ac:dyDescent="0.35">
      <c r="A60" s="130">
        <v>75</v>
      </c>
      <c r="B60" s="216">
        <v>4.3032000000000001E-3</v>
      </c>
      <c r="C60" s="219"/>
      <c r="D60" s="216">
        <v>3.9119999999999997E-3</v>
      </c>
      <c r="E60" s="216">
        <v>3.9119999999999997E-3</v>
      </c>
      <c r="F60" s="216">
        <v>3.7555199999999996E-3</v>
      </c>
    </row>
    <row r="61" spans="1:7" ht="15" customHeight="1" x14ac:dyDescent="0.35">
      <c r="A61" s="130">
        <v>76</v>
      </c>
      <c r="B61" s="216">
        <v>4.3032000000000001E-3</v>
      </c>
      <c r="C61" s="219"/>
      <c r="D61" s="216">
        <v>3.9119999999999997E-3</v>
      </c>
      <c r="E61" s="216">
        <v>3.9119999999999997E-3</v>
      </c>
      <c r="F61" s="216">
        <v>3.7555199999999996E-3</v>
      </c>
    </row>
    <row r="62" spans="1:7" ht="15" customHeight="1" x14ac:dyDescent="0.35">
      <c r="A62" s="130">
        <v>77</v>
      </c>
      <c r="B62" s="216">
        <v>4.3032000000000001E-3</v>
      </c>
      <c r="C62" s="219"/>
      <c r="D62" s="216">
        <v>3.9119999999999997E-3</v>
      </c>
      <c r="E62" s="216">
        <v>3.9119999999999997E-3</v>
      </c>
      <c r="F62" s="216">
        <v>3.7555199999999996E-3</v>
      </c>
    </row>
    <row r="63" spans="1:7" ht="15" customHeight="1" x14ac:dyDescent="0.35">
      <c r="A63" s="130">
        <v>78</v>
      </c>
      <c r="B63" s="216">
        <v>4.3032000000000001E-3</v>
      </c>
      <c r="C63" s="219"/>
      <c r="D63" s="216">
        <v>3.9119999999999997E-3</v>
      </c>
      <c r="E63" s="216">
        <v>3.9119999999999997E-3</v>
      </c>
      <c r="F63" s="216">
        <v>3.7555199999999996E-3</v>
      </c>
    </row>
    <row r="64" spans="1:7" ht="15" customHeight="1" x14ac:dyDescent="0.35">
      <c r="A64" s="130">
        <v>79</v>
      </c>
      <c r="B64" s="216">
        <v>4.3032000000000001E-3</v>
      </c>
      <c r="C64" s="219"/>
      <c r="D64" s="216">
        <v>3.9119999999999997E-3</v>
      </c>
      <c r="E64" s="216">
        <v>3.9119999999999997E-3</v>
      </c>
      <c r="F64" s="216">
        <v>3.7555199999999996E-3</v>
      </c>
    </row>
    <row r="65" spans="1:6" ht="15" customHeight="1" x14ac:dyDescent="0.35">
      <c r="A65" s="130">
        <v>80</v>
      </c>
      <c r="B65" s="216">
        <v>4.3032000000000001E-3</v>
      </c>
      <c r="C65" s="219"/>
      <c r="D65" s="216">
        <v>3.9119999999999997E-3</v>
      </c>
      <c r="E65" s="216">
        <v>3.9119999999999997E-3</v>
      </c>
      <c r="F65" s="216">
        <v>3.7555199999999996E-3</v>
      </c>
    </row>
    <row r="66" spans="1:6" ht="15" customHeight="1" x14ac:dyDescent="0.35">
      <c r="A66" s="130">
        <v>81</v>
      </c>
      <c r="B66" s="216">
        <v>4.3032000000000001E-3</v>
      </c>
      <c r="C66" s="219"/>
      <c r="D66" s="216">
        <v>3.9119999999999997E-3</v>
      </c>
      <c r="E66" s="216">
        <v>3.9119999999999997E-3</v>
      </c>
      <c r="F66" s="216">
        <v>3.7555199999999996E-3</v>
      </c>
    </row>
    <row r="67" spans="1:6" ht="15" customHeight="1" x14ac:dyDescent="0.35">
      <c r="A67" s="130">
        <v>82</v>
      </c>
      <c r="B67" s="216">
        <v>4.3032000000000001E-3</v>
      </c>
      <c r="C67" s="219"/>
      <c r="D67" s="216">
        <v>3.9119999999999997E-3</v>
      </c>
      <c r="E67" s="216">
        <v>3.9119999999999997E-3</v>
      </c>
      <c r="F67" s="216">
        <v>3.7555199999999996E-3</v>
      </c>
    </row>
    <row r="68" spans="1:6" ht="15" customHeight="1" x14ac:dyDescent="0.35">
      <c r="A68" s="130">
        <v>83</v>
      </c>
      <c r="B68" s="216">
        <v>4.3032000000000001E-3</v>
      </c>
      <c r="C68" s="219"/>
      <c r="D68" s="216">
        <v>3.9119999999999997E-3</v>
      </c>
      <c r="E68" s="216">
        <v>3.9119999999999997E-3</v>
      </c>
      <c r="F68" s="216">
        <v>3.7555199999999996E-3</v>
      </c>
    </row>
    <row r="69" spans="1:6" ht="15" customHeight="1" x14ac:dyDescent="0.35">
      <c r="A69" s="130">
        <v>84</v>
      </c>
      <c r="B69" s="216">
        <v>4.3032000000000001E-3</v>
      </c>
      <c r="C69" s="219"/>
      <c r="D69" s="216">
        <v>3.9119999999999997E-3</v>
      </c>
      <c r="E69" s="216">
        <v>3.9119999999999997E-3</v>
      </c>
      <c r="F69" s="216">
        <v>3.7555199999999996E-3</v>
      </c>
    </row>
    <row r="70" spans="1:6" ht="15" customHeight="1" x14ac:dyDescent="0.35">
      <c r="A70" s="130">
        <v>85</v>
      </c>
      <c r="B70" s="216">
        <v>4.3032000000000001E-3</v>
      </c>
      <c r="C70" s="219"/>
      <c r="D70" s="216">
        <v>3.9119999999999997E-3</v>
      </c>
      <c r="E70" s="216">
        <v>3.9119999999999997E-3</v>
      </c>
      <c r="F70" s="216">
        <v>3.7555199999999996E-3</v>
      </c>
    </row>
    <row r="71" spans="1:6" ht="15" customHeight="1" x14ac:dyDescent="0.35">
      <c r="A71" s="130">
        <v>86</v>
      </c>
      <c r="B71" s="216">
        <v>4.3032000000000001E-3</v>
      </c>
      <c r="C71" s="219"/>
      <c r="D71" s="216">
        <v>3.9119999999999997E-3</v>
      </c>
      <c r="E71" s="216">
        <v>3.9119999999999997E-3</v>
      </c>
      <c r="F71" s="216">
        <v>3.7555199999999996E-3</v>
      </c>
    </row>
    <row r="72" spans="1:6" ht="15" customHeight="1" x14ac:dyDescent="0.35">
      <c r="A72" s="130">
        <v>87</v>
      </c>
      <c r="B72" s="216">
        <v>4.3032000000000001E-3</v>
      </c>
      <c r="C72" s="219"/>
      <c r="D72" s="216">
        <v>3.9119999999999997E-3</v>
      </c>
      <c r="E72" s="216">
        <v>3.9119999999999997E-3</v>
      </c>
      <c r="F72" s="216">
        <v>3.7555199999999996E-3</v>
      </c>
    </row>
    <row r="73" spans="1:6" ht="15" customHeight="1" x14ac:dyDescent="0.35">
      <c r="A73" s="130">
        <v>88</v>
      </c>
      <c r="B73" s="216">
        <v>4.3032000000000001E-3</v>
      </c>
      <c r="C73" s="219"/>
      <c r="D73" s="216">
        <v>3.9119999999999997E-3</v>
      </c>
      <c r="E73" s="216">
        <v>3.9119999999999997E-3</v>
      </c>
      <c r="F73" s="216">
        <v>3.7555199999999996E-3</v>
      </c>
    </row>
    <row r="74" spans="1:6" ht="15" customHeight="1" x14ac:dyDescent="0.35">
      <c r="A74" s="130">
        <v>89</v>
      </c>
      <c r="B74" s="216">
        <v>4.3032000000000001E-3</v>
      </c>
      <c r="C74" s="219"/>
      <c r="D74" s="216">
        <v>3.9119999999999997E-3</v>
      </c>
      <c r="E74" s="216">
        <v>3.9119999999999997E-3</v>
      </c>
      <c r="F74" s="216">
        <v>3.7555199999999996E-3</v>
      </c>
    </row>
    <row r="75" spans="1:6" ht="15" customHeight="1" x14ac:dyDescent="0.35">
      <c r="A75" s="130">
        <v>90</v>
      </c>
      <c r="B75" s="216">
        <v>4.3032000000000001E-3</v>
      </c>
      <c r="C75" s="219"/>
      <c r="D75" s="216">
        <v>3.9119999999999997E-3</v>
      </c>
      <c r="E75" s="216">
        <v>3.9119999999999997E-3</v>
      </c>
      <c r="F75" s="216">
        <v>3.7555199999999996E-3</v>
      </c>
    </row>
    <row r="76" spans="1:6" ht="15" customHeight="1" x14ac:dyDescent="0.35">
      <c r="A76" s="130">
        <v>91</v>
      </c>
      <c r="B76" s="216">
        <v>4.3032000000000001E-3</v>
      </c>
      <c r="C76" s="219"/>
      <c r="D76" s="216">
        <v>3.9119999999999997E-3</v>
      </c>
      <c r="E76" s="216">
        <v>3.9119999999999997E-3</v>
      </c>
      <c r="F76" s="216">
        <v>3.7555199999999996E-3</v>
      </c>
    </row>
    <row r="77" spans="1:6" ht="15" customHeight="1" x14ac:dyDescent="0.35">
      <c r="A77" s="130">
        <v>92</v>
      </c>
      <c r="B77" s="216">
        <v>4.3032000000000001E-3</v>
      </c>
      <c r="C77" s="219"/>
      <c r="D77" s="216">
        <v>3.9119999999999997E-3</v>
      </c>
      <c r="E77" s="216">
        <v>3.9119999999999997E-3</v>
      </c>
      <c r="F77" s="216">
        <v>3.7555199999999996E-3</v>
      </c>
    </row>
    <row r="78" spans="1:6" ht="15" customHeight="1" x14ac:dyDescent="0.35">
      <c r="A78" s="130">
        <v>93</v>
      </c>
      <c r="B78" s="216">
        <v>4.3032000000000001E-3</v>
      </c>
      <c r="C78" s="219"/>
      <c r="D78" s="216">
        <v>3.9119999999999997E-3</v>
      </c>
      <c r="E78" s="216">
        <v>3.9119999999999997E-3</v>
      </c>
      <c r="F78" s="216">
        <v>3.7555199999999996E-3</v>
      </c>
    </row>
    <row r="79" spans="1:6" ht="15" customHeight="1" x14ac:dyDescent="0.35">
      <c r="A79" s="130">
        <v>94</v>
      </c>
      <c r="B79" s="216">
        <v>4.3032000000000001E-3</v>
      </c>
      <c r="C79" s="219"/>
      <c r="D79" s="216">
        <v>3.9119999999999997E-3</v>
      </c>
      <c r="E79" s="216">
        <v>3.9119999999999997E-3</v>
      </c>
      <c r="F79" s="216">
        <v>3.7555199999999996E-3</v>
      </c>
    </row>
    <row r="80" spans="1:6" ht="15" customHeight="1" x14ac:dyDescent="0.35">
      <c r="A80" s="130">
        <v>95</v>
      </c>
      <c r="B80" s="216">
        <v>4.3032000000000001E-3</v>
      </c>
      <c r="C80" s="219"/>
      <c r="D80" s="216">
        <v>3.9119999999999997E-3</v>
      </c>
      <c r="E80" s="216">
        <v>3.9119999999999997E-3</v>
      </c>
      <c r="F80" s="216">
        <v>3.7555199999999996E-3</v>
      </c>
    </row>
    <row r="81" spans="1:6" ht="15" customHeight="1" x14ac:dyDescent="0.35">
      <c r="A81" s="130">
        <v>96</v>
      </c>
      <c r="B81" s="216">
        <v>4.3032000000000001E-3</v>
      </c>
      <c r="C81" s="219"/>
      <c r="D81" s="216">
        <v>3.9119999999999997E-3</v>
      </c>
      <c r="E81" s="216">
        <v>3.9119999999999997E-3</v>
      </c>
      <c r="F81" s="216">
        <v>3.7555199999999996E-3</v>
      </c>
    </row>
    <row r="82" spans="1:6" ht="15" customHeight="1" x14ac:dyDescent="0.35">
      <c r="A82" s="130">
        <v>97</v>
      </c>
      <c r="B82" s="216">
        <v>4.3032000000000001E-3</v>
      </c>
      <c r="C82" s="219"/>
      <c r="D82" s="216">
        <v>3.9119999999999997E-3</v>
      </c>
      <c r="E82" s="216">
        <v>3.9119999999999997E-3</v>
      </c>
      <c r="F82" s="216">
        <v>3.7555199999999996E-3</v>
      </c>
    </row>
    <row r="83" spans="1:6" ht="15" customHeight="1" x14ac:dyDescent="0.35">
      <c r="A83" s="130">
        <v>98</v>
      </c>
      <c r="B83" s="216">
        <v>4.3032000000000001E-3</v>
      </c>
      <c r="C83" s="219"/>
      <c r="D83" s="216">
        <v>3.9119999999999997E-3</v>
      </c>
      <c r="E83" s="216">
        <v>3.9119999999999997E-3</v>
      </c>
      <c r="F83" s="216">
        <v>3.7555199999999996E-3</v>
      </c>
    </row>
    <row r="84" spans="1:6" ht="15" customHeight="1" x14ac:dyDescent="0.35">
      <c r="A84" s="130">
        <v>99</v>
      </c>
      <c r="B84" s="216">
        <v>4.3032000000000001E-3</v>
      </c>
      <c r="C84" s="219"/>
      <c r="D84" s="216">
        <v>3.9119999999999997E-3</v>
      </c>
      <c r="E84" s="216">
        <v>3.9119999999999997E-3</v>
      </c>
      <c r="F84" s="216">
        <v>3.7555199999999996E-3</v>
      </c>
    </row>
    <row r="85" spans="1:6" ht="15" customHeight="1" x14ac:dyDescent="0.35">
      <c r="A85" s="130">
        <v>100</v>
      </c>
      <c r="B85" s="216">
        <v>4.3032000000000001E-3</v>
      </c>
      <c r="C85" s="219"/>
      <c r="D85" s="216">
        <v>3.9119999999999997E-3</v>
      </c>
      <c r="E85" s="216">
        <v>3.9119999999999997E-3</v>
      </c>
      <c r="F85" s="216">
        <v>3.7555199999999996E-3</v>
      </c>
    </row>
    <row r="86" spans="1:6" ht="15" customHeight="1" x14ac:dyDescent="0.35">
      <c r="B86" s="219"/>
      <c r="C86" s="219"/>
      <c r="D86" s="219"/>
      <c r="E86" s="219"/>
      <c r="F86" s="219"/>
    </row>
    <row r="87" spans="1:6" ht="15" customHeight="1" x14ac:dyDescent="0.35">
      <c r="B87" s="219"/>
      <c r="C87" s="219"/>
      <c r="D87" s="219"/>
      <c r="E87" s="219"/>
      <c r="F87" s="219"/>
    </row>
    <row r="88" spans="1:6" ht="15" customHeight="1" x14ac:dyDescent="0.35">
      <c r="B88" s="219"/>
      <c r="C88" s="219"/>
      <c r="D88" s="219"/>
      <c r="E88" s="219"/>
      <c r="F88" s="219"/>
    </row>
    <row r="89" spans="1:6" ht="15" customHeight="1" x14ac:dyDescent="0.35">
      <c r="B89" s="219"/>
      <c r="C89" s="219"/>
      <c r="D89" s="219"/>
      <c r="E89" s="219"/>
      <c r="F89" s="219"/>
    </row>
    <row r="90" spans="1:6" ht="15" customHeight="1" x14ac:dyDescent="0.35">
      <c r="B90" s="219"/>
      <c r="C90" s="219"/>
      <c r="D90" s="219"/>
      <c r="E90" s="219"/>
      <c r="F90" s="219"/>
    </row>
    <row r="91" spans="1:6" ht="15" customHeight="1" x14ac:dyDescent="0.35">
      <c r="B91" s="219"/>
      <c r="C91" s="219"/>
      <c r="D91" s="219"/>
      <c r="E91" s="219"/>
      <c r="F91" s="219"/>
    </row>
    <row r="92" spans="1:6" ht="15" customHeight="1" x14ac:dyDescent="0.35">
      <c r="B92" s="219"/>
      <c r="C92" s="219"/>
      <c r="D92" s="219"/>
      <c r="E92" s="219"/>
      <c r="F92" s="219"/>
    </row>
    <row r="93" spans="1:6" ht="15" customHeight="1" x14ac:dyDescent="0.35">
      <c r="B93" s="219"/>
      <c r="C93" s="219"/>
      <c r="D93" s="219"/>
      <c r="E93" s="219"/>
      <c r="F93" s="219"/>
    </row>
    <row r="94" spans="1:6" ht="15" customHeight="1" x14ac:dyDescent="0.35">
      <c r="B94" s="219"/>
      <c r="C94" s="219"/>
      <c r="D94" s="219"/>
      <c r="E94" s="219"/>
      <c r="F94" s="219"/>
    </row>
    <row r="95" spans="1:6" ht="15" customHeight="1" x14ac:dyDescent="0.35">
      <c r="B95" s="219"/>
      <c r="C95" s="219"/>
      <c r="D95" s="219"/>
      <c r="E95" s="219"/>
      <c r="F95" s="219"/>
    </row>
    <row r="96" spans="1:6" ht="15" customHeight="1" x14ac:dyDescent="0.35">
      <c r="B96" s="219"/>
      <c r="C96" s="219"/>
      <c r="D96" s="219"/>
      <c r="E96" s="219"/>
      <c r="F96" s="219"/>
    </row>
    <row r="97" spans="2:6" ht="15" customHeight="1" x14ac:dyDescent="0.35">
      <c r="B97" s="219"/>
      <c r="C97" s="219"/>
      <c r="D97" s="219"/>
      <c r="E97" s="219"/>
      <c r="F97" s="219"/>
    </row>
    <row r="98" spans="2:6" ht="15" customHeight="1" x14ac:dyDescent="0.35">
      <c r="B98" s="219"/>
      <c r="C98" s="219"/>
      <c r="D98" s="219"/>
      <c r="E98" s="219"/>
      <c r="F98" s="219"/>
    </row>
    <row r="99" spans="2:6" ht="15" customHeight="1" x14ac:dyDescent="0.35">
      <c r="B99" s="219"/>
      <c r="C99" s="219"/>
      <c r="D99" s="219"/>
      <c r="E99" s="219"/>
      <c r="F99" s="219"/>
    </row>
    <row r="100" spans="2:6" ht="15" customHeight="1" x14ac:dyDescent="0.35">
      <c r="B100" s="219"/>
      <c r="C100" s="219"/>
      <c r="D100" s="219"/>
      <c r="E100" s="219"/>
      <c r="F100" s="219"/>
    </row>
    <row r="101" spans="2:6" ht="15" customHeight="1" x14ac:dyDescent="0.35">
      <c r="B101" s="219"/>
      <c r="C101" s="219"/>
      <c r="D101" s="219"/>
      <c r="E101" s="219"/>
      <c r="F101" s="219"/>
    </row>
    <row r="102" spans="2:6" ht="15" customHeight="1" x14ac:dyDescent="0.35">
      <c r="B102" s="219"/>
      <c r="C102" s="219"/>
      <c r="D102" s="219"/>
      <c r="E102" s="219"/>
      <c r="F102" s="219"/>
    </row>
  </sheetData>
  <sheetProtection algorithmName="SHA-512" hashValue="z4gTqgWLphK9nkr1kfLSjhatsUdwD3Ce2HKSTEAYwK2cBX+wn7tZQNqAFJV/RQ0dEO6QSkS3pi9IxKv+U2y9fQ==" saltValue="Ze8DuXCqsLnZYrkKAcpMQw==" spinCount="100000" sheet="1" objects="1" scenarios="1"/>
  <mergeCells count="7">
    <mergeCell ref="M1:O1"/>
    <mergeCell ref="H7:I7"/>
    <mergeCell ref="J1:K1"/>
    <mergeCell ref="A1:A2"/>
    <mergeCell ref="H4:I4"/>
    <mergeCell ref="H5:I5"/>
    <mergeCell ref="H6:I6"/>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6B3BE-ED63-48DE-8E6D-80FBFA09CAEB}">
  <sheetPr codeName="Hoja12"/>
  <dimension ref="A1:W245"/>
  <sheetViews>
    <sheetView showGridLines="0" zoomScale="76" zoomScaleNormal="76" workbookViewId="0">
      <selection activeCell="J13" sqref="J13"/>
    </sheetView>
  </sheetViews>
  <sheetFormatPr baseColWidth="10" defaultColWidth="11.453125" defaultRowHeight="14.5" x14ac:dyDescent="0.35"/>
  <cols>
    <col min="1" max="1" width="4.453125" style="2" customWidth="1"/>
    <col min="2" max="2" width="21.26953125" style="2" customWidth="1"/>
    <col min="3" max="3" width="11.54296875" style="2" customWidth="1"/>
    <col min="4" max="4" width="20.26953125" style="2" customWidth="1"/>
    <col min="5" max="5" width="7" style="2" customWidth="1"/>
    <col min="6" max="6" width="13.453125" style="2" customWidth="1"/>
    <col min="7" max="7" width="12.1796875" style="2" customWidth="1"/>
    <col min="8" max="8" width="13.81640625" style="2" customWidth="1"/>
    <col min="9" max="9" width="16" style="2" customWidth="1"/>
    <col min="10" max="10" width="15.26953125" style="2" customWidth="1"/>
    <col min="11" max="11" width="16.453125" style="2" customWidth="1"/>
    <col min="12" max="14" width="11.453125" style="2" hidden="1" customWidth="1"/>
    <col min="15" max="15" width="5.1796875" style="2" hidden="1" customWidth="1"/>
    <col min="16" max="17" width="15.453125" style="2" hidden="1" customWidth="1"/>
    <col min="18" max="18" width="14.26953125" style="2" hidden="1" customWidth="1"/>
    <col min="19" max="19" width="2.81640625" style="2" hidden="1" customWidth="1"/>
    <col min="20" max="20" width="5.26953125" style="2" hidden="1" customWidth="1"/>
    <col min="21" max="22" width="15.453125" style="2" hidden="1" customWidth="1"/>
    <col min="23" max="23" width="14.26953125" style="2" hidden="1" customWidth="1"/>
    <col min="24" max="16384" width="11.453125" style="2"/>
  </cols>
  <sheetData>
    <row r="1" spans="1:23" ht="15" customHeight="1" x14ac:dyDescent="0.35">
      <c r="C1" s="61"/>
      <c r="D1" s="61"/>
      <c r="E1" s="61"/>
      <c r="F1" s="61"/>
      <c r="G1" s="61"/>
      <c r="H1" s="430" t="str">
        <f>Pantalla_Inicio!J1</f>
        <v>Código: PCV_FOR_006
Versión: V02
Fecha de actualización: 04/05/2026</v>
      </c>
      <c r="I1" s="431"/>
      <c r="J1" s="112"/>
      <c r="K1" s="112"/>
      <c r="O1" s="2">
        <v>1</v>
      </c>
      <c r="P1" s="231">
        <f t="shared" ref="P1:P30" si="0">IFERROR(IPMT((NOMINAL($D$27,12)/12),O1,$D$12,-$D$26),0)</f>
        <v>0</v>
      </c>
      <c r="Q1" s="231">
        <f t="shared" ref="Q1:Q30" si="1">IFERROR(IPMT((NOMINAL($D$19,12)/12),O1,$D$12,-($D$18*99%))+(($D$18*1%)*(NOMINAL($D$19,12)/12)),0)</f>
        <v>0</v>
      </c>
      <c r="R1" s="231">
        <f>P1-Q1</f>
        <v>0</v>
      </c>
      <c r="T1" s="2">
        <v>1</v>
      </c>
      <c r="U1" s="231">
        <f t="shared" ref="U1:U30" si="2">IFERROR(IPMT((NOMINAL($D$27,12)/12),T1,$D$12,-$D$26),0)</f>
        <v>0</v>
      </c>
      <c r="V1" s="231">
        <f t="shared" ref="V1:V30" si="3">IFERROR(IPMT((NOMINAL($D$19,12)/12),T1,$D$12,-($D$26*99%))+(($D$18*1%)*(NOMINAL($D$19,12)/12)),0)</f>
        <v>0</v>
      </c>
      <c r="W1" s="231">
        <f>U1-V1</f>
        <v>0</v>
      </c>
    </row>
    <row r="2" spans="1:23" ht="25.5" customHeight="1" x14ac:dyDescent="0.55000000000000004">
      <c r="C2" s="143"/>
      <c r="D2" s="143"/>
      <c r="E2" s="143"/>
      <c r="F2" s="143"/>
      <c r="G2" s="143"/>
      <c r="H2" s="432"/>
      <c r="I2" s="433"/>
      <c r="J2" s="112"/>
      <c r="K2" s="112"/>
      <c r="O2" s="2">
        <v>2</v>
      </c>
      <c r="P2" s="231">
        <f t="shared" si="0"/>
        <v>0</v>
      </c>
      <c r="Q2" s="231">
        <f t="shared" si="1"/>
        <v>0</v>
      </c>
      <c r="R2" s="231">
        <f t="shared" ref="R2:R30" si="4">P2-Q2</f>
        <v>0</v>
      </c>
      <c r="T2" s="2">
        <v>2</v>
      </c>
      <c r="U2" s="231">
        <f t="shared" si="2"/>
        <v>0</v>
      </c>
      <c r="V2" s="231">
        <f t="shared" si="3"/>
        <v>0</v>
      </c>
      <c r="W2" s="231">
        <f t="shared" ref="W2:W30" si="5">U2-V2</f>
        <v>0</v>
      </c>
    </row>
    <row r="3" spans="1:23" ht="19" customHeight="1" x14ac:dyDescent="0.35">
      <c r="A3" s="69"/>
      <c r="B3" s="69"/>
      <c r="C3" s="69"/>
      <c r="D3" s="69"/>
      <c r="E3" s="69"/>
      <c r="F3" s="69"/>
      <c r="G3" s="69"/>
      <c r="H3" s="434"/>
      <c r="I3" s="435"/>
      <c r="J3" s="96" t="s">
        <v>2346</v>
      </c>
      <c r="K3" s="112"/>
      <c r="L3" s="111" t="s">
        <v>40</v>
      </c>
      <c r="N3" s="111"/>
      <c r="O3" s="2">
        <v>3</v>
      </c>
      <c r="P3" s="231">
        <f t="shared" si="0"/>
        <v>0</v>
      </c>
      <c r="Q3" s="231">
        <f t="shared" si="1"/>
        <v>0</v>
      </c>
      <c r="R3" s="231">
        <f t="shared" si="4"/>
        <v>0</v>
      </c>
      <c r="T3" s="2">
        <v>3</v>
      </c>
      <c r="U3" s="231">
        <f t="shared" si="2"/>
        <v>0</v>
      </c>
      <c r="V3" s="231">
        <f t="shared" si="3"/>
        <v>0</v>
      </c>
      <c r="W3" s="231">
        <f t="shared" si="5"/>
        <v>0</v>
      </c>
    </row>
    <row r="4" spans="1:23" ht="10.5" customHeight="1" thickBot="1" x14ac:dyDescent="0.4">
      <c r="A4" s="11"/>
      <c r="B4" s="11"/>
      <c r="C4" s="11"/>
      <c r="D4" s="11"/>
      <c r="E4" s="11"/>
      <c r="F4" s="11"/>
      <c r="G4" s="11"/>
      <c r="H4" s="144"/>
      <c r="I4" s="144"/>
      <c r="J4" s="112"/>
      <c r="K4" s="112"/>
      <c r="L4" s="2">
        <v>0</v>
      </c>
      <c r="M4" s="2">
        <f>L5-1</f>
        <v>769</v>
      </c>
      <c r="N4" s="2" t="s">
        <v>2678</v>
      </c>
      <c r="O4" s="2">
        <v>4</v>
      </c>
      <c r="P4" s="231">
        <f t="shared" si="0"/>
        <v>0</v>
      </c>
      <c r="Q4" s="231">
        <f t="shared" si="1"/>
        <v>0</v>
      </c>
      <c r="R4" s="231">
        <f t="shared" si="4"/>
        <v>0</v>
      </c>
      <c r="T4" s="2">
        <v>4</v>
      </c>
      <c r="U4" s="231">
        <f t="shared" si="2"/>
        <v>0</v>
      </c>
      <c r="V4" s="231">
        <f t="shared" si="3"/>
        <v>0</v>
      </c>
      <c r="W4" s="231">
        <f t="shared" si="5"/>
        <v>0</v>
      </c>
    </row>
    <row r="5" spans="1:23" ht="20.5" customHeight="1" x14ac:dyDescent="0.35">
      <c r="A5" s="11"/>
      <c r="B5" s="592" t="s">
        <v>2679</v>
      </c>
      <c r="C5" s="593"/>
      <c r="D5" s="594"/>
      <c r="E5" s="16"/>
      <c r="J5" s="11"/>
      <c r="K5" s="144"/>
      <c r="L5" s="2">
        <v>770</v>
      </c>
      <c r="N5" s="2" t="s">
        <v>2680</v>
      </c>
      <c r="O5" s="2">
        <v>5</v>
      </c>
      <c r="P5" s="231">
        <f t="shared" si="0"/>
        <v>0</v>
      </c>
      <c r="Q5" s="231">
        <f t="shared" si="1"/>
        <v>0</v>
      </c>
      <c r="R5" s="231">
        <f t="shared" si="4"/>
        <v>0</v>
      </c>
      <c r="T5" s="2">
        <v>5</v>
      </c>
      <c r="U5" s="231">
        <f t="shared" si="2"/>
        <v>0</v>
      </c>
      <c r="V5" s="231">
        <f t="shared" si="3"/>
        <v>0</v>
      </c>
      <c r="W5" s="231">
        <f t="shared" si="5"/>
        <v>0</v>
      </c>
    </row>
    <row r="6" spans="1:23" ht="8.5" customHeight="1" thickBot="1" x14ac:dyDescent="0.4">
      <c r="A6" s="145"/>
      <c r="B6" s="145"/>
      <c r="C6" s="145"/>
      <c r="D6" s="145"/>
      <c r="E6" s="79"/>
      <c r="J6" s="11"/>
      <c r="O6" s="2">
        <v>6</v>
      </c>
      <c r="P6" s="231">
        <f t="shared" si="0"/>
        <v>0</v>
      </c>
      <c r="Q6" s="231">
        <f t="shared" si="1"/>
        <v>0</v>
      </c>
      <c r="R6" s="231">
        <f t="shared" si="4"/>
        <v>0</v>
      </c>
      <c r="T6" s="2">
        <v>6</v>
      </c>
      <c r="U6" s="231">
        <f t="shared" si="2"/>
        <v>0</v>
      </c>
      <c r="V6" s="231">
        <f t="shared" si="3"/>
        <v>0</v>
      </c>
      <c r="W6" s="231">
        <f t="shared" si="5"/>
        <v>0</v>
      </c>
    </row>
    <row r="7" spans="1:23" ht="16.5" customHeight="1" thickBot="1" x14ac:dyDescent="0.4">
      <c r="A7" s="145"/>
      <c r="B7" s="74" t="s">
        <v>2533</v>
      </c>
      <c r="C7" s="75"/>
      <c r="D7" s="81">
        <f>'Crédito de Vivienda'!C8</f>
        <v>0</v>
      </c>
      <c r="E7" s="79"/>
      <c r="O7" s="2">
        <v>7</v>
      </c>
      <c r="P7" s="231">
        <f t="shared" si="0"/>
        <v>0</v>
      </c>
      <c r="Q7" s="231">
        <f t="shared" si="1"/>
        <v>0</v>
      </c>
      <c r="R7" s="231">
        <f t="shared" si="4"/>
        <v>0</v>
      </c>
      <c r="T7" s="2">
        <v>7</v>
      </c>
      <c r="U7" s="231">
        <f t="shared" si="2"/>
        <v>0</v>
      </c>
      <c r="V7" s="231">
        <f t="shared" si="3"/>
        <v>0</v>
      </c>
      <c r="W7" s="231">
        <f t="shared" si="5"/>
        <v>0</v>
      </c>
    </row>
    <row r="8" spans="1:23" ht="17.5" customHeight="1" thickBot="1" x14ac:dyDescent="0.4">
      <c r="A8" s="145"/>
      <c r="B8" s="532" t="s">
        <v>2543</v>
      </c>
      <c r="C8" s="542"/>
      <c r="D8" s="82">
        <f>'Crédito de Vivienda'!C11</f>
        <v>0</v>
      </c>
      <c r="E8" s="79"/>
      <c r="F8" s="601" t="str">
        <f>_xlfn.CONCAT("Si te prestamos ", ($D$18/1000000)," Millones Con Leasing Habitacional")</f>
        <v>Si te prestamos 0 Millones Con Leasing Habitacional</v>
      </c>
      <c r="G8" s="602"/>
      <c r="H8" s="602"/>
      <c r="I8" s="602"/>
      <c r="J8" s="602"/>
      <c r="L8" s="111" t="s">
        <v>2536</v>
      </c>
      <c r="O8" s="2">
        <v>8</v>
      </c>
      <c r="P8" s="231">
        <f t="shared" si="0"/>
        <v>0</v>
      </c>
      <c r="Q8" s="231">
        <f t="shared" si="1"/>
        <v>0</v>
      </c>
      <c r="R8" s="231">
        <f t="shared" si="4"/>
        <v>0</v>
      </c>
      <c r="T8" s="2">
        <v>8</v>
      </c>
      <c r="U8" s="231">
        <f t="shared" si="2"/>
        <v>0</v>
      </c>
      <c r="V8" s="231">
        <f t="shared" si="3"/>
        <v>0</v>
      </c>
      <c r="W8" s="231">
        <f t="shared" si="5"/>
        <v>0</v>
      </c>
    </row>
    <row r="9" spans="1:23" ht="16.5" customHeight="1" thickBot="1" x14ac:dyDescent="0.4">
      <c r="A9" s="145"/>
      <c r="B9" s="74" t="s">
        <v>2365</v>
      </c>
      <c r="C9" s="78">
        <v>0</v>
      </c>
      <c r="D9" s="81">
        <f>'Crédito de Vivienda'!C12</f>
        <v>0</v>
      </c>
      <c r="E9" s="79"/>
      <c r="F9" s="595" t="s">
        <v>2681</v>
      </c>
      <c r="G9" s="595"/>
      <c r="H9" s="595"/>
      <c r="I9" s="606">
        <f>D18-D26</f>
        <v>0</v>
      </c>
      <c r="J9" s="606"/>
      <c r="L9" s="111">
        <v>0</v>
      </c>
      <c r="M9" s="2">
        <v>60</v>
      </c>
      <c r="N9" s="2" t="s">
        <v>42</v>
      </c>
      <c r="O9" s="2">
        <v>9</v>
      </c>
      <c r="P9" s="231">
        <f t="shared" si="0"/>
        <v>0</v>
      </c>
      <c r="Q9" s="231">
        <f t="shared" si="1"/>
        <v>0</v>
      </c>
      <c r="R9" s="231">
        <f t="shared" si="4"/>
        <v>0</v>
      </c>
      <c r="T9" s="2">
        <v>9</v>
      </c>
      <c r="U9" s="231">
        <f t="shared" si="2"/>
        <v>0</v>
      </c>
      <c r="V9" s="231">
        <f t="shared" si="3"/>
        <v>0</v>
      </c>
      <c r="W9" s="231">
        <f t="shared" si="5"/>
        <v>0</v>
      </c>
    </row>
    <row r="10" spans="1:23" ht="16.5" customHeight="1" thickBot="1" x14ac:dyDescent="0.4">
      <c r="A10" s="145"/>
      <c r="B10" s="532" t="s">
        <v>2535</v>
      </c>
      <c r="C10" s="542"/>
      <c r="D10" s="81" t="str">
        <f>'Crédito de Vivienda'!C13</f>
        <v/>
      </c>
      <c r="E10" s="79"/>
      <c r="F10" s="603" t="s">
        <v>2682</v>
      </c>
      <c r="G10" s="604"/>
      <c r="H10" s="605"/>
      <c r="I10" s="597">
        <f>$D$9-$D$18</f>
        <v>0</v>
      </c>
      <c r="J10" s="597"/>
      <c r="L10" s="111">
        <v>61</v>
      </c>
      <c r="M10" s="2">
        <v>84</v>
      </c>
      <c r="N10" s="2" t="s">
        <v>43</v>
      </c>
      <c r="O10" s="2">
        <v>10</v>
      </c>
      <c r="P10" s="231">
        <f t="shared" si="0"/>
        <v>0</v>
      </c>
      <c r="Q10" s="231">
        <f t="shared" si="1"/>
        <v>0</v>
      </c>
      <c r="R10" s="231">
        <f t="shared" si="4"/>
        <v>0</v>
      </c>
      <c r="T10" s="2">
        <v>10</v>
      </c>
      <c r="U10" s="231">
        <f t="shared" si="2"/>
        <v>0</v>
      </c>
      <c r="V10" s="231">
        <f t="shared" si="3"/>
        <v>0</v>
      </c>
      <c r="W10" s="231">
        <f t="shared" si="5"/>
        <v>0</v>
      </c>
    </row>
    <row r="11" spans="1:23" ht="17.149999999999999" customHeight="1" thickBot="1" x14ac:dyDescent="0.4">
      <c r="A11" s="145"/>
      <c r="B11" s="534" t="s">
        <v>2549</v>
      </c>
      <c r="C11" s="543"/>
      <c r="D11" s="86">
        <f>'Crédito de Vivienda'!C14</f>
        <v>0</v>
      </c>
      <c r="E11" s="79" t="str">
        <f>IF(D11="Otros","Otros","Asalariado y Pensionado")</f>
        <v>Asalariado y Pensionado</v>
      </c>
      <c r="F11" s="595" t="str">
        <f>IF(I11=0,"","Ahorrarías mensualmente")</f>
        <v/>
      </c>
      <c r="G11" s="595"/>
      <c r="H11" s="595"/>
      <c r="I11" s="596">
        <f>IF(($D$28-$D$20)&lt;=0,0,$D$28-$D$20)</f>
        <v>0</v>
      </c>
      <c r="J11" s="596"/>
      <c r="L11" s="2">
        <v>85</v>
      </c>
      <c r="M11" s="2">
        <v>120</v>
      </c>
      <c r="N11" s="2" t="s">
        <v>44</v>
      </c>
      <c r="O11" s="2">
        <v>11</v>
      </c>
      <c r="P11" s="231">
        <f t="shared" si="0"/>
        <v>0</v>
      </c>
      <c r="Q11" s="231">
        <f t="shared" si="1"/>
        <v>0</v>
      </c>
      <c r="R11" s="231">
        <f t="shared" si="4"/>
        <v>0</v>
      </c>
      <c r="T11" s="2">
        <v>11</v>
      </c>
      <c r="U11" s="231">
        <f t="shared" si="2"/>
        <v>0</v>
      </c>
      <c r="V11" s="231">
        <f t="shared" si="3"/>
        <v>0</v>
      </c>
      <c r="W11" s="231">
        <f t="shared" si="5"/>
        <v>0</v>
      </c>
    </row>
    <row r="12" spans="1:23" ht="15.65" customHeight="1" thickBot="1" x14ac:dyDescent="0.4">
      <c r="A12" s="145"/>
      <c r="B12" s="534" t="s">
        <v>2536</v>
      </c>
      <c r="C12" s="576"/>
      <c r="D12" s="89">
        <f>'Crédito de Vivienda'!C18</f>
        <v>0</v>
      </c>
      <c r="E12" s="79" t="e" cm="1">
        <f t="array" ref="E12">_xlfn.IFS(D12=M9,N9,((D12&gt;=L10)*AND(D12&lt;=M10)),N10,((D12&gt;=L11)*AND(D12&lt;=M11)),N11,((D12&gt;=L12)*AND(D12&lt;=M12)),N12,((D12&gt;=L13)*AND(D12&lt;=M13)),N13,((D12&gt;=L14)*AND(D12&lt;=M14)),N14)</f>
        <v>#N/A</v>
      </c>
      <c r="F12" s="595" t="str">
        <f>IF(I12=0,"","Ahorro en intereses totales")</f>
        <v/>
      </c>
      <c r="G12" s="595"/>
      <c r="H12" s="595"/>
      <c r="I12" s="596">
        <f>IF((SUM(R1:R240)&lt;=0),0,SUM(R1:R240))</f>
        <v>0</v>
      </c>
      <c r="J12" s="596"/>
      <c r="K12" s="232">
        <f>D26</f>
        <v>0</v>
      </c>
      <c r="L12" s="2">
        <f>M11+1</f>
        <v>121</v>
      </c>
      <c r="M12" s="2">
        <v>180</v>
      </c>
      <c r="N12" s="2" t="s">
        <v>45</v>
      </c>
      <c r="O12" s="2">
        <v>12</v>
      </c>
      <c r="P12" s="231">
        <f t="shared" si="0"/>
        <v>0</v>
      </c>
      <c r="Q12" s="231">
        <f t="shared" si="1"/>
        <v>0</v>
      </c>
      <c r="R12" s="231">
        <f t="shared" si="4"/>
        <v>0</v>
      </c>
      <c r="T12" s="2">
        <v>12</v>
      </c>
      <c r="U12" s="231">
        <f t="shared" si="2"/>
        <v>0</v>
      </c>
      <c r="V12" s="231">
        <f t="shared" si="3"/>
        <v>0</v>
      </c>
      <c r="W12" s="231">
        <f t="shared" si="5"/>
        <v>0</v>
      </c>
    </row>
    <row r="13" spans="1:23" ht="16" customHeight="1" thickBot="1" x14ac:dyDescent="0.4">
      <c r="A13" s="145"/>
      <c r="B13" s="534" t="s">
        <v>2683</v>
      </c>
      <c r="C13" s="576"/>
      <c r="D13" s="89">
        <f>CV!D25</f>
        <v>0</v>
      </c>
      <c r="E13" s="79" t="str">
        <f>IF(D13&gt;=L5,N5,N4)</f>
        <v>&lt;770</v>
      </c>
      <c r="L13" s="2">
        <f>M12+1</f>
        <v>181</v>
      </c>
      <c r="M13" s="2">
        <v>240</v>
      </c>
      <c r="N13" s="2" t="s">
        <v>46</v>
      </c>
      <c r="O13" s="2">
        <v>13</v>
      </c>
      <c r="P13" s="231">
        <f t="shared" si="0"/>
        <v>0</v>
      </c>
      <c r="Q13" s="231">
        <f t="shared" si="1"/>
        <v>0</v>
      </c>
      <c r="R13" s="231">
        <f t="shared" si="4"/>
        <v>0</v>
      </c>
      <c r="T13" s="2">
        <v>13</v>
      </c>
      <c r="U13" s="231">
        <f t="shared" si="2"/>
        <v>0</v>
      </c>
      <c r="V13" s="231">
        <f t="shared" si="3"/>
        <v>0</v>
      </c>
      <c r="W13" s="231">
        <f t="shared" si="5"/>
        <v>0</v>
      </c>
    </row>
    <row r="14" spans="1:23" ht="17.25" customHeight="1" thickBot="1" x14ac:dyDescent="0.4">
      <c r="A14" s="145"/>
      <c r="C14" s="145"/>
      <c r="D14" s="109"/>
      <c r="L14" s="2">
        <f>M13+1</f>
        <v>241</v>
      </c>
      <c r="M14" s="2">
        <v>360</v>
      </c>
      <c r="N14" s="2" t="s">
        <v>47</v>
      </c>
      <c r="O14" s="2">
        <v>14</v>
      </c>
      <c r="P14" s="231">
        <f t="shared" si="0"/>
        <v>0</v>
      </c>
      <c r="Q14" s="231">
        <f t="shared" si="1"/>
        <v>0</v>
      </c>
      <c r="R14" s="231">
        <f t="shared" si="4"/>
        <v>0</v>
      </c>
      <c r="T14" s="2">
        <v>14</v>
      </c>
      <c r="U14" s="231">
        <f t="shared" si="2"/>
        <v>0</v>
      </c>
      <c r="V14" s="231">
        <f t="shared" si="3"/>
        <v>0</v>
      </c>
      <c r="W14" s="231">
        <f t="shared" si="5"/>
        <v>0</v>
      </c>
    </row>
    <row r="15" spans="1:23" ht="15.75" customHeight="1" x14ac:dyDescent="0.35">
      <c r="A15" s="145"/>
      <c r="B15" s="598" t="s">
        <v>2684</v>
      </c>
      <c r="C15" s="599"/>
      <c r="D15" s="600"/>
      <c r="E15" s="11"/>
      <c r="F15" s="601" t="str">
        <f>_xlfn.CONCAT("Ó si te prestamos ", ($D$26/1000000)," Millones Con Leasing Habitacional")</f>
        <v>Ó si te prestamos 0 Millones Con Leasing Habitacional</v>
      </c>
      <c r="G15" s="602"/>
      <c r="H15" s="602"/>
      <c r="I15" s="602"/>
      <c r="J15" s="602"/>
      <c r="O15" s="2">
        <v>15</v>
      </c>
      <c r="P15" s="231">
        <f t="shared" si="0"/>
        <v>0</v>
      </c>
      <c r="Q15" s="231">
        <f t="shared" si="1"/>
        <v>0</v>
      </c>
      <c r="R15" s="231">
        <f t="shared" si="4"/>
        <v>0</v>
      </c>
      <c r="T15" s="2">
        <v>15</v>
      </c>
      <c r="U15" s="231">
        <f t="shared" si="2"/>
        <v>0</v>
      </c>
      <c r="V15" s="231">
        <f t="shared" si="3"/>
        <v>0</v>
      </c>
      <c r="W15" s="231">
        <f t="shared" si="5"/>
        <v>0</v>
      </c>
    </row>
    <row r="16" spans="1:23" ht="16" thickBot="1" x14ac:dyDescent="0.4">
      <c r="A16" s="145"/>
      <c r="B16" s="112"/>
      <c r="C16" s="11"/>
      <c r="F16" s="595" t="s">
        <v>2685</v>
      </c>
      <c r="G16" s="595"/>
      <c r="H16" s="595"/>
      <c r="I16" s="597">
        <f>$D$9-$D$26</f>
        <v>0</v>
      </c>
      <c r="J16" s="597"/>
      <c r="K16" s="58"/>
      <c r="O16" s="2">
        <v>16</v>
      </c>
      <c r="P16" s="231">
        <f t="shared" si="0"/>
        <v>0</v>
      </c>
      <c r="Q16" s="231">
        <f t="shared" si="1"/>
        <v>0</v>
      </c>
      <c r="R16" s="231">
        <f t="shared" si="4"/>
        <v>0</v>
      </c>
      <c r="T16" s="2">
        <v>16</v>
      </c>
      <c r="U16" s="231">
        <f t="shared" si="2"/>
        <v>0</v>
      </c>
      <c r="V16" s="231">
        <f t="shared" si="3"/>
        <v>0</v>
      </c>
      <c r="W16" s="231">
        <f t="shared" si="5"/>
        <v>0</v>
      </c>
    </row>
    <row r="17" spans="2:23" ht="16" thickBot="1" x14ac:dyDescent="0.4">
      <c r="B17" s="532" t="s">
        <v>2686</v>
      </c>
      <c r="C17" s="542"/>
      <c r="D17" s="81" t="str">
        <f>IF(AND(D13&gt;=770,OR(D11="Asalariado",D11="Pensionado"),OR(D8="Preferente",D8="Premium")),"90%","80%")</f>
        <v>80%</v>
      </c>
      <c r="E17" s="79"/>
      <c r="F17" s="595" t="s">
        <v>2687</v>
      </c>
      <c r="G17" s="595"/>
      <c r="H17" s="595"/>
      <c r="I17" s="597">
        <f>IFERROR((PMT((NOMINAL(D19,12)/12),D12,-D26)-PMT((NOMINAL(D19,12)/12),D12,-(D26*1%)))+((D26*1%)*(NOMINAL(D19,12)/12)),0)</f>
        <v>0</v>
      </c>
      <c r="J17" s="597"/>
      <c r="O17" s="2">
        <v>17</v>
      </c>
      <c r="P17" s="231">
        <f t="shared" si="0"/>
        <v>0</v>
      </c>
      <c r="Q17" s="231">
        <f t="shared" si="1"/>
        <v>0</v>
      </c>
      <c r="R17" s="231">
        <f t="shared" si="4"/>
        <v>0</v>
      </c>
      <c r="T17" s="2">
        <v>17</v>
      </c>
      <c r="U17" s="231">
        <f t="shared" si="2"/>
        <v>0</v>
      </c>
      <c r="V17" s="231">
        <f t="shared" si="3"/>
        <v>0</v>
      </c>
      <c r="W17" s="231">
        <f t="shared" si="5"/>
        <v>0</v>
      </c>
    </row>
    <row r="18" spans="2:23" ht="16" thickBot="1" x14ac:dyDescent="0.4">
      <c r="B18" s="532" t="s">
        <v>2688</v>
      </c>
      <c r="C18" s="542"/>
      <c r="D18" s="81">
        <f>D9*$D$17</f>
        <v>0</v>
      </c>
      <c r="E18" s="233"/>
      <c r="F18" s="595" t="s">
        <v>2689</v>
      </c>
      <c r="G18" s="595"/>
      <c r="H18" s="595"/>
      <c r="I18" s="596">
        <f>IFERROR(IF(($D$28-$E$21)&lt;=0,0,$D$28-$E$21),0)</f>
        <v>0</v>
      </c>
      <c r="J18" s="596"/>
      <c r="O18" s="2">
        <v>18</v>
      </c>
      <c r="P18" s="231">
        <f t="shared" si="0"/>
        <v>0</v>
      </c>
      <c r="Q18" s="231">
        <f t="shared" si="1"/>
        <v>0</v>
      </c>
      <c r="R18" s="231">
        <f t="shared" si="4"/>
        <v>0</v>
      </c>
      <c r="T18" s="2">
        <v>18</v>
      </c>
      <c r="U18" s="231">
        <f t="shared" si="2"/>
        <v>0</v>
      </c>
      <c r="V18" s="231">
        <f t="shared" si="3"/>
        <v>0</v>
      </c>
      <c r="W18" s="231">
        <f t="shared" si="5"/>
        <v>0</v>
      </c>
    </row>
    <row r="19" spans="2:23" ht="16" thickBot="1" x14ac:dyDescent="0.4">
      <c r="B19" s="535" t="s">
        <v>2690</v>
      </c>
      <c r="C19" s="590"/>
      <c r="D19" s="85" t="str">
        <f>IFERROR(INDEX('TI CV-LHF'!A5:T55,MATCH('TI CV-LHF'!O3,'TI CV-LHF'!A5:A55,0),MATCH('TI CV-LHF'!O2,'TI CV-LHF'!A5:T5,0)),"")</f>
        <v/>
      </c>
      <c r="E19" s="233"/>
      <c r="F19" s="595" t="s">
        <v>2691</v>
      </c>
      <c r="G19" s="595"/>
      <c r="H19" s="595"/>
      <c r="I19" s="596">
        <f>IF((SUM(W1:W240)&lt;=0),0,SUM(W1:W240))</f>
        <v>0</v>
      </c>
      <c r="J19" s="596"/>
      <c r="O19" s="2">
        <v>19</v>
      </c>
      <c r="P19" s="231">
        <f t="shared" si="0"/>
        <v>0</v>
      </c>
      <c r="Q19" s="231">
        <f t="shared" si="1"/>
        <v>0</v>
      </c>
      <c r="R19" s="231">
        <f t="shared" si="4"/>
        <v>0</v>
      </c>
      <c r="T19" s="2">
        <v>19</v>
      </c>
      <c r="U19" s="231">
        <f t="shared" si="2"/>
        <v>0</v>
      </c>
      <c r="V19" s="231">
        <f t="shared" si="3"/>
        <v>0</v>
      </c>
      <c r="W19" s="231">
        <f t="shared" si="5"/>
        <v>0</v>
      </c>
    </row>
    <row r="20" spans="2:23" ht="16" thickBot="1" x14ac:dyDescent="0.4">
      <c r="B20" s="535" t="s">
        <v>2692</v>
      </c>
      <c r="C20" s="590"/>
      <c r="D20" s="235">
        <f>IFERROR((PMT((NOMINAL(D19,12)/12),D12,-D18)-PMT((NOMINAL(D19,12)/12),D12,-(D18*1%)))+((D18*1%)*(NOMINAL(D19,12)/12)),0)</f>
        <v>0</v>
      </c>
      <c r="E20" s="79"/>
      <c r="O20" s="2">
        <v>20</v>
      </c>
      <c r="P20" s="231">
        <f t="shared" si="0"/>
        <v>0</v>
      </c>
      <c r="Q20" s="231">
        <f t="shared" si="1"/>
        <v>0</v>
      </c>
      <c r="R20" s="231">
        <f t="shared" si="4"/>
        <v>0</v>
      </c>
      <c r="T20" s="2">
        <v>20</v>
      </c>
      <c r="U20" s="231">
        <f t="shared" si="2"/>
        <v>0</v>
      </c>
      <c r="V20" s="231">
        <f t="shared" si="3"/>
        <v>0</v>
      </c>
      <c r="W20" s="231">
        <f t="shared" si="5"/>
        <v>0</v>
      </c>
    </row>
    <row r="21" spans="2:23" ht="18" customHeight="1" thickBot="1" x14ac:dyDescent="0.4">
      <c r="B21" s="532" t="s">
        <v>2649</v>
      </c>
      <c r="C21" s="591"/>
      <c r="D21" s="241">
        <v>0.01</v>
      </c>
      <c r="E21" s="155" t="e">
        <f>(PMT((NOMINAL(D19,12)/12),D12,-D26)-PMT((NOMINAL(D19,12)/12),D12,-(D26*1%)))+((D26*1%)*(NOMINAL(D19,12)/12))</f>
        <v>#VALUE!</v>
      </c>
      <c r="F21" s="588" t="s">
        <v>2693</v>
      </c>
      <c r="G21" s="588"/>
      <c r="H21" s="588"/>
      <c r="I21" s="589">
        <f>IFERROR(D27-D19,0)</f>
        <v>0</v>
      </c>
      <c r="J21" s="589"/>
      <c r="O21" s="2">
        <v>21</v>
      </c>
      <c r="P21" s="231">
        <f t="shared" si="0"/>
        <v>0</v>
      </c>
      <c r="Q21" s="231">
        <f t="shared" si="1"/>
        <v>0</v>
      </c>
      <c r="R21" s="231">
        <f t="shared" si="4"/>
        <v>0</v>
      </c>
      <c r="T21" s="2">
        <v>21</v>
      </c>
      <c r="U21" s="231">
        <f t="shared" si="2"/>
        <v>0</v>
      </c>
      <c r="V21" s="231">
        <f t="shared" si="3"/>
        <v>0</v>
      </c>
      <c r="W21" s="231">
        <f t="shared" si="5"/>
        <v>0</v>
      </c>
    </row>
    <row r="22" spans="2:23" ht="15" thickBot="1" x14ac:dyDescent="0.4">
      <c r="C22" s="145"/>
      <c r="D22" s="145"/>
      <c r="E22" s="109"/>
      <c r="O22" s="2">
        <v>22</v>
      </c>
      <c r="P22" s="231">
        <f t="shared" si="0"/>
        <v>0</v>
      </c>
      <c r="Q22" s="231">
        <f t="shared" si="1"/>
        <v>0</v>
      </c>
      <c r="R22" s="231">
        <f t="shared" si="4"/>
        <v>0</v>
      </c>
      <c r="T22" s="2">
        <v>22</v>
      </c>
      <c r="U22" s="231">
        <f t="shared" si="2"/>
        <v>0</v>
      </c>
      <c r="V22" s="231">
        <f t="shared" si="3"/>
        <v>0</v>
      </c>
      <c r="W22" s="231">
        <f t="shared" si="5"/>
        <v>0</v>
      </c>
    </row>
    <row r="23" spans="2:23" ht="18.5" x14ac:dyDescent="0.35">
      <c r="B23" s="592" t="s">
        <v>2694</v>
      </c>
      <c r="C23" s="593"/>
      <c r="D23" s="594"/>
      <c r="E23" s="79"/>
      <c r="O23" s="2">
        <v>23</v>
      </c>
      <c r="P23" s="231">
        <f t="shared" si="0"/>
        <v>0</v>
      </c>
      <c r="Q23" s="231">
        <f t="shared" si="1"/>
        <v>0</v>
      </c>
      <c r="R23" s="231">
        <f t="shared" si="4"/>
        <v>0</v>
      </c>
      <c r="T23" s="2">
        <v>23</v>
      </c>
      <c r="U23" s="231">
        <f t="shared" si="2"/>
        <v>0</v>
      </c>
      <c r="V23" s="231">
        <f t="shared" si="3"/>
        <v>0</v>
      </c>
      <c r="W23" s="231">
        <f t="shared" si="5"/>
        <v>0</v>
      </c>
    </row>
    <row r="24" spans="2:23" ht="15" thickBot="1" x14ac:dyDescent="0.4">
      <c r="B24" s="112"/>
      <c r="C24" s="11"/>
      <c r="E24" s="79"/>
      <c r="O24" s="2">
        <v>24</v>
      </c>
      <c r="P24" s="231">
        <f t="shared" si="0"/>
        <v>0</v>
      </c>
      <c r="Q24" s="231">
        <f t="shared" si="1"/>
        <v>0</v>
      </c>
      <c r="R24" s="231">
        <f t="shared" si="4"/>
        <v>0</v>
      </c>
      <c r="T24" s="2">
        <v>24</v>
      </c>
      <c r="U24" s="231">
        <f t="shared" si="2"/>
        <v>0</v>
      </c>
      <c r="V24" s="231">
        <f t="shared" si="3"/>
        <v>0</v>
      </c>
      <c r="W24" s="231">
        <f t="shared" si="5"/>
        <v>0</v>
      </c>
    </row>
    <row r="25" spans="2:23" ht="16" thickBot="1" x14ac:dyDescent="0.4">
      <c r="B25" s="532" t="s">
        <v>2686</v>
      </c>
      <c r="C25" s="591"/>
      <c r="D25" s="234">
        <v>0.7</v>
      </c>
      <c r="O25" s="2">
        <v>25</v>
      </c>
      <c r="P25" s="231">
        <f t="shared" si="0"/>
        <v>0</v>
      </c>
      <c r="Q25" s="231">
        <f t="shared" si="1"/>
        <v>0</v>
      </c>
      <c r="R25" s="231">
        <f t="shared" si="4"/>
        <v>0</v>
      </c>
      <c r="T25" s="2">
        <v>25</v>
      </c>
      <c r="U25" s="231">
        <f t="shared" si="2"/>
        <v>0</v>
      </c>
      <c r="V25" s="231">
        <f t="shared" si="3"/>
        <v>0</v>
      </c>
      <c r="W25" s="231">
        <f t="shared" si="5"/>
        <v>0</v>
      </c>
    </row>
    <row r="26" spans="2:23" ht="16" thickBot="1" x14ac:dyDescent="0.4">
      <c r="B26" s="532" t="s">
        <v>2688</v>
      </c>
      <c r="C26" s="591"/>
      <c r="D26" s="81">
        <f>D9*$D$25</f>
        <v>0</v>
      </c>
      <c r="E26" s="236" t="str">
        <f>IF($D$18&gt;$D$26,"Menor Monto de Financiación","")</f>
        <v/>
      </c>
      <c r="O26" s="2">
        <v>26</v>
      </c>
      <c r="P26" s="231">
        <f t="shared" si="0"/>
        <v>0</v>
      </c>
      <c r="Q26" s="231">
        <f t="shared" si="1"/>
        <v>0</v>
      </c>
      <c r="R26" s="231">
        <f t="shared" si="4"/>
        <v>0</v>
      </c>
      <c r="T26" s="2">
        <v>26</v>
      </c>
      <c r="U26" s="231">
        <f t="shared" si="2"/>
        <v>0</v>
      </c>
      <c r="V26" s="231">
        <f t="shared" si="3"/>
        <v>0</v>
      </c>
      <c r="W26" s="231">
        <f t="shared" si="5"/>
        <v>0</v>
      </c>
    </row>
    <row r="27" spans="2:23" ht="16" thickBot="1" x14ac:dyDescent="0.4">
      <c r="B27" s="532" t="s">
        <v>2690</v>
      </c>
      <c r="C27" s="591"/>
      <c r="D27" s="85" t="str">
        <f>IFERROR(INDEX('TI CV-LHF'!A5:T55,MATCH('TI CV-LHF'!A3,'TI CV-LHF'!A5:A55,0),MATCH('TI CV-LHF'!A2,'TI CV-LHF'!A5:T5,0)),"")</f>
        <v/>
      </c>
      <c r="E27" s="236" t="str">
        <f>IF($D$19&lt;$D$27,"Tasa más alta de Financiación","")</f>
        <v/>
      </c>
      <c r="F27" s="178"/>
      <c r="G27" s="178"/>
      <c r="H27" s="178"/>
      <c r="I27" s="178"/>
      <c r="J27" s="178"/>
      <c r="K27" s="231"/>
      <c r="O27" s="2">
        <v>27</v>
      </c>
      <c r="P27" s="231">
        <f t="shared" si="0"/>
        <v>0</v>
      </c>
      <c r="Q27" s="231">
        <f t="shared" si="1"/>
        <v>0</v>
      </c>
      <c r="R27" s="231">
        <f t="shared" si="4"/>
        <v>0</v>
      </c>
      <c r="T27" s="2">
        <v>27</v>
      </c>
      <c r="U27" s="231">
        <f t="shared" si="2"/>
        <v>0</v>
      </c>
      <c r="V27" s="231">
        <f t="shared" si="3"/>
        <v>0</v>
      </c>
      <c r="W27" s="231">
        <f t="shared" si="5"/>
        <v>0</v>
      </c>
    </row>
    <row r="28" spans="2:23" ht="16" thickBot="1" x14ac:dyDescent="0.4">
      <c r="B28" s="535" t="s">
        <v>2692</v>
      </c>
      <c r="C28" s="590"/>
      <c r="D28" s="235">
        <f>IFERROR(PMT((NOMINAL(D27,12)/12),D12,-D26),0)</f>
        <v>0</v>
      </c>
      <c r="K28" s="231"/>
      <c r="O28" s="2">
        <v>28</v>
      </c>
      <c r="P28" s="231">
        <f t="shared" si="0"/>
        <v>0</v>
      </c>
      <c r="Q28" s="231">
        <f t="shared" si="1"/>
        <v>0</v>
      </c>
      <c r="R28" s="231">
        <f t="shared" si="4"/>
        <v>0</v>
      </c>
      <c r="T28" s="2">
        <v>28</v>
      </c>
      <c r="U28" s="231">
        <f t="shared" si="2"/>
        <v>0</v>
      </c>
      <c r="V28" s="231">
        <f t="shared" si="3"/>
        <v>0</v>
      </c>
      <c r="W28" s="231">
        <f t="shared" si="5"/>
        <v>0</v>
      </c>
    </row>
    <row r="29" spans="2:23" x14ac:dyDescent="0.35">
      <c r="C29" s="145"/>
      <c r="D29" s="145"/>
      <c r="E29" s="109"/>
      <c r="O29" s="2">
        <v>29</v>
      </c>
      <c r="P29" s="231">
        <f t="shared" si="0"/>
        <v>0</v>
      </c>
      <c r="Q29" s="231">
        <f t="shared" si="1"/>
        <v>0</v>
      </c>
      <c r="R29" s="231">
        <f t="shared" si="4"/>
        <v>0</v>
      </c>
      <c r="T29" s="2">
        <v>29</v>
      </c>
      <c r="U29" s="231">
        <f t="shared" si="2"/>
        <v>0</v>
      </c>
      <c r="V29" s="231">
        <f t="shared" si="3"/>
        <v>0</v>
      </c>
      <c r="W29" s="231">
        <f t="shared" si="5"/>
        <v>0</v>
      </c>
    </row>
    <row r="30" spans="2:23" x14ac:dyDescent="0.35">
      <c r="B30" s="178"/>
      <c r="C30" s="178"/>
      <c r="D30" s="178"/>
      <c r="E30" s="178"/>
      <c r="I30" s="231"/>
      <c r="J30" s="231"/>
      <c r="O30" s="2">
        <v>30</v>
      </c>
      <c r="P30" s="231">
        <f t="shared" si="0"/>
        <v>0</v>
      </c>
      <c r="Q30" s="231">
        <f t="shared" si="1"/>
        <v>0</v>
      </c>
      <c r="R30" s="231">
        <f t="shared" si="4"/>
        <v>0</v>
      </c>
      <c r="T30" s="2">
        <v>30</v>
      </c>
      <c r="U30" s="231">
        <f t="shared" si="2"/>
        <v>0</v>
      </c>
      <c r="V30" s="231">
        <f t="shared" si="3"/>
        <v>0</v>
      </c>
      <c r="W30" s="231">
        <f t="shared" si="5"/>
        <v>0</v>
      </c>
    </row>
    <row r="31" spans="2:23" x14ac:dyDescent="0.35">
      <c r="C31" s="145"/>
      <c r="D31" s="145"/>
      <c r="E31" s="145"/>
      <c r="I31" s="137"/>
      <c r="J31" s="231"/>
      <c r="P31" s="231"/>
      <c r="Q31" s="231"/>
      <c r="R31" s="231"/>
      <c r="U31" s="231"/>
      <c r="V31" s="231"/>
      <c r="W31" s="231"/>
    </row>
    <row r="32" spans="2:23" x14ac:dyDescent="0.35">
      <c r="P32" s="231"/>
      <c r="Q32" s="231"/>
      <c r="R32" s="231"/>
      <c r="U32" s="231"/>
      <c r="V32" s="231"/>
      <c r="W32" s="231"/>
    </row>
    <row r="33" spans="16:23" x14ac:dyDescent="0.35">
      <c r="P33" s="231"/>
      <c r="Q33" s="231"/>
      <c r="R33" s="231"/>
      <c r="U33" s="231"/>
      <c r="V33" s="231"/>
      <c r="W33" s="231"/>
    </row>
    <row r="34" spans="16:23" x14ac:dyDescent="0.35">
      <c r="P34" s="231"/>
      <c r="Q34" s="231"/>
      <c r="R34" s="231"/>
      <c r="U34" s="231"/>
      <c r="V34" s="231"/>
      <c r="W34" s="231"/>
    </row>
    <row r="35" spans="16:23" x14ac:dyDescent="0.35">
      <c r="P35" s="231"/>
      <c r="Q35" s="231"/>
      <c r="R35" s="231"/>
      <c r="U35" s="231"/>
      <c r="V35" s="231"/>
      <c r="W35" s="231"/>
    </row>
    <row r="36" spans="16:23" x14ac:dyDescent="0.35">
      <c r="P36" s="231"/>
      <c r="Q36" s="231"/>
      <c r="R36" s="231"/>
      <c r="U36" s="231"/>
      <c r="V36" s="231"/>
      <c r="W36" s="231"/>
    </row>
    <row r="37" spans="16:23" x14ac:dyDescent="0.35">
      <c r="P37" s="231"/>
      <c r="Q37" s="231"/>
      <c r="R37" s="231"/>
      <c r="U37" s="231"/>
      <c r="V37" s="231"/>
      <c r="W37" s="231"/>
    </row>
    <row r="38" spans="16:23" x14ac:dyDescent="0.35">
      <c r="P38" s="231"/>
      <c r="Q38" s="231"/>
      <c r="R38" s="231"/>
      <c r="U38" s="231"/>
      <c r="V38" s="231"/>
      <c r="W38" s="231"/>
    </row>
    <row r="39" spans="16:23" x14ac:dyDescent="0.35">
      <c r="P39" s="231"/>
      <c r="Q39" s="231"/>
      <c r="R39" s="231"/>
      <c r="U39" s="231"/>
      <c r="V39" s="231"/>
      <c r="W39" s="231"/>
    </row>
    <row r="40" spans="16:23" x14ac:dyDescent="0.35">
      <c r="P40" s="231"/>
      <c r="Q40" s="231"/>
      <c r="R40" s="231"/>
      <c r="U40" s="231"/>
      <c r="V40" s="231"/>
      <c r="W40" s="231"/>
    </row>
    <row r="41" spans="16:23" x14ac:dyDescent="0.35">
      <c r="P41" s="231"/>
      <c r="Q41" s="231"/>
      <c r="R41" s="231"/>
      <c r="U41" s="231"/>
      <c r="V41" s="231"/>
      <c r="W41" s="231"/>
    </row>
    <row r="42" spans="16:23" x14ac:dyDescent="0.35">
      <c r="P42" s="231"/>
      <c r="Q42" s="231"/>
      <c r="R42" s="231"/>
      <c r="U42" s="231"/>
      <c r="V42" s="231"/>
      <c r="W42" s="231"/>
    </row>
    <row r="43" spans="16:23" x14ac:dyDescent="0.35">
      <c r="P43" s="231"/>
      <c r="Q43" s="231"/>
      <c r="R43" s="231"/>
      <c r="U43" s="231"/>
      <c r="V43" s="231"/>
      <c r="W43" s="231"/>
    </row>
    <row r="44" spans="16:23" x14ac:dyDescent="0.35">
      <c r="P44" s="231"/>
      <c r="Q44" s="231"/>
      <c r="R44" s="231"/>
      <c r="U44" s="231"/>
      <c r="V44" s="231"/>
      <c r="W44" s="231"/>
    </row>
    <row r="45" spans="16:23" x14ac:dyDescent="0.35">
      <c r="P45" s="231"/>
      <c r="Q45" s="231"/>
      <c r="R45" s="231"/>
      <c r="U45" s="231"/>
      <c r="V45" s="231"/>
      <c r="W45" s="231"/>
    </row>
    <row r="46" spans="16:23" x14ac:dyDescent="0.35">
      <c r="P46" s="231"/>
      <c r="Q46" s="231"/>
      <c r="R46" s="231"/>
      <c r="U46" s="231"/>
      <c r="V46" s="231"/>
      <c r="W46" s="231"/>
    </row>
    <row r="47" spans="16:23" x14ac:dyDescent="0.35">
      <c r="P47" s="231"/>
      <c r="Q47" s="231"/>
      <c r="R47" s="231"/>
      <c r="U47" s="231"/>
      <c r="V47" s="231"/>
      <c r="W47" s="231"/>
    </row>
    <row r="48" spans="16:23" x14ac:dyDescent="0.35">
      <c r="P48" s="231"/>
      <c r="Q48" s="231"/>
      <c r="R48" s="231"/>
      <c r="U48" s="231"/>
      <c r="V48" s="231"/>
      <c r="W48" s="231"/>
    </row>
    <row r="49" spans="4:23" x14ac:dyDescent="0.35">
      <c r="F49" s="137"/>
      <c r="G49" s="237"/>
      <c r="P49" s="231"/>
      <c r="Q49" s="231"/>
      <c r="R49" s="231"/>
      <c r="U49" s="231"/>
      <c r="V49" s="231"/>
      <c r="W49" s="231"/>
    </row>
    <row r="50" spans="4:23" x14ac:dyDescent="0.35">
      <c r="P50" s="231"/>
      <c r="Q50" s="231"/>
      <c r="R50" s="231"/>
      <c r="U50" s="231"/>
      <c r="V50" s="231"/>
      <c r="W50" s="231"/>
    </row>
    <row r="51" spans="4:23" x14ac:dyDescent="0.35">
      <c r="F51" s="136"/>
      <c r="P51" s="231"/>
      <c r="Q51" s="231"/>
      <c r="R51" s="231"/>
      <c r="U51" s="231"/>
      <c r="V51" s="231"/>
      <c r="W51" s="231"/>
    </row>
    <row r="52" spans="4:23" x14ac:dyDescent="0.35">
      <c r="E52" s="136"/>
      <c r="F52" s="238"/>
      <c r="P52" s="231"/>
      <c r="Q52" s="231"/>
      <c r="R52" s="231"/>
      <c r="U52" s="231"/>
      <c r="V52" s="231"/>
      <c r="W52" s="231"/>
    </row>
    <row r="53" spans="4:23" x14ac:dyDescent="0.35">
      <c r="D53" s="137"/>
      <c r="E53" s="136"/>
      <c r="P53" s="231"/>
      <c r="Q53" s="231"/>
      <c r="R53" s="231"/>
      <c r="U53" s="231"/>
      <c r="V53" s="231"/>
      <c r="W53" s="231"/>
    </row>
    <row r="54" spans="4:23" x14ac:dyDescent="0.35">
      <c r="P54" s="231"/>
      <c r="Q54" s="231"/>
      <c r="R54" s="231"/>
      <c r="U54" s="231"/>
      <c r="V54" s="231"/>
      <c r="W54" s="231"/>
    </row>
    <row r="55" spans="4:23" x14ac:dyDescent="0.35">
      <c r="P55" s="231"/>
      <c r="Q55" s="231"/>
      <c r="R55" s="231"/>
      <c r="U55" s="231"/>
      <c r="V55" s="231"/>
      <c r="W55" s="231"/>
    </row>
    <row r="56" spans="4:23" x14ac:dyDescent="0.35">
      <c r="P56" s="231"/>
      <c r="Q56" s="231"/>
      <c r="R56" s="231"/>
      <c r="U56" s="231"/>
      <c r="V56" s="231"/>
      <c r="W56" s="231"/>
    </row>
    <row r="57" spans="4:23" x14ac:dyDescent="0.35">
      <c r="P57" s="231"/>
      <c r="Q57" s="231"/>
      <c r="R57" s="231"/>
      <c r="U57" s="231"/>
      <c r="V57" s="231"/>
      <c r="W57" s="231"/>
    </row>
    <row r="58" spans="4:23" x14ac:dyDescent="0.35">
      <c r="P58" s="231"/>
      <c r="Q58" s="231"/>
      <c r="R58" s="231"/>
      <c r="U58" s="231"/>
      <c r="V58" s="231"/>
      <c r="W58" s="231"/>
    </row>
    <row r="59" spans="4:23" x14ac:dyDescent="0.35">
      <c r="P59" s="231"/>
      <c r="Q59" s="231"/>
      <c r="R59" s="231"/>
      <c r="U59" s="231"/>
      <c r="V59" s="231"/>
      <c r="W59" s="231"/>
    </row>
    <row r="60" spans="4:23" x14ac:dyDescent="0.35">
      <c r="P60" s="231"/>
      <c r="Q60" s="231"/>
      <c r="R60" s="231"/>
      <c r="U60" s="231"/>
      <c r="V60" s="231"/>
      <c r="W60" s="231"/>
    </row>
    <row r="61" spans="4:23" x14ac:dyDescent="0.35">
      <c r="P61" s="231"/>
      <c r="Q61" s="231"/>
      <c r="R61" s="231"/>
      <c r="U61" s="231"/>
      <c r="V61" s="231"/>
      <c r="W61" s="231"/>
    </row>
    <row r="62" spans="4:23" x14ac:dyDescent="0.35">
      <c r="P62" s="231"/>
      <c r="Q62" s="231"/>
      <c r="R62" s="231"/>
      <c r="U62" s="231"/>
      <c r="V62" s="231"/>
      <c r="W62" s="231"/>
    </row>
    <row r="63" spans="4:23" x14ac:dyDescent="0.35">
      <c r="P63" s="231"/>
      <c r="Q63" s="231"/>
      <c r="R63" s="231"/>
      <c r="U63" s="231"/>
      <c r="V63" s="231"/>
      <c r="W63" s="231"/>
    </row>
    <row r="64" spans="4:23" x14ac:dyDescent="0.35">
      <c r="P64" s="231"/>
      <c r="Q64" s="231"/>
      <c r="R64" s="231"/>
      <c r="U64" s="231"/>
      <c r="V64" s="231"/>
      <c r="W64" s="231"/>
    </row>
    <row r="65" spans="16:23" x14ac:dyDescent="0.35">
      <c r="P65" s="231"/>
      <c r="Q65" s="231"/>
      <c r="R65" s="231"/>
      <c r="U65" s="231"/>
      <c r="V65" s="231"/>
      <c r="W65" s="231"/>
    </row>
    <row r="66" spans="16:23" x14ac:dyDescent="0.35">
      <c r="P66" s="231"/>
      <c r="Q66" s="231"/>
      <c r="R66" s="231"/>
      <c r="U66" s="231"/>
      <c r="V66" s="231"/>
      <c r="W66" s="231"/>
    </row>
    <row r="67" spans="16:23" x14ac:dyDescent="0.35">
      <c r="P67" s="231"/>
      <c r="Q67" s="231"/>
      <c r="R67" s="231"/>
      <c r="U67" s="231"/>
      <c r="V67" s="231"/>
      <c r="W67" s="231"/>
    </row>
    <row r="68" spans="16:23" x14ac:dyDescent="0.35">
      <c r="P68" s="231"/>
      <c r="Q68" s="231"/>
      <c r="R68" s="231"/>
      <c r="U68" s="231"/>
      <c r="V68" s="231"/>
      <c r="W68" s="231"/>
    </row>
    <row r="69" spans="16:23" x14ac:dyDescent="0.35">
      <c r="P69" s="231"/>
      <c r="Q69" s="231"/>
      <c r="R69" s="231"/>
      <c r="U69" s="231"/>
      <c r="V69" s="231"/>
      <c r="W69" s="231"/>
    </row>
    <row r="70" spans="16:23" x14ac:dyDescent="0.35">
      <c r="P70" s="231"/>
      <c r="Q70" s="231"/>
      <c r="R70" s="231"/>
      <c r="U70" s="231"/>
      <c r="V70" s="231"/>
      <c r="W70" s="231"/>
    </row>
    <row r="71" spans="16:23" x14ac:dyDescent="0.35">
      <c r="P71" s="231"/>
      <c r="Q71" s="231"/>
      <c r="R71" s="231"/>
      <c r="U71" s="231"/>
      <c r="V71" s="231"/>
      <c r="W71" s="231"/>
    </row>
    <row r="72" spans="16:23" x14ac:dyDescent="0.35">
      <c r="P72" s="231"/>
      <c r="Q72" s="231"/>
      <c r="R72" s="231"/>
      <c r="U72" s="231"/>
      <c r="V72" s="231"/>
      <c r="W72" s="231"/>
    </row>
    <row r="73" spans="16:23" x14ac:dyDescent="0.35">
      <c r="P73" s="231"/>
      <c r="Q73" s="231"/>
      <c r="R73" s="231"/>
      <c r="U73" s="231"/>
      <c r="V73" s="231"/>
      <c r="W73" s="231"/>
    </row>
    <row r="74" spans="16:23" x14ac:dyDescent="0.35">
      <c r="P74" s="231"/>
      <c r="Q74" s="231"/>
      <c r="R74" s="231"/>
      <c r="U74" s="231"/>
      <c r="V74" s="231"/>
      <c r="W74" s="231"/>
    </row>
    <row r="75" spans="16:23" x14ac:dyDescent="0.35">
      <c r="P75" s="231"/>
      <c r="Q75" s="231"/>
      <c r="R75" s="231"/>
      <c r="U75" s="231"/>
      <c r="V75" s="231"/>
      <c r="W75" s="231"/>
    </row>
    <row r="76" spans="16:23" x14ac:dyDescent="0.35">
      <c r="P76" s="231"/>
      <c r="Q76" s="231"/>
      <c r="R76" s="231"/>
      <c r="U76" s="231"/>
      <c r="V76" s="231"/>
      <c r="W76" s="231"/>
    </row>
    <row r="77" spans="16:23" x14ac:dyDescent="0.35">
      <c r="P77" s="231"/>
      <c r="Q77" s="231"/>
      <c r="R77" s="231"/>
      <c r="U77" s="231"/>
      <c r="V77" s="231"/>
      <c r="W77" s="231"/>
    </row>
    <row r="78" spans="16:23" x14ac:dyDescent="0.35">
      <c r="P78" s="231"/>
      <c r="Q78" s="231"/>
      <c r="R78" s="231"/>
      <c r="U78" s="231"/>
      <c r="V78" s="231"/>
      <c r="W78" s="231"/>
    </row>
    <row r="79" spans="16:23" x14ac:dyDescent="0.35">
      <c r="P79" s="231"/>
      <c r="Q79" s="231"/>
      <c r="R79" s="231"/>
      <c r="U79" s="231"/>
      <c r="V79" s="231"/>
      <c r="W79" s="231"/>
    </row>
    <row r="80" spans="16:23" x14ac:dyDescent="0.35">
      <c r="P80" s="231"/>
      <c r="Q80" s="231"/>
      <c r="R80" s="231"/>
      <c r="U80" s="231"/>
      <c r="V80" s="231"/>
      <c r="W80" s="231"/>
    </row>
    <row r="81" spans="16:23" x14ac:dyDescent="0.35">
      <c r="P81" s="231"/>
      <c r="Q81" s="231"/>
      <c r="R81" s="231"/>
      <c r="U81" s="231"/>
      <c r="V81" s="231"/>
      <c r="W81" s="231"/>
    </row>
    <row r="82" spans="16:23" x14ac:dyDescent="0.35">
      <c r="P82" s="231"/>
      <c r="Q82" s="231"/>
      <c r="R82" s="231"/>
      <c r="U82" s="231"/>
      <c r="V82" s="231"/>
      <c r="W82" s="231"/>
    </row>
    <row r="83" spans="16:23" x14ac:dyDescent="0.35">
      <c r="P83" s="231"/>
      <c r="Q83" s="231"/>
      <c r="R83" s="231"/>
      <c r="U83" s="231"/>
      <c r="V83" s="231"/>
      <c r="W83" s="231"/>
    </row>
    <row r="84" spans="16:23" x14ac:dyDescent="0.35">
      <c r="P84" s="231"/>
      <c r="Q84" s="231"/>
      <c r="R84" s="231"/>
      <c r="U84" s="231"/>
      <c r="V84" s="231"/>
      <c r="W84" s="231"/>
    </row>
    <row r="85" spans="16:23" x14ac:dyDescent="0.35">
      <c r="P85" s="231"/>
      <c r="Q85" s="231"/>
      <c r="R85" s="231"/>
      <c r="U85" s="231"/>
      <c r="V85" s="231"/>
      <c r="W85" s="231"/>
    </row>
    <row r="86" spans="16:23" x14ac:dyDescent="0.35">
      <c r="P86" s="231"/>
      <c r="Q86" s="231"/>
      <c r="R86" s="231"/>
      <c r="U86" s="231"/>
      <c r="V86" s="231"/>
      <c r="W86" s="231"/>
    </row>
    <row r="87" spans="16:23" x14ac:dyDescent="0.35">
      <c r="P87" s="231"/>
      <c r="Q87" s="231"/>
      <c r="R87" s="231"/>
      <c r="U87" s="231"/>
      <c r="V87" s="231"/>
      <c r="W87" s="231"/>
    </row>
    <row r="88" spans="16:23" x14ac:dyDescent="0.35">
      <c r="P88" s="231"/>
      <c r="Q88" s="231"/>
      <c r="R88" s="231"/>
      <c r="U88" s="231"/>
      <c r="V88" s="231"/>
      <c r="W88" s="231"/>
    </row>
    <row r="89" spans="16:23" x14ac:dyDescent="0.35">
      <c r="P89" s="231"/>
      <c r="Q89" s="231"/>
      <c r="R89" s="231"/>
      <c r="U89" s="231"/>
      <c r="V89" s="231"/>
      <c r="W89" s="231"/>
    </row>
    <row r="90" spans="16:23" x14ac:dyDescent="0.35">
      <c r="P90" s="231"/>
      <c r="Q90" s="231"/>
      <c r="R90" s="231"/>
      <c r="U90" s="231"/>
      <c r="V90" s="231"/>
      <c r="W90" s="231"/>
    </row>
    <row r="91" spans="16:23" x14ac:dyDescent="0.35">
      <c r="P91" s="231"/>
      <c r="Q91" s="231"/>
      <c r="R91" s="231"/>
      <c r="U91" s="231"/>
      <c r="V91" s="231"/>
      <c r="W91" s="231"/>
    </row>
    <row r="92" spans="16:23" x14ac:dyDescent="0.35">
      <c r="P92" s="231"/>
      <c r="Q92" s="231"/>
      <c r="R92" s="231"/>
      <c r="U92" s="231"/>
      <c r="V92" s="231"/>
      <c r="W92" s="231"/>
    </row>
    <row r="93" spans="16:23" x14ac:dyDescent="0.35">
      <c r="P93" s="231"/>
      <c r="Q93" s="231"/>
      <c r="R93" s="231"/>
      <c r="U93" s="231"/>
      <c r="V93" s="231"/>
      <c r="W93" s="231"/>
    </row>
    <row r="94" spans="16:23" x14ac:dyDescent="0.35">
      <c r="P94" s="231"/>
      <c r="Q94" s="231"/>
      <c r="R94" s="231"/>
      <c r="U94" s="231"/>
      <c r="V94" s="231"/>
      <c r="W94" s="231"/>
    </row>
    <row r="95" spans="16:23" x14ac:dyDescent="0.35">
      <c r="P95" s="231"/>
      <c r="Q95" s="231"/>
      <c r="R95" s="231"/>
      <c r="U95" s="231"/>
      <c r="V95" s="231"/>
      <c r="W95" s="231"/>
    </row>
    <row r="96" spans="16:23" x14ac:dyDescent="0.35">
      <c r="P96" s="231"/>
      <c r="Q96" s="231"/>
      <c r="R96" s="231"/>
      <c r="U96" s="231"/>
      <c r="V96" s="231"/>
      <c r="W96" s="231"/>
    </row>
    <row r="97" spans="16:23" x14ac:dyDescent="0.35">
      <c r="P97" s="231"/>
      <c r="Q97" s="231"/>
      <c r="R97" s="231"/>
      <c r="U97" s="231"/>
      <c r="V97" s="231"/>
      <c r="W97" s="231"/>
    </row>
    <row r="98" spans="16:23" x14ac:dyDescent="0.35">
      <c r="P98" s="231"/>
      <c r="Q98" s="231"/>
      <c r="R98" s="231"/>
      <c r="U98" s="231"/>
      <c r="V98" s="231"/>
      <c r="W98" s="231"/>
    </row>
    <row r="99" spans="16:23" x14ac:dyDescent="0.35">
      <c r="P99" s="231"/>
      <c r="Q99" s="231"/>
      <c r="R99" s="231"/>
      <c r="U99" s="231"/>
      <c r="V99" s="231"/>
      <c r="W99" s="231"/>
    </row>
    <row r="100" spans="16:23" x14ac:dyDescent="0.35">
      <c r="P100" s="231"/>
      <c r="Q100" s="231"/>
      <c r="R100" s="231"/>
      <c r="U100" s="231"/>
      <c r="V100" s="231"/>
      <c r="W100" s="231"/>
    </row>
    <row r="101" spans="16:23" x14ac:dyDescent="0.35">
      <c r="P101" s="231"/>
      <c r="Q101" s="231"/>
      <c r="R101" s="231"/>
      <c r="U101" s="231"/>
      <c r="V101" s="231"/>
      <c r="W101" s="231"/>
    </row>
    <row r="102" spans="16:23" x14ac:dyDescent="0.35">
      <c r="P102" s="231"/>
      <c r="Q102" s="231"/>
      <c r="R102" s="231"/>
      <c r="U102" s="231"/>
      <c r="V102" s="231"/>
      <c r="W102" s="231"/>
    </row>
    <row r="103" spans="16:23" x14ac:dyDescent="0.35">
      <c r="P103" s="231"/>
      <c r="Q103" s="231"/>
      <c r="R103" s="231"/>
      <c r="U103" s="231"/>
      <c r="V103" s="231"/>
      <c r="W103" s="231"/>
    </row>
    <row r="104" spans="16:23" x14ac:dyDescent="0.35">
      <c r="P104" s="231"/>
      <c r="Q104" s="231"/>
      <c r="R104" s="231"/>
      <c r="U104" s="231"/>
      <c r="V104" s="231"/>
      <c r="W104" s="231"/>
    </row>
    <row r="105" spans="16:23" x14ac:dyDescent="0.35">
      <c r="P105" s="231"/>
      <c r="Q105" s="231"/>
      <c r="R105" s="231"/>
      <c r="U105" s="231"/>
      <c r="V105" s="231"/>
      <c r="W105" s="231"/>
    </row>
    <row r="106" spans="16:23" x14ac:dyDescent="0.35">
      <c r="P106" s="231"/>
      <c r="Q106" s="231"/>
      <c r="R106" s="231"/>
      <c r="U106" s="231"/>
      <c r="V106" s="231"/>
      <c r="W106" s="231"/>
    </row>
    <row r="107" spans="16:23" x14ac:dyDescent="0.35">
      <c r="P107" s="231"/>
      <c r="Q107" s="231"/>
      <c r="R107" s="231"/>
      <c r="U107" s="231"/>
      <c r="V107" s="231"/>
      <c r="W107" s="231"/>
    </row>
    <row r="108" spans="16:23" x14ac:dyDescent="0.35">
      <c r="P108" s="231"/>
      <c r="Q108" s="231"/>
      <c r="R108" s="231"/>
      <c r="U108" s="231"/>
      <c r="V108" s="231"/>
      <c r="W108" s="231"/>
    </row>
    <row r="109" spans="16:23" x14ac:dyDescent="0.35">
      <c r="P109" s="231"/>
      <c r="Q109" s="231"/>
      <c r="R109" s="231"/>
      <c r="U109" s="231"/>
      <c r="V109" s="231"/>
      <c r="W109" s="231"/>
    </row>
    <row r="110" spans="16:23" x14ac:dyDescent="0.35">
      <c r="P110" s="231"/>
      <c r="Q110" s="231"/>
      <c r="R110" s="231"/>
      <c r="U110" s="231"/>
      <c r="V110" s="231"/>
      <c r="W110" s="231"/>
    </row>
    <row r="111" spans="16:23" x14ac:dyDescent="0.35">
      <c r="P111" s="231"/>
      <c r="Q111" s="231"/>
      <c r="R111" s="231"/>
      <c r="U111" s="231"/>
      <c r="V111" s="231"/>
      <c r="W111" s="231"/>
    </row>
    <row r="112" spans="16:23" x14ac:dyDescent="0.35">
      <c r="P112" s="231"/>
      <c r="Q112" s="231"/>
      <c r="R112" s="231"/>
      <c r="U112" s="231"/>
      <c r="V112" s="231"/>
      <c r="W112" s="231"/>
    </row>
    <row r="113" spans="16:23" x14ac:dyDescent="0.35">
      <c r="P113" s="231"/>
      <c r="Q113" s="231"/>
      <c r="R113" s="231"/>
      <c r="U113" s="231"/>
      <c r="V113" s="231"/>
      <c r="W113" s="231"/>
    </row>
    <row r="114" spans="16:23" x14ac:dyDescent="0.35">
      <c r="P114" s="231"/>
      <c r="Q114" s="231"/>
      <c r="R114" s="231"/>
      <c r="U114" s="231"/>
      <c r="V114" s="231"/>
      <c r="W114" s="231"/>
    </row>
    <row r="115" spans="16:23" x14ac:dyDescent="0.35">
      <c r="P115" s="231"/>
      <c r="Q115" s="231"/>
      <c r="R115" s="231"/>
      <c r="U115" s="231"/>
      <c r="V115" s="231"/>
      <c r="W115" s="231"/>
    </row>
    <row r="116" spans="16:23" x14ac:dyDescent="0.35">
      <c r="P116" s="231"/>
      <c r="Q116" s="231"/>
      <c r="R116" s="231"/>
      <c r="U116" s="231"/>
      <c r="V116" s="231"/>
      <c r="W116" s="231"/>
    </row>
    <row r="117" spans="16:23" x14ac:dyDescent="0.35">
      <c r="P117" s="231"/>
      <c r="Q117" s="231"/>
      <c r="R117" s="231"/>
      <c r="U117" s="231"/>
      <c r="V117" s="231"/>
      <c r="W117" s="231"/>
    </row>
    <row r="118" spans="16:23" x14ac:dyDescent="0.35">
      <c r="P118" s="231"/>
      <c r="Q118" s="231"/>
      <c r="R118" s="231"/>
      <c r="U118" s="231"/>
      <c r="V118" s="231"/>
      <c r="W118" s="231"/>
    </row>
    <row r="119" spans="16:23" x14ac:dyDescent="0.35">
      <c r="P119" s="231"/>
      <c r="Q119" s="231"/>
      <c r="R119" s="231"/>
      <c r="U119" s="231"/>
      <c r="V119" s="231"/>
      <c r="W119" s="231"/>
    </row>
    <row r="120" spans="16:23" x14ac:dyDescent="0.35">
      <c r="P120" s="231"/>
      <c r="Q120" s="231"/>
      <c r="R120" s="231"/>
      <c r="U120" s="231"/>
      <c r="V120" s="231"/>
      <c r="W120" s="231"/>
    </row>
    <row r="121" spans="16:23" x14ac:dyDescent="0.35">
      <c r="P121" s="231"/>
      <c r="Q121" s="231"/>
      <c r="R121" s="231"/>
      <c r="U121" s="231"/>
      <c r="V121" s="231"/>
      <c r="W121" s="231"/>
    </row>
    <row r="122" spans="16:23" x14ac:dyDescent="0.35">
      <c r="P122" s="231"/>
      <c r="Q122" s="231"/>
      <c r="R122" s="231"/>
      <c r="U122" s="231"/>
      <c r="V122" s="231"/>
      <c r="W122" s="231"/>
    </row>
    <row r="123" spans="16:23" x14ac:dyDescent="0.35">
      <c r="P123" s="231"/>
      <c r="Q123" s="231"/>
      <c r="R123" s="231"/>
      <c r="U123" s="231"/>
      <c r="V123" s="231"/>
      <c r="W123" s="231"/>
    </row>
    <row r="124" spans="16:23" x14ac:dyDescent="0.35">
      <c r="P124" s="231"/>
      <c r="Q124" s="231"/>
      <c r="R124" s="231"/>
      <c r="U124" s="231"/>
      <c r="V124" s="231"/>
      <c r="W124" s="231"/>
    </row>
    <row r="125" spans="16:23" x14ac:dyDescent="0.35">
      <c r="P125" s="231"/>
      <c r="Q125" s="231"/>
      <c r="R125" s="231"/>
      <c r="U125" s="231"/>
      <c r="V125" s="231"/>
      <c r="W125" s="231"/>
    </row>
    <row r="126" spans="16:23" x14ac:dyDescent="0.35">
      <c r="P126" s="231"/>
      <c r="Q126" s="231"/>
      <c r="R126" s="231"/>
      <c r="U126" s="231"/>
      <c r="V126" s="231"/>
      <c r="W126" s="231"/>
    </row>
    <row r="127" spans="16:23" x14ac:dyDescent="0.35">
      <c r="P127" s="231"/>
      <c r="Q127" s="231"/>
      <c r="R127" s="231"/>
      <c r="U127" s="231"/>
      <c r="V127" s="231"/>
      <c r="W127" s="231"/>
    </row>
    <row r="128" spans="16:23" x14ac:dyDescent="0.35">
      <c r="P128" s="231"/>
      <c r="Q128" s="231"/>
      <c r="R128" s="231"/>
      <c r="U128" s="231"/>
      <c r="V128" s="231"/>
      <c r="W128" s="231"/>
    </row>
    <row r="129" spans="16:23" x14ac:dyDescent="0.35">
      <c r="P129" s="231"/>
      <c r="Q129" s="231"/>
      <c r="R129" s="231"/>
      <c r="U129" s="231"/>
      <c r="V129" s="231"/>
      <c r="W129" s="231"/>
    </row>
    <row r="130" spans="16:23" x14ac:dyDescent="0.35">
      <c r="P130" s="231"/>
      <c r="Q130" s="231"/>
      <c r="R130" s="231"/>
      <c r="U130" s="231"/>
      <c r="V130" s="231"/>
      <c r="W130" s="231"/>
    </row>
    <row r="131" spans="16:23" x14ac:dyDescent="0.35">
      <c r="P131" s="231"/>
      <c r="Q131" s="231"/>
      <c r="R131" s="231"/>
      <c r="U131" s="231"/>
      <c r="V131" s="231"/>
      <c r="W131" s="231"/>
    </row>
    <row r="132" spans="16:23" x14ac:dyDescent="0.35">
      <c r="P132" s="231"/>
      <c r="Q132" s="231"/>
      <c r="R132" s="231"/>
      <c r="U132" s="231"/>
      <c r="V132" s="231"/>
      <c r="W132" s="231"/>
    </row>
    <row r="133" spans="16:23" x14ac:dyDescent="0.35">
      <c r="P133" s="231"/>
      <c r="Q133" s="231"/>
      <c r="R133" s="231"/>
      <c r="U133" s="231"/>
      <c r="V133" s="231"/>
      <c r="W133" s="231"/>
    </row>
    <row r="134" spans="16:23" x14ac:dyDescent="0.35">
      <c r="P134" s="231"/>
      <c r="Q134" s="231"/>
      <c r="R134" s="231"/>
      <c r="U134" s="231"/>
      <c r="V134" s="231"/>
      <c r="W134" s="231"/>
    </row>
    <row r="135" spans="16:23" x14ac:dyDescent="0.35">
      <c r="P135" s="231"/>
      <c r="Q135" s="231"/>
      <c r="R135" s="231"/>
      <c r="U135" s="231"/>
      <c r="V135" s="231"/>
      <c r="W135" s="231"/>
    </row>
    <row r="136" spans="16:23" x14ac:dyDescent="0.35">
      <c r="P136" s="231"/>
      <c r="Q136" s="231"/>
      <c r="R136" s="231"/>
      <c r="U136" s="231"/>
      <c r="V136" s="231"/>
      <c r="W136" s="231"/>
    </row>
    <row r="137" spans="16:23" x14ac:dyDescent="0.35">
      <c r="P137" s="231"/>
      <c r="Q137" s="231"/>
      <c r="R137" s="231"/>
      <c r="U137" s="231"/>
      <c r="V137" s="231"/>
      <c r="W137" s="231"/>
    </row>
    <row r="138" spans="16:23" x14ac:dyDescent="0.35">
      <c r="P138" s="231"/>
      <c r="Q138" s="231"/>
      <c r="R138" s="231"/>
      <c r="U138" s="231"/>
      <c r="V138" s="231"/>
      <c r="W138" s="231"/>
    </row>
    <row r="139" spans="16:23" x14ac:dyDescent="0.35">
      <c r="P139" s="231"/>
      <c r="Q139" s="231"/>
      <c r="R139" s="231"/>
      <c r="U139" s="231"/>
      <c r="V139" s="231"/>
      <c r="W139" s="231"/>
    </row>
    <row r="140" spans="16:23" x14ac:dyDescent="0.35">
      <c r="P140" s="231"/>
      <c r="Q140" s="231"/>
      <c r="R140" s="231"/>
      <c r="U140" s="231"/>
      <c r="V140" s="231"/>
      <c r="W140" s="231"/>
    </row>
    <row r="141" spans="16:23" x14ac:dyDescent="0.35">
      <c r="P141" s="231"/>
      <c r="Q141" s="231"/>
      <c r="R141" s="231"/>
      <c r="U141" s="231"/>
      <c r="V141" s="231"/>
      <c r="W141" s="231"/>
    </row>
    <row r="142" spans="16:23" x14ac:dyDescent="0.35">
      <c r="P142" s="231"/>
      <c r="Q142" s="231"/>
      <c r="R142" s="231"/>
      <c r="U142" s="231"/>
      <c r="V142" s="231"/>
      <c r="W142" s="231"/>
    </row>
    <row r="143" spans="16:23" x14ac:dyDescent="0.35">
      <c r="P143" s="231"/>
      <c r="Q143" s="231"/>
      <c r="R143" s="231"/>
      <c r="U143" s="231"/>
      <c r="V143" s="231"/>
      <c r="W143" s="231"/>
    </row>
    <row r="144" spans="16:23" x14ac:dyDescent="0.35">
      <c r="P144" s="231"/>
      <c r="Q144" s="231"/>
      <c r="R144" s="231"/>
      <c r="U144" s="231"/>
      <c r="V144" s="231"/>
      <c r="W144" s="231"/>
    </row>
    <row r="145" spans="16:23" x14ac:dyDescent="0.35">
      <c r="P145" s="231"/>
      <c r="Q145" s="231"/>
      <c r="R145" s="231"/>
      <c r="U145" s="231"/>
      <c r="V145" s="231"/>
      <c r="W145" s="231"/>
    </row>
    <row r="146" spans="16:23" x14ac:dyDescent="0.35">
      <c r="P146" s="231"/>
      <c r="Q146" s="231"/>
      <c r="R146" s="231"/>
      <c r="U146" s="231"/>
      <c r="V146" s="231"/>
      <c r="W146" s="231"/>
    </row>
    <row r="147" spans="16:23" x14ac:dyDescent="0.35">
      <c r="P147" s="231"/>
      <c r="Q147" s="231"/>
      <c r="R147" s="231"/>
      <c r="U147" s="231"/>
      <c r="V147" s="231"/>
      <c r="W147" s="231"/>
    </row>
    <row r="148" spans="16:23" x14ac:dyDescent="0.35">
      <c r="P148" s="231"/>
      <c r="Q148" s="231"/>
      <c r="R148" s="231"/>
      <c r="U148" s="231"/>
      <c r="V148" s="231"/>
      <c r="W148" s="231"/>
    </row>
    <row r="149" spans="16:23" x14ac:dyDescent="0.35">
      <c r="P149" s="231"/>
      <c r="Q149" s="231"/>
      <c r="R149" s="231"/>
      <c r="U149" s="231"/>
      <c r="V149" s="231"/>
      <c r="W149" s="231"/>
    </row>
    <row r="150" spans="16:23" x14ac:dyDescent="0.35">
      <c r="P150" s="231"/>
      <c r="Q150" s="231"/>
      <c r="R150" s="231"/>
      <c r="U150" s="231"/>
      <c r="V150" s="231"/>
      <c r="W150" s="231"/>
    </row>
    <row r="151" spans="16:23" x14ac:dyDescent="0.35">
      <c r="P151" s="231"/>
      <c r="Q151" s="231"/>
      <c r="R151" s="231"/>
      <c r="U151" s="231"/>
      <c r="V151" s="231"/>
      <c r="W151" s="231"/>
    </row>
    <row r="152" spans="16:23" x14ac:dyDescent="0.35">
      <c r="P152" s="231"/>
      <c r="Q152" s="231"/>
      <c r="R152" s="231"/>
      <c r="U152" s="231"/>
      <c r="V152" s="231"/>
      <c r="W152" s="231"/>
    </row>
    <row r="153" spans="16:23" x14ac:dyDescent="0.35">
      <c r="P153" s="231"/>
      <c r="Q153" s="231"/>
      <c r="R153" s="231"/>
      <c r="U153" s="231"/>
      <c r="V153" s="231"/>
      <c r="W153" s="231"/>
    </row>
    <row r="154" spans="16:23" x14ac:dyDescent="0.35">
      <c r="P154" s="231"/>
      <c r="Q154" s="231"/>
      <c r="R154" s="231"/>
      <c r="U154" s="231"/>
      <c r="V154" s="231"/>
      <c r="W154" s="231"/>
    </row>
    <row r="155" spans="16:23" x14ac:dyDescent="0.35">
      <c r="P155" s="231"/>
      <c r="Q155" s="231"/>
      <c r="R155" s="231"/>
      <c r="U155" s="231"/>
      <c r="V155" s="231"/>
      <c r="W155" s="231"/>
    </row>
    <row r="156" spans="16:23" x14ac:dyDescent="0.35">
      <c r="P156" s="231"/>
      <c r="Q156" s="231"/>
      <c r="R156" s="231"/>
      <c r="U156" s="231"/>
      <c r="V156" s="231"/>
      <c r="W156" s="231"/>
    </row>
    <row r="157" spans="16:23" x14ac:dyDescent="0.35">
      <c r="P157" s="231"/>
      <c r="Q157" s="231"/>
      <c r="R157" s="231"/>
      <c r="U157" s="231"/>
      <c r="V157" s="231"/>
      <c r="W157" s="231"/>
    </row>
    <row r="158" spans="16:23" x14ac:dyDescent="0.35">
      <c r="P158" s="231"/>
      <c r="Q158" s="231"/>
      <c r="R158" s="231"/>
      <c r="U158" s="231"/>
      <c r="V158" s="231"/>
      <c r="W158" s="231"/>
    </row>
    <row r="159" spans="16:23" x14ac:dyDescent="0.35">
      <c r="P159" s="231"/>
      <c r="Q159" s="231"/>
      <c r="R159" s="231"/>
      <c r="U159" s="231"/>
      <c r="V159" s="231"/>
      <c r="W159" s="231"/>
    </row>
    <row r="160" spans="16:23" x14ac:dyDescent="0.35">
      <c r="P160" s="231"/>
      <c r="Q160" s="231"/>
      <c r="R160" s="231"/>
      <c r="U160" s="231"/>
      <c r="V160" s="231"/>
      <c r="W160" s="231"/>
    </row>
    <row r="161" spans="15:23" x14ac:dyDescent="0.35">
      <c r="P161" s="231"/>
      <c r="Q161" s="231"/>
      <c r="R161" s="231"/>
      <c r="U161" s="231"/>
      <c r="V161" s="231"/>
      <c r="W161" s="231"/>
    </row>
    <row r="162" spans="15:23" x14ac:dyDescent="0.35">
      <c r="P162" s="231"/>
      <c r="Q162" s="231"/>
      <c r="R162" s="231"/>
      <c r="U162" s="231"/>
      <c r="V162" s="231"/>
      <c r="W162" s="231"/>
    </row>
    <row r="163" spans="15:23" x14ac:dyDescent="0.35">
      <c r="P163" s="231"/>
      <c r="Q163" s="231"/>
      <c r="R163" s="231"/>
      <c r="U163" s="231"/>
      <c r="V163" s="231"/>
      <c r="W163" s="231"/>
    </row>
    <row r="164" spans="15:23" x14ac:dyDescent="0.35">
      <c r="P164" s="231"/>
      <c r="Q164" s="231"/>
      <c r="R164" s="231"/>
      <c r="U164" s="231"/>
      <c r="V164" s="231"/>
      <c r="W164" s="231"/>
    </row>
    <row r="165" spans="15:23" x14ac:dyDescent="0.35">
      <c r="P165" s="231"/>
      <c r="Q165" s="231"/>
      <c r="R165" s="231"/>
      <c r="U165" s="231"/>
      <c r="V165" s="231"/>
      <c r="W165" s="231"/>
    </row>
    <row r="166" spans="15:23" x14ac:dyDescent="0.35">
      <c r="P166" s="231"/>
      <c r="Q166" s="231"/>
      <c r="R166" s="231"/>
      <c r="U166" s="231"/>
      <c r="V166" s="231"/>
      <c r="W166" s="231"/>
    </row>
    <row r="167" spans="15:23" x14ac:dyDescent="0.35">
      <c r="P167" s="231"/>
      <c r="Q167" s="231"/>
      <c r="R167" s="231"/>
      <c r="U167" s="231"/>
      <c r="V167" s="231"/>
      <c r="W167" s="231"/>
    </row>
    <row r="168" spans="15:23" x14ac:dyDescent="0.35">
      <c r="P168" s="231"/>
      <c r="Q168" s="231"/>
      <c r="R168" s="231"/>
      <c r="U168" s="231"/>
      <c r="V168" s="231"/>
      <c r="W168" s="231"/>
    </row>
    <row r="169" spans="15:23" x14ac:dyDescent="0.35">
      <c r="P169" s="231"/>
      <c r="Q169" s="231"/>
      <c r="R169" s="231"/>
      <c r="U169" s="231"/>
      <c r="V169" s="231"/>
      <c r="W169" s="231"/>
    </row>
    <row r="170" spans="15:23" x14ac:dyDescent="0.35">
      <c r="P170" s="231"/>
      <c r="Q170" s="231"/>
      <c r="R170" s="231"/>
      <c r="U170" s="231"/>
      <c r="V170" s="231"/>
      <c r="W170" s="231"/>
    </row>
    <row r="171" spans="15:23" x14ac:dyDescent="0.35">
      <c r="P171" s="231"/>
      <c r="Q171" s="231"/>
      <c r="R171" s="231"/>
      <c r="U171" s="231"/>
      <c r="V171" s="231"/>
      <c r="W171" s="231"/>
    </row>
    <row r="172" spans="15:23" x14ac:dyDescent="0.35">
      <c r="O172" s="2">
        <v>172</v>
      </c>
      <c r="P172" s="231">
        <f t="shared" ref="P172:P192" si="6">IFERROR(IPMT((NOMINAL($D$27,12)/12),O172,$D$12,-$D$26),0)</f>
        <v>0</v>
      </c>
      <c r="Q172" s="231">
        <f t="shared" ref="Q172:Q192" si="7">IFERROR(IPMT((NOMINAL($D$19,12)/12),O172,$D$12,-($D$18*99%))+(($D$18*1%)*(NOMINAL($D$19,12)/12)),0)</f>
        <v>0</v>
      </c>
      <c r="R172" s="231">
        <f t="shared" ref="R172:R193" si="8">P172-Q172</f>
        <v>0</v>
      </c>
      <c r="T172" s="2">
        <v>172</v>
      </c>
      <c r="U172" s="231">
        <f t="shared" ref="U172:U192" si="9">IFERROR(IPMT((NOMINAL($D$27,12)/12),T172,$D$12,-$D$26),0)</f>
        <v>0</v>
      </c>
      <c r="V172" s="231">
        <f t="shared" ref="V172:V192" si="10">IFERROR(IPMT((NOMINAL($D$19,12)/12),T172,$D$12,-($D$26*99%))+(($D$18*1%)*(NOMINAL($D$19,12)/12)),0)</f>
        <v>0</v>
      </c>
      <c r="W172" s="231">
        <f t="shared" ref="W172:W193" si="11">U172-V172</f>
        <v>0</v>
      </c>
    </row>
    <row r="173" spans="15:23" x14ac:dyDescent="0.35">
      <c r="O173" s="2">
        <v>173</v>
      </c>
      <c r="P173" s="231">
        <f t="shared" si="6"/>
        <v>0</v>
      </c>
      <c r="Q173" s="231">
        <f t="shared" si="7"/>
        <v>0</v>
      </c>
      <c r="R173" s="231">
        <f t="shared" si="8"/>
        <v>0</v>
      </c>
      <c r="T173" s="2">
        <v>173</v>
      </c>
      <c r="U173" s="231">
        <f t="shared" si="9"/>
        <v>0</v>
      </c>
      <c r="V173" s="231">
        <f t="shared" si="10"/>
        <v>0</v>
      </c>
      <c r="W173" s="231">
        <f t="shared" si="11"/>
        <v>0</v>
      </c>
    </row>
    <row r="174" spans="15:23" x14ac:dyDescent="0.35">
      <c r="O174" s="2">
        <v>174</v>
      </c>
      <c r="P174" s="231">
        <f t="shared" si="6"/>
        <v>0</v>
      </c>
      <c r="Q174" s="231">
        <f t="shared" si="7"/>
        <v>0</v>
      </c>
      <c r="R174" s="231">
        <f t="shared" si="8"/>
        <v>0</v>
      </c>
      <c r="T174" s="2">
        <v>174</v>
      </c>
      <c r="U174" s="231">
        <f t="shared" si="9"/>
        <v>0</v>
      </c>
      <c r="V174" s="231">
        <f t="shared" si="10"/>
        <v>0</v>
      </c>
      <c r="W174" s="231">
        <f t="shared" si="11"/>
        <v>0</v>
      </c>
    </row>
    <row r="175" spans="15:23" x14ac:dyDescent="0.35">
      <c r="O175" s="2">
        <v>175</v>
      </c>
      <c r="P175" s="231">
        <f t="shared" si="6"/>
        <v>0</v>
      </c>
      <c r="Q175" s="231">
        <f t="shared" si="7"/>
        <v>0</v>
      </c>
      <c r="R175" s="231">
        <f t="shared" si="8"/>
        <v>0</v>
      </c>
      <c r="T175" s="2">
        <v>175</v>
      </c>
      <c r="U175" s="231">
        <f t="shared" si="9"/>
        <v>0</v>
      </c>
      <c r="V175" s="231">
        <f t="shared" si="10"/>
        <v>0</v>
      </c>
      <c r="W175" s="231">
        <f t="shared" si="11"/>
        <v>0</v>
      </c>
    </row>
    <row r="176" spans="15:23" x14ac:dyDescent="0.35">
      <c r="O176" s="2">
        <v>176</v>
      </c>
      <c r="P176" s="231">
        <f t="shared" si="6"/>
        <v>0</v>
      </c>
      <c r="Q176" s="231">
        <f t="shared" si="7"/>
        <v>0</v>
      </c>
      <c r="R176" s="231">
        <f t="shared" si="8"/>
        <v>0</v>
      </c>
      <c r="T176" s="2">
        <v>176</v>
      </c>
      <c r="U176" s="231">
        <f t="shared" si="9"/>
        <v>0</v>
      </c>
      <c r="V176" s="231">
        <f t="shared" si="10"/>
        <v>0</v>
      </c>
      <c r="W176" s="231">
        <f t="shared" si="11"/>
        <v>0</v>
      </c>
    </row>
    <row r="177" spans="15:23" x14ac:dyDescent="0.35">
      <c r="O177" s="2">
        <v>177</v>
      </c>
      <c r="P177" s="231">
        <f t="shared" si="6"/>
        <v>0</v>
      </c>
      <c r="Q177" s="231">
        <f t="shared" si="7"/>
        <v>0</v>
      </c>
      <c r="R177" s="231">
        <f t="shared" si="8"/>
        <v>0</v>
      </c>
      <c r="T177" s="2">
        <v>177</v>
      </c>
      <c r="U177" s="231">
        <f t="shared" si="9"/>
        <v>0</v>
      </c>
      <c r="V177" s="231">
        <f t="shared" si="10"/>
        <v>0</v>
      </c>
      <c r="W177" s="231">
        <f t="shared" si="11"/>
        <v>0</v>
      </c>
    </row>
    <row r="178" spans="15:23" x14ac:dyDescent="0.35">
      <c r="O178" s="2">
        <v>178</v>
      </c>
      <c r="P178" s="231">
        <f t="shared" si="6"/>
        <v>0</v>
      </c>
      <c r="Q178" s="231">
        <f t="shared" si="7"/>
        <v>0</v>
      </c>
      <c r="R178" s="231">
        <f t="shared" si="8"/>
        <v>0</v>
      </c>
      <c r="T178" s="2">
        <v>178</v>
      </c>
      <c r="U178" s="231">
        <f t="shared" si="9"/>
        <v>0</v>
      </c>
      <c r="V178" s="231">
        <f t="shared" si="10"/>
        <v>0</v>
      </c>
      <c r="W178" s="231">
        <f t="shared" si="11"/>
        <v>0</v>
      </c>
    </row>
    <row r="179" spans="15:23" x14ac:dyDescent="0.35">
      <c r="O179" s="2">
        <v>179</v>
      </c>
      <c r="P179" s="231">
        <f t="shared" si="6"/>
        <v>0</v>
      </c>
      <c r="Q179" s="231">
        <f t="shared" si="7"/>
        <v>0</v>
      </c>
      <c r="R179" s="231">
        <f t="shared" si="8"/>
        <v>0</v>
      </c>
      <c r="T179" s="2">
        <v>179</v>
      </c>
      <c r="U179" s="231">
        <f t="shared" si="9"/>
        <v>0</v>
      </c>
      <c r="V179" s="231">
        <f t="shared" si="10"/>
        <v>0</v>
      </c>
      <c r="W179" s="231">
        <f t="shared" si="11"/>
        <v>0</v>
      </c>
    </row>
    <row r="180" spans="15:23" x14ac:dyDescent="0.35">
      <c r="O180" s="2">
        <v>180</v>
      </c>
      <c r="P180" s="231">
        <f t="shared" si="6"/>
        <v>0</v>
      </c>
      <c r="Q180" s="231">
        <f t="shared" si="7"/>
        <v>0</v>
      </c>
      <c r="R180" s="231">
        <f t="shared" si="8"/>
        <v>0</v>
      </c>
      <c r="T180" s="2">
        <v>180</v>
      </c>
      <c r="U180" s="231">
        <f t="shared" si="9"/>
        <v>0</v>
      </c>
      <c r="V180" s="231">
        <f t="shared" si="10"/>
        <v>0</v>
      </c>
      <c r="W180" s="231">
        <f t="shared" si="11"/>
        <v>0</v>
      </c>
    </row>
    <row r="181" spans="15:23" x14ac:dyDescent="0.35">
      <c r="O181" s="2">
        <v>181</v>
      </c>
      <c r="P181" s="231">
        <f t="shared" si="6"/>
        <v>0</v>
      </c>
      <c r="Q181" s="231">
        <f t="shared" si="7"/>
        <v>0</v>
      </c>
      <c r="R181" s="231">
        <f t="shared" si="8"/>
        <v>0</v>
      </c>
      <c r="T181" s="2">
        <v>181</v>
      </c>
      <c r="U181" s="231">
        <f t="shared" si="9"/>
        <v>0</v>
      </c>
      <c r="V181" s="231">
        <f t="shared" si="10"/>
        <v>0</v>
      </c>
      <c r="W181" s="231">
        <f t="shared" si="11"/>
        <v>0</v>
      </c>
    </row>
    <row r="182" spans="15:23" x14ac:dyDescent="0.35">
      <c r="O182" s="2">
        <v>182</v>
      </c>
      <c r="P182" s="231">
        <f t="shared" si="6"/>
        <v>0</v>
      </c>
      <c r="Q182" s="231">
        <f t="shared" si="7"/>
        <v>0</v>
      </c>
      <c r="R182" s="231">
        <f t="shared" si="8"/>
        <v>0</v>
      </c>
      <c r="T182" s="2">
        <v>182</v>
      </c>
      <c r="U182" s="231">
        <f t="shared" si="9"/>
        <v>0</v>
      </c>
      <c r="V182" s="231">
        <f t="shared" si="10"/>
        <v>0</v>
      </c>
      <c r="W182" s="231">
        <f t="shared" si="11"/>
        <v>0</v>
      </c>
    </row>
    <row r="183" spans="15:23" x14ac:dyDescent="0.35">
      <c r="O183" s="2">
        <v>183</v>
      </c>
      <c r="P183" s="231">
        <f t="shared" si="6"/>
        <v>0</v>
      </c>
      <c r="Q183" s="231">
        <f t="shared" si="7"/>
        <v>0</v>
      </c>
      <c r="R183" s="231">
        <f t="shared" si="8"/>
        <v>0</v>
      </c>
      <c r="T183" s="2">
        <v>183</v>
      </c>
      <c r="U183" s="231">
        <f t="shared" si="9"/>
        <v>0</v>
      </c>
      <c r="V183" s="231">
        <f t="shared" si="10"/>
        <v>0</v>
      </c>
      <c r="W183" s="231">
        <f t="shared" si="11"/>
        <v>0</v>
      </c>
    </row>
    <row r="184" spans="15:23" x14ac:dyDescent="0.35">
      <c r="O184" s="2">
        <v>184</v>
      </c>
      <c r="P184" s="231">
        <f t="shared" si="6"/>
        <v>0</v>
      </c>
      <c r="Q184" s="231">
        <f t="shared" si="7"/>
        <v>0</v>
      </c>
      <c r="R184" s="231">
        <f t="shared" si="8"/>
        <v>0</v>
      </c>
      <c r="T184" s="2">
        <v>184</v>
      </c>
      <c r="U184" s="231">
        <f t="shared" si="9"/>
        <v>0</v>
      </c>
      <c r="V184" s="231">
        <f t="shared" si="10"/>
        <v>0</v>
      </c>
      <c r="W184" s="231">
        <f t="shared" si="11"/>
        <v>0</v>
      </c>
    </row>
    <row r="185" spans="15:23" x14ac:dyDescent="0.35">
      <c r="O185" s="2">
        <v>185</v>
      </c>
      <c r="P185" s="231">
        <f t="shared" si="6"/>
        <v>0</v>
      </c>
      <c r="Q185" s="231">
        <f t="shared" si="7"/>
        <v>0</v>
      </c>
      <c r="R185" s="231">
        <f t="shared" si="8"/>
        <v>0</v>
      </c>
      <c r="T185" s="2">
        <v>185</v>
      </c>
      <c r="U185" s="231">
        <f t="shared" si="9"/>
        <v>0</v>
      </c>
      <c r="V185" s="231">
        <f t="shared" si="10"/>
        <v>0</v>
      </c>
      <c r="W185" s="231">
        <f t="shared" si="11"/>
        <v>0</v>
      </c>
    </row>
    <row r="186" spans="15:23" x14ac:dyDescent="0.35">
      <c r="O186" s="2">
        <v>186</v>
      </c>
      <c r="P186" s="231">
        <f t="shared" si="6"/>
        <v>0</v>
      </c>
      <c r="Q186" s="231">
        <f t="shared" si="7"/>
        <v>0</v>
      </c>
      <c r="R186" s="231">
        <f t="shared" si="8"/>
        <v>0</v>
      </c>
      <c r="T186" s="2">
        <v>186</v>
      </c>
      <c r="U186" s="231">
        <f t="shared" si="9"/>
        <v>0</v>
      </c>
      <c r="V186" s="231">
        <f t="shared" si="10"/>
        <v>0</v>
      </c>
      <c r="W186" s="231">
        <f t="shared" si="11"/>
        <v>0</v>
      </c>
    </row>
    <row r="187" spans="15:23" x14ac:dyDescent="0.35">
      <c r="O187" s="2">
        <v>187</v>
      </c>
      <c r="P187" s="231">
        <f t="shared" si="6"/>
        <v>0</v>
      </c>
      <c r="Q187" s="231">
        <f t="shared" si="7"/>
        <v>0</v>
      </c>
      <c r="R187" s="231">
        <f t="shared" si="8"/>
        <v>0</v>
      </c>
      <c r="T187" s="2">
        <v>187</v>
      </c>
      <c r="U187" s="231">
        <f t="shared" si="9"/>
        <v>0</v>
      </c>
      <c r="V187" s="231">
        <f t="shared" si="10"/>
        <v>0</v>
      </c>
      <c r="W187" s="231">
        <f t="shared" si="11"/>
        <v>0</v>
      </c>
    </row>
    <row r="188" spans="15:23" x14ac:dyDescent="0.35">
      <c r="O188" s="2">
        <v>188</v>
      </c>
      <c r="P188" s="231">
        <f t="shared" si="6"/>
        <v>0</v>
      </c>
      <c r="Q188" s="231">
        <f t="shared" si="7"/>
        <v>0</v>
      </c>
      <c r="R188" s="231">
        <f t="shared" si="8"/>
        <v>0</v>
      </c>
      <c r="T188" s="2">
        <v>188</v>
      </c>
      <c r="U188" s="231">
        <f t="shared" si="9"/>
        <v>0</v>
      </c>
      <c r="V188" s="231">
        <f t="shared" si="10"/>
        <v>0</v>
      </c>
      <c r="W188" s="231">
        <f t="shared" si="11"/>
        <v>0</v>
      </c>
    </row>
    <row r="189" spans="15:23" x14ac:dyDescent="0.35">
      <c r="O189" s="2">
        <v>189</v>
      </c>
      <c r="P189" s="231">
        <f t="shared" si="6"/>
        <v>0</v>
      </c>
      <c r="Q189" s="231">
        <f t="shared" si="7"/>
        <v>0</v>
      </c>
      <c r="R189" s="231">
        <f t="shared" si="8"/>
        <v>0</v>
      </c>
      <c r="T189" s="2">
        <v>189</v>
      </c>
      <c r="U189" s="231">
        <f t="shared" si="9"/>
        <v>0</v>
      </c>
      <c r="V189" s="231">
        <f t="shared" si="10"/>
        <v>0</v>
      </c>
      <c r="W189" s="231">
        <f t="shared" si="11"/>
        <v>0</v>
      </c>
    </row>
    <row r="190" spans="15:23" x14ac:dyDescent="0.35">
      <c r="O190" s="2">
        <v>190</v>
      </c>
      <c r="P190" s="231">
        <f t="shared" si="6"/>
        <v>0</v>
      </c>
      <c r="Q190" s="231">
        <f t="shared" si="7"/>
        <v>0</v>
      </c>
      <c r="R190" s="231">
        <f t="shared" si="8"/>
        <v>0</v>
      </c>
      <c r="T190" s="2">
        <v>190</v>
      </c>
      <c r="U190" s="231">
        <f t="shared" si="9"/>
        <v>0</v>
      </c>
      <c r="V190" s="231">
        <f t="shared" si="10"/>
        <v>0</v>
      </c>
      <c r="W190" s="231">
        <f t="shared" si="11"/>
        <v>0</v>
      </c>
    </row>
    <row r="191" spans="15:23" x14ac:dyDescent="0.35">
      <c r="O191" s="2">
        <v>191</v>
      </c>
      <c r="P191" s="231">
        <f t="shared" si="6"/>
        <v>0</v>
      </c>
      <c r="Q191" s="231">
        <f t="shared" si="7"/>
        <v>0</v>
      </c>
      <c r="R191" s="231">
        <f t="shared" si="8"/>
        <v>0</v>
      </c>
      <c r="T191" s="2">
        <v>191</v>
      </c>
      <c r="U191" s="231">
        <f t="shared" si="9"/>
        <v>0</v>
      </c>
      <c r="V191" s="231">
        <f t="shared" si="10"/>
        <v>0</v>
      </c>
      <c r="W191" s="231">
        <f t="shared" si="11"/>
        <v>0</v>
      </c>
    </row>
    <row r="192" spans="15:23" x14ac:dyDescent="0.35">
      <c r="O192" s="2">
        <v>192</v>
      </c>
      <c r="P192" s="231">
        <f t="shared" si="6"/>
        <v>0</v>
      </c>
      <c r="Q192" s="231">
        <f t="shared" si="7"/>
        <v>0</v>
      </c>
      <c r="R192" s="231">
        <f t="shared" si="8"/>
        <v>0</v>
      </c>
      <c r="T192" s="2">
        <v>192</v>
      </c>
      <c r="U192" s="231">
        <f t="shared" si="9"/>
        <v>0</v>
      </c>
      <c r="V192" s="231">
        <f t="shared" si="10"/>
        <v>0</v>
      </c>
      <c r="W192" s="231">
        <f t="shared" si="11"/>
        <v>0</v>
      </c>
    </row>
    <row r="193" spans="15:23" x14ac:dyDescent="0.35">
      <c r="O193" s="2">
        <v>193</v>
      </c>
      <c r="P193" s="231">
        <f t="shared" ref="P193:P240" si="12">IFERROR(IPMT((NOMINAL($D$27,12)/12),O193,$D$12,-$D$26),0)</f>
        <v>0</v>
      </c>
      <c r="Q193" s="231">
        <f t="shared" ref="Q193:Q240" si="13">IFERROR(IPMT((NOMINAL($D$19,12)/12),O193,$D$12,-($D$18*99%))+(($D$18*1%)*(NOMINAL($D$19,12)/12)),0)</f>
        <v>0</v>
      </c>
      <c r="R193" s="231">
        <f t="shared" si="8"/>
        <v>0</v>
      </c>
      <c r="T193" s="2">
        <v>193</v>
      </c>
      <c r="U193" s="231">
        <f t="shared" ref="U193:U240" si="14">IFERROR(IPMT((NOMINAL($D$27,12)/12),T193,$D$12,-$D$26),0)</f>
        <v>0</v>
      </c>
      <c r="V193" s="231">
        <f t="shared" ref="V193:V241" si="15">IFERROR(IPMT((NOMINAL($D$19,12)/12),T193,$D$12,-($D$26*99%))+(($D$18*1%)*(NOMINAL($D$19,12)/12)),0)</f>
        <v>0</v>
      </c>
      <c r="W193" s="231">
        <f t="shared" si="11"/>
        <v>0</v>
      </c>
    </row>
    <row r="194" spans="15:23" x14ac:dyDescent="0.35">
      <c r="O194" s="2">
        <v>194</v>
      </c>
      <c r="P194" s="231">
        <f t="shared" si="12"/>
        <v>0</v>
      </c>
      <c r="Q194" s="231">
        <f t="shared" si="13"/>
        <v>0</v>
      </c>
      <c r="R194" s="231">
        <f t="shared" ref="R194:R240" si="16">P194-Q194</f>
        <v>0</v>
      </c>
      <c r="T194" s="2">
        <v>194</v>
      </c>
      <c r="U194" s="231">
        <f t="shared" si="14"/>
        <v>0</v>
      </c>
      <c r="V194" s="231">
        <f t="shared" si="15"/>
        <v>0</v>
      </c>
      <c r="W194" s="231">
        <f t="shared" ref="W194:W240" si="17">U194-V194</f>
        <v>0</v>
      </c>
    </row>
    <row r="195" spans="15:23" x14ac:dyDescent="0.35">
      <c r="O195" s="2">
        <v>195</v>
      </c>
      <c r="P195" s="231">
        <f t="shared" si="12"/>
        <v>0</v>
      </c>
      <c r="Q195" s="231">
        <f t="shared" si="13"/>
        <v>0</v>
      </c>
      <c r="R195" s="231">
        <f t="shared" si="16"/>
        <v>0</v>
      </c>
      <c r="T195" s="2">
        <v>195</v>
      </c>
      <c r="U195" s="231">
        <f t="shared" si="14"/>
        <v>0</v>
      </c>
      <c r="V195" s="231">
        <f t="shared" si="15"/>
        <v>0</v>
      </c>
      <c r="W195" s="231">
        <f t="shared" si="17"/>
        <v>0</v>
      </c>
    </row>
    <row r="196" spans="15:23" x14ac:dyDescent="0.35">
      <c r="O196" s="2">
        <v>196</v>
      </c>
      <c r="P196" s="231">
        <f t="shared" si="12"/>
        <v>0</v>
      </c>
      <c r="Q196" s="231">
        <f t="shared" si="13"/>
        <v>0</v>
      </c>
      <c r="R196" s="231">
        <f t="shared" si="16"/>
        <v>0</v>
      </c>
      <c r="T196" s="2">
        <v>196</v>
      </c>
      <c r="U196" s="231">
        <f t="shared" si="14"/>
        <v>0</v>
      </c>
      <c r="V196" s="231">
        <f t="shared" si="15"/>
        <v>0</v>
      </c>
      <c r="W196" s="231">
        <f t="shared" si="17"/>
        <v>0</v>
      </c>
    </row>
    <row r="197" spans="15:23" x14ac:dyDescent="0.35">
      <c r="O197" s="2">
        <v>197</v>
      </c>
      <c r="P197" s="231">
        <f t="shared" si="12"/>
        <v>0</v>
      </c>
      <c r="Q197" s="231">
        <f t="shared" si="13"/>
        <v>0</v>
      </c>
      <c r="R197" s="231">
        <f t="shared" si="16"/>
        <v>0</v>
      </c>
      <c r="T197" s="2">
        <v>197</v>
      </c>
      <c r="U197" s="231">
        <f t="shared" si="14"/>
        <v>0</v>
      </c>
      <c r="V197" s="231">
        <f t="shared" si="15"/>
        <v>0</v>
      </c>
      <c r="W197" s="231">
        <f t="shared" si="17"/>
        <v>0</v>
      </c>
    </row>
    <row r="198" spans="15:23" x14ac:dyDescent="0.35">
      <c r="O198" s="2">
        <v>198</v>
      </c>
      <c r="P198" s="231">
        <f t="shared" si="12"/>
        <v>0</v>
      </c>
      <c r="Q198" s="231">
        <f t="shared" si="13"/>
        <v>0</v>
      </c>
      <c r="R198" s="231">
        <f t="shared" si="16"/>
        <v>0</v>
      </c>
      <c r="T198" s="2">
        <v>198</v>
      </c>
      <c r="U198" s="231">
        <f t="shared" si="14"/>
        <v>0</v>
      </c>
      <c r="V198" s="231">
        <f t="shared" si="15"/>
        <v>0</v>
      </c>
      <c r="W198" s="231">
        <f t="shared" si="17"/>
        <v>0</v>
      </c>
    </row>
    <row r="199" spans="15:23" x14ac:dyDescent="0.35">
      <c r="O199" s="2">
        <v>199</v>
      </c>
      <c r="P199" s="231">
        <f t="shared" si="12"/>
        <v>0</v>
      </c>
      <c r="Q199" s="231">
        <f t="shared" si="13"/>
        <v>0</v>
      </c>
      <c r="R199" s="231">
        <f t="shared" si="16"/>
        <v>0</v>
      </c>
      <c r="T199" s="2">
        <v>199</v>
      </c>
      <c r="U199" s="231">
        <f t="shared" si="14"/>
        <v>0</v>
      </c>
      <c r="V199" s="231">
        <f t="shared" si="15"/>
        <v>0</v>
      </c>
      <c r="W199" s="231">
        <f t="shared" si="17"/>
        <v>0</v>
      </c>
    </row>
    <row r="200" spans="15:23" x14ac:dyDescent="0.35">
      <c r="O200" s="2">
        <v>200</v>
      </c>
      <c r="P200" s="231">
        <f t="shared" si="12"/>
        <v>0</v>
      </c>
      <c r="Q200" s="231">
        <f t="shared" si="13"/>
        <v>0</v>
      </c>
      <c r="R200" s="231">
        <f t="shared" si="16"/>
        <v>0</v>
      </c>
      <c r="T200" s="2">
        <v>200</v>
      </c>
      <c r="U200" s="231">
        <f t="shared" si="14"/>
        <v>0</v>
      </c>
      <c r="V200" s="231">
        <f t="shared" si="15"/>
        <v>0</v>
      </c>
      <c r="W200" s="231">
        <f t="shared" si="17"/>
        <v>0</v>
      </c>
    </row>
    <row r="201" spans="15:23" x14ac:dyDescent="0.35">
      <c r="O201" s="2">
        <v>201</v>
      </c>
      <c r="P201" s="231">
        <f t="shared" si="12"/>
        <v>0</v>
      </c>
      <c r="Q201" s="231">
        <f t="shared" si="13"/>
        <v>0</v>
      </c>
      <c r="R201" s="231">
        <f t="shared" si="16"/>
        <v>0</v>
      </c>
      <c r="T201" s="2">
        <v>201</v>
      </c>
      <c r="U201" s="231">
        <f t="shared" si="14"/>
        <v>0</v>
      </c>
      <c r="V201" s="231">
        <f t="shared" si="15"/>
        <v>0</v>
      </c>
      <c r="W201" s="231">
        <f t="shared" si="17"/>
        <v>0</v>
      </c>
    </row>
    <row r="202" spans="15:23" x14ac:dyDescent="0.35">
      <c r="O202" s="2">
        <v>202</v>
      </c>
      <c r="P202" s="231">
        <f t="shared" si="12"/>
        <v>0</v>
      </c>
      <c r="Q202" s="231">
        <f t="shared" si="13"/>
        <v>0</v>
      </c>
      <c r="R202" s="231">
        <f t="shared" si="16"/>
        <v>0</v>
      </c>
      <c r="T202" s="2">
        <v>202</v>
      </c>
      <c r="U202" s="231">
        <f t="shared" si="14"/>
        <v>0</v>
      </c>
      <c r="V202" s="231">
        <f t="shared" si="15"/>
        <v>0</v>
      </c>
      <c r="W202" s="231">
        <f t="shared" si="17"/>
        <v>0</v>
      </c>
    </row>
    <row r="203" spans="15:23" x14ac:dyDescent="0.35">
      <c r="O203" s="2">
        <v>203</v>
      </c>
      <c r="P203" s="231">
        <f t="shared" si="12"/>
        <v>0</v>
      </c>
      <c r="Q203" s="231">
        <f t="shared" si="13"/>
        <v>0</v>
      </c>
      <c r="R203" s="231">
        <f t="shared" si="16"/>
        <v>0</v>
      </c>
      <c r="T203" s="2">
        <v>203</v>
      </c>
      <c r="U203" s="231">
        <f t="shared" si="14"/>
        <v>0</v>
      </c>
      <c r="V203" s="231">
        <f t="shared" si="15"/>
        <v>0</v>
      </c>
      <c r="W203" s="231">
        <f t="shared" si="17"/>
        <v>0</v>
      </c>
    </row>
    <row r="204" spans="15:23" x14ac:dyDescent="0.35">
      <c r="O204" s="2">
        <v>204</v>
      </c>
      <c r="P204" s="231">
        <f t="shared" si="12"/>
        <v>0</v>
      </c>
      <c r="Q204" s="231">
        <f t="shared" si="13"/>
        <v>0</v>
      </c>
      <c r="R204" s="231">
        <f t="shared" si="16"/>
        <v>0</v>
      </c>
      <c r="T204" s="2">
        <v>204</v>
      </c>
      <c r="U204" s="231">
        <f t="shared" si="14"/>
        <v>0</v>
      </c>
      <c r="V204" s="231">
        <f t="shared" si="15"/>
        <v>0</v>
      </c>
      <c r="W204" s="231">
        <f t="shared" si="17"/>
        <v>0</v>
      </c>
    </row>
    <row r="205" spans="15:23" x14ac:dyDescent="0.35">
      <c r="O205" s="2">
        <v>205</v>
      </c>
      <c r="P205" s="231">
        <f t="shared" si="12"/>
        <v>0</v>
      </c>
      <c r="Q205" s="231">
        <f t="shared" si="13"/>
        <v>0</v>
      </c>
      <c r="R205" s="231">
        <f t="shared" si="16"/>
        <v>0</v>
      </c>
      <c r="T205" s="2">
        <v>205</v>
      </c>
      <c r="U205" s="231">
        <f t="shared" si="14"/>
        <v>0</v>
      </c>
      <c r="V205" s="231">
        <f t="shared" si="15"/>
        <v>0</v>
      </c>
      <c r="W205" s="231">
        <f t="shared" si="17"/>
        <v>0</v>
      </c>
    </row>
    <row r="206" spans="15:23" x14ac:dyDescent="0.35">
      <c r="O206" s="2">
        <v>206</v>
      </c>
      <c r="P206" s="231">
        <f t="shared" si="12"/>
        <v>0</v>
      </c>
      <c r="Q206" s="231">
        <f t="shared" si="13"/>
        <v>0</v>
      </c>
      <c r="R206" s="231">
        <f t="shared" si="16"/>
        <v>0</v>
      </c>
      <c r="T206" s="2">
        <v>206</v>
      </c>
      <c r="U206" s="231">
        <f t="shared" si="14"/>
        <v>0</v>
      </c>
      <c r="V206" s="231">
        <f t="shared" si="15"/>
        <v>0</v>
      </c>
      <c r="W206" s="231">
        <f t="shared" si="17"/>
        <v>0</v>
      </c>
    </row>
    <row r="207" spans="15:23" x14ac:dyDescent="0.35">
      <c r="O207" s="2">
        <v>207</v>
      </c>
      <c r="P207" s="231">
        <f t="shared" si="12"/>
        <v>0</v>
      </c>
      <c r="Q207" s="231">
        <f t="shared" si="13"/>
        <v>0</v>
      </c>
      <c r="R207" s="231">
        <f t="shared" si="16"/>
        <v>0</v>
      </c>
      <c r="T207" s="2">
        <v>207</v>
      </c>
      <c r="U207" s="231">
        <f t="shared" si="14"/>
        <v>0</v>
      </c>
      <c r="V207" s="231">
        <f t="shared" si="15"/>
        <v>0</v>
      </c>
      <c r="W207" s="231">
        <f t="shared" si="17"/>
        <v>0</v>
      </c>
    </row>
    <row r="208" spans="15:23" x14ac:dyDescent="0.35">
      <c r="O208" s="2">
        <v>208</v>
      </c>
      <c r="P208" s="231">
        <f t="shared" si="12"/>
        <v>0</v>
      </c>
      <c r="Q208" s="231">
        <f t="shared" si="13"/>
        <v>0</v>
      </c>
      <c r="R208" s="231">
        <f t="shared" si="16"/>
        <v>0</v>
      </c>
      <c r="T208" s="2">
        <v>208</v>
      </c>
      <c r="U208" s="231">
        <f t="shared" si="14"/>
        <v>0</v>
      </c>
      <c r="V208" s="231">
        <f t="shared" si="15"/>
        <v>0</v>
      </c>
      <c r="W208" s="231">
        <f t="shared" si="17"/>
        <v>0</v>
      </c>
    </row>
    <row r="209" spans="15:23" x14ac:dyDescent="0.35">
      <c r="O209" s="2">
        <v>209</v>
      </c>
      <c r="P209" s="231">
        <f t="shared" si="12"/>
        <v>0</v>
      </c>
      <c r="Q209" s="231">
        <f t="shared" si="13"/>
        <v>0</v>
      </c>
      <c r="R209" s="231">
        <f t="shared" si="16"/>
        <v>0</v>
      </c>
      <c r="T209" s="2">
        <v>209</v>
      </c>
      <c r="U209" s="231">
        <f t="shared" si="14"/>
        <v>0</v>
      </c>
      <c r="V209" s="231">
        <f t="shared" si="15"/>
        <v>0</v>
      </c>
      <c r="W209" s="231">
        <f t="shared" si="17"/>
        <v>0</v>
      </c>
    </row>
    <row r="210" spans="15:23" x14ac:dyDescent="0.35">
      <c r="O210" s="2">
        <v>210</v>
      </c>
      <c r="P210" s="231">
        <f t="shared" si="12"/>
        <v>0</v>
      </c>
      <c r="Q210" s="231">
        <f t="shared" si="13"/>
        <v>0</v>
      </c>
      <c r="R210" s="231">
        <f t="shared" si="16"/>
        <v>0</v>
      </c>
      <c r="T210" s="2">
        <v>210</v>
      </c>
      <c r="U210" s="231">
        <f t="shared" si="14"/>
        <v>0</v>
      </c>
      <c r="V210" s="231">
        <f t="shared" si="15"/>
        <v>0</v>
      </c>
      <c r="W210" s="231">
        <f t="shared" si="17"/>
        <v>0</v>
      </c>
    </row>
    <row r="211" spans="15:23" x14ac:dyDescent="0.35">
      <c r="O211" s="2">
        <v>211</v>
      </c>
      <c r="P211" s="231">
        <f t="shared" si="12"/>
        <v>0</v>
      </c>
      <c r="Q211" s="231">
        <f t="shared" si="13"/>
        <v>0</v>
      </c>
      <c r="R211" s="231">
        <f t="shared" si="16"/>
        <v>0</v>
      </c>
      <c r="T211" s="2">
        <v>211</v>
      </c>
      <c r="U211" s="231">
        <f t="shared" si="14"/>
        <v>0</v>
      </c>
      <c r="V211" s="231">
        <f t="shared" si="15"/>
        <v>0</v>
      </c>
      <c r="W211" s="231">
        <f t="shared" si="17"/>
        <v>0</v>
      </c>
    </row>
    <row r="212" spans="15:23" x14ac:dyDescent="0.35">
      <c r="O212" s="2">
        <v>212</v>
      </c>
      <c r="P212" s="231">
        <f t="shared" si="12"/>
        <v>0</v>
      </c>
      <c r="Q212" s="231">
        <f t="shared" si="13"/>
        <v>0</v>
      </c>
      <c r="R212" s="231">
        <f t="shared" si="16"/>
        <v>0</v>
      </c>
      <c r="T212" s="2">
        <v>212</v>
      </c>
      <c r="U212" s="231">
        <f t="shared" si="14"/>
        <v>0</v>
      </c>
      <c r="V212" s="231">
        <f t="shared" si="15"/>
        <v>0</v>
      </c>
      <c r="W212" s="231">
        <f t="shared" si="17"/>
        <v>0</v>
      </c>
    </row>
    <row r="213" spans="15:23" x14ac:dyDescent="0.35">
      <c r="O213" s="2">
        <v>213</v>
      </c>
      <c r="P213" s="231">
        <f t="shared" si="12"/>
        <v>0</v>
      </c>
      <c r="Q213" s="231">
        <f t="shared" si="13"/>
        <v>0</v>
      </c>
      <c r="R213" s="231">
        <f t="shared" si="16"/>
        <v>0</v>
      </c>
      <c r="T213" s="2">
        <v>213</v>
      </c>
      <c r="U213" s="231">
        <f t="shared" si="14"/>
        <v>0</v>
      </c>
      <c r="V213" s="231">
        <f t="shared" si="15"/>
        <v>0</v>
      </c>
      <c r="W213" s="231">
        <f t="shared" si="17"/>
        <v>0</v>
      </c>
    </row>
    <row r="214" spans="15:23" x14ac:dyDescent="0.35">
      <c r="O214" s="2">
        <v>214</v>
      </c>
      <c r="P214" s="231">
        <f t="shared" si="12"/>
        <v>0</v>
      </c>
      <c r="Q214" s="231">
        <f t="shared" si="13"/>
        <v>0</v>
      </c>
      <c r="R214" s="231">
        <f t="shared" si="16"/>
        <v>0</v>
      </c>
      <c r="T214" s="2">
        <v>214</v>
      </c>
      <c r="U214" s="231">
        <f t="shared" si="14"/>
        <v>0</v>
      </c>
      <c r="V214" s="231">
        <f t="shared" si="15"/>
        <v>0</v>
      </c>
      <c r="W214" s="231">
        <f t="shared" si="17"/>
        <v>0</v>
      </c>
    </row>
    <row r="215" spans="15:23" x14ac:dyDescent="0.35">
      <c r="O215" s="2">
        <v>215</v>
      </c>
      <c r="P215" s="231">
        <f t="shared" si="12"/>
        <v>0</v>
      </c>
      <c r="Q215" s="231">
        <f t="shared" si="13"/>
        <v>0</v>
      </c>
      <c r="R215" s="231">
        <f t="shared" si="16"/>
        <v>0</v>
      </c>
      <c r="T215" s="2">
        <v>215</v>
      </c>
      <c r="U215" s="231">
        <f t="shared" si="14"/>
        <v>0</v>
      </c>
      <c r="V215" s="231">
        <f t="shared" si="15"/>
        <v>0</v>
      </c>
      <c r="W215" s="231">
        <f t="shared" si="17"/>
        <v>0</v>
      </c>
    </row>
    <row r="216" spans="15:23" x14ac:dyDescent="0.35">
      <c r="O216" s="2">
        <v>216</v>
      </c>
      <c r="P216" s="231">
        <f t="shared" si="12"/>
        <v>0</v>
      </c>
      <c r="Q216" s="231">
        <f t="shared" si="13"/>
        <v>0</v>
      </c>
      <c r="R216" s="231">
        <f t="shared" si="16"/>
        <v>0</v>
      </c>
      <c r="T216" s="2">
        <v>216</v>
      </c>
      <c r="U216" s="231">
        <f t="shared" si="14"/>
        <v>0</v>
      </c>
      <c r="V216" s="231">
        <f t="shared" si="15"/>
        <v>0</v>
      </c>
      <c r="W216" s="231">
        <f t="shared" si="17"/>
        <v>0</v>
      </c>
    </row>
    <row r="217" spans="15:23" x14ac:dyDescent="0.35">
      <c r="O217" s="2">
        <v>217</v>
      </c>
      <c r="P217" s="231">
        <f t="shared" si="12"/>
        <v>0</v>
      </c>
      <c r="Q217" s="231">
        <f t="shared" si="13"/>
        <v>0</v>
      </c>
      <c r="R217" s="231">
        <f t="shared" si="16"/>
        <v>0</v>
      </c>
      <c r="T217" s="2">
        <v>217</v>
      </c>
      <c r="U217" s="231">
        <f t="shared" si="14"/>
        <v>0</v>
      </c>
      <c r="V217" s="231">
        <f t="shared" si="15"/>
        <v>0</v>
      </c>
      <c r="W217" s="231">
        <f t="shared" si="17"/>
        <v>0</v>
      </c>
    </row>
    <row r="218" spans="15:23" x14ac:dyDescent="0.35">
      <c r="O218" s="2">
        <v>218</v>
      </c>
      <c r="P218" s="231">
        <f t="shared" si="12"/>
        <v>0</v>
      </c>
      <c r="Q218" s="231">
        <f t="shared" si="13"/>
        <v>0</v>
      </c>
      <c r="R218" s="231">
        <f t="shared" si="16"/>
        <v>0</v>
      </c>
      <c r="T218" s="2">
        <v>218</v>
      </c>
      <c r="U218" s="231">
        <f t="shared" si="14"/>
        <v>0</v>
      </c>
      <c r="V218" s="231">
        <f t="shared" si="15"/>
        <v>0</v>
      </c>
      <c r="W218" s="231">
        <f t="shared" si="17"/>
        <v>0</v>
      </c>
    </row>
    <row r="219" spans="15:23" x14ac:dyDescent="0.35">
      <c r="O219" s="2">
        <v>219</v>
      </c>
      <c r="P219" s="231">
        <f t="shared" si="12"/>
        <v>0</v>
      </c>
      <c r="Q219" s="231">
        <f t="shared" si="13"/>
        <v>0</v>
      </c>
      <c r="R219" s="231">
        <f t="shared" si="16"/>
        <v>0</v>
      </c>
      <c r="T219" s="2">
        <v>219</v>
      </c>
      <c r="U219" s="231">
        <f t="shared" si="14"/>
        <v>0</v>
      </c>
      <c r="V219" s="231">
        <f t="shared" si="15"/>
        <v>0</v>
      </c>
      <c r="W219" s="231">
        <f t="shared" si="17"/>
        <v>0</v>
      </c>
    </row>
    <row r="220" spans="15:23" x14ac:dyDescent="0.35">
      <c r="O220" s="2">
        <v>220</v>
      </c>
      <c r="P220" s="231">
        <f t="shared" si="12"/>
        <v>0</v>
      </c>
      <c r="Q220" s="231">
        <f t="shared" si="13"/>
        <v>0</v>
      </c>
      <c r="R220" s="231">
        <f t="shared" si="16"/>
        <v>0</v>
      </c>
      <c r="T220" s="2">
        <v>220</v>
      </c>
      <c r="U220" s="231">
        <f t="shared" si="14"/>
        <v>0</v>
      </c>
      <c r="V220" s="231">
        <f t="shared" si="15"/>
        <v>0</v>
      </c>
      <c r="W220" s="231">
        <f t="shared" si="17"/>
        <v>0</v>
      </c>
    </row>
    <row r="221" spans="15:23" x14ac:dyDescent="0.35">
      <c r="O221" s="2">
        <v>221</v>
      </c>
      <c r="P221" s="231">
        <f t="shared" si="12"/>
        <v>0</v>
      </c>
      <c r="Q221" s="231">
        <f t="shared" si="13"/>
        <v>0</v>
      </c>
      <c r="R221" s="231">
        <f t="shared" si="16"/>
        <v>0</v>
      </c>
      <c r="T221" s="2">
        <v>221</v>
      </c>
      <c r="U221" s="231">
        <f t="shared" si="14"/>
        <v>0</v>
      </c>
      <c r="V221" s="231">
        <f t="shared" si="15"/>
        <v>0</v>
      </c>
      <c r="W221" s="231">
        <f t="shared" si="17"/>
        <v>0</v>
      </c>
    </row>
    <row r="222" spans="15:23" x14ac:dyDescent="0.35">
      <c r="O222" s="2">
        <v>222</v>
      </c>
      <c r="P222" s="231">
        <f t="shared" si="12"/>
        <v>0</v>
      </c>
      <c r="Q222" s="231">
        <f t="shared" si="13"/>
        <v>0</v>
      </c>
      <c r="R222" s="231">
        <f t="shared" si="16"/>
        <v>0</v>
      </c>
      <c r="T222" s="2">
        <v>222</v>
      </c>
      <c r="U222" s="231">
        <f t="shared" si="14"/>
        <v>0</v>
      </c>
      <c r="V222" s="231">
        <f t="shared" si="15"/>
        <v>0</v>
      </c>
      <c r="W222" s="231">
        <f t="shared" si="17"/>
        <v>0</v>
      </c>
    </row>
    <row r="223" spans="15:23" x14ac:dyDescent="0.35">
      <c r="O223" s="2">
        <v>223</v>
      </c>
      <c r="P223" s="231">
        <f t="shared" si="12"/>
        <v>0</v>
      </c>
      <c r="Q223" s="231">
        <f t="shared" si="13"/>
        <v>0</v>
      </c>
      <c r="R223" s="231">
        <f t="shared" si="16"/>
        <v>0</v>
      </c>
      <c r="T223" s="2">
        <v>223</v>
      </c>
      <c r="U223" s="231">
        <f t="shared" si="14"/>
        <v>0</v>
      </c>
      <c r="V223" s="231">
        <f t="shared" si="15"/>
        <v>0</v>
      </c>
      <c r="W223" s="231">
        <f t="shared" si="17"/>
        <v>0</v>
      </c>
    </row>
    <row r="224" spans="15:23" x14ac:dyDescent="0.35">
      <c r="O224" s="2">
        <v>224</v>
      </c>
      <c r="P224" s="231">
        <f t="shared" si="12"/>
        <v>0</v>
      </c>
      <c r="Q224" s="231">
        <f t="shared" si="13"/>
        <v>0</v>
      </c>
      <c r="R224" s="231">
        <f t="shared" si="16"/>
        <v>0</v>
      </c>
      <c r="T224" s="2">
        <v>224</v>
      </c>
      <c r="U224" s="231">
        <f t="shared" si="14"/>
        <v>0</v>
      </c>
      <c r="V224" s="231">
        <f t="shared" si="15"/>
        <v>0</v>
      </c>
      <c r="W224" s="231">
        <f t="shared" si="17"/>
        <v>0</v>
      </c>
    </row>
    <row r="225" spans="15:23" x14ac:dyDescent="0.35">
      <c r="O225" s="2">
        <v>225</v>
      </c>
      <c r="P225" s="231">
        <f t="shared" si="12"/>
        <v>0</v>
      </c>
      <c r="Q225" s="231">
        <f t="shared" si="13"/>
        <v>0</v>
      </c>
      <c r="R225" s="231">
        <f t="shared" si="16"/>
        <v>0</v>
      </c>
      <c r="T225" s="2">
        <v>225</v>
      </c>
      <c r="U225" s="231">
        <f t="shared" si="14"/>
        <v>0</v>
      </c>
      <c r="V225" s="231">
        <f t="shared" si="15"/>
        <v>0</v>
      </c>
      <c r="W225" s="231">
        <f t="shared" si="17"/>
        <v>0</v>
      </c>
    </row>
    <row r="226" spans="15:23" x14ac:dyDescent="0.35">
      <c r="O226" s="2">
        <v>226</v>
      </c>
      <c r="P226" s="231">
        <f t="shared" si="12"/>
        <v>0</v>
      </c>
      <c r="Q226" s="231">
        <f t="shared" si="13"/>
        <v>0</v>
      </c>
      <c r="R226" s="231">
        <f t="shared" si="16"/>
        <v>0</v>
      </c>
      <c r="T226" s="2">
        <v>226</v>
      </c>
      <c r="U226" s="231">
        <f t="shared" si="14"/>
        <v>0</v>
      </c>
      <c r="V226" s="231">
        <f t="shared" si="15"/>
        <v>0</v>
      </c>
      <c r="W226" s="231">
        <f t="shared" si="17"/>
        <v>0</v>
      </c>
    </row>
    <row r="227" spans="15:23" x14ac:dyDescent="0.35">
      <c r="O227" s="2">
        <v>227</v>
      </c>
      <c r="P227" s="231">
        <f t="shared" si="12"/>
        <v>0</v>
      </c>
      <c r="Q227" s="231">
        <f t="shared" si="13"/>
        <v>0</v>
      </c>
      <c r="R227" s="231">
        <f t="shared" si="16"/>
        <v>0</v>
      </c>
      <c r="T227" s="2">
        <v>227</v>
      </c>
      <c r="U227" s="231">
        <f t="shared" si="14"/>
        <v>0</v>
      </c>
      <c r="V227" s="231">
        <f t="shared" si="15"/>
        <v>0</v>
      </c>
      <c r="W227" s="231">
        <f t="shared" si="17"/>
        <v>0</v>
      </c>
    </row>
    <row r="228" spans="15:23" x14ac:dyDescent="0.35">
      <c r="O228" s="2">
        <v>228</v>
      </c>
      <c r="P228" s="231">
        <f t="shared" si="12"/>
        <v>0</v>
      </c>
      <c r="Q228" s="231">
        <f t="shared" si="13"/>
        <v>0</v>
      </c>
      <c r="R228" s="231">
        <f t="shared" si="16"/>
        <v>0</v>
      </c>
      <c r="T228" s="2">
        <v>228</v>
      </c>
      <c r="U228" s="231">
        <f t="shared" si="14"/>
        <v>0</v>
      </c>
      <c r="V228" s="231">
        <f t="shared" si="15"/>
        <v>0</v>
      </c>
      <c r="W228" s="231">
        <f t="shared" si="17"/>
        <v>0</v>
      </c>
    </row>
    <row r="229" spans="15:23" x14ac:dyDescent="0.35">
      <c r="O229" s="2">
        <v>229</v>
      </c>
      <c r="P229" s="231">
        <f t="shared" si="12"/>
        <v>0</v>
      </c>
      <c r="Q229" s="231">
        <f t="shared" si="13"/>
        <v>0</v>
      </c>
      <c r="R229" s="231">
        <f t="shared" si="16"/>
        <v>0</v>
      </c>
      <c r="T229" s="2">
        <v>229</v>
      </c>
      <c r="U229" s="231">
        <f t="shared" si="14"/>
        <v>0</v>
      </c>
      <c r="V229" s="231">
        <f t="shared" si="15"/>
        <v>0</v>
      </c>
      <c r="W229" s="231">
        <f t="shared" si="17"/>
        <v>0</v>
      </c>
    </row>
    <row r="230" spans="15:23" x14ac:dyDescent="0.35">
      <c r="O230" s="2">
        <v>230</v>
      </c>
      <c r="P230" s="231">
        <f t="shared" si="12"/>
        <v>0</v>
      </c>
      <c r="Q230" s="231">
        <f t="shared" si="13"/>
        <v>0</v>
      </c>
      <c r="R230" s="231">
        <f t="shared" si="16"/>
        <v>0</v>
      </c>
      <c r="T230" s="2">
        <v>230</v>
      </c>
      <c r="U230" s="231">
        <f t="shared" si="14"/>
        <v>0</v>
      </c>
      <c r="V230" s="231">
        <f t="shared" si="15"/>
        <v>0</v>
      </c>
      <c r="W230" s="231">
        <f t="shared" si="17"/>
        <v>0</v>
      </c>
    </row>
    <row r="231" spans="15:23" x14ac:dyDescent="0.35">
      <c r="O231" s="2">
        <v>231</v>
      </c>
      <c r="P231" s="231">
        <f t="shared" si="12"/>
        <v>0</v>
      </c>
      <c r="Q231" s="231">
        <f t="shared" si="13"/>
        <v>0</v>
      </c>
      <c r="R231" s="231">
        <f t="shared" si="16"/>
        <v>0</v>
      </c>
      <c r="T231" s="2">
        <v>231</v>
      </c>
      <c r="U231" s="231">
        <f t="shared" si="14"/>
        <v>0</v>
      </c>
      <c r="V231" s="231">
        <f t="shared" si="15"/>
        <v>0</v>
      </c>
      <c r="W231" s="231">
        <f t="shared" si="17"/>
        <v>0</v>
      </c>
    </row>
    <row r="232" spans="15:23" x14ac:dyDescent="0.35">
      <c r="O232" s="2">
        <v>232</v>
      </c>
      <c r="P232" s="231">
        <f t="shared" si="12"/>
        <v>0</v>
      </c>
      <c r="Q232" s="231">
        <f t="shared" si="13"/>
        <v>0</v>
      </c>
      <c r="R232" s="231">
        <f t="shared" si="16"/>
        <v>0</v>
      </c>
      <c r="T232" s="2">
        <v>232</v>
      </c>
      <c r="U232" s="231">
        <f t="shared" si="14"/>
        <v>0</v>
      </c>
      <c r="V232" s="231">
        <f t="shared" si="15"/>
        <v>0</v>
      </c>
      <c r="W232" s="231">
        <f t="shared" si="17"/>
        <v>0</v>
      </c>
    </row>
    <row r="233" spans="15:23" x14ac:dyDescent="0.35">
      <c r="O233" s="2">
        <v>233</v>
      </c>
      <c r="P233" s="231">
        <f t="shared" si="12"/>
        <v>0</v>
      </c>
      <c r="Q233" s="231">
        <f t="shared" si="13"/>
        <v>0</v>
      </c>
      <c r="R233" s="231">
        <f t="shared" si="16"/>
        <v>0</v>
      </c>
      <c r="T233" s="2">
        <v>233</v>
      </c>
      <c r="U233" s="231">
        <f t="shared" si="14"/>
        <v>0</v>
      </c>
      <c r="V233" s="231">
        <f t="shared" si="15"/>
        <v>0</v>
      </c>
      <c r="W233" s="231">
        <f t="shared" si="17"/>
        <v>0</v>
      </c>
    </row>
    <row r="234" spans="15:23" x14ac:dyDescent="0.35">
      <c r="O234" s="2">
        <v>234</v>
      </c>
      <c r="P234" s="231">
        <f t="shared" si="12"/>
        <v>0</v>
      </c>
      <c r="Q234" s="231">
        <f t="shared" si="13"/>
        <v>0</v>
      </c>
      <c r="R234" s="231">
        <f t="shared" si="16"/>
        <v>0</v>
      </c>
      <c r="T234" s="2">
        <v>234</v>
      </c>
      <c r="U234" s="231">
        <f t="shared" si="14"/>
        <v>0</v>
      </c>
      <c r="V234" s="231">
        <f t="shared" si="15"/>
        <v>0</v>
      </c>
      <c r="W234" s="231">
        <f t="shared" si="17"/>
        <v>0</v>
      </c>
    </row>
    <row r="235" spans="15:23" x14ac:dyDescent="0.35">
      <c r="O235" s="2">
        <v>235</v>
      </c>
      <c r="P235" s="231">
        <f t="shared" si="12"/>
        <v>0</v>
      </c>
      <c r="Q235" s="231">
        <f t="shared" si="13"/>
        <v>0</v>
      </c>
      <c r="R235" s="231">
        <f t="shared" si="16"/>
        <v>0</v>
      </c>
      <c r="T235" s="2">
        <v>235</v>
      </c>
      <c r="U235" s="231">
        <f t="shared" si="14"/>
        <v>0</v>
      </c>
      <c r="V235" s="231">
        <f t="shared" si="15"/>
        <v>0</v>
      </c>
      <c r="W235" s="231">
        <f t="shared" si="17"/>
        <v>0</v>
      </c>
    </row>
    <row r="236" spans="15:23" x14ac:dyDescent="0.35">
      <c r="O236" s="2">
        <v>236</v>
      </c>
      <c r="P236" s="231">
        <f t="shared" si="12"/>
        <v>0</v>
      </c>
      <c r="Q236" s="231">
        <f t="shared" si="13"/>
        <v>0</v>
      </c>
      <c r="R236" s="231">
        <f t="shared" si="16"/>
        <v>0</v>
      </c>
      <c r="T236" s="2">
        <v>236</v>
      </c>
      <c r="U236" s="231">
        <f t="shared" si="14"/>
        <v>0</v>
      </c>
      <c r="V236" s="231">
        <f t="shared" si="15"/>
        <v>0</v>
      </c>
      <c r="W236" s="231">
        <f t="shared" si="17"/>
        <v>0</v>
      </c>
    </row>
    <row r="237" spans="15:23" x14ac:dyDescent="0.35">
      <c r="O237" s="2">
        <v>237</v>
      </c>
      <c r="P237" s="231">
        <f t="shared" si="12"/>
        <v>0</v>
      </c>
      <c r="Q237" s="231">
        <f t="shared" si="13"/>
        <v>0</v>
      </c>
      <c r="R237" s="231">
        <f t="shared" si="16"/>
        <v>0</v>
      </c>
      <c r="T237" s="2">
        <v>237</v>
      </c>
      <c r="U237" s="231">
        <f t="shared" si="14"/>
        <v>0</v>
      </c>
      <c r="V237" s="231">
        <f t="shared" si="15"/>
        <v>0</v>
      </c>
      <c r="W237" s="231">
        <f t="shared" si="17"/>
        <v>0</v>
      </c>
    </row>
    <row r="238" spans="15:23" x14ac:dyDescent="0.35">
      <c r="O238" s="2">
        <v>238</v>
      </c>
      <c r="P238" s="231">
        <f t="shared" si="12"/>
        <v>0</v>
      </c>
      <c r="Q238" s="231">
        <f t="shared" si="13"/>
        <v>0</v>
      </c>
      <c r="R238" s="231">
        <f t="shared" si="16"/>
        <v>0</v>
      </c>
      <c r="T238" s="2">
        <v>238</v>
      </c>
      <c r="U238" s="231">
        <f t="shared" si="14"/>
        <v>0</v>
      </c>
      <c r="V238" s="231">
        <f t="shared" si="15"/>
        <v>0</v>
      </c>
      <c r="W238" s="231">
        <f t="shared" si="17"/>
        <v>0</v>
      </c>
    </row>
    <row r="239" spans="15:23" x14ac:dyDescent="0.35">
      <c r="O239" s="2">
        <v>239</v>
      </c>
      <c r="P239" s="231">
        <f t="shared" si="12"/>
        <v>0</v>
      </c>
      <c r="Q239" s="231">
        <f t="shared" si="13"/>
        <v>0</v>
      </c>
      <c r="R239" s="231">
        <f t="shared" si="16"/>
        <v>0</v>
      </c>
      <c r="T239" s="2">
        <v>239</v>
      </c>
      <c r="U239" s="231">
        <f t="shared" si="14"/>
        <v>0</v>
      </c>
      <c r="V239" s="231">
        <f t="shared" si="15"/>
        <v>0</v>
      </c>
      <c r="W239" s="231">
        <f t="shared" si="17"/>
        <v>0</v>
      </c>
    </row>
    <row r="240" spans="15:23" x14ac:dyDescent="0.35">
      <c r="O240" s="2">
        <v>240</v>
      </c>
      <c r="P240" s="231">
        <f t="shared" si="12"/>
        <v>0</v>
      </c>
      <c r="Q240" s="231">
        <f t="shared" si="13"/>
        <v>0</v>
      </c>
      <c r="R240" s="231">
        <f t="shared" si="16"/>
        <v>0</v>
      </c>
      <c r="T240" s="2">
        <v>240</v>
      </c>
      <c r="U240" s="231">
        <f t="shared" si="14"/>
        <v>0</v>
      </c>
      <c r="V240" s="231">
        <f t="shared" si="15"/>
        <v>0</v>
      </c>
      <c r="W240" s="231">
        <f t="shared" si="17"/>
        <v>0</v>
      </c>
    </row>
    <row r="241" spans="16:23" x14ac:dyDescent="0.35">
      <c r="P241" s="231">
        <f>SUM(P1:P240)</f>
        <v>0</v>
      </c>
      <c r="Q241" s="231">
        <f>SUM(Q1:Q240)</f>
        <v>0</v>
      </c>
      <c r="R241" s="239">
        <f>P241-Q241</f>
        <v>0</v>
      </c>
      <c r="U241" s="231">
        <f>SUM(U1:U240)</f>
        <v>0</v>
      </c>
      <c r="V241" s="231">
        <f t="shared" si="15"/>
        <v>0</v>
      </c>
      <c r="W241" s="239">
        <f>U241-V241</f>
        <v>0</v>
      </c>
    </row>
    <row r="245" spans="16:23" x14ac:dyDescent="0.35">
      <c r="P245" s="231"/>
      <c r="Q245" s="231"/>
      <c r="R245" s="231"/>
      <c r="U245" s="231"/>
      <c r="V245" s="231"/>
      <c r="W245" s="231"/>
    </row>
  </sheetData>
  <sheetProtection algorithmName="SHA-512" hashValue="MtOF3lUDWgckfRYJrrrHUlTscMYoAAsy0J0z35IlXhpgoyu1FRt0xwkPmvRWZNhPmLqYgq6iHqwIBRTQA73mQw==" saltValue="GNq5fFeU6zjZzkCbnECGyw==" spinCount="100000" sheet="1" objects="1" scenarios="1"/>
  <mergeCells count="38">
    <mergeCell ref="H1:I3"/>
    <mergeCell ref="B5:D5"/>
    <mergeCell ref="F8:J8"/>
    <mergeCell ref="B8:C8"/>
    <mergeCell ref="F9:H9"/>
    <mergeCell ref="I9:J9"/>
    <mergeCell ref="F11:H11"/>
    <mergeCell ref="I11:J11"/>
    <mergeCell ref="B10:C10"/>
    <mergeCell ref="F12:H12"/>
    <mergeCell ref="I12:J12"/>
    <mergeCell ref="B11:C11"/>
    <mergeCell ref="I10:J10"/>
    <mergeCell ref="F10:H10"/>
    <mergeCell ref="B12:C12"/>
    <mergeCell ref="B20:C20"/>
    <mergeCell ref="B15:D15"/>
    <mergeCell ref="F19:H19"/>
    <mergeCell ref="I19:J19"/>
    <mergeCell ref="B17:C17"/>
    <mergeCell ref="B18:C18"/>
    <mergeCell ref="B19:C19"/>
    <mergeCell ref="F15:J15"/>
    <mergeCell ref="B13:C13"/>
    <mergeCell ref="F18:H18"/>
    <mergeCell ref="I18:J18"/>
    <mergeCell ref="F17:H17"/>
    <mergeCell ref="I17:J17"/>
    <mergeCell ref="F16:H16"/>
    <mergeCell ref="I16:J16"/>
    <mergeCell ref="F21:H21"/>
    <mergeCell ref="I21:J21"/>
    <mergeCell ref="B28:C28"/>
    <mergeCell ref="B21:C21"/>
    <mergeCell ref="B23:D23"/>
    <mergeCell ref="B25:C25"/>
    <mergeCell ref="B26:C26"/>
    <mergeCell ref="B27:C27"/>
  </mergeCells>
  <conditionalFormatting sqref="I9:J9">
    <cfRule type="cellIs" dxfId="59" priority="4" operator="greaterThan">
      <formula>0</formula>
    </cfRule>
  </conditionalFormatting>
  <conditionalFormatting sqref="I11:J12">
    <cfRule type="cellIs" dxfId="58" priority="2" operator="greaterThan">
      <formula>0</formula>
    </cfRule>
  </conditionalFormatting>
  <conditionalFormatting sqref="I18:J19">
    <cfRule type="cellIs" dxfId="57" priority="6" operator="greaterThan">
      <formula>0</formula>
    </cfRule>
  </conditionalFormatting>
  <conditionalFormatting sqref="I21:J21">
    <cfRule type="cellIs" dxfId="56" priority="1" operator="greaterThan">
      <formula>0</formula>
    </cfRule>
  </conditionalFormatting>
  <conditionalFormatting sqref="K16">
    <cfRule type="containsText" dxfId="54" priority="11" operator="containsText" text="&quot;La tasa aquí informada corresponde a las condiciones actuales de aprobación, la tasa que le aplicará al cliente será la que este vigente al momento del desembolso&quot;">
      <formula>NOT(ISERROR(SEARCH("""La tasa aquí informada corresponde a las condiciones actuales de aprobación, la tasa que le aplicará al cliente será la que este vigente al momento del desembolso""",K16)))</formula>
    </cfRule>
    <cfRule type="containsText" dxfId="53" priority="12" operator="containsText" text="&quot;La tasa aquí informada corresponde a las condiciones actuales de aprobación, la tasa que le aplicará al cliente sera la que este vigente al momento del desembolso&quot;">
      <formula>NOT(ISERROR(SEARCH("""La tasa aquí informada corresponde a las condiciones actuales de aprobación, la tasa que le aplicará al cliente sera la que este vigente al momento del desembolso""",K16)))</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10" operator="containsText" id="{7890367B-6CE3-4C52-B413-38E268C18E19}">
            <xm:f>NOT(ISERROR(SEARCH(#REF!,K16)))</xm:f>
            <xm:f>#REF!</xm:f>
            <x14:dxf>
              <font>
                <color rgb="FF006100"/>
              </font>
              <fill>
                <patternFill>
                  <bgColor rgb="FFC6EFCE"/>
                </patternFill>
              </fill>
            </x14:dxf>
          </x14:cfRule>
          <xm:sqref>K16</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9EE53-0747-46CB-AB0B-6C6DAA6E460F}">
  <sheetPr codeName="Hoja13"/>
  <dimension ref="A1:AB32"/>
  <sheetViews>
    <sheetView showGridLines="0" zoomScale="80" zoomScaleNormal="80" workbookViewId="0">
      <selection activeCell="B24" sqref="B24"/>
    </sheetView>
  </sheetViews>
  <sheetFormatPr baseColWidth="10" defaultColWidth="11.453125" defaultRowHeight="14.5" x14ac:dyDescent="0.35"/>
  <cols>
    <col min="1" max="1" width="4.453125" style="2" customWidth="1"/>
    <col min="2" max="2" width="43.26953125" style="2" customWidth="1"/>
    <col min="3" max="3" width="11.54296875" style="2" customWidth="1"/>
    <col min="4" max="4" width="20.26953125" style="2" customWidth="1"/>
    <col min="5" max="5" width="5.81640625" style="2" customWidth="1"/>
    <col min="6" max="6" width="17.26953125" style="2" customWidth="1"/>
    <col min="7" max="7" width="17.54296875" style="2" customWidth="1"/>
    <col min="8" max="8" width="13.81640625" style="2" customWidth="1"/>
    <col min="9" max="9" width="16" style="2" customWidth="1"/>
    <col min="10" max="10" width="11.26953125" style="2" customWidth="1"/>
    <col min="11" max="11" width="16.453125" style="2" customWidth="1"/>
    <col min="12" max="12" width="11.7265625" style="2" hidden="1" customWidth="1"/>
    <col min="13" max="19" width="15.1796875" style="2" hidden="1" customWidth="1"/>
    <col min="20" max="28" width="11.453125" style="2" hidden="1" customWidth="1"/>
    <col min="29" max="16384" width="11.453125" style="2"/>
  </cols>
  <sheetData>
    <row r="1" spans="1:27" ht="15" customHeight="1" x14ac:dyDescent="0.35">
      <c r="C1" s="61"/>
      <c r="D1" s="61"/>
      <c r="E1" s="61"/>
      <c r="F1" s="61"/>
      <c r="G1" s="61"/>
      <c r="H1" s="430" t="str">
        <f>Pantalla_Inicio!J1</f>
        <v>Código: PCV_FOR_006
Versión: V02
Fecha de actualización: 04/05/2026</v>
      </c>
      <c r="I1" s="431"/>
      <c r="J1" s="112"/>
      <c r="K1" s="112"/>
      <c r="L1" s="112"/>
    </row>
    <row r="2" spans="1:27" ht="30.75" customHeight="1" x14ac:dyDescent="0.55000000000000004">
      <c r="C2" s="143"/>
      <c r="D2" s="143"/>
      <c r="E2" s="143"/>
      <c r="F2" s="143"/>
      <c r="G2" s="143"/>
      <c r="H2" s="432"/>
      <c r="I2" s="433"/>
      <c r="J2" s="112"/>
      <c r="K2" s="112"/>
      <c r="L2" s="112"/>
      <c r="N2" s="111" t="s">
        <v>37</v>
      </c>
      <c r="O2" s="111" t="s">
        <v>137</v>
      </c>
      <c r="P2" s="111"/>
      <c r="Q2" s="111" t="s">
        <v>38</v>
      </c>
      <c r="R2" s="111"/>
      <c r="S2" s="111"/>
      <c r="T2" s="111" t="s">
        <v>39</v>
      </c>
      <c r="U2" s="111"/>
      <c r="V2" s="111"/>
      <c r="W2" s="111" t="s">
        <v>41</v>
      </c>
      <c r="X2" s="111"/>
      <c r="Y2" s="111"/>
      <c r="Z2" s="111"/>
      <c r="AA2" s="111" t="s">
        <v>2528</v>
      </c>
    </row>
    <row r="3" spans="1:27" ht="24.75" customHeight="1" x14ac:dyDescent="0.35">
      <c r="A3" s="69"/>
      <c r="B3" s="69"/>
      <c r="C3" s="69"/>
      <c r="D3" s="69"/>
      <c r="E3" s="69"/>
      <c r="F3" s="69"/>
      <c r="G3" s="69"/>
      <c r="H3" s="434"/>
      <c r="I3" s="435"/>
      <c r="J3" s="96" t="s">
        <v>2346</v>
      </c>
      <c r="K3" s="112"/>
      <c r="L3" s="112"/>
      <c r="M3" s="11"/>
      <c r="N3" s="2" t="s">
        <v>50</v>
      </c>
      <c r="O3" s="2">
        <v>1423500</v>
      </c>
      <c r="Q3" s="2" t="s">
        <v>51</v>
      </c>
      <c r="T3" s="2" t="s">
        <v>52</v>
      </c>
      <c r="W3" s="2" t="s">
        <v>2529</v>
      </c>
      <c r="AA3" s="2" t="s">
        <v>31</v>
      </c>
    </row>
    <row r="4" spans="1:27" ht="10.5" customHeight="1" x14ac:dyDescent="0.35">
      <c r="A4" s="11"/>
      <c r="B4" s="11"/>
      <c r="C4" s="11"/>
      <c r="D4" s="11"/>
      <c r="E4" s="11"/>
      <c r="F4" s="11"/>
      <c r="G4" s="11"/>
      <c r="H4" s="144"/>
      <c r="I4" s="144"/>
      <c r="J4" s="112"/>
      <c r="K4" s="112"/>
      <c r="L4" s="144"/>
      <c r="M4" s="11"/>
      <c r="N4" s="2" t="s">
        <v>75</v>
      </c>
      <c r="Q4" s="2" t="s">
        <v>66</v>
      </c>
      <c r="T4" s="2" t="s">
        <v>61</v>
      </c>
      <c r="W4" s="2" t="s">
        <v>2530</v>
      </c>
      <c r="AA4" s="2" t="str">
        <f>IF(D14="NO VIS","Leasing Habitacional Familiar","")</f>
        <v/>
      </c>
    </row>
    <row r="5" spans="1:27" ht="17.5" customHeight="1" x14ac:dyDescent="0.55000000000000004">
      <c r="A5" s="11"/>
      <c r="B5" s="515" t="s">
        <v>32</v>
      </c>
      <c r="C5" s="515"/>
      <c r="D5" s="515"/>
      <c r="E5" s="16"/>
      <c r="F5" s="11"/>
      <c r="G5" s="11"/>
      <c r="H5" s="11"/>
      <c r="I5" s="11"/>
      <c r="J5" s="11"/>
      <c r="K5" s="144"/>
      <c r="L5" s="112"/>
      <c r="M5" s="11"/>
      <c r="N5" s="2" t="s">
        <v>92</v>
      </c>
      <c r="W5" s="2" t="s">
        <v>56</v>
      </c>
      <c r="AA5" s="2" t="s">
        <v>34</v>
      </c>
    </row>
    <row r="6" spans="1:27" ht="23.25" customHeight="1" x14ac:dyDescent="0.35">
      <c r="A6" s="145"/>
      <c r="B6" s="516" t="s">
        <v>2348</v>
      </c>
      <c r="C6" s="516"/>
      <c r="D6" s="516"/>
      <c r="E6" s="79"/>
      <c r="F6" s="59"/>
      <c r="G6" s="59"/>
      <c r="H6" s="59"/>
      <c r="I6" s="59"/>
      <c r="J6" s="59"/>
      <c r="K6" s="112"/>
      <c r="L6" s="112"/>
      <c r="M6" s="11"/>
      <c r="AA6" s="2" t="s">
        <v>2441</v>
      </c>
    </row>
    <row r="7" spans="1:27" ht="19.5" customHeight="1" x14ac:dyDescent="0.35">
      <c r="A7" s="145"/>
      <c r="B7" s="517" t="s">
        <v>2349</v>
      </c>
      <c r="C7" s="518"/>
      <c r="D7" s="519"/>
      <c r="E7" s="79"/>
      <c r="F7" s="59"/>
      <c r="G7" s="59"/>
      <c r="H7" s="59"/>
      <c r="I7" s="59"/>
      <c r="J7" s="59"/>
      <c r="K7" s="112"/>
      <c r="L7" s="112"/>
      <c r="M7" s="11"/>
    </row>
    <row r="8" spans="1:27" ht="14.25" customHeight="1" x14ac:dyDescent="0.35">
      <c r="A8" s="145"/>
      <c r="E8" s="79"/>
      <c r="F8" s="59"/>
      <c r="G8" s="59"/>
      <c r="H8" s="59"/>
      <c r="I8" s="59"/>
      <c r="J8" s="59"/>
      <c r="K8" s="112"/>
      <c r="L8" s="14"/>
      <c r="M8" s="14"/>
    </row>
    <row r="9" spans="1:27" ht="19.5" customHeight="1" x14ac:dyDescent="0.35">
      <c r="A9" s="145"/>
      <c r="B9" s="520" t="s">
        <v>2531</v>
      </c>
      <c r="C9" s="521"/>
      <c r="D9" s="522"/>
      <c r="E9" s="79"/>
      <c r="F9" s="516" t="s">
        <v>2532</v>
      </c>
      <c r="G9" s="516"/>
      <c r="H9" s="516"/>
      <c r="I9" s="59"/>
      <c r="J9" s="59"/>
      <c r="K9" s="14"/>
      <c r="L9" s="14"/>
      <c r="M9" s="14"/>
    </row>
    <row r="10" spans="1:27" ht="6" customHeight="1" thickBot="1" x14ac:dyDescent="0.4">
      <c r="A10" s="145"/>
      <c r="B10" s="54"/>
      <c r="C10" s="54"/>
      <c r="D10" s="54"/>
      <c r="E10" s="79"/>
      <c r="F10" s="59"/>
      <c r="G10" s="59"/>
      <c r="H10" s="59"/>
      <c r="I10" s="59"/>
      <c r="J10" s="59"/>
      <c r="K10" s="14"/>
      <c r="L10" s="120">
        <f>D11</f>
        <v>0</v>
      </c>
      <c r="M10" s="59"/>
      <c r="N10" s="111" t="s">
        <v>40</v>
      </c>
      <c r="P10" s="111"/>
    </row>
    <row r="11" spans="1:27" ht="16.5" customHeight="1" thickBot="1" x14ac:dyDescent="0.4">
      <c r="A11" s="145"/>
      <c r="B11" s="524" t="s">
        <v>2533</v>
      </c>
      <c r="C11" s="525"/>
      <c r="D11" s="98"/>
      <c r="E11" s="79"/>
      <c r="F11" s="223" t="s">
        <v>2534</v>
      </c>
      <c r="G11" s="224"/>
      <c r="H11" s="101" t="s">
        <v>61</v>
      </c>
      <c r="I11" s="106"/>
      <c r="K11" s="59"/>
      <c r="L11" s="79">
        <f>C12</f>
        <v>0</v>
      </c>
      <c r="M11" s="59"/>
      <c r="N11" s="2">
        <v>0</v>
      </c>
      <c r="O11" s="2">
        <f>N12-1</f>
        <v>788</v>
      </c>
      <c r="P11" s="2" t="s">
        <v>58</v>
      </c>
    </row>
    <row r="12" spans="1:27" ht="16.5" customHeight="1" thickBot="1" x14ac:dyDescent="0.4">
      <c r="A12" s="145"/>
      <c r="B12" s="71" t="s">
        <v>2363</v>
      </c>
      <c r="C12" s="526"/>
      <c r="D12" s="527"/>
      <c r="E12" s="79"/>
      <c r="F12" s="536" t="str">
        <f>IF(H11="Si","Indica tasa especial en terminos E.A.","")</f>
        <v/>
      </c>
      <c r="G12" s="537"/>
      <c r="H12" s="175"/>
      <c r="I12" s="106"/>
      <c r="K12" s="59"/>
      <c r="L12" s="120">
        <f>D13</f>
        <v>0</v>
      </c>
      <c r="M12" s="59"/>
      <c r="N12" s="2">
        <v>789</v>
      </c>
      <c r="P12" s="2" t="s">
        <v>53</v>
      </c>
    </row>
    <row r="13" spans="1:27" ht="15.75" customHeight="1" x14ac:dyDescent="0.35">
      <c r="A13" s="145"/>
      <c r="B13" s="529" t="s">
        <v>2365</v>
      </c>
      <c r="C13" s="530"/>
      <c r="D13" s="99"/>
      <c r="E13" s="155">
        <f>135*$O$3</f>
        <v>192172500</v>
      </c>
      <c r="F13" s="107"/>
      <c r="G13" s="107"/>
      <c r="H13" s="106"/>
      <c r="I13" s="106"/>
      <c r="K13" s="59"/>
      <c r="L13" s="120" t="str">
        <f>D14</f>
        <v/>
      </c>
      <c r="M13" s="59"/>
    </row>
    <row r="14" spans="1:27" ht="15.65" customHeight="1" x14ac:dyDescent="0.35">
      <c r="A14" s="145"/>
      <c r="B14" s="531" t="s">
        <v>2535</v>
      </c>
      <c r="C14" s="531"/>
      <c r="D14" s="113" t="str">
        <f>_xlfn.IFNA(IF(D13&gt;(VLOOKUP(C12,'Ciudades y SMMLV'!A1:E1119,5,0)),"NO VIS","VIS"),"")</f>
        <v/>
      </c>
      <c r="E14" s="79"/>
      <c r="F14" s="79" t="e" cm="1">
        <f t="array" ref="F14">_xlfn.IFS(D19=O16,P16,((D19&gt;=N17)*AND(D19&lt;=O17)),P17,((D19&gt;=N18)*AND(D19&lt;=O18)),P18,((D19&gt;=N19)*AND(D19&lt;=O19)),P19,((D19&gt;=N20)*AND(D19&lt;=O20)),P20,((D19&gt;=N21)*AND(D19&lt;=O21)),P21)</f>
        <v>#N/A</v>
      </c>
      <c r="G14" s="59"/>
      <c r="H14" s="59"/>
      <c r="I14" s="59"/>
      <c r="J14" s="59"/>
      <c r="K14" s="59"/>
      <c r="L14" s="120"/>
      <c r="M14" s="59"/>
    </row>
    <row r="15" spans="1:27" ht="15" customHeight="1" thickBot="1" x14ac:dyDescent="0.4">
      <c r="A15" s="145"/>
      <c r="B15" s="15"/>
      <c r="C15" s="15"/>
      <c r="D15" s="15"/>
      <c r="E15" s="109"/>
      <c r="F15" s="59"/>
      <c r="G15" s="59"/>
      <c r="H15" s="59"/>
      <c r="I15" s="59"/>
      <c r="J15" s="59"/>
      <c r="K15" s="59"/>
      <c r="L15" s="79"/>
      <c r="M15" s="59"/>
      <c r="N15" s="111" t="s">
        <v>2536</v>
      </c>
    </row>
    <row r="16" spans="1:27" ht="21" x14ac:dyDescent="0.5">
      <c r="A16" s="145"/>
      <c r="B16" s="512" t="s">
        <v>2537</v>
      </c>
      <c r="C16" s="513"/>
      <c r="D16" s="514"/>
      <c r="E16" s="79"/>
      <c r="F16" s="153"/>
      <c r="G16" s="153"/>
      <c r="H16" s="153"/>
      <c r="I16" s="153"/>
      <c r="J16" s="153"/>
      <c r="K16" s="59"/>
      <c r="L16" s="120">
        <f t="shared" ref="L16" si="0">D17</f>
        <v>0</v>
      </c>
      <c r="M16" s="59"/>
      <c r="N16" s="111">
        <v>0</v>
      </c>
      <c r="O16" s="2">
        <v>60</v>
      </c>
      <c r="P16" s="2" t="s">
        <v>42</v>
      </c>
    </row>
    <row r="17" spans="1:22" ht="6" customHeight="1" thickBot="1" x14ac:dyDescent="0.4">
      <c r="A17" s="145"/>
      <c r="B17" s="13"/>
      <c r="C17" s="13"/>
      <c r="D17" s="242">
        <f>D13*90%</f>
        <v>0</v>
      </c>
      <c r="E17" s="79"/>
      <c r="K17" s="59"/>
      <c r="L17" s="121">
        <f>D18</f>
        <v>0</v>
      </c>
      <c r="M17" s="59"/>
      <c r="N17" s="111">
        <v>61</v>
      </c>
      <c r="O17" s="2">
        <v>84</v>
      </c>
      <c r="P17" s="2" t="s">
        <v>43</v>
      </c>
    </row>
    <row r="18" spans="1:22" ht="17.5" customHeight="1" thickBot="1" x14ac:dyDescent="0.45">
      <c r="A18" s="145"/>
      <c r="B18" s="534" t="s">
        <v>2538</v>
      </c>
      <c r="C18" s="535"/>
      <c r="D18" s="99"/>
      <c r="E18" s="104">
        <f>IF(D26=1,D13*90%,D13*80%)</f>
        <v>0</v>
      </c>
      <c r="F18" s="536" t="s">
        <v>2539</v>
      </c>
      <c r="G18" s="537"/>
      <c r="H18" s="114" t="str">
        <f>IF(H11="No",IFERROR(INDEX('TI LHF'!A5:O55,MATCH('TI LHF'!A3,'TI LHF'!A5:A55,0),MATCH('TI LHF'!A2,'TI LHF'!A5:O5,0)),""),"")</f>
        <v/>
      </c>
      <c r="I18" s="134" t="str">
        <f>IFERROR(INDEX('Tasas inteligentes'!A5:AA55,MATCH('Tasas inteligentes'!AA3,'Tasas inteligentes'!A5:A55,0),MATCH('Tasas inteligentes'!AA2,'Tasas inteligentes'!A5:AA5,0)),"")</f>
        <v/>
      </c>
      <c r="J18" s="119"/>
      <c r="K18" s="59"/>
      <c r="L18" s="122">
        <f t="shared" ref="L18" si="1">D19</f>
        <v>0</v>
      </c>
      <c r="M18" s="59"/>
      <c r="N18" s="2">
        <v>85</v>
      </c>
      <c r="O18" s="2">
        <v>120</v>
      </c>
      <c r="P18" s="2" t="s">
        <v>44</v>
      </c>
    </row>
    <row r="19" spans="1:22" ht="15.65" customHeight="1" thickBot="1" x14ac:dyDescent="0.45">
      <c r="A19" s="145"/>
      <c r="B19" s="534" t="s">
        <v>2540</v>
      </c>
      <c r="C19" s="535"/>
      <c r="D19" s="103"/>
      <c r="E19" s="79">
        <v>240</v>
      </c>
      <c r="G19" s="87" t="s">
        <v>2541</v>
      </c>
      <c r="H19" s="115" t="str">
        <f>IFERROR(NOMINAL(H18,12)/12,"")</f>
        <v/>
      </c>
      <c r="I19" s="135" t="str">
        <f>IFERROR(NOMINAL(I18,12)/12,"")</f>
        <v/>
      </c>
      <c r="J19" s="119"/>
      <c r="K19" s="59"/>
      <c r="L19" s="79" t="str">
        <f>IF(B5="Crédito de Vivienda","Leasing Habitacional Familiar","Crédito de Vivienda")</f>
        <v>Crédito de Vivienda</v>
      </c>
      <c r="M19" s="11"/>
      <c r="N19" s="2">
        <f>O18+1</f>
        <v>121</v>
      </c>
      <c r="O19" s="2">
        <v>180</v>
      </c>
      <c r="P19" s="2" t="s">
        <v>45</v>
      </c>
    </row>
    <row r="20" spans="1:22" ht="17.25" customHeight="1" thickBot="1" x14ac:dyDescent="0.4">
      <c r="A20" s="145"/>
      <c r="B20" s="13"/>
      <c r="C20" s="13"/>
      <c r="D20" s="13"/>
      <c r="E20" s="79"/>
      <c r="F20" s="79" t="str" cm="1">
        <f t="array" ref="F20">_xlfn.IFS(D25&lt;=O11,P11,D25&gt;=N12,P12)</f>
        <v>&lt;789</v>
      </c>
      <c r="G20" s="59"/>
      <c r="H20" s="59"/>
      <c r="I20" s="59"/>
      <c r="J20" s="59"/>
      <c r="K20" s="59"/>
      <c r="L20" s="120"/>
      <c r="N20" s="2">
        <f>O19+1</f>
        <v>181</v>
      </c>
      <c r="O20" s="2">
        <v>240</v>
      </c>
      <c r="P20" s="2" t="s">
        <v>46</v>
      </c>
    </row>
    <row r="21" spans="1:22" ht="18.75" customHeight="1" x14ac:dyDescent="0.35">
      <c r="A21" s="145"/>
      <c r="B21" s="512" t="s">
        <v>2542</v>
      </c>
      <c r="C21" s="513"/>
      <c r="D21" s="514"/>
      <c r="E21" s="79"/>
      <c r="F21" s="538" t="str">
        <f>IF(H18="","","La tasa aquí informada corresponde a las condiciones actuales de aprobación, la tasa que le aplicará al cliente será la que este vigente al momento del desembolso.")</f>
        <v/>
      </c>
      <c r="G21" s="538"/>
      <c r="H21" s="538"/>
      <c r="I21" s="538"/>
      <c r="J21" s="538"/>
      <c r="K21" s="11"/>
      <c r="L21" s="79"/>
      <c r="M21" s="59"/>
      <c r="N21" s="2">
        <f>O20+1</f>
        <v>241</v>
      </c>
      <c r="O21" s="2">
        <v>360</v>
      </c>
      <c r="P21" s="2" t="s">
        <v>47</v>
      </c>
    </row>
    <row r="22" spans="1:22" ht="6" customHeight="1" x14ac:dyDescent="0.35">
      <c r="A22" s="145"/>
      <c r="B22" s="72"/>
      <c r="C22" s="72"/>
      <c r="D22" s="156" t="str">
        <f>IF(D23="Otros","Otros","Asalariado y Pensionado")</f>
        <v>Asalariado y Pensionado</v>
      </c>
      <c r="E22" s="79"/>
      <c r="F22" s="538"/>
      <c r="G22" s="538"/>
      <c r="H22" s="538"/>
      <c r="I22" s="538"/>
      <c r="J22" s="538"/>
      <c r="L22" s="120"/>
      <c r="M22" s="59"/>
    </row>
    <row r="23" spans="1:22" ht="15.5" x14ac:dyDescent="0.35">
      <c r="A23" s="145"/>
      <c r="B23" s="532" t="s">
        <v>41</v>
      </c>
      <c r="C23" s="533" t="str" cm="1">
        <f t="array" ref="C23">IFERROR(_xlfn.IFS(AND(C13="NO VIS",D23="MI CASA YA"),"ERROR",AND(C13="VIS",D23="FRECH NO VIS"),"ERROR",AND(C13="VIS",D23="ECOBERTURA"),"ERROR"),"")</f>
        <v/>
      </c>
      <c r="D23" s="100"/>
      <c r="E23" s="79"/>
      <c r="F23" s="538"/>
      <c r="G23" s="538"/>
      <c r="H23" s="538"/>
      <c r="I23" s="538"/>
      <c r="J23" s="538"/>
      <c r="K23" s="59"/>
      <c r="L23" s="123">
        <f>D23</f>
        <v>0</v>
      </c>
      <c r="M23" s="59"/>
    </row>
    <row r="24" spans="1:22" ht="16.5" x14ac:dyDescent="0.35">
      <c r="A24" s="145"/>
      <c r="B24" s="532" t="s">
        <v>2543</v>
      </c>
      <c r="C24" s="533"/>
      <c r="D24" s="101"/>
      <c r="E24" s="79"/>
      <c r="F24" s="538"/>
      <c r="G24" s="538"/>
      <c r="H24" s="538"/>
      <c r="I24" s="538"/>
      <c r="J24" s="538"/>
      <c r="K24" s="59"/>
      <c r="L24" s="120">
        <f t="shared" ref="L24" si="2">D24</f>
        <v>0</v>
      </c>
      <c r="M24" s="59"/>
    </row>
    <row r="25" spans="1:22" ht="16.5" x14ac:dyDescent="0.35">
      <c r="A25" s="145"/>
      <c r="B25" s="532" t="s">
        <v>2544</v>
      </c>
      <c r="C25" s="533"/>
      <c r="D25" s="102"/>
      <c r="E25" s="170"/>
      <c r="K25" s="59"/>
      <c r="L25" s="124">
        <f>D25</f>
        <v>0</v>
      </c>
      <c r="M25" s="59"/>
      <c r="N25" s="33"/>
      <c r="O25" s="33"/>
      <c r="P25" s="33"/>
      <c r="Q25" s="33"/>
      <c r="R25" s="33"/>
      <c r="V25" s="52">
        <v>0.3</v>
      </c>
    </row>
    <row r="26" spans="1:22" ht="15.75" customHeight="1" x14ac:dyDescent="0.35">
      <c r="A26" s="145"/>
      <c r="C26" s="145"/>
      <c r="D26" s="109">
        <f>SUM(D27:D30)</f>
        <v>0</v>
      </c>
      <c r="E26" s="171"/>
      <c r="K26" s="59"/>
      <c r="L26" s="59"/>
      <c r="M26" s="33"/>
    </row>
    <row r="27" spans="1:22" ht="15.75" customHeight="1" x14ac:dyDescent="0.35">
      <c r="A27" s="145"/>
      <c r="C27" s="145"/>
      <c r="D27" s="109">
        <f>IF(AND(D23="Asalariado",D24="Preferente",D25&gt;=770),1,0)</f>
        <v>0</v>
      </c>
      <c r="E27" s="171"/>
      <c r="K27" s="58"/>
    </row>
    <row r="28" spans="1:22" ht="18" customHeight="1" x14ac:dyDescent="0.35">
      <c r="A28" s="145"/>
      <c r="C28" s="145"/>
      <c r="D28" s="109">
        <f>IF(AND(D23="Asalariado",D24="Premium",D25&gt;=770),1,0)</f>
        <v>0</v>
      </c>
      <c r="E28" s="145"/>
      <c r="K28" s="58"/>
    </row>
    <row r="29" spans="1:22" x14ac:dyDescent="0.35">
      <c r="C29" s="145"/>
      <c r="D29" s="109">
        <f>IF(AND(D23="Pensionado",D24="Preferente",D25&gt;=770),1,0)</f>
        <v>0</v>
      </c>
      <c r="E29" s="154"/>
    </row>
    <row r="30" spans="1:22" x14ac:dyDescent="0.35">
      <c r="C30" s="145"/>
      <c r="D30" s="109">
        <f>IF(AND(D23="Pensionado",D24="Premium",D25&gt;=770),1,0)</f>
        <v>0</v>
      </c>
      <c r="E30" s="109"/>
    </row>
    <row r="31" spans="1:22" x14ac:dyDescent="0.35">
      <c r="C31" s="145"/>
      <c r="D31" s="145"/>
      <c r="E31" s="145"/>
    </row>
    <row r="32" spans="1:22" x14ac:dyDescent="0.35">
      <c r="C32" s="145"/>
      <c r="D32" s="145"/>
      <c r="E32" s="145"/>
    </row>
  </sheetData>
  <sheetProtection algorithmName="SHA-512" hashValue="0mRrtvy7eu0ceyp+PMH1CNprZAORZk4vQl3cweT18kKjmHzXIRaSMcefdMnkuEwZ+30m7wiyhYVX8MhoaYkc4Q==" saltValue="v5EhfRvSNWuv3CU2+yMDwQ==" spinCount="100000" sheet="1" objects="1" scenarios="1"/>
  <mergeCells count="20">
    <mergeCell ref="F21:J24"/>
    <mergeCell ref="B23:C23"/>
    <mergeCell ref="B24:C24"/>
    <mergeCell ref="B25:C25"/>
    <mergeCell ref="C12:D12"/>
    <mergeCell ref="B13:C13"/>
    <mergeCell ref="B14:C14"/>
    <mergeCell ref="B16:D16"/>
    <mergeCell ref="B18:C18"/>
    <mergeCell ref="B19:C19"/>
    <mergeCell ref="B21:D21"/>
    <mergeCell ref="F18:G18"/>
    <mergeCell ref="F12:G12"/>
    <mergeCell ref="B11:C11"/>
    <mergeCell ref="H1:I3"/>
    <mergeCell ref="B5:D5"/>
    <mergeCell ref="B6:D6"/>
    <mergeCell ref="B7:D7"/>
    <mergeCell ref="B9:D9"/>
    <mergeCell ref="F9:H9"/>
  </mergeCells>
  <conditionalFormatting sqref="D18">
    <cfRule type="cellIs" dxfId="52" priority="8" operator="greaterThan">
      <formula>$D$17</formula>
    </cfRule>
  </conditionalFormatting>
  <conditionalFormatting sqref="D19">
    <cfRule type="cellIs" dxfId="51" priority="7" operator="greaterThan">
      <formula>$E$19</formula>
    </cfRule>
  </conditionalFormatting>
  <conditionalFormatting sqref="F21 K27:K28">
    <cfRule type="containsText" dxfId="49" priority="3" operator="containsText" text="&quot;La tasa aquí informada corresponde a las condiciones actuales de aprobación, la tasa que le aplicará al cliente será la que este vigente al momento del desembolso&quot;">
      <formula>NOT(ISERROR(SEARCH("""La tasa aquí informada corresponde a las condiciones actuales de aprobación, la tasa que le aplicará al cliente será la que este vigente al momento del desembolso""",F21)))</formula>
    </cfRule>
    <cfRule type="containsText" dxfId="48" priority="4" operator="containsText" text="&quot;La tasa aquí informada corresponde a las condiciones actuales de aprobación, la tasa que le aplicará al cliente sera la que este vigente al momento del desembolso&quot;">
      <formula>NOT(ISERROR(SEARCH("""La tasa aquí informada corresponde a las condiciones actuales de aprobación, la tasa que le aplicará al cliente sera la que este vigente al momento del desembolso""",F21)))</formula>
    </cfRule>
  </conditionalFormatting>
  <conditionalFormatting sqref="F16:J16">
    <cfRule type="containsText" dxfId="47" priority="5" operator="containsText" text="Escoje la opción que aplique">
      <formula>NOT(ISERROR(SEARCH("Escoje la opción que aplique",F16)))</formula>
    </cfRule>
  </conditionalFormatting>
  <conditionalFormatting sqref="H12">
    <cfRule type="expression" dxfId="46" priority="1">
      <formula>$H$11="No"</formula>
    </cfRule>
  </conditionalFormatting>
  <conditionalFormatting sqref="H18:H19">
    <cfRule type="containsBlanks" dxfId="45" priority="6">
      <formula>LEN(TRIM(H18))=0</formula>
    </cfRule>
  </conditionalFormatting>
  <dataValidations count="8">
    <dataValidation type="list" allowBlank="1" showInputMessage="1" showErrorMessage="1" sqref="D11 H11" xr:uid="{22A24199-D45A-40C6-8093-07575517C1AE}">
      <formula1>$T$3:$T$4</formula1>
    </dataValidation>
    <dataValidation type="list" allowBlank="1" showInputMessage="1" showErrorMessage="1" sqref="D24" xr:uid="{18AC4DF0-0D14-4108-B434-270CEBE7816B}">
      <formula1>$N$3:$N$5</formula1>
    </dataValidation>
    <dataValidation type="list" allowBlank="1" showInputMessage="1" showErrorMessage="1" errorTitle="Programa no aplica" error="El programa de Gobierno NO aplica según el tipo de vivienda. Por favor corregir" sqref="D23" xr:uid="{7C832D3B-D2EB-49E5-AD8F-C3731134FF92}">
      <formula1>$W$3:$W$5</formula1>
    </dataValidation>
    <dataValidation type="list" allowBlank="1" showInputMessage="1" showErrorMessage="1" errorTitle="Programa no aplica" error="El programa de Gobierno NO aplica según el tipo de vivienda. Por favor corregir" sqref="D24" xr:uid="{5805A01C-CD6B-4A29-A419-B0D246490204}">
      <formula1>$N$3:$N$5</formula1>
    </dataValidation>
    <dataValidation type="whole" allowBlank="1" showInputMessage="1" showErrorMessage="1" errorTitle="Valor NO corresponde" error="El valor ingresado supera el porcentaje máximo de financiación" sqref="D18" xr:uid="{A8AC6A74-D59D-449F-9032-1348DD08FC32}">
      <formula1>0</formula1>
      <formula2>D17</formula2>
    </dataValidation>
    <dataValidation type="whole" allowBlank="1" showInputMessage="1" showErrorMessage="1" errorTitle="Plazo NO corresponde" error="El plazo ingresado no aplica para el tipo de vivienda" sqref="D19" xr:uid="{48D0E955-A808-4AC1-B5CD-142445A836B8}">
      <formula1>60</formula1>
      <formula2>E19</formula2>
    </dataValidation>
    <dataValidation type="whole" operator="greaterThan" allowBlank="1" showInputMessage="1" showErrorMessage="1" errorTitle="Valor debe ser superior a VIS" error="El valor ingresado debe ser superior al tope de vivienda VIS" sqref="D13" xr:uid="{5B1605B9-5F2D-45C4-B11A-1366BA98FD92}">
      <formula1>E13</formula1>
    </dataValidation>
    <dataValidation type="decimal" allowBlank="1" showInputMessage="1" showErrorMessage="1" sqref="H12" xr:uid="{A52B16D6-DD4D-41D4-9934-6D7747D29C25}">
      <formula1>0.04</formula1>
      <formula2>0.2</formula2>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2" operator="containsText" id="{BCD6D6F6-4C64-4D1D-807C-1AA16846CE4E}">
            <xm:f>NOT(ISERROR(SEARCH($F$21,F21)))</xm:f>
            <xm:f>$F$21</xm:f>
            <x14:dxf>
              <font>
                <color rgb="FF006100"/>
              </font>
              <fill>
                <patternFill>
                  <bgColor rgb="FFC6EFCE"/>
                </patternFill>
              </fill>
            </x14:dxf>
          </x14:cfRule>
          <xm:sqref>F21 K27:K28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6DA17F8-88AA-4EDC-BB0B-6E9F400C1445}">
          <x14:formula1>
            <xm:f>'Ciudades y SMMLV'!$A$2:$A$1119</xm:f>
          </x14:formula1>
          <xm:sqref>C12:D12</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14A6F-8157-4AC4-A7CC-CD03F35495BD}">
  <sheetPr codeName="Hoja14"/>
  <dimension ref="A1:N45"/>
  <sheetViews>
    <sheetView showGridLines="0" zoomScale="85" zoomScaleNormal="85" workbookViewId="0">
      <pane ySplit="6" topLeftCell="A28" activePane="bottomLeft" state="frozen"/>
      <selection activeCell="B24" sqref="B24"/>
      <selection pane="bottomLeft" activeCell="B24" sqref="B24"/>
    </sheetView>
  </sheetViews>
  <sheetFormatPr baseColWidth="10" defaultColWidth="11.453125" defaultRowHeight="15" customHeight="1" x14ac:dyDescent="0.35"/>
  <cols>
    <col min="1" max="1" width="43.26953125" style="2" customWidth="1"/>
    <col min="2" max="2" width="7.54296875" style="2" customWidth="1"/>
    <col min="3" max="3" width="20.26953125" style="2" customWidth="1"/>
    <col min="4" max="4" width="13.1796875" style="2" customWidth="1"/>
    <col min="5" max="5" width="17.26953125" style="2" customWidth="1"/>
    <col min="6" max="9" width="15.1796875" style="2" customWidth="1"/>
    <col min="10" max="12" width="11.453125" style="2" hidden="1" customWidth="1"/>
    <col min="13" max="13" width="0" style="2" hidden="1" customWidth="1"/>
    <col min="14" max="14" width="11.453125" style="2" hidden="1" customWidth="1"/>
    <col min="15" max="16384" width="11.453125" style="2"/>
  </cols>
  <sheetData>
    <row r="1" spans="1:14" ht="26.25" customHeight="1" x14ac:dyDescent="0.35">
      <c r="A1" s="60"/>
      <c r="B1" s="61"/>
      <c r="C1" s="61"/>
      <c r="G1" s="430" t="str">
        <f>CV!H1</f>
        <v>Código: PCV_FOR_006
Versión: V02
Fecha de actualización: 04/05/2026</v>
      </c>
      <c r="H1" s="431"/>
    </row>
    <row r="2" spans="1:14" ht="23.25" customHeight="1" x14ac:dyDescent="0.55000000000000004">
      <c r="A2" s="63"/>
      <c r="D2" s="545" t="s">
        <v>2545</v>
      </c>
      <c r="E2" s="545"/>
      <c r="F2" s="545"/>
      <c r="G2" s="432"/>
      <c r="H2" s="433"/>
    </row>
    <row r="3" spans="1:14" ht="24" customHeight="1" x14ac:dyDescent="0.35">
      <c r="A3" s="68"/>
      <c r="B3" s="69"/>
      <c r="C3" s="69"/>
      <c r="D3" s="69"/>
      <c r="E3" s="69"/>
      <c r="F3" s="69"/>
      <c r="G3" s="434"/>
      <c r="H3" s="435"/>
      <c r="I3" s="96" t="s">
        <v>2546</v>
      </c>
      <c r="J3" s="11"/>
    </row>
    <row r="4" spans="1:14" ht="23.25" customHeight="1" thickBot="1" x14ac:dyDescent="0.4">
      <c r="A4" s="516" t="s">
        <v>32</v>
      </c>
      <c r="B4" s="516"/>
      <c r="C4" s="516"/>
      <c r="D4" s="59"/>
      <c r="E4" s="59"/>
      <c r="F4" s="57"/>
      <c r="G4" s="11"/>
      <c r="H4" s="11"/>
      <c r="I4" s="11"/>
      <c r="J4" s="11"/>
    </row>
    <row r="5" spans="1:14" ht="6" customHeight="1" x14ac:dyDescent="0.35">
      <c r="A5" s="539" t="s">
        <v>2548</v>
      </c>
      <c r="B5" s="540"/>
      <c r="C5" s="541"/>
      <c r="D5" s="59"/>
      <c r="E5" s="59"/>
      <c r="F5" s="57"/>
      <c r="G5" s="11"/>
      <c r="H5" s="11"/>
      <c r="I5" s="11"/>
      <c r="J5" s="12"/>
    </row>
    <row r="6" spans="1:14" ht="10.5" customHeight="1" x14ac:dyDescent="0.35">
      <c r="A6" s="546"/>
      <c r="B6" s="547"/>
      <c r="C6" s="548"/>
      <c r="D6" s="13">
        <v>24556798.854714327</v>
      </c>
      <c r="E6" s="57"/>
      <c r="F6" s="57"/>
      <c r="G6" s="14"/>
      <c r="H6" s="14"/>
      <c r="I6" s="14"/>
      <c r="J6" s="14"/>
    </row>
    <row r="7" spans="1:14" ht="10.5" customHeight="1" thickBot="1" x14ac:dyDescent="0.4">
      <c r="A7" s="54"/>
      <c r="B7" s="54"/>
      <c r="C7" s="54"/>
      <c r="D7" s="13"/>
      <c r="E7" s="57"/>
      <c r="F7" s="57"/>
      <c r="G7" s="14"/>
      <c r="H7" s="14"/>
      <c r="I7" s="14"/>
      <c r="J7" s="14"/>
    </row>
    <row r="8" spans="1:14" ht="15" customHeight="1" thickBot="1" x14ac:dyDescent="0.4">
      <c r="A8" s="74" t="s">
        <v>2533</v>
      </c>
      <c r="B8" s="75"/>
      <c r="C8" s="81">
        <f>_xlfn.IFNA(LHF!D11,0)</f>
        <v>0</v>
      </c>
      <c r="D8" s="158"/>
      <c r="E8" s="57"/>
      <c r="F8" s="57"/>
      <c r="G8" s="14"/>
      <c r="H8" s="14"/>
      <c r="I8" s="14"/>
      <c r="J8" s="14"/>
    </row>
    <row r="9" spans="1:14" ht="18" customHeight="1" thickBot="1" x14ac:dyDescent="0.4">
      <c r="A9" s="532" t="s">
        <v>2363</v>
      </c>
      <c r="B9" s="542"/>
      <c r="C9" s="146">
        <f>_xlfn.IFNA(LHF!C12,0)</f>
        <v>0</v>
      </c>
      <c r="D9" s="158"/>
      <c r="E9" s="57"/>
      <c r="F9" s="57"/>
      <c r="G9" s="14"/>
      <c r="H9" s="14"/>
      <c r="I9" s="14"/>
      <c r="J9" s="14"/>
    </row>
    <row r="10" spans="1:14" ht="8.25" hidden="1" customHeight="1" thickBot="1" x14ac:dyDescent="0.4">
      <c r="A10" s="54"/>
      <c r="B10" s="76"/>
      <c r="C10" s="76" t="s">
        <v>2628</v>
      </c>
      <c r="D10" s="50"/>
      <c r="E10" s="12"/>
      <c r="F10" s="14"/>
      <c r="G10" s="14"/>
      <c r="H10" s="14"/>
      <c r="I10" s="14"/>
      <c r="J10" s="14"/>
    </row>
    <row r="11" spans="1:14" ht="17.5" customHeight="1" thickBot="1" x14ac:dyDescent="0.4">
      <c r="A11" s="532" t="s">
        <v>2543</v>
      </c>
      <c r="B11" s="542"/>
      <c r="C11" s="82">
        <f>_xlfn.IFNA(LHF!D24,0)</f>
        <v>0</v>
      </c>
      <c r="D11" s="50"/>
      <c r="G11" s="14"/>
      <c r="H11" s="14"/>
      <c r="I11" s="14"/>
      <c r="J11" s="14"/>
    </row>
    <row r="12" spans="1:14" ht="16" thickBot="1" x14ac:dyDescent="0.4">
      <c r="A12" s="74" t="s">
        <v>2365</v>
      </c>
      <c r="B12" s="78" t="str">
        <f>LHF!D14</f>
        <v/>
      </c>
      <c r="C12" s="81">
        <f>_xlfn.IFNA(LHF!D13,0)</f>
        <v>0</v>
      </c>
      <c r="D12" s="160"/>
      <c r="G12" s="27"/>
      <c r="H12" s="27"/>
      <c r="J12" s="14"/>
    </row>
    <row r="13" spans="1:14" ht="17.25" customHeight="1" thickBot="1" x14ac:dyDescent="0.4">
      <c r="A13" s="532" t="s">
        <v>2535</v>
      </c>
      <c r="B13" s="542"/>
      <c r="C13" s="81" t="str">
        <f>_xlfn.IFNA(LHF!D14,0)</f>
        <v/>
      </c>
      <c r="D13" s="158"/>
      <c r="G13" s="27"/>
      <c r="H13" s="27"/>
      <c r="I13" s="27"/>
      <c r="J13" s="14"/>
    </row>
    <row r="14" spans="1:14" ht="16" thickBot="1" x14ac:dyDescent="0.4">
      <c r="A14" s="534" t="s">
        <v>2549</v>
      </c>
      <c r="B14" s="543"/>
      <c r="C14" s="86">
        <f>_xlfn.IFNA(LHF!D23,0)</f>
        <v>0</v>
      </c>
      <c r="D14" s="183" t="str">
        <f>IF(C14="Asalariado","Asalariados","Independiente-Pensionado")</f>
        <v>Independiente-Pensionado</v>
      </c>
      <c r="E14" s="90" t="s">
        <v>2550</v>
      </c>
      <c r="F14" s="91"/>
      <c r="G14" s="27"/>
      <c r="H14" s="27"/>
      <c r="I14" s="27"/>
      <c r="J14" s="14" t="str">
        <f>IF(C13="NO VIS"," ","Mi Casa Ya")</f>
        <v>Mi Casa Ya</v>
      </c>
    </row>
    <row r="15" spans="1:14" ht="16.5" customHeight="1" thickBot="1" x14ac:dyDescent="0.4">
      <c r="A15" s="529" t="s">
        <v>2551</v>
      </c>
      <c r="B15" s="544"/>
      <c r="C15" s="76">
        <f>IF(D15&gt;=LHF!D18,LHF!D18,LeasingHab!D15)</f>
        <v>0</v>
      </c>
      <c r="D15" s="183">
        <f>LHF!E18</f>
        <v>0</v>
      </c>
      <c r="E15" s="92" t="s">
        <v>2552</v>
      </c>
      <c r="F15" s="93" t="e" cm="1">
        <f t="array" ref="F15">_xlfn.IFS(AND($B$12="NO VIS",$C$8="NO",$C$12&gt;700000000),1112597,AND($B$12="NO VIS",$C$8="NO",$C$12&lt;700000000),((($C$12*0.75)/1000)+(($C$12*0.75)/1000)*0.19),AND($B$12="NO VIS",$C$8="SI",$C$12&gt;700000000),838994,AND($B$12="NO VIS",$C$8="SI",$C$12&lt;700000000),((($C$12*0.75)/1000)+(($C$12*0.75)/1000)*0.19),AND($B$12="VIS",$C$8="SI"),127882,AND($B$12="VIS",$C$8="NO"),143624)</f>
        <v>#N/A</v>
      </c>
      <c r="G15" s="27"/>
      <c r="H15" s="27"/>
      <c r="I15" s="27"/>
      <c r="J15" s="14" t="str">
        <f>IF(C13="VIS"," "," ")</f>
        <v xml:space="preserve"> </v>
      </c>
      <c r="N15" s="227">
        <v>0.01</v>
      </c>
    </row>
    <row r="16" spans="1:14" ht="16.5" customHeight="1" thickBot="1" x14ac:dyDescent="0.4">
      <c r="A16" s="105" t="s">
        <v>2553</v>
      </c>
      <c r="B16" s="80" t="str">
        <f>IFERROR(C16/C12,"")</f>
        <v/>
      </c>
      <c r="C16" s="76">
        <f>C12-C15</f>
        <v>0</v>
      </c>
      <c r="D16" s="84"/>
      <c r="E16" s="94" t="s">
        <v>2554</v>
      </c>
      <c r="F16" s="95" t="e" cm="1">
        <f t="array" ref="F16">_xlfn.IFS(AND($B$12="NO VIS",$C$8="NO"),330000,AND($B$12="VIS",$C$8="NO"),170000,AND($B$12="NO VIS",$C$8="SI"),127000,AND($B$12="VIS",$C$8="SI"),127000)</f>
        <v>#N/A</v>
      </c>
      <c r="G16" s="28"/>
      <c r="H16" s="28"/>
      <c r="I16" s="28"/>
      <c r="J16" s="2" t="str">
        <f>IF(C13="VIS"," "," ")</f>
        <v xml:space="preserve"> </v>
      </c>
      <c r="N16" s="227">
        <v>0.02</v>
      </c>
    </row>
    <row r="17" spans="1:14" ht="16.5" customHeight="1" thickBot="1" x14ac:dyDescent="0.4">
      <c r="A17" s="534" t="str">
        <f>IF(LHF!H11="No","Tasa Inteligente","Tasa Especial")</f>
        <v>Tasa Inteligente</v>
      </c>
      <c r="B17" s="576"/>
      <c r="C17" s="85" t="str">
        <f>IF(LHF!H11="No",_xlfn.IFNA(LHF!H18,0),LHF!$H$12)</f>
        <v/>
      </c>
      <c r="D17" s="84"/>
      <c r="E17" s="184" t="e">
        <f>NOMINAL((C17+1.5%),12)/12</f>
        <v>#VALUE!</v>
      </c>
      <c r="F17" s="84"/>
      <c r="G17" s="28"/>
      <c r="H17" s="28"/>
      <c r="I17" s="28"/>
      <c r="N17" s="227">
        <v>0.03</v>
      </c>
    </row>
    <row r="18" spans="1:14" ht="16" thickBot="1" x14ac:dyDescent="0.4">
      <c r="A18" s="534" t="s">
        <v>2536</v>
      </c>
      <c r="B18" s="535"/>
      <c r="C18" s="89">
        <f>_xlfn.IFNA(LHF!D19,0)</f>
        <v>0</v>
      </c>
      <c r="D18" s="161"/>
      <c r="E18" s="84"/>
      <c r="F18" s="84"/>
      <c r="G18" s="11"/>
      <c r="H18" s="11"/>
      <c r="I18" s="11"/>
      <c r="N18" s="227">
        <v>0.04</v>
      </c>
    </row>
    <row r="19" spans="1:14" ht="16.5" customHeight="1" thickBot="1" x14ac:dyDescent="0.4">
      <c r="A19" s="83"/>
      <c r="B19" s="83"/>
      <c r="C19" s="83"/>
      <c r="D19" s="77"/>
      <c r="E19" s="77"/>
      <c r="F19" s="77"/>
      <c r="H19" s="11"/>
      <c r="I19" s="11"/>
      <c r="N19" s="227">
        <v>0.05</v>
      </c>
    </row>
    <row r="20" spans="1:14" ht="16.5" customHeight="1" x14ac:dyDescent="0.35">
      <c r="A20" s="539" t="s">
        <v>2558</v>
      </c>
      <c r="B20" s="540"/>
      <c r="C20" s="541"/>
      <c r="D20" s="162"/>
      <c r="E20" s="77"/>
      <c r="F20" s="77"/>
      <c r="G20" s="172"/>
      <c r="H20" s="172"/>
      <c r="I20" s="172"/>
      <c r="N20" s="227">
        <v>0.06</v>
      </c>
    </row>
    <row r="21" spans="1:14" s="83" customFormat="1" ht="6.75" customHeight="1" x14ac:dyDescent="0.35">
      <c r="C21" s="88"/>
      <c r="D21" s="162"/>
      <c r="G21" s="172"/>
      <c r="H21" s="172"/>
      <c r="I21" s="172"/>
      <c r="N21" s="227">
        <v>7.0000000000000007E-2</v>
      </c>
    </row>
    <row r="22" spans="1:14" s="83" customFormat="1" ht="16" customHeight="1" x14ac:dyDescent="0.35">
      <c r="A22" s="222" t="s">
        <v>2629</v>
      </c>
      <c r="B22" s="225">
        <v>0.01</v>
      </c>
      <c r="C22" s="226">
        <f>C15*B22</f>
        <v>0</v>
      </c>
      <c r="D22" s="162"/>
      <c r="G22" s="172"/>
      <c r="H22" s="172"/>
      <c r="I22" s="172"/>
      <c r="N22" s="227">
        <v>0.08</v>
      </c>
    </row>
    <row r="23" spans="1:14" s="83" customFormat="1" ht="15.5" x14ac:dyDescent="0.35">
      <c r="A23" s="552" t="s">
        <v>2560</v>
      </c>
      <c r="B23" s="553"/>
      <c r="C23" s="44">
        <v>30</v>
      </c>
      <c r="D23" s="163" t="str" cm="1">
        <f t="array" ref="D23">IFERROR(_xlfn.IFS(AND(B12="NO VIS",#REF!="MI CASA YA"),"Programa NO corresponde",AND(B12="VIS",#REF!="FRECH NO VIS"),"Programa NO corresponde",AND(B12="VIS",#REF!="ECOBERTURA"),"Programa NO corresponde"),"")</f>
        <v/>
      </c>
      <c r="F23" s="118"/>
      <c r="G23" s="172"/>
      <c r="H23" s="172"/>
      <c r="I23" s="172"/>
      <c r="N23" s="227">
        <v>0.09</v>
      </c>
    </row>
    <row r="24" spans="1:14" ht="15.5" x14ac:dyDescent="0.35">
      <c r="A24" s="556" t="s">
        <v>2562</v>
      </c>
      <c r="B24" s="557"/>
      <c r="C24" s="44"/>
      <c r="D24" s="164"/>
      <c r="F24" s="73"/>
      <c r="G24" s="172"/>
      <c r="H24" s="172"/>
      <c r="I24" s="172"/>
      <c r="J24" s="12"/>
      <c r="K24" s="2" t="s">
        <v>2563</v>
      </c>
      <c r="L24" s="2" t="s">
        <v>2563</v>
      </c>
      <c r="N24" s="227">
        <v>0.1</v>
      </c>
    </row>
    <row r="25" spans="1:14" ht="15.5" x14ac:dyDescent="0.35">
      <c r="A25" s="556" t="s">
        <v>2564</v>
      </c>
      <c r="B25" s="557"/>
      <c r="C25" s="44"/>
      <c r="D25" s="49"/>
      <c r="E25" s="554" t="s">
        <v>2561</v>
      </c>
      <c r="G25" s="172"/>
      <c r="H25" s="172"/>
      <c r="I25" s="172"/>
      <c r="J25" s="11"/>
      <c r="K25" s="2" t="s">
        <v>2565</v>
      </c>
      <c r="L25" s="2" t="s">
        <v>2566</v>
      </c>
      <c r="N25" s="227">
        <v>0.11</v>
      </c>
    </row>
    <row r="26" spans="1:14" ht="16" thickBot="1" x14ac:dyDescent="0.4">
      <c r="A26" s="556" t="s">
        <v>2567</v>
      </c>
      <c r="B26" s="557"/>
      <c r="C26" s="44"/>
      <c r="D26" s="165"/>
      <c r="E26" s="555"/>
      <c r="G26" s="172"/>
      <c r="H26" s="172"/>
      <c r="I26" s="172"/>
      <c r="J26" s="11"/>
      <c r="K26" s="2" t="s">
        <v>2568</v>
      </c>
      <c r="L26" s="2" t="s">
        <v>2569</v>
      </c>
      <c r="N26" s="227">
        <v>0.12</v>
      </c>
    </row>
    <row r="27" spans="1:14" ht="15" customHeight="1" x14ac:dyDescent="0.35">
      <c r="A27" s="583" t="str">
        <f>IF(C23="","",IF(AND($B$12="NO VIS",$C$23&gt;47),"","¿Cliente desea adquirir el combo Protección Vida y Hogar?"))</f>
        <v>¿Cliente desea adquirir el combo Protección Vida y Hogar?</v>
      </c>
      <c r="B27" s="583"/>
      <c r="C27" s="243"/>
      <c r="D27" s="16" t="str">
        <f>IF(AND(A27="¿Cliente desea adquirir el combo Protección Vida y Hogar?",C27="Si"),"Si","No")</f>
        <v>No</v>
      </c>
      <c r="E27" s="558">
        <f>COUNT(C23,C24,C25,C26)</f>
        <v>1</v>
      </c>
      <c r="G27" s="172"/>
      <c r="H27" s="172"/>
      <c r="I27" s="172"/>
      <c r="J27" s="11"/>
      <c r="K27" s="2" t="s">
        <v>2570</v>
      </c>
      <c r="L27" s="2" t="s">
        <v>2571</v>
      </c>
      <c r="N27" s="227">
        <v>0.13</v>
      </c>
    </row>
    <row r="28" spans="1:14" ht="16" thickBot="1" x14ac:dyDescent="0.4">
      <c r="A28" s="23"/>
      <c r="B28" s="23"/>
      <c r="C28" s="23"/>
      <c r="D28" s="159"/>
      <c r="E28" s="559"/>
      <c r="G28" s="172"/>
      <c r="H28" s="172"/>
      <c r="I28" s="172"/>
      <c r="J28" s="11"/>
      <c r="K28" s="2" t="s">
        <v>2573</v>
      </c>
      <c r="L28" s="2" t="s">
        <v>2574</v>
      </c>
      <c r="N28" s="227">
        <v>0.14000000000000001</v>
      </c>
    </row>
    <row r="29" spans="1:14" ht="17.25" customHeight="1" x14ac:dyDescent="0.35">
      <c r="A29" s="539" t="s">
        <v>2572</v>
      </c>
      <c r="B29" s="540"/>
      <c r="C29" s="541"/>
      <c r="D29" s="50"/>
      <c r="G29" s="172"/>
      <c r="H29" s="172"/>
      <c r="I29" s="172"/>
      <c r="J29" s="11" t="str">
        <f>IF(A27="","","Si")</f>
        <v>Si</v>
      </c>
      <c r="K29" s="2" t="s">
        <v>2577</v>
      </c>
      <c r="L29" s="2" t="s">
        <v>2578</v>
      </c>
      <c r="N29" s="227">
        <v>0.15</v>
      </c>
    </row>
    <row r="30" spans="1:14" ht="16.5" customHeight="1" thickBot="1" x14ac:dyDescent="0.4">
      <c r="A30" s="560" t="s">
        <v>2579</v>
      </c>
      <c r="B30" s="560"/>
      <c r="C30" s="24">
        <f>'Plan de pagos LHF'!J20</f>
        <v>0</v>
      </c>
      <c r="D30" s="51"/>
      <c r="G30" s="172"/>
      <c r="H30" s="172"/>
      <c r="I30" s="172"/>
      <c r="J30" s="11" t="str">
        <f>IF(A27="","","No")</f>
        <v>No</v>
      </c>
      <c r="K30" s="2" t="s">
        <v>2581</v>
      </c>
      <c r="L30" s="2" t="s">
        <v>2582</v>
      </c>
      <c r="N30" s="227">
        <v>0.16</v>
      </c>
    </row>
    <row r="31" spans="1:14" ht="15.65" customHeight="1" x14ac:dyDescent="0.35">
      <c r="A31" s="560" t="s">
        <v>2583</v>
      </c>
      <c r="B31" s="560"/>
      <c r="C31" s="24">
        <f>'Plan de pagos LHF'!$K$20</f>
        <v>0</v>
      </c>
      <c r="D31" s="51"/>
      <c r="E31" s="561" t="s">
        <v>2580</v>
      </c>
      <c r="F31" s="563">
        <f>IF(LHF!D25&gt;=799,((C33-C30-C31)/40%),IF(LHF!D25&lt;=739,((C33-C30-C31)/30%),((C33-C30-C31)/35%)))</f>
        <v>0</v>
      </c>
      <c r="G31" s="23"/>
      <c r="H31" s="23"/>
      <c r="I31" s="23"/>
      <c r="J31" s="11"/>
      <c r="K31" s="2" t="s">
        <v>2584</v>
      </c>
      <c r="L31" s="2" t="s">
        <v>2584</v>
      </c>
      <c r="N31" s="227">
        <v>0.17</v>
      </c>
    </row>
    <row r="32" spans="1:14" ht="18" customHeight="1" thickBot="1" x14ac:dyDescent="0.4">
      <c r="A32" s="560" t="s">
        <v>2630</v>
      </c>
      <c r="B32" s="560"/>
      <c r="C32" s="25">
        <f>IFERROR('Plan de pagos LHF'!$L$20,0)</f>
        <v>0</v>
      </c>
      <c r="D32" s="159"/>
      <c r="E32" s="562"/>
      <c r="F32" s="564"/>
      <c r="G32" s="11"/>
      <c r="H32" s="11"/>
      <c r="I32" s="11"/>
      <c r="J32" s="11"/>
      <c r="K32" s="2" t="s">
        <v>2586</v>
      </c>
      <c r="L32" s="2" t="s">
        <v>2586</v>
      </c>
      <c r="N32" s="227">
        <v>0.18</v>
      </c>
    </row>
    <row r="33" spans="1:14" ht="17.25" customHeight="1" thickBot="1" x14ac:dyDescent="0.4">
      <c r="A33" s="549" t="str">
        <f>IF(C21="si","Vr. Cuota + Seguros Obligatorios - Beneficio Gobierno","Vr. Cuota + Seguros Obligatorios")</f>
        <v>Vr. Cuota + Seguros Obligatorios</v>
      </c>
      <c r="B33" s="550"/>
      <c r="C33" s="53">
        <f>IFERROR(SUM(C30:C32),0)</f>
        <v>0</v>
      </c>
      <c r="D33" s="17"/>
      <c r="E33" s="1"/>
      <c r="F33" s="1"/>
      <c r="G33" s="1"/>
      <c r="H33" s="1"/>
      <c r="I33" s="1"/>
      <c r="J33" s="11" t="s">
        <v>52</v>
      </c>
      <c r="K33" s="2" t="s">
        <v>2587</v>
      </c>
      <c r="L33" s="2" t="s">
        <v>2587</v>
      </c>
      <c r="N33" s="227">
        <v>0.19</v>
      </c>
    </row>
    <row r="34" spans="1:14" ht="15.75" customHeight="1" thickBot="1" x14ac:dyDescent="0.4">
      <c r="D34" s="17"/>
      <c r="E34" s="116"/>
      <c r="F34" s="43"/>
      <c r="H34" s="29"/>
      <c r="I34" s="29"/>
      <c r="J34" s="11" t="s">
        <v>61</v>
      </c>
      <c r="K34" s="2" t="s">
        <v>2632</v>
      </c>
      <c r="L34" s="2" t="s">
        <v>2632</v>
      </c>
      <c r="N34" s="227">
        <v>0.2</v>
      </c>
    </row>
    <row r="35" spans="1:14" ht="15.75" customHeight="1" x14ac:dyDescent="0.35">
      <c r="A35" s="539" t="s">
        <v>2631</v>
      </c>
      <c r="B35" s="540"/>
      <c r="C35" s="541"/>
      <c r="D35" s="18"/>
      <c r="E35" s="19"/>
      <c r="F35" s="1"/>
      <c r="G35" s="30"/>
      <c r="H35" s="30"/>
      <c r="I35" s="30"/>
      <c r="J35" s="11"/>
      <c r="K35" s="2" t="s">
        <v>2634</v>
      </c>
      <c r="L35" s="2" t="s">
        <v>2634</v>
      </c>
      <c r="N35" s="227">
        <v>0.21</v>
      </c>
    </row>
    <row r="36" spans="1:14" ht="24.65" customHeight="1" x14ac:dyDescent="0.35">
      <c r="A36" s="560" t="s">
        <v>2633</v>
      </c>
      <c r="B36" s="560"/>
      <c r="C36" s="44"/>
      <c r="D36" s="166"/>
      <c r="E36" s="166"/>
      <c r="F36" s="20"/>
      <c r="G36" s="31"/>
      <c r="H36" s="31"/>
      <c r="I36" s="31"/>
      <c r="J36" s="11"/>
      <c r="N36" s="227">
        <v>0.22</v>
      </c>
    </row>
    <row r="37" spans="1:14" ht="16.5" x14ac:dyDescent="0.35">
      <c r="A37" s="560" t="s">
        <v>2635</v>
      </c>
      <c r="B37" s="560"/>
      <c r="C37" s="157"/>
      <c r="D37" s="186" t="str">
        <f>C37&amp;C38&amp;D14</f>
        <v>Independiente-Pensionado</v>
      </c>
      <c r="E37" s="142"/>
      <c r="F37" s="20"/>
      <c r="G37" s="31"/>
      <c r="H37" s="31"/>
      <c r="I37" s="31"/>
      <c r="J37" s="11">
        <v>1</v>
      </c>
      <c r="N37" s="227">
        <v>0.23</v>
      </c>
    </row>
    <row r="38" spans="1:14" ht="16.5" customHeight="1" x14ac:dyDescent="0.35">
      <c r="A38" s="560" t="s">
        <v>2636</v>
      </c>
      <c r="B38" s="560"/>
      <c r="C38" s="44"/>
      <c r="D38" s="21"/>
      <c r="E38" s="167"/>
      <c r="F38" s="22"/>
      <c r="G38" s="32"/>
      <c r="H38" s="32"/>
      <c r="I38" s="32"/>
      <c r="J38" s="11">
        <v>2</v>
      </c>
      <c r="N38" s="227">
        <v>0.24</v>
      </c>
    </row>
    <row r="39" spans="1:14" ht="15" customHeight="1" thickBot="1" x14ac:dyDescent="0.4">
      <c r="A39" s="560" t="s">
        <v>2637</v>
      </c>
      <c r="B39" s="560"/>
      <c r="C39" s="24">
        <f>_xlfn.IFNA(VLOOKUP(D37,Oferta_Seguros!F:G,2,FALSE),0)</f>
        <v>0</v>
      </c>
      <c r="G39" s="31"/>
      <c r="H39" s="31"/>
      <c r="I39" s="31"/>
      <c r="J39" s="11">
        <v>3</v>
      </c>
      <c r="N39" s="227">
        <v>0.25</v>
      </c>
    </row>
    <row r="40" spans="1:14" ht="15" customHeight="1" thickBot="1" x14ac:dyDescent="0.4">
      <c r="A40" s="560" t="s">
        <v>2638</v>
      </c>
      <c r="B40" s="560"/>
      <c r="C40" s="168">
        <f>$C$33+$C$39</f>
        <v>0</v>
      </c>
      <c r="G40" s="33"/>
      <c r="H40" s="33"/>
      <c r="I40" s="33"/>
      <c r="J40" s="2">
        <v>4</v>
      </c>
      <c r="N40" s="227">
        <v>0.26</v>
      </c>
    </row>
    <row r="41" spans="1:14" ht="15" customHeight="1" x14ac:dyDescent="0.35">
      <c r="G41" s="33"/>
      <c r="H41" s="33"/>
      <c r="I41" s="33"/>
      <c r="N41" s="227">
        <v>0.27</v>
      </c>
    </row>
    <row r="42" spans="1:14" ht="15" customHeight="1" x14ac:dyDescent="0.35">
      <c r="G42" s="33"/>
      <c r="H42" s="33"/>
      <c r="I42" s="33"/>
      <c r="N42" s="227">
        <v>0.28000000000000003</v>
      </c>
    </row>
    <row r="43" spans="1:14" ht="15" customHeight="1" x14ac:dyDescent="0.35">
      <c r="G43" s="33"/>
      <c r="H43" s="33"/>
      <c r="I43" s="33"/>
      <c r="N43" s="227">
        <v>0.28999999999999998</v>
      </c>
    </row>
    <row r="44" spans="1:14" ht="15" customHeight="1" x14ac:dyDescent="0.35">
      <c r="D44" s="58"/>
      <c r="E44" s="58"/>
      <c r="F44" s="57"/>
      <c r="G44" s="33"/>
      <c r="H44" s="33"/>
      <c r="I44" s="33"/>
      <c r="N44" s="227">
        <v>0.3</v>
      </c>
    </row>
    <row r="45" spans="1:14" ht="15" customHeight="1" x14ac:dyDescent="0.35">
      <c r="G45" s="33"/>
      <c r="H45" s="33"/>
      <c r="I45" s="33"/>
    </row>
  </sheetData>
  <sheetProtection algorithmName="SHA-512" hashValue="OZfMR33Rsj+vIlvev2RKdeTVIgSPv47mK3zK/3kxZYx+kr8sDapyedMxBqppoYLyOK2H5mgwy7+yv7zM9BwVng==" saltValue="fAdjjmDIGH15RCQrTeGdUw==" spinCount="100000" sheet="1" objects="1" scenarios="1"/>
  <mergeCells count="32">
    <mergeCell ref="F31:F32"/>
    <mergeCell ref="A31:B31"/>
    <mergeCell ref="A32:B32"/>
    <mergeCell ref="A33:B33"/>
    <mergeCell ref="A35:C35"/>
    <mergeCell ref="E27:E28"/>
    <mergeCell ref="A26:B26"/>
    <mergeCell ref="A40:B40"/>
    <mergeCell ref="A30:B30"/>
    <mergeCell ref="E31:E32"/>
    <mergeCell ref="A36:B36"/>
    <mergeCell ref="A37:B37"/>
    <mergeCell ref="A38:B38"/>
    <mergeCell ref="A39:B39"/>
    <mergeCell ref="A29:C29"/>
    <mergeCell ref="A27:B27"/>
    <mergeCell ref="A23:B23"/>
    <mergeCell ref="E25:E26"/>
    <mergeCell ref="A20:C20"/>
    <mergeCell ref="G1:H3"/>
    <mergeCell ref="D2:F2"/>
    <mergeCell ref="A4:C4"/>
    <mergeCell ref="A5:C6"/>
    <mergeCell ref="A9:B9"/>
    <mergeCell ref="A11:B11"/>
    <mergeCell ref="A13:B13"/>
    <mergeCell ref="A14:B14"/>
    <mergeCell ref="A15:B15"/>
    <mergeCell ref="A17:B17"/>
    <mergeCell ref="A18:B18"/>
    <mergeCell ref="A24:B24"/>
    <mergeCell ref="A25:B25"/>
  </mergeCells>
  <conditionalFormatting sqref="G20:I30">
    <cfRule type="containsText" dxfId="44" priority="1" operator="containsText" text="Los subsidios otorgados por el Gobierno Nacional aplican unicamente al momento del desembolso, conforme el cliente cumpla con los requisitos para acceder al programa seleccionado y haya existencia de cupos. El valor descontado por este beneficio en este s">
      <formula>NOT(ISERROR(SEARCH("Los subsidios otorgados por el Gobierno Nacional aplican unicamente al momento del desembolso, conforme el cliente cumpla con los requisitos para acceder al programa seleccionado y haya existencia de cupos. El valor descontado por este beneficio en este s",G20)))</formula>
    </cfRule>
  </conditionalFormatting>
  <dataValidations count="7">
    <dataValidation type="list" allowBlank="1" showInputMessage="1" showErrorMessage="1" sqref="C37" xr:uid="{DBD0CD37-C77D-458C-B611-61D0A3491FD3}">
      <formula1>IF($C$36="No",$K$24,IF(AND($C$36="Si",$D$14="Asalariados"),$K$25:$K$35,$L$25:$L$35))</formula1>
    </dataValidation>
    <dataValidation type="list" allowBlank="1" showInputMessage="1" showErrorMessage="1" sqref="C38" xr:uid="{E20FD9A9-EE09-42A8-B25F-9BB1F541D372}">
      <formula1>IF($C$36="Si",$J$37:$J$40,$J$36)</formula1>
    </dataValidation>
    <dataValidation type="list" allowBlank="1" showInputMessage="1" showErrorMessage="1" sqref="C36" xr:uid="{8D492AF0-66B2-482F-9ABF-CDDC72C7886D}">
      <formula1>$J$33:$J$34</formula1>
    </dataValidation>
    <dataValidation type="whole" allowBlank="1" showInputMessage="1" showErrorMessage="1" errorTitle="Edad NO correponde" error="La edad ingresada no aplica por política de crédito" sqref="C24" xr:uid="{C862455D-AC1B-448A-B1B4-DC767080783D}">
      <formula1>18</formula1>
      <formula2>70</formula2>
    </dataValidation>
    <dataValidation type="whole" allowBlank="1" showInputMessage="1" showErrorMessage="1" errorTitle="Edad NO corresponde" error="La edad ingresada no aplica por política de crédito" sqref="C23 C25:C26" xr:uid="{A9387CC5-96C3-444B-BA55-D6EB48AC2879}">
      <formula1>18</formula1>
      <formula2>70</formula2>
    </dataValidation>
    <dataValidation type="list" allowBlank="1" showInputMessage="1" showErrorMessage="1" errorTitle="Error" error="La opcion de compra debe ser entre 1% al 30%." sqref="B22" xr:uid="{68293627-322B-4794-AF45-506841E8D8E4}">
      <formula1>$N$15:$N$44</formula1>
    </dataValidation>
    <dataValidation type="list" allowBlank="1" showInputMessage="1" showErrorMessage="1" errorTitle="Edad NO corresponde" error="La edad ingresada no aplica por política de crédito" sqref="C27" xr:uid="{AB3FECEE-8F0A-45CE-ADA3-E1F57952F208}">
      <formula1>$J$29:$J$30</formula1>
    </dataValidation>
  </dataValidation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BEAAC-AB94-451E-8EC5-0B4498150186}">
  <sheetPr codeName="Hoja16">
    <pageSetUpPr fitToPage="1"/>
  </sheetPr>
  <dimension ref="A1:XFA379"/>
  <sheetViews>
    <sheetView showGridLines="0" view="pageBreakPreview" zoomScale="80" zoomScaleNormal="70" zoomScaleSheetLayoutView="80" workbookViewId="0">
      <pane ySplit="18" topLeftCell="A193" activePane="bottomLeft" state="frozen"/>
      <selection activeCell="B24" sqref="B24"/>
      <selection pane="bottomLeft" activeCell="B24" sqref="B24"/>
    </sheetView>
  </sheetViews>
  <sheetFormatPr baseColWidth="10" defaultColWidth="0" defaultRowHeight="15" customHeight="1" x14ac:dyDescent="0.35"/>
  <cols>
    <col min="1" max="1" width="3" style="2" customWidth="1"/>
    <col min="2" max="2" width="11.453125" style="2" customWidth="1"/>
    <col min="3" max="3" width="16.7265625" style="2" bestFit="1" customWidth="1"/>
    <col min="4" max="5" width="13.81640625" style="2" bestFit="1" customWidth="1"/>
    <col min="6" max="6" width="15.7265625" style="2" hidden="1" customWidth="1"/>
    <col min="7" max="9" width="12.54296875" style="2" hidden="1" customWidth="1"/>
    <col min="10" max="10" width="14.7265625" style="2" bestFit="1" customWidth="1"/>
    <col min="11" max="11" width="12.81640625" style="2" bestFit="1" customWidth="1"/>
    <col min="12" max="12" width="13.81640625" style="2" bestFit="1" customWidth="1"/>
    <col min="13" max="13" width="15" style="2" bestFit="1" customWidth="1"/>
    <col min="14" max="14" width="15.81640625" style="2" bestFit="1" customWidth="1"/>
    <col min="15" max="15" width="13.81640625" style="2" bestFit="1" customWidth="1"/>
    <col min="16" max="16" width="5.1796875" style="2" customWidth="1"/>
    <col min="17" max="17" width="11.453125" style="2" hidden="1"/>
    <col min="18" max="23" width="3.7265625" style="2" hidden="1"/>
    <col min="24" max="24" width="11.453125" style="2" hidden="1"/>
    <col min="25" max="16381" width="3.7265625" style="2" hidden="1"/>
    <col min="16382" max="16384" width="2.81640625" style="2" hidden="1"/>
  </cols>
  <sheetData>
    <row r="1" spans="1:16" ht="15" customHeight="1" x14ac:dyDescent="0.35">
      <c r="A1" s="284"/>
      <c r="B1" s="61"/>
      <c r="C1" s="61"/>
      <c r="D1" s="61"/>
      <c r="E1" s="61"/>
      <c r="F1" s="61"/>
      <c r="G1" s="61"/>
      <c r="H1" s="61"/>
      <c r="I1" s="61"/>
      <c r="J1" s="61"/>
      <c r="K1" s="61"/>
      <c r="L1" s="61"/>
      <c r="M1" s="61"/>
      <c r="N1" s="430" t="str">
        <f>Pantalla_Inicio!J1</f>
        <v>Código: PCV_FOR_006
Versión: V02
Fecha de actualización: 04/05/2026</v>
      </c>
      <c r="O1" s="431"/>
    </row>
    <row r="2" spans="1:16" ht="21.75" customHeight="1" x14ac:dyDescent="0.35">
      <c r="A2" s="63"/>
      <c r="E2" s="607" t="s">
        <v>2695</v>
      </c>
      <c r="F2" s="607"/>
      <c r="G2" s="607"/>
      <c r="H2" s="607"/>
      <c r="I2" s="607"/>
      <c r="J2" s="607"/>
      <c r="K2" s="607"/>
      <c r="L2" s="607"/>
      <c r="M2" s="140"/>
      <c r="N2" s="432"/>
      <c r="O2" s="433"/>
    </row>
    <row r="3" spans="1:16" ht="19.5" customHeight="1" x14ac:dyDescent="0.35">
      <c r="A3" s="63"/>
      <c r="E3" s="607"/>
      <c r="F3" s="607"/>
      <c r="G3" s="607"/>
      <c r="H3" s="607"/>
      <c r="I3" s="607"/>
      <c r="J3" s="607"/>
      <c r="K3" s="607"/>
      <c r="L3" s="607"/>
      <c r="M3" s="140"/>
      <c r="N3" s="432"/>
      <c r="O3" s="433"/>
    </row>
    <row r="4" spans="1:16" ht="15.75" customHeight="1" x14ac:dyDescent="0.45">
      <c r="A4" s="64"/>
      <c r="B4" s="97" t="s">
        <v>2589</v>
      </c>
      <c r="C4" s="65"/>
      <c r="D4" s="65"/>
      <c r="E4" s="66"/>
      <c r="F4" s="66"/>
      <c r="G4" s="66"/>
      <c r="H4" s="66"/>
      <c r="I4" s="66"/>
      <c r="J4" s="66"/>
      <c r="K4" s="66"/>
      <c r="L4" s="66"/>
      <c r="M4" s="66"/>
      <c r="N4" s="434"/>
      <c r="O4" s="435"/>
    </row>
    <row r="5" spans="1:16" ht="18" customHeight="1" x14ac:dyDescent="0.35">
      <c r="B5" s="570" t="s">
        <v>2646</v>
      </c>
      <c r="C5" s="570"/>
      <c r="D5" s="570"/>
      <c r="E5" s="570"/>
      <c r="F5" s="570"/>
      <c r="G5" s="570"/>
      <c r="H5" s="570"/>
      <c r="I5" s="570"/>
      <c r="J5" s="570"/>
      <c r="K5" s="570"/>
      <c r="L5" s="570"/>
      <c r="M5" s="570"/>
      <c r="N5" s="570"/>
      <c r="O5" s="570"/>
      <c r="P5" s="139"/>
    </row>
    <row r="6" spans="1:16" ht="18" customHeight="1" x14ac:dyDescent="0.35">
      <c r="B6" s="571"/>
      <c r="C6" s="571"/>
      <c r="D6" s="571"/>
      <c r="E6" s="571"/>
      <c r="F6" s="571"/>
      <c r="G6" s="571"/>
      <c r="H6" s="571"/>
      <c r="I6" s="571"/>
      <c r="J6" s="571"/>
      <c r="K6" s="571"/>
      <c r="L6" s="571"/>
      <c r="M6" s="571"/>
      <c r="N6" s="571"/>
      <c r="O6" s="571"/>
      <c r="P6" s="139"/>
    </row>
    <row r="7" spans="1:16" ht="19.5" customHeight="1" x14ac:dyDescent="0.35">
      <c r="B7" s="571"/>
      <c r="C7" s="571"/>
      <c r="D7" s="571"/>
      <c r="E7" s="571"/>
      <c r="F7" s="571"/>
      <c r="G7" s="571"/>
      <c r="H7" s="571"/>
      <c r="I7" s="571"/>
      <c r="J7" s="571"/>
      <c r="K7" s="571"/>
      <c r="L7" s="571"/>
      <c r="M7" s="571"/>
      <c r="N7" s="571"/>
      <c r="O7" s="571"/>
      <c r="P7" s="139"/>
    </row>
    <row r="8" spans="1:16" ht="15.75" customHeight="1" x14ac:dyDescent="0.35">
      <c r="B8" s="571"/>
      <c r="C8" s="571"/>
      <c r="D8" s="571"/>
      <c r="E8" s="571"/>
      <c r="F8" s="571"/>
      <c r="G8" s="571"/>
      <c r="H8" s="571"/>
      <c r="I8" s="571"/>
      <c r="J8" s="571"/>
      <c r="K8" s="571"/>
      <c r="L8" s="571"/>
      <c r="M8" s="571"/>
      <c r="N8" s="571"/>
      <c r="O8" s="571"/>
      <c r="P8" s="139"/>
    </row>
    <row r="9" spans="1:16" ht="17.25" customHeight="1" x14ac:dyDescent="0.35">
      <c r="B9" s="571"/>
      <c r="C9" s="571"/>
      <c r="D9" s="571"/>
      <c r="E9" s="571"/>
      <c r="F9" s="571"/>
      <c r="G9" s="571"/>
      <c r="H9" s="571"/>
      <c r="I9" s="571"/>
      <c r="J9" s="571"/>
      <c r="K9" s="571"/>
      <c r="L9" s="571"/>
      <c r="M9" s="571"/>
      <c r="N9" s="571"/>
      <c r="O9" s="571"/>
      <c r="P9" s="139"/>
    </row>
    <row r="10" spans="1:16" ht="21.75" customHeight="1" x14ac:dyDescent="0.35">
      <c r="B10" s="571"/>
      <c r="C10" s="571"/>
      <c r="D10" s="571"/>
      <c r="E10" s="571"/>
      <c r="F10" s="571"/>
      <c r="G10" s="571"/>
      <c r="H10" s="571"/>
      <c r="I10" s="571"/>
      <c r="J10" s="571"/>
      <c r="K10" s="571"/>
      <c r="L10" s="571"/>
      <c r="M10" s="571"/>
      <c r="N10" s="571"/>
      <c r="O10" s="571"/>
      <c r="P10" s="139"/>
    </row>
    <row r="11" spans="1:16" ht="21.75" customHeight="1" x14ac:dyDescent="0.35">
      <c r="B11" s="571"/>
      <c r="C11" s="571"/>
      <c r="D11" s="571"/>
      <c r="E11" s="571"/>
      <c r="F11" s="571"/>
      <c r="G11" s="571"/>
      <c r="H11" s="571"/>
      <c r="I11" s="571"/>
      <c r="J11" s="571"/>
      <c r="K11" s="571"/>
      <c r="L11" s="571"/>
      <c r="M11" s="571"/>
      <c r="N11" s="571"/>
      <c r="O11" s="571"/>
      <c r="P11" s="139"/>
    </row>
    <row r="12" spans="1:16" ht="21.75" customHeight="1" x14ac:dyDescent="0.35">
      <c r="B12" s="571"/>
      <c r="C12" s="571"/>
      <c r="D12" s="571"/>
      <c r="E12" s="571"/>
      <c r="F12" s="571"/>
      <c r="G12" s="571"/>
      <c r="H12" s="571"/>
      <c r="I12" s="571"/>
      <c r="J12" s="571"/>
      <c r="K12" s="571"/>
      <c r="L12" s="571"/>
      <c r="M12" s="571"/>
      <c r="N12" s="571"/>
      <c r="O12" s="571"/>
      <c r="P12" s="139"/>
    </row>
    <row r="13" spans="1:16" ht="19.5" customHeight="1" x14ac:dyDescent="0.35">
      <c r="B13" s="571" t="s">
        <v>2647</v>
      </c>
      <c r="C13" s="571"/>
      <c r="D13" s="571"/>
      <c r="E13" s="571"/>
      <c r="F13" s="571"/>
      <c r="G13" s="571"/>
      <c r="H13" s="571"/>
      <c r="I13" s="571"/>
      <c r="J13" s="571"/>
      <c r="K13" s="571"/>
      <c r="L13" s="571"/>
      <c r="M13" s="571"/>
      <c r="N13" s="571"/>
      <c r="O13" s="571"/>
      <c r="P13" s="139"/>
    </row>
    <row r="14" spans="1:16" ht="19.5" customHeight="1" x14ac:dyDescent="0.35">
      <c r="B14" s="571"/>
      <c r="C14" s="571"/>
      <c r="D14" s="571"/>
      <c r="E14" s="571"/>
      <c r="F14" s="571"/>
      <c r="G14" s="571"/>
      <c r="H14" s="571"/>
      <c r="I14" s="571"/>
      <c r="J14" s="571"/>
      <c r="K14" s="571"/>
      <c r="L14" s="571"/>
      <c r="M14" s="571"/>
      <c r="N14" s="571"/>
      <c r="O14" s="571"/>
      <c r="P14" s="139"/>
    </row>
    <row r="15" spans="1:16" ht="19.5" customHeight="1" x14ac:dyDescent="0.35">
      <c r="B15" s="610" t="s">
        <v>2696</v>
      </c>
      <c r="C15" s="610"/>
      <c r="D15" s="610"/>
      <c r="E15" s="339" t="s">
        <v>2592</v>
      </c>
      <c r="F15" s="340">
        <f>SUM(P19:P378)</f>
        <v>0</v>
      </c>
      <c r="G15" s="341"/>
      <c r="H15" s="341"/>
      <c r="I15" s="341"/>
      <c r="J15" s="342" t="e">
        <f>SUM(O20:O260)+$E$17</f>
        <v>#VALUE!</v>
      </c>
      <c r="K15" s="339" t="s">
        <v>2593</v>
      </c>
      <c r="L15" s="343" t="e">
        <f>EFFECT((IRR(O19:O260,0))*12,12)</f>
        <v>#VALUE!</v>
      </c>
      <c r="M15" s="139"/>
      <c r="N15" s="139"/>
      <c r="O15" s="139"/>
      <c r="P15" s="139"/>
    </row>
    <row r="16" spans="1:16" ht="9" customHeight="1" x14ac:dyDescent="0.35">
      <c r="B16" s="280"/>
      <c r="C16" s="280"/>
      <c r="D16" s="280"/>
      <c r="E16" s="280"/>
      <c r="F16" s="280"/>
      <c r="G16" s="280"/>
      <c r="H16" s="280"/>
      <c r="I16" s="280"/>
      <c r="J16" s="280"/>
      <c r="K16" s="280"/>
      <c r="L16" s="280"/>
      <c r="M16" s="280"/>
      <c r="N16" s="280"/>
      <c r="O16" s="280"/>
      <c r="P16" s="139"/>
    </row>
    <row r="17" spans="2:15" ht="23.5" customHeight="1" x14ac:dyDescent="0.35">
      <c r="B17" s="608" t="s">
        <v>2649</v>
      </c>
      <c r="C17" s="609"/>
      <c r="D17" s="609"/>
      <c r="E17" s="285">
        <f>LeasingHab!C22</f>
        <v>0</v>
      </c>
      <c r="F17" s="283"/>
    </row>
    <row r="18" spans="2:15" ht="46.5" x14ac:dyDescent="0.35">
      <c r="B18" s="41" t="s">
        <v>2596</v>
      </c>
      <c r="C18" s="42" t="s">
        <v>2650</v>
      </c>
      <c r="D18" s="42" t="s">
        <v>2651</v>
      </c>
      <c r="E18" s="42" t="str">
        <f>IF('Crédito de Vivienda'!C22="Mi Casa Ya","Interés con Beneficio MCY", "Interés")</f>
        <v>Interés</v>
      </c>
      <c r="F18" s="42" t="s">
        <v>2600</v>
      </c>
      <c r="G18" s="42" t="s">
        <v>2601</v>
      </c>
      <c r="H18" s="42" t="s">
        <v>2602</v>
      </c>
      <c r="I18" s="42" t="s">
        <v>2603</v>
      </c>
      <c r="J18" s="42" t="s">
        <v>2604</v>
      </c>
      <c r="K18" s="42" t="s">
        <v>2605</v>
      </c>
      <c r="L18" s="42" t="s">
        <v>2652</v>
      </c>
      <c r="M18" s="42" t="s">
        <v>2653</v>
      </c>
      <c r="N18" s="42" t="s">
        <v>2631</v>
      </c>
      <c r="O18" s="42" t="s">
        <v>2654</v>
      </c>
    </row>
    <row r="19" spans="2:15" ht="15.5" x14ac:dyDescent="0.35">
      <c r="B19" s="34">
        <v>0</v>
      </c>
      <c r="C19" s="35">
        <f>LeasingHab!C15</f>
        <v>0</v>
      </c>
      <c r="D19" s="35"/>
      <c r="E19" s="7"/>
      <c r="F19" s="36"/>
      <c r="G19" s="36"/>
      <c r="H19" s="36"/>
      <c r="I19" s="36"/>
      <c r="J19" s="37"/>
      <c r="K19" s="37"/>
      <c r="L19" s="7"/>
      <c r="M19" s="38"/>
      <c r="N19" s="39"/>
      <c r="O19" s="329">
        <f>-C19</f>
        <v>0</v>
      </c>
    </row>
    <row r="20" spans="2:15" ht="15.5" x14ac:dyDescent="0.35">
      <c r="B20" s="6">
        <v>1</v>
      </c>
      <c r="C20" s="7" t="e">
        <f>C19-D20</f>
        <v>#VALUE!</v>
      </c>
      <c r="D20" s="7" t="e">
        <f>L20-E20</f>
        <v>#VALUE!</v>
      </c>
      <c r="E20" s="7" t="e">
        <f>C19*LeasingHab!$E$17</f>
        <v>#VALUE!</v>
      </c>
      <c r="F20" s="8">
        <f>IF(LeasingHab!$D$27="Si",($C$19*(VLOOKUP(LeasingHab!$C$23,Seguros_Oblig!$A$3:$F$55,6,FALSE))),IF(LeasingHab!$C$10="TARIFA 1",(C19*(VLOOKUP(LeasingHab!$C$23,Seguros_Oblig!$A$3:$B$55,2,FALSE))),(C19*(VLOOKUP(LeasingHab!$C$23,Seguros_Oblig!$A$3:$D$55,4,FALSE)))))</f>
        <v>0</v>
      </c>
      <c r="G20" s="8" t="e">
        <f>IF(LeasingHab!$C$10="TARIFA 1",(C19*(VLOOKUP(LeasingHab!$C$24,Seguros_Oblig!$A$3:$B$55,2,FALSE))),(C19*(VLOOKUP(LeasingHab!$C$24,Seguros_Oblig!$A$3:$D$55,4,FALSE))))</f>
        <v>#N/A</v>
      </c>
      <c r="H20" s="8" t="e">
        <f>IF(LeasingHab!$C$10="TARIFA 1",(C19*(VLOOKUP(LeasingHab!$C$25,Seguros_Oblig!$A$3:$B$55,2,FALSE))),(C19*(VLOOKUP(LeasingHab!$C$25,Seguros_Oblig!$A$3:$D$55,4,FALSE))))</f>
        <v>#N/A</v>
      </c>
      <c r="I20" s="8" t="e">
        <f>IF(LeasingHab!$C$10="TARIFA 1",(C19*(VLOOKUP(LeasingHab!$C$26,Seguros_Oblig!$A$3:$B$55,2,FALSE))),(C19*(VLOOKUP(LeasingHab!$C$26,Seguros_Oblig!$A$3:$D$55,4,FALSE))))</f>
        <v>#N/A</v>
      </c>
      <c r="J20" s="10">
        <f>_xlfn.AGGREGATE(9,6,F20:I20)</f>
        <v>0</v>
      </c>
      <c r="K20" s="7">
        <f>Seguros_Oblig!$K$2*(LeasingHab!$C$12*90%)</f>
        <v>0</v>
      </c>
      <c r="L20" s="7" t="e">
        <f>PMT(LeasingHab!$E$17,LeasingHab!$C$18,-LeasingHab!$C$15,,)-PMT(LeasingHab!$E$17,LeasingHab!$C$18,-LeasingHab!$C$22)+LeasingHab!$C$22*LeasingHab!$E$17</f>
        <v>#VALUE!</v>
      </c>
      <c r="M20" s="9" t="e">
        <f>K20+L20+J20</f>
        <v>#VALUE!</v>
      </c>
      <c r="N20" s="7">
        <f>LeasingHab!$C$39</f>
        <v>0</v>
      </c>
      <c r="O20" s="9" t="e">
        <f>M20+N20</f>
        <v>#VALUE!</v>
      </c>
    </row>
    <row r="21" spans="2:15" ht="15.5" x14ac:dyDescent="0.35">
      <c r="B21" s="6" t="e">
        <f>IF(C20&gt;1,B20+1," ")</f>
        <v>#VALUE!</v>
      </c>
      <c r="C21" s="7" t="e">
        <f t="shared" ref="C21:C79" si="0">C20-D21</f>
        <v>#VALUE!</v>
      </c>
      <c r="D21" s="7" t="e">
        <f t="shared" ref="D21:D31" si="1">L21-E21</f>
        <v>#VALUE!</v>
      </c>
      <c r="E21" s="7" t="e">
        <f>C20*LeasingHab!$E$17</f>
        <v>#VALUE!</v>
      </c>
      <c r="F21" s="8" t="e">
        <f>IF(LeasingHab!$D$27="Si",($C$19*(VLOOKUP(LeasingHab!$C$23,Seguros_Oblig!$A$3:$F$55,6,FALSE))),IF(LeasingHab!$C$10="TARIFA 1",(C20*(VLOOKUP(LeasingHab!$C$23,Seguros_Oblig!$A$3:$B$55,2,FALSE))),(C20*(VLOOKUP(LeasingHab!$C$23,Seguros_Oblig!$A$3:$D$55,4,FALSE)))))</f>
        <v>#VALUE!</v>
      </c>
      <c r="G21" s="8" t="e">
        <f>IF(LeasingHab!$C$10="TARIFA 1",(C20*(VLOOKUP(LeasingHab!$C$24,Seguros_Oblig!$A$3:$B$55,2,FALSE))),(C20*(VLOOKUP(LeasingHab!$C$24,Seguros_Oblig!$A$3:$D$55,4,FALSE))))</f>
        <v>#VALUE!</v>
      </c>
      <c r="H21" s="8" t="e">
        <f>IF(LeasingHab!$C$10="TARIFA 1",(C20*(VLOOKUP(LeasingHab!$C$25,Seguros_Oblig!$A$3:$B$55,2,FALSE))),(C20*(VLOOKUP(LeasingHab!$C$25,Seguros_Oblig!$A$3:$D$55,4,FALSE))))</f>
        <v>#VALUE!</v>
      </c>
      <c r="I21" s="8" t="e">
        <f>IF(LeasingHab!$C$10="TARIFA 1",(C20*(VLOOKUP(LeasingHab!$C$26,Seguros_Oblig!$A$3:$B$55,2,FALSE))),(C20*(VLOOKUP(LeasingHab!$C$26,Seguros_Oblig!$A$3:$D$55,4,FALSE))))</f>
        <v>#VALUE!</v>
      </c>
      <c r="J21" s="10">
        <f t="shared" ref="J21:J84" si="2">_xlfn.AGGREGATE(9,6,F21:I21)</f>
        <v>0</v>
      </c>
      <c r="K21" s="7">
        <f>Seguros_Oblig!$K$2*(LeasingHab!$C$12*90%)</f>
        <v>0</v>
      </c>
      <c r="L21" s="7" t="e">
        <f>PMT(LeasingHab!$E$17,LeasingHab!$C$18,-LeasingHab!$C$15,,)-PMT(LeasingHab!$E$17,LeasingHab!$C$18,-LeasingHab!$C$22)+LeasingHab!$C$22*LeasingHab!$E$17</f>
        <v>#VALUE!</v>
      </c>
      <c r="M21" s="9" t="e">
        <f t="shared" ref="M21:M84" si="3">K21+L21+J21</f>
        <v>#VALUE!</v>
      </c>
      <c r="N21" s="7">
        <f>LeasingHab!$C$39</f>
        <v>0</v>
      </c>
      <c r="O21" s="9" t="e">
        <f t="shared" ref="O21:O84" si="4">M21+N21</f>
        <v>#VALUE!</v>
      </c>
    </row>
    <row r="22" spans="2:15" ht="15.5" x14ac:dyDescent="0.35">
      <c r="B22" s="6" t="e">
        <f>IF(C21&gt;1,B21+1,"")</f>
        <v>#VALUE!</v>
      </c>
      <c r="C22" s="7" t="e">
        <f t="shared" si="0"/>
        <v>#VALUE!</v>
      </c>
      <c r="D22" s="7" t="e">
        <f t="shared" si="1"/>
        <v>#VALUE!</v>
      </c>
      <c r="E22" s="7" t="e">
        <f>C21*LeasingHab!$E$17</f>
        <v>#VALUE!</v>
      </c>
      <c r="F22" s="8" t="e">
        <f>IF(LeasingHab!$D$27="Si",($C$19*(VLOOKUP(LeasingHab!$C$23,Seguros_Oblig!$A$3:$F$55,6,FALSE))),IF(LeasingHab!$C$10="TARIFA 1",(C21*(VLOOKUP(LeasingHab!$C$23,Seguros_Oblig!$A$3:$B$55,2,FALSE))),(C21*(VLOOKUP(LeasingHab!$C$23,Seguros_Oblig!$A$3:$D$55,4,FALSE)))))</f>
        <v>#VALUE!</v>
      </c>
      <c r="G22" s="8" t="e">
        <f>IF(LeasingHab!$C$10="TARIFA 1",(C21*(VLOOKUP(LeasingHab!$C$24,Seguros_Oblig!$A$3:$B$55,2,FALSE))),(C21*(VLOOKUP(LeasingHab!$C$24,Seguros_Oblig!$A$3:$D$55,4,FALSE))))</f>
        <v>#VALUE!</v>
      </c>
      <c r="H22" s="8" t="e">
        <f>IF(LeasingHab!$C$10="TARIFA 1",(C21*(VLOOKUP(LeasingHab!$C$25,Seguros_Oblig!$A$3:$B$55,2,FALSE))),(C21*(VLOOKUP(LeasingHab!$C$25,Seguros_Oblig!$A$3:$D$55,4,FALSE))))</f>
        <v>#VALUE!</v>
      </c>
      <c r="I22" s="8" t="e">
        <f>IF(LeasingHab!$C$10="TARIFA 1",(C21*(VLOOKUP(LeasingHab!$C$26,Seguros_Oblig!$A$3:$B$55,2,FALSE))),(C21*(VLOOKUP(LeasingHab!$C$26,Seguros_Oblig!$A$3:$D$55,4,FALSE))))</f>
        <v>#VALUE!</v>
      </c>
      <c r="J22" s="10">
        <f t="shared" si="2"/>
        <v>0</v>
      </c>
      <c r="K22" s="7">
        <f>Seguros_Oblig!$K$2*(LeasingHab!$C$12*90%)</f>
        <v>0</v>
      </c>
      <c r="L22" s="7" t="e">
        <f>PMT(LeasingHab!$E$17,LeasingHab!$C$18,-LeasingHab!$C$15,,)-PMT(LeasingHab!$E$17,LeasingHab!$C$18,-LeasingHab!$C$22)+LeasingHab!$C$22*LeasingHab!$E$17</f>
        <v>#VALUE!</v>
      </c>
      <c r="M22" s="9" t="e">
        <f t="shared" si="3"/>
        <v>#VALUE!</v>
      </c>
      <c r="N22" s="7">
        <f>LeasingHab!$C$39</f>
        <v>0</v>
      </c>
      <c r="O22" s="9" t="e">
        <f t="shared" si="4"/>
        <v>#VALUE!</v>
      </c>
    </row>
    <row r="23" spans="2:15" ht="15.5" x14ac:dyDescent="0.35">
      <c r="B23" s="6" t="e">
        <f>IF(C22&gt;1,B22+1," ")</f>
        <v>#VALUE!</v>
      </c>
      <c r="C23" s="7" t="e">
        <f t="shared" si="0"/>
        <v>#VALUE!</v>
      </c>
      <c r="D23" s="7" t="e">
        <f t="shared" si="1"/>
        <v>#VALUE!</v>
      </c>
      <c r="E23" s="7" t="e">
        <f>C22*LeasingHab!$E$17</f>
        <v>#VALUE!</v>
      </c>
      <c r="F23" s="8" t="e">
        <f>IF(LeasingHab!$D$27="Si",($C$19*(VLOOKUP(LeasingHab!$C$23,Seguros_Oblig!$A$3:$F$55,6,FALSE))),IF(LeasingHab!$C$10="TARIFA 1",(C22*(VLOOKUP(LeasingHab!$C$23,Seguros_Oblig!$A$3:$B$55,2,FALSE))),(C22*(VLOOKUP(LeasingHab!$C$23,Seguros_Oblig!$A$3:$D$55,4,FALSE)))))</f>
        <v>#VALUE!</v>
      </c>
      <c r="G23" s="8" t="e">
        <f>IF(LeasingHab!$C$10="TARIFA 1",(C22*(VLOOKUP(LeasingHab!$C$24,Seguros_Oblig!$A$3:$B$55,2,FALSE))),(C22*(VLOOKUP(LeasingHab!$C$24,Seguros_Oblig!$A$3:$D$55,4,FALSE))))</f>
        <v>#VALUE!</v>
      </c>
      <c r="H23" s="8" t="e">
        <f>IF(LeasingHab!$C$10="TARIFA 1",(C22*(VLOOKUP(LeasingHab!$C$25,Seguros_Oblig!$A$3:$B$55,2,FALSE))),(C22*(VLOOKUP(LeasingHab!$C$25,Seguros_Oblig!$A$3:$D$55,4,FALSE))))</f>
        <v>#VALUE!</v>
      </c>
      <c r="I23" s="8" t="e">
        <f>IF(LeasingHab!$C$10="TARIFA 1",(C22*(VLOOKUP(LeasingHab!$C$26,Seguros_Oblig!$A$3:$B$55,2,FALSE))),(C22*(VLOOKUP(LeasingHab!$C$26,Seguros_Oblig!$A$3:$D$55,4,FALSE))))</f>
        <v>#VALUE!</v>
      </c>
      <c r="J23" s="10">
        <f t="shared" si="2"/>
        <v>0</v>
      </c>
      <c r="K23" s="7">
        <f>Seguros_Oblig!$K$2*(LeasingHab!$C$12*90%)</f>
        <v>0</v>
      </c>
      <c r="L23" s="7" t="e">
        <f>PMT(LeasingHab!$E$17,LeasingHab!$C$18,-LeasingHab!$C$15,,)-PMT(LeasingHab!$E$17,LeasingHab!$C$18,-LeasingHab!$C$22)+LeasingHab!$C$22*LeasingHab!$E$17</f>
        <v>#VALUE!</v>
      </c>
      <c r="M23" s="9" t="e">
        <f t="shared" si="3"/>
        <v>#VALUE!</v>
      </c>
      <c r="N23" s="7">
        <f>LeasingHab!$C$39</f>
        <v>0</v>
      </c>
      <c r="O23" s="9" t="e">
        <f t="shared" si="4"/>
        <v>#VALUE!</v>
      </c>
    </row>
    <row r="24" spans="2:15" ht="15.5" x14ac:dyDescent="0.35">
      <c r="B24" s="6" t="e">
        <f>IF(C23&gt;1,B23+1," ")</f>
        <v>#VALUE!</v>
      </c>
      <c r="C24" s="7" t="e">
        <f t="shared" si="0"/>
        <v>#VALUE!</v>
      </c>
      <c r="D24" s="7" t="e">
        <f t="shared" si="1"/>
        <v>#VALUE!</v>
      </c>
      <c r="E24" s="7" t="e">
        <f>C23*LeasingHab!$E$17</f>
        <v>#VALUE!</v>
      </c>
      <c r="F24" s="8" t="e">
        <f>IF(LeasingHab!$D$27="Si",($C$19*(VLOOKUP(LeasingHab!$C$23,Seguros_Oblig!$A$3:$F$55,6,FALSE))),IF(LeasingHab!$C$10="TARIFA 1",(C23*(VLOOKUP(LeasingHab!$C$23,Seguros_Oblig!$A$3:$B$55,2,FALSE))),(C23*(VLOOKUP(LeasingHab!$C$23,Seguros_Oblig!$A$3:$D$55,4,FALSE)))))</f>
        <v>#VALUE!</v>
      </c>
      <c r="G24" s="8" t="e">
        <f>IF(LeasingHab!$C$10="TARIFA 1",(C23*(VLOOKUP(LeasingHab!$C$24,Seguros_Oblig!$A$3:$B$55,2,FALSE))),(C23*(VLOOKUP(LeasingHab!$C$24,Seguros_Oblig!$A$3:$D$55,4,FALSE))))</f>
        <v>#VALUE!</v>
      </c>
      <c r="H24" s="8" t="e">
        <f>IF(LeasingHab!$C$10="TARIFA 1",(C23*(VLOOKUP(LeasingHab!$C$25,Seguros_Oblig!$A$3:$B$55,2,FALSE))),(C23*(VLOOKUP(LeasingHab!$C$25,Seguros_Oblig!$A$3:$D$55,4,FALSE))))</f>
        <v>#VALUE!</v>
      </c>
      <c r="I24" s="8" t="e">
        <f>IF(LeasingHab!$C$10="TARIFA 1",(C23*(VLOOKUP(LeasingHab!$C$26,Seguros_Oblig!$A$3:$B$55,2,FALSE))),(C23*(VLOOKUP(LeasingHab!$C$26,Seguros_Oblig!$A$3:$D$55,4,FALSE))))</f>
        <v>#VALUE!</v>
      </c>
      <c r="J24" s="10">
        <f t="shared" si="2"/>
        <v>0</v>
      </c>
      <c r="K24" s="7">
        <f>Seguros_Oblig!$K$2*(LeasingHab!$C$12*90%)</f>
        <v>0</v>
      </c>
      <c r="L24" s="7" t="e">
        <f>PMT(LeasingHab!$E$17,LeasingHab!$C$18,-LeasingHab!$C$15,,)-PMT(LeasingHab!$E$17,LeasingHab!$C$18,-LeasingHab!$C$22)+LeasingHab!$C$22*LeasingHab!$E$17</f>
        <v>#VALUE!</v>
      </c>
      <c r="M24" s="9" t="e">
        <f t="shared" si="3"/>
        <v>#VALUE!</v>
      </c>
      <c r="N24" s="7">
        <f>LeasingHab!$C$39</f>
        <v>0</v>
      </c>
      <c r="O24" s="9" t="e">
        <f t="shared" si="4"/>
        <v>#VALUE!</v>
      </c>
    </row>
    <row r="25" spans="2:15" ht="15.5" x14ac:dyDescent="0.35">
      <c r="B25" s="6" t="e">
        <f>IF(C24&gt;1,B24+1," ")</f>
        <v>#VALUE!</v>
      </c>
      <c r="C25" s="7" t="e">
        <f t="shared" si="0"/>
        <v>#VALUE!</v>
      </c>
      <c r="D25" s="7" t="e">
        <f t="shared" si="1"/>
        <v>#VALUE!</v>
      </c>
      <c r="E25" s="7" t="e">
        <f>C24*LeasingHab!$E$17</f>
        <v>#VALUE!</v>
      </c>
      <c r="F25" s="8" t="e">
        <f>IF(LeasingHab!$D$27="Si",($C$19*(VLOOKUP(LeasingHab!$C$23,Seguros_Oblig!$A$3:$F$55,6,FALSE))),IF(LeasingHab!$C$10="TARIFA 1",(C24*(VLOOKUP(LeasingHab!$C$23,Seguros_Oblig!$A$3:$B$55,2,FALSE))),(C24*(VLOOKUP(LeasingHab!$C$23,Seguros_Oblig!$A$3:$D$55,4,FALSE)))))</f>
        <v>#VALUE!</v>
      </c>
      <c r="G25" s="8" t="e">
        <f>IF(LeasingHab!$C$10="TARIFA 1",(C24*(VLOOKUP(LeasingHab!$C$24,Seguros_Oblig!$A$3:$B$55,2,FALSE))),(C24*(VLOOKUP(LeasingHab!$C$24,Seguros_Oblig!$A$3:$D$55,4,FALSE))))</f>
        <v>#VALUE!</v>
      </c>
      <c r="H25" s="8" t="e">
        <f>IF(LeasingHab!$C$10="TARIFA 1",(C24*(VLOOKUP(LeasingHab!$C$25,Seguros_Oblig!$A$3:$B$55,2,FALSE))),(C24*(VLOOKUP(LeasingHab!$C$25,Seguros_Oblig!$A$3:$D$55,4,FALSE))))</f>
        <v>#VALUE!</v>
      </c>
      <c r="I25" s="8" t="e">
        <f>IF(LeasingHab!$C$10="TARIFA 1",(C24*(VLOOKUP(LeasingHab!$C$26,Seguros_Oblig!$A$3:$B$55,2,FALSE))),(C24*(VLOOKUP(LeasingHab!$C$26,Seguros_Oblig!$A$3:$D$55,4,FALSE))))</f>
        <v>#VALUE!</v>
      </c>
      <c r="J25" s="10">
        <f t="shared" si="2"/>
        <v>0</v>
      </c>
      <c r="K25" s="7">
        <f>Seguros_Oblig!$K$2*(LeasingHab!$C$12*90%)</f>
        <v>0</v>
      </c>
      <c r="L25" s="7" t="e">
        <f>PMT(LeasingHab!$E$17,LeasingHab!$C$18,-LeasingHab!$C$15,,)-PMT(LeasingHab!$E$17,LeasingHab!$C$18,-LeasingHab!$C$22)+LeasingHab!$C$22*LeasingHab!$E$17</f>
        <v>#VALUE!</v>
      </c>
      <c r="M25" s="9" t="e">
        <f t="shared" si="3"/>
        <v>#VALUE!</v>
      </c>
      <c r="N25" s="7">
        <f>LeasingHab!$C$39</f>
        <v>0</v>
      </c>
      <c r="O25" s="9" t="e">
        <f t="shared" si="4"/>
        <v>#VALUE!</v>
      </c>
    </row>
    <row r="26" spans="2:15" ht="15.5" x14ac:dyDescent="0.35">
      <c r="B26" s="6" t="e">
        <f t="shared" ref="B26:B89" si="5">IF(C25&gt;1,B25+1," ")</f>
        <v>#VALUE!</v>
      </c>
      <c r="C26" s="7" t="e">
        <f t="shared" si="0"/>
        <v>#VALUE!</v>
      </c>
      <c r="D26" s="7" t="e">
        <f t="shared" si="1"/>
        <v>#VALUE!</v>
      </c>
      <c r="E26" s="7" t="e">
        <f>C25*LeasingHab!$E$17</f>
        <v>#VALUE!</v>
      </c>
      <c r="F26" s="8" t="e">
        <f>IF(LeasingHab!$D$27="Si",($C$19*(VLOOKUP(LeasingHab!$C$23,Seguros_Oblig!$A$3:$F$55,6,FALSE))),IF(LeasingHab!$C$10="TARIFA 1",(C25*(VLOOKUP(LeasingHab!$C$23,Seguros_Oblig!$A$3:$B$55,2,FALSE))),(C25*(VLOOKUP(LeasingHab!$C$23,Seguros_Oblig!$A$3:$D$55,4,FALSE)))))</f>
        <v>#VALUE!</v>
      </c>
      <c r="G26" s="8" t="e">
        <f>IF(LeasingHab!$C$10="TARIFA 1",(C25*(VLOOKUP(LeasingHab!$C$24,Seguros_Oblig!$A$3:$B$55,2,FALSE))),(C25*(VLOOKUP(LeasingHab!$C$24,Seguros_Oblig!$A$3:$D$55,4,FALSE))))</f>
        <v>#VALUE!</v>
      </c>
      <c r="H26" s="8" t="e">
        <f>IF(LeasingHab!$C$10="TARIFA 1",(C25*(VLOOKUP(LeasingHab!$C$25,Seguros_Oblig!$A$3:$B$55,2,FALSE))),(C25*(VLOOKUP(LeasingHab!$C$25,Seguros_Oblig!$A$3:$D$55,4,FALSE))))</f>
        <v>#VALUE!</v>
      </c>
      <c r="I26" s="8" t="e">
        <f>IF(LeasingHab!$C$10="TARIFA 1",(C25*(VLOOKUP(LeasingHab!$C$26,Seguros_Oblig!$A$3:$B$55,2,FALSE))),(C25*(VLOOKUP(LeasingHab!$C$26,Seguros_Oblig!$A$3:$D$55,4,FALSE))))</f>
        <v>#VALUE!</v>
      </c>
      <c r="J26" s="10">
        <f t="shared" si="2"/>
        <v>0</v>
      </c>
      <c r="K26" s="7">
        <f>Seguros_Oblig!$K$2*(LeasingHab!$C$12*90%)</f>
        <v>0</v>
      </c>
      <c r="L26" s="7" t="e">
        <f>PMT(LeasingHab!$E$17,LeasingHab!$C$18,-LeasingHab!$C$15,,)-PMT(LeasingHab!$E$17,LeasingHab!$C$18,-LeasingHab!$C$22)+LeasingHab!$C$22*LeasingHab!$E$17</f>
        <v>#VALUE!</v>
      </c>
      <c r="M26" s="9" t="e">
        <f t="shared" si="3"/>
        <v>#VALUE!</v>
      </c>
      <c r="N26" s="7">
        <f>LeasingHab!$C$39</f>
        <v>0</v>
      </c>
      <c r="O26" s="9" t="e">
        <f t="shared" si="4"/>
        <v>#VALUE!</v>
      </c>
    </row>
    <row r="27" spans="2:15" ht="15.5" x14ac:dyDescent="0.35">
      <c r="B27" s="6" t="e">
        <f t="shared" si="5"/>
        <v>#VALUE!</v>
      </c>
      <c r="C27" s="7" t="e">
        <f t="shared" si="0"/>
        <v>#VALUE!</v>
      </c>
      <c r="D27" s="7" t="e">
        <f t="shared" si="1"/>
        <v>#VALUE!</v>
      </c>
      <c r="E27" s="7" t="e">
        <f>C26*LeasingHab!$E$17</f>
        <v>#VALUE!</v>
      </c>
      <c r="F27" s="8" t="e">
        <f>IF(LeasingHab!$D$27="Si",($C$19*(VLOOKUP(LeasingHab!$C$23,Seguros_Oblig!$A$3:$F$55,6,FALSE))),IF(LeasingHab!$C$10="TARIFA 1",(C26*(VLOOKUP(LeasingHab!$C$23,Seguros_Oblig!$A$3:$B$55,2,FALSE))),(C26*(VLOOKUP(LeasingHab!$C$23,Seguros_Oblig!$A$3:$D$55,4,FALSE)))))</f>
        <v>#VALUE!</v>
      </c>
      <c r="G27" s="8" t="e">
        <f>IF(LeasingHab!$C$10="TARIFA 1",(C26*(VLOOKUP(LeasingHab!$C$24,Seguros_Oblig!$A$3:$B$55,2,FALSE))),(C26*(VLOOKUP(LeasingHab!$C$24,Seguros_Oblig!$A$3:$D$55,4,FALSE))))</f>
        <v>#VALUE!</v>
      </c>
      <c r="H27" s="8" t="e">
        <f>IF(LeasingHab!$C$10="TARIFA 1",(C26*(VLOOKUP(LeasingHab!$C$25,Seguros_Oblig!$A$3:$B$55,2,FALSE))),(C26*(VLOOKUP(LeasingHab!$C$25,Seguros_Oblig!$A$3:$D$55,4,FALSE))))</f>
        <v>#VALUE!</v>
      </c>
      <c r="I27" s="8" t="e">
        <f>IF(LeasingHab!$C$10="TARIFA 1",(C26*(VLOOKUP(LeasingHab!$C$26,Seguros_Oblig!$A$3:$B$55,2,FALSE))),(C26*(VLOOKUP(LeasingHab!$C$26,Seguros_Oblig!$A$3:$D$55,4,FALSE))))</f>
        <v>#VALUE!</v>
      </c>
      <c r="J27" s="10">
        <f t="shared" si="2"/>
        <v>0</v>
      </c>
      <c r="K27" s="7">
        <f>Seguros_Oblig!$K$2*(LeasingHab!$C$12*90%)</f>
        <v>0</v>
      </c>
      <c r="L27" s="7" t="e">
        <f>PMT(LeasingHab!$E$17,LeasingHab!$C$18,-LeasingHab!$C$15,,)-PMT(LeasingHab!$E$17,LeasingHab!$C$18,-LeasingHab!$C$22)+LeasingHab!$C$22*LeasingHab!$E$17</f>
        <v>#VALUE!</v>
      </c>
      <c r="M27" s="9" t="e">
        <f t="shared" si="3"/>
        <v>#VALUE!</v>
      </c>
      <c r="N27" s="7">
        <f>LeasingHab!$C$39</f>
        <v>0</v>
      </c>
      <c r="O27" s="9" t="e">
        <f t="shared" si="4"/>
        <v>#VALUE!</v>
      </c>
    </row>
    <row r="28" spans="2:15" ht="15.5" x14ac:dyDescent="0.35">
      <c r="B28" s="6" t="e">
        <f t="shared" si="5"/>
        <v>#VALUE!</v>
      </c>
      <c r="C28" s="7" t="e">
        <f t="shared" si="0"/>
        <v>#VALUE!</v>
      </c>
      <c r="D28" s="7" t="e">
        <f t="shared" si="1"/>
        <v>#VALUE!</v>
      </c>
      <c r="E28" s="7" t="e">
        <f>C27*LeasingHab!$E$17</f>
        <v>#VALUE!</v>
      </c>
      <c r="F28" s="8" t="e">
        <f>IF(LeasingHab!$D$27="Si",($C$19*(VLOOKUP(LeasingHab!$C$23,Seguros_Oblig!$A$3:$F$55,6,FALSE))),IF(LeasingHab!$C$10="TARIFA 1",(C27*(VLOOKUP(LeasingHab!$C$23,Seguros_Oblig!$A$3:$B$55,2,FALSE))),(C27*(VLOOKUP(LeasingHab!$C$23,Seguros_Oblig!$A$3:$D$55,4,FALSE)))))</f>
        <v>#VALUE!</v>
      </c>
      <c r="G28" s="8" t="e">
        <f>IF(LeasingHab!$C$10="TARIFA 1",(C27*(VLOOKUP(LeasingHab!$C$24,Seguros_Oblig!$A$3:$B$55,2,FALSE))),(C27*(VLOOKUP(LeasingHab!$C$24,Seguros_Oblig!$A$3:$D$55,4,FALSE))))</f>
        <v>#VALUE!</v>
      </c>
      <c r="H28" s="8" t="e">
        <f>IF(LeasingHab!$C$10="TARIFA 1",(C27*(VLOOKUP(LeasingHab!$C$25,Seguros_Oblig!$A$3:$B$55,2,FALSE))),(C27*(VLOOKUP(LeasingHab!$C$25,Seguros_Oblig!$A$3:$D$55,4,FALSE))))</f>
        <v>#VALUE!</v>
      </c>
      <c r="I28" s="8" t="e">
        <f>IF(LeasingHab!$C$10="TARIFA 1",(C27*(VLOOKUP(LeasingHab!$C$26,Seguros_Oblig!$A$3:$B$55,2,FALSE))),(C27*(VLOOKUP(LeasingHab!$C$26,Seguros_Oblig!$A$3:$D$55,4,FALSE))))</f>
        <v>#VALUE!</v>
      </c>
      <c r="J28" s="10">
        <f t="shared" si="2"/>
        <v>0</v>
      </c>
      <c r="K28" s="7">
        <f>Seguros_Oblig!$K$2*(LeasingHab!$C$12*90%)</f>
        <v>0</v>
      </c>
      <c r="L28" s="7" t="e">
        <f>PMT(LeasingHab!$E$17,LeasingHab!$C$18,-LeasingHab!$C$15,,)-PMT(LeasingHab!$E$17,LeasingHab!$C$18,-LeasingHab!$C$22)+LeasingHab!$C$22*LeasingHab!$E$17</f>
        <v>#VALUE!</v>
      </c>
      <c r="M28" s="9" t="e">
        <f t="shared" si="3"/>
        <v>#VALUE!</v>
      </c>
      <c r="N28" s="7">
        <f>LeasingHab!$C$39</f>
        <v>0</v>
      </c>
      <c r="O28" s="9" t="e">
        <f t="shared" si="4"/>
        <v>#VALUE!</v>
      </c>
    </row>
    <row r="29" spans="2:15" ht="15.5" x14ac:dyDescent="0.35">
      <c r="B29" s="6" t="e">
        <f t="shared" si="5"/>
        <v>#VALUE!</v>
      </c>
      <c r="C29" s="7" t="e">
        <f t="shared" si="0"/>
        <v>#VALUE!</v>
      </c>
      <c r="D29" s="7" t="e">
        <f t="shared" si="1"/>
        <v>#VALUE!</v>
      </c>
      <c r="E29" s="7" t="e">
        <f>C28*LeasingHab!$E$17</f>
        <v>#VALUE!</v>
      </c>
      <c r="F29" s="8" t="e">
        <f>IF(LeasingHab!$D$27="Si",($C$19*(VLOOKUP(LeasingHab!$C$23,Seguros_Oblig!$A$3:$F$55,6,FALSE))),IF(LeasingHab!$C$10="TARIFA 1",(C28*(VLOOKUP(LeasingHab!$C$23,Seguros_Oblig!$A$3:$B$55,2,FALSE))),(C28*(VLOOKUP(LeasingHab!$C$23,Seguros_Oblig!$A$3:$D$55,4,FALSE)))))</f>
        <v>#VALUE!</v>
      </c>
      <c r="G29" s="8" t="e">
        <f>IF(LeasingHab!$C$10="TARIFA 1",(C28*(VLOOKUP(LeasingHab!$C$24,Seguros_Oblig!$A$3:$B$55,2,FALSE))),(C28*(VLOOKUP(LeasingHab!$C$24,Seguros_Oblig!$A$3:$D$55,4,FALSE))))</f>
        <v>#VALUE!</v>
      </c>
      <c r="H29" s="8" t="e">
        <f>IF(LeasingHab!$C$10="TARIFA 1",(C28*(VLOOKUP(LeasingHab!$C$25,Seguros_Oblig!$A$3:$B$55,2,FALSE))),(C28*(VLOOKUP(LeasingHab!$C$25,Seguros_Oblig!$A$3:$D$55,4,FALSE))))</f>
        <v>#VALUE!</v>
      </c>
      <c r="I29" s="8" t="e">
        <f>IF(LeasingHab!$C$10="TARIFA 1",(C28*(VLOOKUP(LeasingHab!$C$26,Seguros_Oblig!$A$3:$B$55,2,FALSE))),(C28*(VLOOKUP(LeasingHab!$C$26,Seguros_Oblig!$A$3:$D$55,4,FALSE))))</f>
        <v>#VALUE!</v>
      </c>
      <c r="J29" s="10">
        <f t="shared" si="2"/>
        <v>0</v>
      </c>
      <c r="K29" s="7">
        <f>Seguros_Oblig!$K$2*(LeasingHab!$C$12*90%)</f>
        <v>0</v>
      </c>
      <c r="L29" s="7" t="e">
        <f>PMT(LeasingHab!$E$17,LeasingHab!$C$18,-LeasingHab!$C$15,,)-PMT(LeasingHab!$E$17,LeasingHab!$C$18,-LeasingHab!$C$22)+LeasingHab!$C$22*LeasingHab!$E$17</f>
        <v>#VALUE!</v>
      </c>
      <c r="M29" s="9" t="e">
        <f t="shared" si="3"/>
        <v>#VALUE!</v>
      </c>
      <c r="N29" s="7">
        <f>LeasingHab!$C$39</f>
        <v>0</v>
      </c>
      <c r="O29" s="9" t="e">
        <f t="shared" si="4"/>
        <v>#VALUE!</v>
      </c>
    </row>
    <row r="30" spans="2:15" ht="15.5" x14ac:dyDescent="0.35">
      <c r="B30" s="6" t="e">
        <f t="shared" si="5"/>
        <v>#VALUE!</v>
      </c>
      <c r="C30" s="7" t="e">
        <f t="shared" si="0"/>
        <v>#VALUE!</v>
      </c>
      <c r="D30" s="7" t="e">
        <f t="shared" si="1"/>
        <v>#VALUE!</v>
      </c>
      <c r="E30" s="7" t="e">
        <f>C29*LeasingHab!$E$17</f>
        <v>#VALUE!</v>
      </c>
      <c r="F30" s="8" t="e">
        <f>IF(LeasingHab!$D$27="Si",($C$19*(VLOOKUP(LeasingHab!$C$23,Seguros_Oblig!$A$3:$F$55,6,FALSE))),IF(LeasingHab!$C$10="TARIFA 1",(C29*(VLOOKUP(LeasingHab!$C$23,Seguros_Oblig!$A$3:$B$55,2,FALSE))),(C29*(VLOOKUP(LeasingHab!$C$23,Seguros_Oblig!$A$3:$D$55,4,FALSE)))))</f>
        <v>#VALUE!</v>
      </c>
      <c r="G30" s="8" t="e">
        <f>IF(LeasingHab!$C$10="TARIFA 1",(C29*(VLOOKUP(LeasingHab!$C$24,Seguros_Oblig!$A$3:$B$55,2,FALSE))),(C29*(VLOOKUP(LeasingHab!$C$24,Seguros_Oblig!$A$3:$D$55,4,FALSE))))</f>
        <v>#VALUE!</v>
      </c>
      <c r="H30" s="8" t="e">
        <f>IF(LeasingHab!$C$10="TARIFA 1",(C29*(VLOOKUP(LeasingHab!$C$25,Seguros_Oblig!$A$3:$B$55,2,FALSE))),(C29*(VLOOKUP(LeasingHab!$C$25,Seguros_Oblig!$A$3:$D$55,4,FALSE))))</f>
        <v>#VALUE!</v>
      </c>
      <c r="I30" s="8" t="e">
        <f>IF(LeasingHab!$C$10="TARIFA 1",(C29*(VLOOKUP(LeasingHab!$C$26,Seguros_Oblig!$A$3:$B$55,2,FALSE))),(C29*(VLOOKUP(LeasingHab!$C$26,Seguros_Oblig!$A$3:$D$55,4,FALSE))))</f>
        <v>#VALUE!</v>
      </c>
      <c r="J30" s="10">
        <f t="shared" si="2"/>
        <v>0</v>
      </c>
      <c r="K30" s="7">
        <f>Seguros_Oblig!$K$2*(LeasingHab!$C$12*90%)</f>
        <v>0</v>
      </c>
      <c r="L30" s="7" t="e">
        <f>PMT(LeasingHab!$E$17,LeasingHab!$C$18,-LeasingHab!$C$15,,)-PMT(LeasingHab!$E$17,LeasingHab!$C$18,-LeasingHab!$C$22)+LeasingHab!$C$22*LeasingHab!$E$17</f>
        <v>#VALUE!</v>
      </c>
      <c r="M30" s="9" t="e">
        <f t="shared" si="3"/>
        <v>#VALUE!</v>
      </c>
      <c r="N30" s="7">
        <f>LeasingHab!$C$39</f>
        <v>0</v>
      </c>
      <c r="O30" s="9" t="e">
        <f t="shared" si="4"/>
        <v>#VALUE!</v>
      </c>
    </row>
    <row r="31" spans="2:15" ht="15.5" x14ac:dyDescent="0.35">
      <c r="B31" s="6" t="e">
        <f t="shared" si="5"/>
        <v>#VALUE!</v>
      </c>
      <c r="C31" s="7" t="e">
        <f t="shared" si="0"/>
        <v>#VALUE!</v>
      </c>
      <c r="D31" s="7" t="e">
        <f t="shared" si="1"/>
        <v>#VALUE!</v>
      </c>
      <c r="E31" s="7" t="e">
        <f>C30*LeasingHab!$E$17</f>
        <v>#VALUE!</v>
      </c>
      <c r="F31" s="8" t="e">
        <f>IF(LeasingHab!$D$27="Si",($C$19*(VLOOKUP(LeasingHab!$C$23,Seguros_Oblig!$A$3:$F$55,6,FALSE))),IF(LeasingHab!$C$10="TARIFA 1",(C30*(VLOOKUP(LeasingHab!$C$23,Seguros_Oblig!$A$3:$B$55,2,FALSE))),(C30*(VLOOKUP(LeasingHab!$C$23,Seguros_Oblig!$A$3:$D$55,4,FALSE)))))</f>
        <v>#VALUE!</v>
      </c>
      <c r="G31" s="8" t="e">
        <f>IF(LeasingHab!$C$10="TARIFA 1",(C30*(VLOOKUP(LeasingHab!$C$24,Seguros_Oblig!$A$3:$B$55,2,FALSE))),(C30*(VLOOKUP(LeasingHab!$C$24,Seguros_Oblig!$A$3:$D$55,4,FALSE))))</f>
        <v>#VALUE!</v>
      </c>
      <c r="H31" s="8" t="e">
        <f>IF(LeasingHab!$C$10="TARIFA 1",(C30*(VLOOKUP(LeasingHab!$C$25,Seguros_Oblig!$A$3:$B$55,2,FALSE))),(C30*(VLOOKUP(LeasingHab!$C$25,Seguros_Oblig!$A$3:$D$55,4,FALSE))))</f>
        <v>#VALUE!</v>
      </c>
      <c r="I31" s="8" t="e">
        <f>IF(LeasingHab!$C$10="TARIFA 1",(C30*(VLOOKUP(LeasingHab!$C$26,Seguros_Oblig!$A$3:$B$55,2,FALSE))),(C30*(VLOOKUP(LeasingHab!$C$26,Seguros_Oblig!$A$3:$D$55,4,FALSE))))</f>
        <v>#VALUE!</v>
      </c>
      <c r="J31" s="10">
        <f t="shared" si="2"/>
        <v>0</v>
      </c>
      <c r="K31" s="7">
        <f>Seguros_Oblig!$K$2*(LeasingHab!$C$12*90%)</f>
        <v>0</v>
      </c>
      <c r="L31" s="7" t="e">
        <f>PMT(LeasingHab!$E$17,LeasingHab!$C$18,-LeasingHab!$C$15,,)-PMT(LeasingHab!$E$17,LeasingHab!$C$18,-LeasingHab!$C$22)+LeasingHab!$C$22*LeasingHab!$E$17</f>
        <v>#VALUE!</v>
      </c>
      <c r="M31" s="9" t="e">
        <f t="shared" si="3"/>
        <v>#VALUE!</v>
      </c>
      <c r="N31" s="7">
        <f>LeasingHab!$C$39</f>
        <v>0</v>
      </c>
      <c r="O31" s="9" t="e">
        <f t="shared" si="4"/>
        <v>#VALUE!</v>
      </c>
    </row>
    <row r="32" spans="2:15" ht="15.5" x14ac:dyDescent="0.35">
      <c r="B32" s="6" t="e">
        <f t="shared" si="5"/>
        <v>#VALUE!</v>
      </c>
      <c r="C32" s="7" t="e">
        <f t="shared" si="0"/>
        <v>#VALUE!</v>
      </c>
      <c r="D32" s="7" t="e">
        <f>IF(C31&lt;1,"0",L32-E32)</f>
        <v>#VALUE!</v>
      </c>
      <c r="E32" s="7" t="e">
        <f>C31*LeasingHab!$E$17</f>
        <v>#VALUE!</v>
      </c>
      <c r="F32" s="8" t="e">
        <f>IF(C31&lt;1,"0",IF(LeasingHab!$D$27="Si",($C$19*(VLOOKUP(LeasingHab!$C$23,Seguros_Oblig!$A$3:$F$55,6,FALSE))),IF(LeasingHab!$C$10="TARIFA 1",(C31*(VLOOKUP(LeasingHab!$C$23,Seguros_Oblig!$A$3:$B$55,2,FALSE))),(C31*(VLOOKUP(LeasingHab!$C$23,Seguros_Oblig!$A$3:$D$55,4,FALSE))))))</f>
        <v>#VALUE!</v>
      </c>
      <c r="G32" s="8" t="e">
        <f>IF(LeasingHab!$C$10="TARIFA 1",(C31*(VLOOKUP(LeasingHab!$C$24,Seguros_Oblig!$A$3:$B$55,2,FALSE))),(C31*(VLOOKUP(LeasingHab!$C$24,Seguros_Oblig!$A$3:$D$55,4,FALSE))))</f>
        <v>#VALUE!</v>
      </c>
      <c r="H32" s="8" t="e">
        <f>IF(LeasingHab!$C$10="TARIFA 1",(C31*(VLOOKUP(LeasingHab!$C$25,Seguros_Oblig!$A$3:$B$55,2,FALSE))),(C31*(VLOOKUP(LeasingHab!$C$25,Seguros_Oblig!$A$3:$D$55,4,FALSE))))</f>
        <v>#VALUE!</v>
      </c>
      <c r="I32" s="8" t="e">
        <f>IF(LeasingHab!$C$10="TARIFA 1",(C31*(VLOOKUP(LeasingHab!$C$26,Seguros_Oblig!$A$3:$B$55,2,FALSE))),(C31*(VLOOKUP(LeasingHab!$C$26,Seguros_Oblig!$A$3:$D$55,4,FALSE))))</f>
        <v>#VALUE!</v>
      </c>
      <c r="J32" s="10">
        <f t="shared" si="2"/>
        <v>0</v>
      </c>
      <c r="K32" s="7" t="e">
        <f>IF(C31&lt;1,"0",Seguros_Oblig!$K$2*(LeasingHab!$C$12*90%))</f>
        <v>#VALUE!</v>
      </c>
      <c r="L32" s="7" t="e">
        <f>IF(B32=" ","0",PMT(LeasingHab!$E$17,LeasingHab!$C$18,-LeasingHab!$C$15,,)-PMT(LeasingHab!$E$17,LeasingHab!$C$18,-LeasingHab!$C$22)+LeasingHab!$C$22*LeasingHab!$E$17)</f>
        <v>#VALUE!</v>
      </c>
      <c r="M32" s="9" t="e">
        <f t="shared" si="3"/>
        <v>#VALUE!</v>
      </c>
      <c r="N32" s="7" t="e">
        <f>IF(C31&lt;1,"0",LeasingHab!$C$39)</f>
        <v>#VALUE!</v>
      </c>
      <c r="O32" s="9" t="e">
        <f t="shared" si="4"/>
        <v>#VALUE!</v>
      </c>
    </row>
    <row r="33" spans="2:15" ht="15.5" x14ac:dyDescent="0.35">
      <c r="B33" s="6" t="e">
        <f t="shared" si="5"/>
        <v>#VALUE!</v>
      </c>
      <c r="C33" s="7" t="e">
        <f t="shared" si="0"/>
        <v>#VALUE!</v>
      </c>
      <c r="D33" s="7" t="e">
        <f t="shared" ref="D33:D78" si="6">IF(C32&lt;1,"0",L33-E33)</f>
        <v>#VALUE!</v>
      </c>
      <c r="E33" s="7" t="e">
        <f>C32*LeasingHab!$E$17</f>
        <v>#VALUE!</v>
      </c>
      <c r="F33" s="8" t="e">
        <f>IF(C32&lt;1,"0",IF(LeasingHab!$D$27="Si",($C$19*(VLOOKUP(LeasingHab!$C$23,Seguros_Oblig!$A$3:$F$55,6,FALSE))),IF(LeasingHab!$C$10="TARIFA 1",(C32*(VLOOKUP(LeasingHab!$C$23,Seguros_Oblig!$A$3:$B$55,2,FALSE))),(C32*(VLOOKUP(LeasingHab!$C$23,Seguros_Oblig!$A$3:$D$55,4,FALSE))))))</f>
        <v>#VALUE!</v>
      </c>
      <c r="G33" s="8" t="e">
        <f>IF(LeasingHab!$C$10="TARIFA 1",(C32*(VLOOKUP(LeasingHab!$C$24,Seguros_Oblig!$A$3:$B$55,2,FALSE))),(C32*(VLOOKUP(LeasingHab!$C$24,Seguros_Oblig!$A$3:$D$55,4,FALSE))))</f>
        <v>#VALUE!</v>
      </c>
      <c r="H33" s="8" t="e">
        <f>IF(LeasingHab!$C$10="TARIFA 1",(C32*(VLOOKUP(LeasingHab!$C$25,Seguros_Oblig!$A$3:$B$55,2,FALSE))),(C32*(VLOOKUP(LeasingHab!$C$25,Seguros_Oblig!$A$3:$D$55,4,FALSE))))</f>
        <v>#VALUE!</v>
      </c>
      <c r="I33" s="8" t="e">
        <f>IF(LeasingHab!$C$10="TARIFA 1",(C32*(VLOOKUP(LeasingHab!$C$26,Seguros_Oblig!$A$3:$B$55,2,FALSE))),(C32*(VLOOKUP(LeasingHab!$C$26,Seguros_Oblig!$A$3:$D$55,4,FALSE))))</f>
        <v>#VALUE!</v>
      </c>
      <c r="J33" s="10">
        <f t="shared" si="2"/>
        <v>0</v>
      </c>
      <c r="K33" s="7" t="e">
        <f>IF(C32&lt;1,"0",Seguros_Oblig!$K$2*(LeasingHab!$C$12*90%))</f>
        <v>#VALUE!</v>
      </c>
      <c r="L33" s="7" t="e">
        <f>IF(B33=" ","0",PMT(LeasingHab!$E$17,LeasingHab!$C$18,-LeasingHab!$C$15,,)-PMT(LeasingHab!$E$17,LeasingHab!$C$18,-LeasingHab!$C$22)+LeasingHab!$C$22*LeasingHab!$E$17)</f>
        <v>#VALUE!</v>
      </c>
      <c r="M33" s="9" t="e">
        <f t="shared" si="3"/>
        <v>#VALUE!</v>
      </c>
      <c r="N33" s="7" t="e">
        <f>IF(C32&lt;1,"0",LeasingHab!$C$39)</f>
        <v>#VALUE!</v>
      </c>
      <c r="O33" s="9" t="e">
        <f t="shared" si="4"/>
        <v>#VALUE!</v>
      </c>
    </row>
    <row r="34" spans="2:15" ht="15.5" x14ac:dyDescent="0.35">
      <c r="B34" s="6" t="e">
        <f t="shared" si="5"/>
        <v>#VALUE!</v>
      </c>
      <c r="C34" s="7" t="e">
        <f t="shared" si="0"/>
        <v>#VALUE!</v>
      </c>
      <c r="D34" s="7" t="e">
        <f t="shared" si="6"/>
        <v>#VALUE!</v>
      </c>
      <c r="E34" s="7" t="e">
        <f>C33*LeasingHab!$E$17</f>
        <v>#VALUE!</v>
      </c>
      <c r="F34" s="8" t="e">
        <f>IF(C33&lt;1,"0",IF(LeasingHab!$D$27="Si",($C$19*(VLOOKUP(LeasingHab!$C$23,Seguros_Oblig!$A$3:$F$55,6,FALSE))),IF(LeasingHab!$C$10="TARIFA 1",(C33*(VLOOKUP(LeasingHab!$C$23,Seguros_Oblig!$A$3:$B$55,2,FALSE))),(C33*(VLOOKUP(LeasingHab!$C$23,Seguros_Oblig!$A$3:$D$55,4,FALSE))))))</f>
        <v>#VALUE!</v>
      </c>
      <c r="G34" s="8" t="e">
        <f>IF(LeasingHab!$C$10="TARIFA 1",(C33*(VLOOKUP(LeasingHab!$C$24,Seguros_Oblig!$A$3:$B$55,2,FALSE))),(C33*(VLOOKUP(LeasingHab!$C$24,Seguros_Oblig!$A$3:$D$55,4,FALSE))))</f>
        <v>#VALUE!</v>
      </c>
      <c r="H34" s="8" t="e">
        <f>IF(LeasingHab!$C$10="TARIFA 1",(C33*(VLOOKUP(LeasingHab!$C$25,Seguros_Oblig!$A$3:$B$55,2,FALSE))),(C33*(VLOOKUP(LeasingHab!$C$25,Seguros_Oblig!$A$3:$D$55,4,FALSE))))</f>
        <v>#VALUE!</v>
      </c>
      <c r="I34" s="8" t="e">
        <f>IF(LeasingHab!$C$10="TARIFA 1",(C33*(VLOOKUP(LeasingHab!$C$26,Seguros_Oblig!$A$3:$B$55,2,FALSE))),(C33*(VLOOKUP(LeasingHab!$C$26,Seguros_Oblig!$A$3:$D$55,4,FALSE))))</f>
        <v>#VALUE!</v>
      </c>
      <c r="J34" s="10">
        <f t="shared" si="2"/>
        <v>0</v>
      </c>
      <c r="K34" s="7" t="e">
        <f>IF(C33&lt;1,"0",Seguros_Oblig!$K$2*(LeasingHab!$C$12*90%))</f>
        <v>#VALUE!</v>
      </c>
      <c r="L34" s="7" t="e">
        <f>IF(B34=" ","0",PMT(LeasingHab!$E$17,LeasingHab!$C$18,-LeasingHab!$C$15,,)-PMT(LeasingHab!$E$17,LeasingHab!$C$18,-LeasingHab!$C$22)+LeasingHab!$C$22*LeasingHab!$E$17)</f>
        <v>#VALUE!</v>
      </c>
      <c r="M34" s="9" t="e">
        <f t="shared" si="3"/>
        <v>#VALUE!</v>
      </c>
      <c r="N34" s="7" t="e">
        <f>IF(C33&lt;1,"0",LeasingHab!$C$39)</f>
        <v>#VALUE!</v>
      </c>
      <c r="O34" s="9" t="e">
        <f t="shared" si="4"/>
        <v>#VALUE!</v>
      </c>
    </row>
    <row r="35" spans="2:15" ht="15.5" x14ac:dyDescent="0.35">
      <c r="B35" s="6" t="e">
        <f t="shared" si="5"/>
        <v>#VALUE!</v>
      </c>
      <c r="C35" s="7" t="e">
        <f t="shared" si="0"/>
        <v>#VALUE!</v>
      </c>
      <c r="D35" s="7" t="e">
        <f t="shared" si="6"/>
        <v>#VALUE!</v>
      </c>
      <c r="E35" s="7" t="e">
        <f>C34*LeasingHab!$E$17</f>
        <v>#VALUE!</v>
      </c>
      <c r="F35" s="8" t="e">
        <f>IF(C34&lt;1,"0",IF(LeasingHab!$D$27="Si",($C$19*(VLOOKUP(LeasingHab!$C$23,Seguros_Oblig!$A$3:$F$55,6,FALSE))),IF(LeasingHab!$C$10="TARIFA 1",(C34*(VLOOKUP(LeasingHab!$C$23,Seguros_Oblig!$A$3:$B$55,2,FALSE))),(C34*(VLOOKUP(LeasingHab!$C$23,Seguros_Oblig!$A$3:$D$55,4,FALSE))))))</f>
        <v>#VALUE!</v>
      </c>
      <c r="G35" s="8" t="e">
        <f>IF(LeasingHab!$C$10="TARIFA 1",(C34*(VLOOKUP(LeasingHab!$C$24,Seguros_Oblig!$A$3:$B$55,2,FALSE))),(C34*(VLOOKUP(LeasingHab!$C$24,Seguros_Oblig!$A$3:$D$55,4,FALSE))))</f>
        <v>#VALUE!</v>
      </c>
      <c r="H35" s="8" t="e">
        <f>IF(LeasingHab!$C$10="TARIFA 1",(C34*(VLOOKUP(LeasingHab!$C$25,Seguros_Oblig!$A$3:$B$55,2,FALSE))),(C34*(VLOOKUP(LeasingHab!$C$25,Seguros_Oblig!$A$3:$D$55,4,FALSE))))</f>
        <v>#VALUE!</v>
      </c>
      <c r="I35" s="8" t="e">
        <f>IF(LeasingHab!$C$10="TARIFA 1",(C34*(VLOOKUP(LeasingHab!$C$26,Seguros_Oblig!$A$3:$B$55,2,FALSE))),(C34*(VLOOKUP(LeasingHab!$C$26,Seguros_Oblig!$A$3:$D$55,4,FALSE))))</f>
        <v>#VALUE!</v>
      </c>
      <c r="J35" s="10">
        <f t="shared" si="2"/>
        <v>0</v>
      </c>
      <c r="K35" s="7" t="e">
        <f>IF(C34&lt;1,"0",Seguros_Oblig!$K$2*(LeasingHab!$C$12*90%))</f>
        <v>#VALUE!</v>
      </c>
      <c r="L35" s="7" t="e">
        <f>IF(B35=" ","0",PMT(LeasingHab!$E$17,LeasingHab!$C$18,-LeasingHab!$C$15,,)-PMT(LeasingHab!$E$17,LeasingHab!$C$18,-LeasingHab!$C$22)+LeasingHab!$C$22*LeasingHab!$E$17)</f>
        <v>#VALUE!</v>
      </c>
      <c r="M35" s="9" t="e">
        <f t="shared" si="3"/>
        <v>#VALUE!</v>
      </c>
      <c r="N35" s="7" t="e">
        <f>IF(C34&lt;1,"0",LeasingHab!$C$39)</f>
        <v>#VALUE!</v>
      </c>
      <c r="O35" s="9" t="e">
        <f t="shared" si="4"/>
        <v>#VALUE!</v>
      </c>
    </row>
    <row r="36" spans="2:15" ht="15.5" x14ac:dyDescent="0.35">
      <c r="B36" s="6" t="e">
        <f t="shared" si="5"/>
        <v>#VALUE!</v>
      </c>
      <c r="C36" s="7" t="e">
        <f t="shared" si="0"/>
        <v>#VALUE!</v>
      </c>
      <c r="D36" s="7" t="e">
        <f t="shared" si="6"/>
        <v>#VALUE!</v>
      </c>
      <c r="E36" s="7" t="e">
        <f>C35*LeasingHab!$E$17</f>
        <v>#VALUE!</v>
      </c>
      <c r="F36" s="8" t="e">
        <f>IF(C35&lt;1,"0",IF(LeasingHab!$D$27="Si",($C$19*(VLOOKUP(LeasingHab!$C$23,Seguros_Oblig!$A$3:$F$55,6,FALSE))),IF(LeasingHab!$C$10="TARIFA 1",(C35*(VLOOKUP(LeasingHab!$C$23,Seguros_Oblig!$A$3:$B$55,2,FALSE))),(C35*(VLOOKUP(LeasingHab!$C$23,Seguros_Oblig!$A$3:$D$55,4,FALSE))))))</f>
        <v>#VALUE!</v>
      </c>
      <c r="G36" s="8" t="e">
        <f>IF(LeasingHab!$C$10="TARIFA 1",(C35*(VLOOKUP(LeasingHab!$C$24,Seguros_Oblig!$A$3:$B$55,2,FALSE))),(C35*(VLOOKUP(LeasingHab!$C$24,Seguros_Oblig!$A$3:$D$55,4,FALSE))))</f>
        <v>#VALUE!</v>
      </c>
      <c r="H36" s="8" t="e">
        <f>IF(LeasingHab!$C$10="TARIFA 1",(C35*(VLOOKUP(LeasingHab!$C$25,Seguros_Oblig!$A$3:$B$55,2,FALSE))),(C35*(VLOOKUP(LeasingHab!$C$25,Seguros_Oblig!$A$3:$D$55,4,FALSE))))</f>
        <v>#VALUE!</v>
      </c>
      <c r="I36" s="8" t="e">
        <f>IF(LeasingHab!$C$10="TARIFA 1",(C35*(VLOOKUP(LeasingHab!$C$26,Seguros_Oblig!$A$3:$B$55,2,FALSE))),(C35*(VLOOKUP(LeasingHab!$C$26,Seguros_Oblig!$A$3:$D$55,4,FALSE))))</f>
        <v>#VALUE!</v>
      </c>
      <c r="J36" s="10">
        <f t="shared" si="2"/>
        <v>0</v>
      </c>
      <c r="K36" s="7" t="e">
        <f>IF(C35&lt;1,"0",Seguros_Oblig!$K$2*(LeasingHab!$C$12*90%))</f>
        <v>#VALUE!</v>
      </c>
      <c r="L36" s="7" t="e">
        <f>IF(B36=" ","0",PMT(LeasingHab!$E$17,LeasingHab!$C$18,-LeasingHab!$C$15,,)-PMT(LeasingHab!$E$17,LeasingHab!$C$18,-LeasingHab!$C$22)+LeasingHab!$C$22*LeasingHab!$E$17)</f>
        <v>#VALUE!</v>
      </c>
      <c r="M36" s="9" t="e">
        <f t="shared" si="3"/>
        <v>#VALUE!</v>
      </c>
      <c r="N36" s="7" t="e">
        <f>IF(C35&lt;1,"0",LeasingHab!$C$39)</f>
        <v>#VALUE!</v>
      </c>
      <c r="O36" s="9" t="e">
        <f t="shared" si="4"/>
        <v>#VALUE!</v>
      </c>
    </row>
    <row r="37" spans="2:15" ht="15.5" x14ac:dyDescent="0.35">
      <c r="B37" s="6" t="e">
        <f t="shared" si="5"/>
        <v>#VALUE!</v>
      </c>
      <c r="C37" s="7" t="e">
        <f t="shared" si="0"/>
        <v>#VALUE!</v>
      </c>
      <c r="D37" s="7" t="e">
        <f t="shared" si="6"/>
        <v>#VALUE!</v>
      </c>
      <c r="E37" s="7" t="e">
        <f>C36*LeasingHab!$E$17</f>
        <v>#VALUE!</v>
      </c>
      <c r="F37" s="8" t="e">
        <f>IF(C36&lt;1,"0",IF(LeasingHab!$D$27="Si",($C$19*(VLOOKUP(LeasingHab!$C$23,Seguros_Oblig!$A$3:$F$55,6,FALSE))),IF(LeasingHab!$C$10="TARIFA 1",(C36*(VLOOKUP(LeasingHab!$C$23,Seguros_Oblig!$A$3:$B$55,2,FALSE))),(C36*(VLOOKUP(LeasingHab!$C$23,Seguros_Oblig!$A$3:$D$55,4,FALSE))))))</f>
        <v>#VALUE!</v>
      </c>
      <c r="G37" s="8" t="e">
        <f>IF(LeasingHab!$C$10="TARIFA 1",(C36*(VLOOKUP(LeasingHab!$C$24,Seguros_Oblig!$A$3:$B$55,2,FALSE))),(C36*(VLOOKUP(LeasingHab!$C$24,Seguros_Oblig!$A$3:$D$55,4,FALSE))))</f>
        <v>#VALUE!</v>
      </c>
      <c r="H37" s="8" t="e">
        <f>IF(LeasingHab!$C$10="TARIFA 1",(C36*(VLOOKUP(LeasingHab!$C$25,Seguros_Oblig!$A$3:$B$55,2,FALSE))),(C36*(VLOOKUP(LeasingHab!$C$25,Seguros_Oblig!$A$3:$D$55,4,FALSE))))</f>
        <v>#VALUE!</v>
      </c>
      <c r="I37" s="8" t="e">
        <f>IF(LeasingHab!$C$10="TARIFA 1",(C36*(VLOOKUP(LeasingHab!$C$26,Seguros_Oblig!$A$3:$B$55,2,FALSE))),(C36*(VLOOKUP(LeasingHab!$C$26,Seguros_Oblig!$A$3:$D$55,4,FALSE))))</f>
        <v>#VALUE!</v>
      </c>
      <c r="J37" s="10">
        <f t="shared" si="2"/>
        <v>0</v>
      </c>
      <c r="K37" s="7" t="e">
        <f>IF(C36&lt;1,"0",Seguros_Oblig!$K$2*(LeasingHab!$C$12*90%))</f>
        <v>#VALUE!</v>
      </c>
      <c r="L37" s="7" t="e">
        <f>IF(B37=" ","0",PMT(LeasingHab!$E$17,LeasingHab!$C$18,-LeasingHab!$C$15,,)-PMT(LeasingHab!$E$17,LeasingHab!$C$18,-LeasingHab!$C$22)+LeasingHab!$C$22*LeasingHab!$E$17)</f>
        <v>#VALUE!</v>
      </c>
      <c r="M37" s="9" t="e">
        <f t="shared" si="3"/>
        <v>#VALUE!</v>
      </c>
      <c r="N37" s="7" t="e">
        <f>IF(C36&lt;1,"0",LeasingHab!$C$39)</f>
        <v>#VALUE!</v>
      </c>
      <c r="O37" s="9" t="e">
        <f t="shared" si="4"/>
        <v>#VALUE!</v>
      </c>
    </row>
    <row r="38" spans="2:15" ht="15.5" x14ac:dyDescent="0.35">
      <c r="B38" s="6" t="e">
        <f t="shared" si="5"/>
        <v>#VALUE!</v>
      </c>
      <c r="C38" s="7" t="e">
        <f t="shared" si="0"/>
        <v>#VALUE!</v>
      </c>
      <c r="D38" s="7" t="e">
        <f t="shared" si="6"/>
        <v>#VALUE!</v>
      </c>
      <c r="E38" s="7" t="e">
        <f>C37*LeasingHab!$E$17</f>
        <v>#VALUE!</v>
      </c>
      <c r="F38" s="8" t="e">
        <f>IF(C37&lt;1,"0",IF(LeasingHab!$D$27="Si",($C$19*(VLOOKUP(LeasingHab!$C$23,Seguros_Oblig!$A$3:$F$55,6,FALSE))),IF(LeasingHab!$C$10="TARIFA 1",(C37*(VLOOKUP(LeasingHab!$C$23,Seguros_Oblig!$A$3:$B$55,2,FALSE))),(C37*(VLOOKUP(LeasingHab!$C$23,Seguros_Oblig!$A$3:$D$55,4,FALSE))))))</f>
        <v>#VALUE!</v>
      </c>
      <c r="G38" s="8" t="e">
        <f>IF(LeasingHab!$C$10="TARIFA 1",(C37*(VLOOKUP(LeasingHab!$C$24,Seguros_Oblig!$A$3:$B$55,2,FALSE))),(C37*(VLOOKUP(LeasingHab!$C$24,Seguros_Oblig!$A$3:$D$55,4,FALSE))))</f>
        <v>#VALUE!</v>
      </c>
      <c r="H38" s="8" t="e">
        <f>IF(LeasingHab!$C$10="TARIFA 1",(C37*(VLOOKUP(LeasingHab!$C$25,Seguros_Oblig!$A$3:$B$55,2,FALSE))),(C37*(VLOOKUP(LeasingHab!$C$25,Seguros_Oblig!$A$3:$D$55,4,FALSE))))</f>
        <v>#VALUE!</v>
      </c>
      <c r="I38" s="8" t="e">
        <f>IF(LeasingHab!$C$10="TARIFA 1",(C37*(VLOOKUP(LeasingHab!$C$26,Seguros_Oblig!$A$3:$B$55,2,FALSE))),(C37*(VLOOKUP(LeasingHab!$C$26,Seguros_Oblig!$A$3:$D$55,4,FALSE))))</f>
        <v>#VALUE!</v>
      </c>
      <c r="J38" s="10">
        <f t="shared" si="2"/>
        <v>0</v>
      </c>
      <c r="K38" s="7" t="e">
        <f>IF(C37&lt;1,"0",Seguros_Oblig!$K$2*(LeasingHab!$C$12*90%))</f>
        <v>#VALUE!</v>
      </c>
      <c r="L38" s="7" t="e">
        <f>IF(B38=" ","0",PMT(LeasingHab!$E$17,LeasingHab!$C$18,-LeasingHab!$C$15,,)-PMT(LeasingHab!$E$17,LeasingHab!$C$18,-LeasingHab!$C$22)+LeasingHab!$C$22*LeasingHab!$E$17)</f>
        <v>#VALUE!</v>
      </c>
      <c r="M38" s="9" t="e">
        <f t="shared" si="3"/>
        <v>#VALUE!</v>
      </c>
      <c r="N38" s="7" t="e">
        <f>IF(C37&lt;1,"0",LeasingHab!$C$39)</f>
        <v>#VALUE!</v>
      </c>
      <c r="O38" s="9" t="e">
        <f t="shared" si="4"/>
        <v>#VALUE!</v>
      </c>
    </row>
    <row r="39" spans="2:15" ht="15.5" x14ac:dyDescent="0.35">
      <c r="B39" s="6" t="e">
        <f t="shared" si="5"/>
        <v>#VALUE!</v>
      </c>
      <c r="C39" s="7" t="e">
        <f t="shared" si="0"/>
        <v>#VALUE!</v>
      </c>
      <c r="D39" s="7" t="e">
        <f t="shared" si="6"/>
        <v>#VALUE!</v>
      </c>
      <c r="E39" s="7" t="e">
        <f>C38*LeasingHab!$E$17</f>
        <v>#VALUE!</v>
      </c>
      <c r="F39" s="8" t="e">
        <f>IF(C38&lt;1,"0",IF(LeasingHab!$D$27="Si",($C$19*(VLOOKUP(LeasingHab!$C$23,Seguros_Oblig!$A$3:$F$55,6,FALSE))),IF(LeasingHab!$C$10="TARIFA 1",(C38*(VLOOKUP(LeasingHab!$C$23,Seguros_Oblig!$A$3:$B$55,2,FALSE))),(C38*(VLOOKUP(LeasingHab!$C$23,Seguros_Oblig!$A$3:$D$55,4,FALSE))))))</f>
        <v>#VALUE!</v>
      </c>
      <c r="G39" s="8" t="e">
        <f>IF(LeasingHab!$C$10="TARIFA 1",(C38*(VLOOKUP(LeasingHab!$C$24,Seguros_Oblig!$A$3:$B$55,2,FALSE))),(C38*(VLOOKUP(LeasingHab!$C$24,Seguros_Oblig!$A$3:$D$55,4,FALSE))))</f>
        <v>#VALUE!</v>
      </c>
      <c r="H39" s="8" t="e">
        <f>IF(LeasingHab!$C$10="TARIFA 1",(C38*(VLOOKUP(LeasingHab!$C$25,Seguros_Oblig!$A$3:$B$55,2,FALSE))),(C38*(VLOOKUP(LeasingHab!$C$25,Seguros_Oblig!$A$3:$D$55,4,FALSE))))</f>
        <v>#VALUE!</v>
      </c>
      <c r="I39" s="8" t="e">
        <f>IF(LeasingHab!$C$10="TARIFA 1",(C38*(VLOOKUP(LeasingHab!$C$26,Seguros_Oblig!$A$3:$B$55,2,FALSE))),(C38*(VLOOKUP(LeasingHab!$C$26,Seguros_Oblig!$A$3:$D$55,4,FALSE))))</f>
        <v>#VALUE!</v>
      </c>
      <c r="J39" s="10">
        <f t="shared" si="2"/>
        <v>0</v>
      </c>
      <c r="K39" s="7" t="e">
        <f>IF(C38&lt;1,"0",Seguros_Oblig!$K$2*(LeasingHab!$C$12*90%))</f>
        <v>#VALUE!</v>
      </c>
      <c r="L39" s="7" t="e">
        <f>IF(B39=" ","0",PMT(LeasingHab!$E$17,LeasingHab!$C$18,-LeasingHab!$C$15,,)-PMT(LeasingHab!$E$17,LeasingHab!$C$18,-LeasingHab!$C$22)+LeasingHab!$C$22*LeasingHab!$E$17)</f>
        <v>#VALUE!</v>
      </c>
      <c r="M39" s="9" t="e">
        <f t="shared" si="3"/>
        <v>#VALUE!</v>
      </c>
      <c r="N39" s="7" t="e">
        <f>IF(C38&lt;1,"0",LeasingHab!$C$39)</f>
        <v>#VALUE!</v>
      </c>
      <c r="O39" s="9" t="e">
        <f t="shared" si="4"/>
        <v>#VALUE!</v>
      </c>
    </row>
    <row r="40" spans="2:15" ht="15.5" x14ac:dyDescent="0.35">
      <c r="B40" s="6" t="e">
        <f t="shared" si="5"/>
        <v>#VALUE!</v>
      </c>
      <c r="C40" s="7" t="e">
        <f t="shared" si="0"/>
        <v>#VALUE!</v>
      </c>
      <c r="D40" s="7" t="e">
        <f t="shared" si="6"/>
        <v>#VALUE!</v>
      </c>
      <c r="E40" s="7" t="e">
        <f>C39*LeasingHab!$E$17</f>
        <v>#VALUE!</v>
      </c>
      <c r="F40" s="8" t="e">
        <f>IF(C39&lt;1,"0",IF(LeasingHab!$D$27="Si",($C$19*(VLOOKUP(LeasingHab!$C$23,Seguros_Oblig!$A$3:$F$55,6,FALSE))),IF(LeasingHab!$C$10="TARIFA 1",(C39*(VLOOKUP(LeasingHab!$C$23,Seguros_Oblig!$A$3:$B$55,2,FALSE))),(C39*(VLOOKUP(LeasingHab!$C$23,Seguros_Oblig!$A$3:$D$55,4,FALSE))))))</f>
        <v>#VALUE!</v>
      </c>
      <c r="G40" s="8" t="e">
        <f>IF(LeasingHab!$C$10="TARIFA 1",(C39*(VLOOKUP(LeasingHab!$C$24,Seguros_Oblig!$A$3:$B$55,2,FALSE))),(C39*(VLOOKUP(LeasingHab!$C$24,Seguros_Oblig!$A$3:$D$55,4,FALSE))))</f>
        <v>#VALUE!</v>
      </c>
      <c r="H40" s="8" t="e">
        <f>IF(LeasingHab!$C$10="TARIFA 1",(C39*(VLOOKUP(LeasingHab!$C$25,Seguros_Oblig!$A$3:$B$55,2,FALSE))),(C39*(VLOOKUP(LeasingHab!$C$25,Seguros_Oblig!$A$3:$D$55,4,FALSE))))</f>
        <v>#VALUE!</v>
      </c>
      <c r="I40" s="8" t="e">
        <f>IF(LeasingHab!$C$10="TARIFA 1",(C39*(VLOOKUP(LeasingHab!$C$26,Seguros_Oblig!$A$3:$B$55,2,FALSE))),(C39*(VLOOKUP(LeasingHab!$C$26,Seguros_Oblig!$A$3:$D$55,4,FALSE))))</f>
        <v>#VALUE!</v>
      </c>
      <c r="J40" s="10">
        <f t="shared" si="2"/>
        <v>0</v>
      </c>
      <c r="K40" s="7" t="e">
        <f>IF(C39&lt;1,"0",Seguros_Oblig!$K$2*(LeasingHab!$C$12*90%))</f>
        <v>#VALUE!</v>
      </c>
      <c r="L40" s="7" t="e">
        <f>IF(B40=" ","0",PMT(LeasingHab!$E$17,LeasingHab!$C$18,-LeasingHab!$C$15,,)-PMT(LeasingHab!$E$17,LeasingHab!$C$18,-LeasingHab!$C$22)+LeasingHab!$C$22*LeasingHab!$E$17)</f>
        <v>#VALUE!</v>
      </c>
      <c r="M40" s="9" t="e">
        <f t="shared" si="3"/>
        <v>#VALUE!</v>
      </c>
      <c r="N40" s="7" t="e">
        <f>IF(C39&lt;1,"0",LeasingHab!$C$39)</f>
        <v>#VALUE!</v>
      </c>
      <c r="O40" s="9" t="e">
        <f t="shared" si="4"/>
        <v>#VALUE!</v>
      </c>
    </row>
    <row r="41" spans="2:15" ht="15.5" x14ac:dyDescent="0.35">
      <c r="B41" s="6" t="e">
        <f t="shared" si="5"/>
        <v>#VALUE!</v>
      </c>
      <c r="C41" s="7" t="e">
        <f t="shared" si="0"/>
        <v>#VALUE!</v>
      </c>
      <c r="D41" s="7" t="e">
        <f t="shared" si="6"/>
        <v>#VALUE!</v>
      </c>
      <c r="E41" s="7" t="e">
        <f>C40*LeasingHab!$E$17</f>
        <v>#VALUE!</v>
      </c>
      <c r="F41" s="8" t="e">
        <f>IF(C40&lt;1,"0",IF(LeasingHab!$D$27="Si",($C$19*(VLOOKUP(LeasingHab!$C$23,Seguros_Oblig!$A$3:$F$55,6,FALSE))),IF(LeasingHab!$C$10="TARIFA 1",(C40*(VLOOKUP(LeasingHab!$C$23,Seguros_Oblig!$A$3:$B$55,2,FALSE))),(C40*(VLOOKUP(LeasingHab!$C$23,Seguros_Oblig!$A$3:$D$55,4,FALSE))))))</f>
        <v>#VALUE!</v>
      </c>
      <c r="G41" s="8" t="e">
        <f>IF(LeasingHab!$C$10="TARIFA 1",(C40*(VLOOKUP(LeasingHab!$C$24,Seguros_Oblig!$A$3:$B$55,2,FALSE))),(C40*(VLOOKUP(LeasingHab!$C$24,Seguros_Oblig!$A$3:$D$55,4,FALSE))))</f>
        <v>#VALUE!</v>
      </c>
      <c r="H41" s="8" t="e">
        <f>IF(LeasingHab!$C$10="TARIFA 1",(C40*(VLOOKUP(LeasingHab!$C$25,Seguros_Oblig!$A$3:$B$55,2,FALSE))),(C40*(VLOOKUP(LeasingHab!$C$25,Seguros_Oblig!$A$3:$D$55,4,FALSE))))</f>
        <v>#VALUE!</v>
      </c>
      <c r="I41" s="8" t="e">
        <f>IF(LeasingHab!$C$10="TARIFA 1",(C40*(VLOOKUP(LeasingHab!$C$26,Seguros_Oblig!$A$3:$B$55,2,FALSE))),(C40*(VLOOKUP(LeasingHab!$C$26,Seguros_Oblig!$A$3:$D$55,4,FALSE))))</f>
        <v>#VALUE!</v>
      </c>
      <c r="J41" s="10">
        <f t="shared" si="2"/>
        <v>0</v>
      </c>
      <c r="K41" s="7" t="e">
        <f>IF(C40&lt;1,"0",Seguros_Oblig!$K$2*(LeasingHab!$C$12*90%))</f>
        <v>#VALUE!</v>
      </c>
      <c r="L41" s="7" t="e">
        <f>IF(B41=" ","0",PMT(LeasingHab!$E$17,LeasingHab!$C$18,-LeasingHab!$C$15,,)-PMT(LeasingHab!$E$17,LeasingHab!$C$18,-LeasingHab!$C$22)+LeasingHab!$C$22*LeasingHab!$E$17)</f>
        <v>#VALUE!</v>
      </c>
      <c r="M41" s="9" t="e">
        <f t="shared" si="3"/>
        <v>#VALUE!</v>
      </c>
      <c r="N41" s="7" t="e">
        <f>IF(C40&lt;1,"0",LeasingHab!$C$39)</f>
        <v>#VALUE!</v>
      </c>
      <c r="O41" s="9" t="e">
        <f t="shared" si="4"/>
        <v>#VALUE!</v>
      </c>
    </row>
    <row r="42" spans="2:15" ht="15.5" x14ac:dyDescent="0.35">
      <c r="B42" s="6" t="e">
        <f t="shared" si="5"/>
        <v>#VALUE!</v>
      </c>
      <c r="C42" s="7" t="e">
        <f t="shared" si="0"/>
        <v>#VALUE!</v>
      </c>
      <c r="D42" s="7" t="e">
        <f t="shared" si="6"/>
        <v>#VALUE!</v>
      </c>
      <c r="E42" s="7" t="e">
        <f>C41*LeasingHab!$E$17</f>
        <v>#VALUE!</v>
      </c>
      <c r="F42" s="8" t="e">
        <f>IF(C41&lt;1,"0",IF(LeasingHab!$D$27="Si",($C$19*(VLOOKUP(LeasingHab!$C$23,Seguros_Oblig!$A$3:$F$55,6,FALSE))),IF(LeasingHab!$C$10="TARIFA 1",(C41*(VLOOKUP(LeasingHab!$C$23,Seguros_Oblig!$A$3:$B$55,2,FALSE))),(C41*(VLOOKUP(LeasingHab!$C$23,Seguros_Oblig!$A$3:$D$55,4,FALSE))))))</f>
        <v>#VALUE!</v>
      </c>
      <c r="G42" s="8" t="e">
        <f>IF(LeasingHab!$C$10="TARIFA 1",(C41*(VLOOKUP(LeasingHab!$C$24,Seguros_Oblig!$A$3:$B$55,2,FALSE))),(C41*(VLOOKUP(LeasingHab!$C$24,Seguros_Oblig!$A$3:$D$55,4,FALSE))))</f>
        <v>#VALUE!</v>
      </c>
      <c r="H42" s="8" t="e">
        <f>IF(LeasingHab!$C$10="TARIFA 1",(C41*(VLOOKUP(LeasingHab!$C$25,Seguros_Oblig!$A$3:$B$55,2,FALSE))),(C41*(VLOOKUP(LeasingHab!$C$25,Seguros_Oblig!$A$3:$D$55,4,FALSE))))</f>
        <v>#VALUE!</v>
      </c>
      <c r="I42" s="8" t="e">
        <f>IF(LeasingHab!$C$10="TARIFA 1",(C41*(VLOOKUP(LeasingHab!$C$26,Seguros_Oblig!$A$3:$B$55,2,FALSE))),(C41*(VLOOKUP(LeasingHab!$C$26,Seguros_Oblig!$A$3:$D$55,4,FALSE))))</f>
        <v>#VALUE!</v>
      </c>
      <c r="J42" s="10">
        <f t="shared" si="2"/>
        <v>0</v>
      </c>
      <c r="K42" s="7" t="e">
        <f>IF(C41&lt;1,"0",Seguros_Oblig!$K$2*(LeasingHab!$C$12*90%))</f>
        <v>#VALUE!</v>
      </c>
      <c r="L42" s="7" t="e">
        <f>IF(B42=" ","0",PMT(LeasingHab!$E$17,LeasingHab!$C$18,-LeasingHab!$C$15,,)-PMT(LeasingHab!$E$17,LeasingHab!$C$18,-LeasingHab!$C$22)+LeasingHab!$C$22*LeasingHab!$E$17)</f>
        <v>#VALUE!</v>
      </c>
      <c r="M42" s="9" t="e">
        <f t="shared" si="3"/>
        <v>#VALUE!</v>
      </c>
      <c r="N42" s="7" t="e">
        <f>IF(C41&lt;1,"0",LeasingHab!$C$39)</f>
        <v>#VALUE!</v>
      </c>
      <c r="O42" s="9" t="e">
        <f t="shared" si="4"/>
        <v>#VALUE!</v>
      </c>
    </row>
    <row r="43" spans="2:15" ht="15.5" x14ac:dyDescent="0.35">
      <c r="B43" s="6" t="e">
        <f t="shared" si="5"/>
        <v>#VALUE!</v>
      </c>
      <c r="C43" s="7" t="e">
        <f t="shared" si="0"/>
        <v>#VALUE!</v>
      </c>
      <c r="D43" s="7" t="e">
        <f t="shared" si="6"/>
        <v>#VALUE!</v>
      </c>
      <c r="E43" s="7" t="e">
        <f>C42*LeasingHab!$E$17</f>
        <v>#VALUE!</v>
      </c>
      <c r="F43" s="8" t="e">
        <f>IF(C42&lt;1,"0",IF(LeasingHab!$D$27="Si",($C$19*(VLOOKUP(LeasingHab!$C$23,Seguros_Oblig!$A$3:$F$55,6,FALSE))),IF(LeasingHab!$C$10="TARIFA 1",(C42*(VLOOKUP(LeasingHab!$C$23,Seguros_Oblig!$A$3:$B$55,2,FALSE))),(C42*(VLOOKUP(LeasingHab!$C$23,Seguros_Oblig!$A$3:$D$55,4,FALSE))))))</f>
        <v>#VALUE!</v>
      </c>
      <c r="G43" s="8" t="e">
        <f>IF(LeasingHab!$C$10="TARIFA 1",(C42*(VLOOKUP(LeasingHab!$C$24,Seguros_Oblig!$A$3:$B$55,2,FALSE))),(C42*(VLOOKUP(LeasingHab!$C$24,Seguros_Oblig!$A$3:$D$55,4,FALSE))))</f>
        <v>#VALUE!</v>
      </c>
      <c r="H43" s="8" t="e">
        <f>IF(LeasingHab!$C$10="TARIFA 1",(C42*(VLOOKUP(LeasingHab!$C$25,Seguros_Oblig!$A$3:$B$55,2,FALSE))),(C42*(VLOOKUP(LeasingHab!$C$25,Seguros_Oblig!$A$3:$D$55,4,FALSE))))</f>
        <v>#VALUE!</v>
      </c>
      <c r="I43" s="8" t="e">
        <f>IF(LeasingHab!$C$10="TARIFA 1",(C42*(VLOOKUP(LeasingHab!$C$26,Seguros_Oblig!$A$3:$B$55,2,FALSE))),(C42*(VLOOKUP(LeasingHab!$C$26,Seguros_Oblig!$A$3:$D$55,4,FALSE))))</f>
        <v>#VALUE!</v>
      </c>
      <c r="J43" s="10">
        <f t="shared" si="2"/>
        <v>0</v>
      </c>
      <c r="K43" s="7" t="e">
        <f>IF(C42&lt;1,"0",Seguros_Oblig!$K$2*(LeasingHab!$C$12*90%))</f>
        <v>#VALUE!</v>
      </c>
      <c r="L43" s="7" t="e">
        <f>IF(B43=" ","0",PMT(LeasingHab!$E$17,LeasingHab!$C$18,-LeasingHab!$C$15,,)-PMT(LeasingHab!$E$17,LeasingHab!$C$18,-LeasingHab!$C$22)+LeasingHab!$C$22*LeasingHab!$E$17)</f>
        <v>#VALUE!</v>
      </c>
      <c r="M43" s="9" t="e">
        <f t="shared" si="3"/>
        <v>#VALUE!</v>
      </c>
      <c r="N43" s="7" t="e">
        <f>IF(C42&lt;1,"0",LeasingHab!$C$39)</f>
        <v>#VALUE!</v>
      </c>
      <c r="O43" s="9" t="e">
        <f t="shared" si="4"/>
        <v>#VALUE!</v>
      </c>
    </row>
    <row r="44" spans="2:15" ht="15.5" x14ac:dyDescent="0.35">
      <c r="B44" s="6" t="e">
        <f t="shared" si="5"/>
        <v>#VALUE!</v>
      </c>
      <c r="C44" s="7" t="e">
        <f t="shared" si="0"/>
        <v>#VALUE!</v>
      </c>
      <c r="D44" s="7" t="e">
        <f t="shared" si="6"/>
        <v>#VALUE!</v>
      </c>
      <c r="E44" s="7" t="e">
        <f>C43*LeasingHab!$E$17</f>
        <v>#VALUE!</v>
      </c>
      <c r="F44" s="8" t="e">
        <f>IF(C43&lt;1,"0",IF(LeasingHab!$D$27="Si",($C$19*(VLOOKUP(LeasingHab!$C$23,Seguros_Oblig!$A$3:$F$55,6,FALSE))),IF(LeasingHab!$C$10="TARIFA 1",(C43*(VLOOKUP(LeasingHab!$C$23,Seguros_Oblig!$A$3:$B$55,2,FALSE))),(C43*(VLOOKUP(LeasingHab!$C$23,Seguros_Oblig!$A$3:$D$55,4,FALSE))))))</f>
        <v>#VALUE!</v>
      </c>
      <c r="G44" s="8" t="e">
        <f>IF(LeasingHab!$C$10="TARIFA 1",(C43*(VLOOKUP(LeasingHab!$C$24,Seguros_Oblig!$A$3:$B$55,2,FALSE))),(C43*(VLOOKUP(LeasingHab!$C$24,Seguros_Oblig!$A$3:$D$55,4,FALSE))))</f>
        <v>#VALUE!</v>
      </c>
      <c r="H44" s="8" t="e">
        <f>IF(LeasingHab!$C$10="TARIFA 1",(C43*(VLOOKUP(LeasingHab!$C$25,Seguros_Oblig!$A$3:$B$55,2,FALSE))),(C43*(VLOOKUP(LeasingHab!$C$25,Seguros_Oblig!$A$3:$D$55,4,FALSE))))</f>
        <v>#VALUE!</v>
      </c>
      <c r="I44" s="8" t="e">
        <f>IF(LeasingHab!$C$10="TARIFA 1",(C43*(VLOOKUP(LeasingHab!$C$26,Seguros_Oblig!$A$3:$B$55,2,FALSE))),(C43*(VLOOKUP(LeasingHab!$C$26,Seguros_Oblig!$A$3:$D$55,4,FALSE))))</f>
        <v>#VALUE!</v>
      </c>
      <c r="J44" s="10">
        <f t="shared" si="2"/>
        <v>0</v>
      </c>
      <c r="K44" s="7" t="e">
        <f>IF(C43&lt;1,"0",Seguros_Oblig!$K$2*(LeasingHab!$C$12*90%))</f>
        <v>#VALUE!</v>
      </c>
      <c r="L44" s="7" t="e">
        <f>IF(B44=" ","0",PMT(LeasingHab!$E$17,LeasingHab!$C$18,-LeasingHab!$C$15,,)-PMT(LeasingHab!$E$17,LeasingHab!$C$18,-LeasingHab!$C$22)+LeasingHab!$C$22*LeasingHab!$E$17)</f>
        <v>#VALUE!</v>
      </c>
      <c r="M44" s="9" t="e">
        <f t="shared" si="3"/>
        <v>#VALUE!</v>
      </c>
      <c r="N44" s="7" t="e">
        <f>IF(C43&lt;1,"0",LeasingHab!$C$39)</f>
        <v>#VALUE!</v>
      </c>
      <c r="O44" s="9" t="e">
        <f t="shared" si="4"/>
        <v>#VALUE!</v>
      </c>
    </row>
    <row r="45" spans="2:15" ht="15.5" x14ac:dyDescent="0.35">
      <c r="B45" s="6" t="e">
        <f t="shared" si="5"/>
        <v>#VALUE!</v>
      </c>
      <c r="C45" s="7" t="e">
        <f t="shared" si="0"/>
        <v>#VALUE!</v>
      </c>
      <c r="D45" s="7" t="e">
        <f t="shared" si="6"/>
        <v>#VALUE!</v>
      </c>
      <c r="E45" s="7" t="e">
        <f>C44*LeasingHab!$E$17</f>
        <v>#VALUE!</v>
      </c>
      <c r="F45" s="8" t="e">
        <f>IF(C44&lt;1,"0",IF(LeasingHab!$D$27="Si",($C$19*(VLOOKUP(LeasingHab!$C$23,Seguros_Oblig!$A$3:$F$55,6,FALSE))),IF(LeasingHab!$C$10="TARIFA 1",(C44*(VLOOKUP(LeasingHab!$C$23,Seguros_Oblig!$A$3:$B$55,2,FALSE))),(C44*(VLOOKUP(LeasingHab!$C$23,Seguros_Oblig!$A$3:$D$55,4,FALSE))))))</f>
        <v>#VALUE!</v>
      </c>
      <c r="G45" s="8" t="e">
        <f>IF(LeasingHab!$C$10="TARIFA 1",(C44*(VLOOKUP(LeasingHab!$C$24,Seguros_Oblig!$A$3:$B$55,2,FALSE))),(C44*(VLOOKUP(LeasingHab!$C$24,Seguros_Oblig!$A$3:$D$55,4,FALSE))))</f>
        <v>#VALUE!</v>
      </c>
      <c r="H45" s="8" t="e">
        <f>IF(LeasingHab!$C$10="TARIFA 1",(C44*(VLOOKUP(LeasingHab!$C$25,Seguros_Oblig!$A$3:$B$55,2,FALSE))),(C44*(VLOOKUP(LeasingHab!$C$25,Seguros_Oblig!$A$3:$D$55,4,FALSE))))</f>
        <v>#VALUE!</v>
      </c>
      <c r="I45" s="8" t="e">
        <f>IF(LeasingHab!$C$10="TARIFA 1",(C44*(VLOOKUP(LeasingHab!$C$26,Seguros_Oblig!$A$3:$B$55,2,FALSE))),(C44*(VLOOKUP(LeasingHab!$C$26,Seguros_Oblig!$A$3:$D$55,4,FALSE))))</f>
        <v>#VALUE!</v>
      </c>
      <c r="J45" s="10">
        <f t="shared" si="2"/>
        <v>0</v>
      </c>
      <c r="K45" s="7" t="e">
        <f>IF(C44&lt;1,"0",Seguros_Oblig!$K$2*(LeasingHab!$C$12*90%))</f>
        <v>#VALUE!</v>
      </c>
      <c r="L45" s="7" t="e">
        <f>IF(B45=" ","0",PMT(LeasingHab!$E$17,LeasingHab!$C$18,-LeasingHab!$C$15,,)-PMT(LeasingHab!$E$17,LeasingHab!$C$18,-LeasingHab!$C$22)+LeasingHab!$C$22*LeasingHab!$E$17)</f>
        <v>#VALUE!</v>
      </c>
      <c r="M45" s="9" t="e">
        <f t="shared" si="3"/>
        <v>#VALUE!</v>
      </c>
      <c r="N45" s="7" t="e">
        <f>IF(C44&lt;1,"0",LeasingHab!$C$39)</f>
        <v>#VALUE!</v>
      </c>
      <c r="O45" s="9" t="e">
        <f t="shared" si="4"/>
        <v>#VALUE!</v>
      </c>
    </row>
    <row r="46" spans="2:15" ht="15.5" x14ac:dyDescent="0.35">
      <c r="B46" s="6" t="e">
        <f t="shared" si="5"/>
        <v>#VALUE!</v>
      </c>
      <c r="C46" s="7" t="e">
        <f t="shared" si="0"/>
        <v>#VALUE!</v>
      </c>
      <c r="D46" s="7" t="e">
        <f t="shared" si="6"/>
        <v>#VALUE!</v>
      </c>
      <c r="E46" s="7" t="e">
        <f>C45*LeasingHab!$E$17</f>
        <v>#VALUE!</v>
      </c>
      <c r="F46" s="8" t="e">
        <f>IF(C45&lt;1,"0",IF(LeasingHab!$D$27="Si",($C$19*(VLOOKUP(LeasingHab!$C$23,Seguros_Oblig!$A$3:$F$55,6,FALSE))),IF(LeasingHab!$C$10="TARIFA 1",(C45*(VLOOKUP(LeasingHab!$C$23,Seguros_Oblig!$A$3:$B$55,2,FALSE))),(C45*(VLOOKUP(LeasingHab!$C$23,Seguros_Oblig!$A$3:$D$55,4,FALSE))))))</f>
        <v>#VALUE!</v>
      </c>
      <c r="G46" s="8" t="e">
        <f>IF(LeasingHab!$C$10="TARIFA 1",(C45*(VLOOKUP(LeasingHab!$C$24,Seguros_Oblig!$A$3:$B$55,2,FALSE))),(C45*(VLOOKUP(LeasingHab!$C$24,Seguros_Oblig!$A$3:$D$55,4,FALSE))))</f>
        <v>#VALUE!</v>
      </c>
      <c r="H46" s="8" t="e">
        <f>IF(LeasingHab!$C$10="TARIFA 1",(C45*(VLOOKUP(LeasingHab!$C$25,Seguros_Oblig!$A$3:$B$55,2,FALSE))),(C45*(VLOOKUP(LeasingHab!$C$25,Seguros_Oblig!$A$3:$D$55,4,FALSE))))</f>
        <v>#VALUE!</v>
      </c>
      <c r="I46" s="8" t="e">
        <f>IF(LeasingHab!$C$10="TARIFA 1",(C45*(VLOOKUP(LeasingHab!$C$26,Seguros_Oblig!$A$3:$B$55,2,FALSE))),(C45*(VLOOKUP(LeasingHab!$C$26,Seguros_Oblig!$A$3:$D$55,4,FALSE))))</f>
        <v>#VALUE!</v>
      </c>
      <c r="J46" s="10">
        <f t="shared" si="2"/>
        <v>0</v>
      </c>
      <c r="K46" s="7" t="e">
        <f>IF(C45&lt;1,"0",Seguros_Oblig!$K$2*(LeasingHab!$C$12*90%))</f>
        <v>#VALUE!</v>
      </c>
      <c r="L46" s="7" t="e">
        <f>IF(B46=" ","0",PMT(LeasingHab!$E$17,LeasingHab!$C$18,-LeasingHab!$C$15,,)-PMT(LeasingHab!$E$17,LeasingHab!$C$18,-LeasingHab!$C$22)+LeasingHab!$C$22*LeasingHab!$E$17)</f>
        <v>#VALUE!</v>
      </c>
      <c r="M46" s="9" t="e">
        <f t="shared" si="3"/>
        <v>#VALUE!</v>
      </c>
      <c r="N46" s="7" t="e">
        <f>IF(C45&lt;1,"0",LeasingHab!$C$39)</f>
        <v>#VALUE!</v>
      </c>
      <c r="O46" s="9" t="e">
        <f t="shared" si="4"/>
        <v>#VALUE!</v>
      </c>
    </row>
    <row r="47" spans="2:15" ht="15.5" x14ac:dyDescent="0.35">
      <c r="B47" s="6" t="e">
        <f t="shared" si="5"/>
        <v>#VALUE!</v>
      </c>
      <c r="C47" s="7" t="e">
        <f t="shared" si="0"/>
        <v>#VALUE!</v>
      </c>
      <c r="D47" s="7" t="e">
        <f t="shared" si="6"/>
        <v>#VALUE!</v>
      </c>
      <c r="E47" s="7" t="e">
        <f>C46*LeasingHab!$E$17</f>
        <v>#VALUE!</v>
      </c>
      <c r="F47" s="8" t="e">
        <f>IF(C46&lt;1,"0",IF(LeasingHab!$D$27="Si",($C$19*(VLOOKUP(LeasingHab!$C$23,Seguros_Oblig!$A$3:$F$55,6,FALSE))),IF(LeasingHab!$C$10="TARIFA 1",(C46*(VLOOKUP(LeasingHab!$C$23,Seguros_Oblig!$A$3:$B$55,2,FALSE))),(C46*(VLOOKUP(LeasingHab!$C$23,Seguros_Oblig!$A$3:$D$55,4,FALSE))))))</f>
        <v>#VALUE!</v>
      </c>
      <c r="G47" s="8" t="e">
        <f>IF(LeasingHab!$C$10="TARIFA 1",(C46*(VLOOKUP(LeasingHab!$C$24,Seguros_Oblig!$A$3:$B$55,2,FALSE))),(C46*(VLOOKUP(LeasingHab!$C$24,Seguros_Oblig!$A$3:$D$55,4,FALSE))))</f>
        <v>#VALUE!</v>
      </c>
      <c r="H47" s="8" t="e">
        <f>IF(LeasingHab!$C$10="TARIFA 1",(C46*(VLOOKUP(LeasingHab!$C$25,Seguros_Oblig!$A$3:$B$55,2,FALSE))),(C46*(VLOOKUP(LeasingHab!$C$25,Seguros_Oblig!$A$3:$D$55,4,FALSE))))</f>
        <v>#VALUE!</v>
      </c>
      <c r="I47" s="8" t="e">
        <f>IF(LeasingHab!$C$10="TARIFA 1",(C46*(VLOOKUP(LeasingHab!$C$26,Seguros_Oblig!$A$3:$B$55,2,FALSE))),(C46*(VLOOKUP(LeasingHab!$C$26,Seguros_Oblig!$A$3:$D$55,4,FALSE))))</f>
        <v>#VALUE!</v>
      </c>
      <c r="J47" s="10">
        <f t="shared" si="2"/>
        <v>0</v>
      </c>
      <c r="K47" s="7" t="e">
        <f>IF(C46&lt;1,"0",Seguros_Oblig!$K$2*(LeasingHab!$C$12*90%))</f>
        <v>#VALUE!</v>
      </c>
      <c r="L47" s="7" t="e">
        <f>IF(B47=" ","0",PMT(LeasingHab!$E$17,LeasingHab!$C$18,-LeasingHab!$C$15,,)-PMT(LeasingHab!$E$17,LeasingHab!$C$18,-LeasingHab!$C$22)+LeasingHab!$C$22*LeasingHab!$E$17)</f>
        <v>#VALUE!</v>
      </c>
      <c r="M47" s="9" t="e">
        <f t="shared" si="3"/>
        <v>#VALUE!</v>
      </c>
      <c r="N47" s="7" t="e">
        <f>IF(C46&lt;1,"0",LeasingHab!$C$39)</f>
        <v>#VALUE!</v>
      </c>
      <c r="O47" s="9" t="e">
        <f t="shared" si="4"/>
        <v>#VALUE!</v>
      </c>
    </row>
    <row r="48" spans="2:15" ht="15.5" x14ac:dyDescent="0.35">
      <c r="B48" s="6" t="e">
        <f t="shared" si="5"/>
        <v>#VALUE!</v>
      </c>
      <c r="C48" s="7" t="e">
        <f t="shared" si="0"/>
        <v>#VALUE!</v>
      </c>
      <c r="D48" s="7" t="e">
        <f t="shared" si="6"/>
        <v>#VALUE!</v>
      </c>
      <c r="E48" s="7" t="e">
        <f>C47*LeasingHab!$E$17</f>
        <v>#VALUE!</v>
      </c>
      <c r="F48" s="8" t="e">
        <f>IF(C47&lt;1,"0",IF(LeasingHab!$D$27="Si",($C$19*(VLOOKUP(LeasingHab!$C$23,Seguros_Oblig!$A$3:$F$55,6,FALSE))),IF(LeasingHab!$C$10="TARIFA 1",(C47*(VLOOKUP(LeasingHab!$C$23,Seguros_Oblig!$A$3:$B$55,2,FALSE))),(C47*(VLOOKUP(LeasingHab!$C$23,Seguros_Oblig!$A$3:$D$55,4,FALSE))))))</f>
        <v>#VALUE!</v>
      </c>
      <c r="G48" s="8" t="e">
        <f>IF(LeasingHab!$C$10="TARIFA 1",(C47*(VLOOKUP(LeasingHab!$C$24,Seguros_Oblig!$A$3:$B$55,2,FALSE))),(C47*(VLOOKUP(LeasingHab!$C$24,Seguros_Oblig!$A$3:$D$55,4,FALSE))))</f>
        <v>#VALUE!</v>
      </c>
      <c r="H48" s="8" t="e">
        <f>IF(LeasingHab!$C$10="TARIFA 1",(C47*(VLOOKUP(LeasingHab!$C$25,Seguros_Oblig!$A$3:$B$55,2,FALSE))),(C47*(VLOOKUP(LeasingHab!$C$25,Seguros_Oblig!$A$3:$D$55,4,FALSE))))</f>
        <v>#VALUE!</v>
      </c>
      <c r="I48" s="8" t="e">
        <f>IF(LeasingHab!$C$10="TARIFA 1",(C47*(VLOOKUP(LeasingHab!$C$26,Seguros_Oblig!$A$3:$B$55,2,FALSE))),(C47*(VLOOKUP(LeasingHab!$C$26,Seguros_Oblig!$A$3:$D$55,4,FALSE))))</f>
        <v>#VALUE!</v>
      </c>
      <c r="J48" s="10">
        <f t="shared" si="2"/>
        <v>0</v>
      </c>
      <c r="K48" s="7" t="e">
        <f>IF(C47&lt;1,"0",Seguros_Oblig!$K$2*(LeasingHab!$C$12*90%))</f>
        <v>#VALUE!</v>
      </c>
      <c r="L48" s="7" t="e">
        <f>IF(B48=" ","0",PMT(LeasingHab!$E$17,LeasingHab!$C$18,-LeasingHab!$C$15,,)-PMT(LeasingHab!$E$17,LeasingHab!$C$18,-LeasingHab!$C$22)+LeasingHab!$C$22*LeasingHab!$E$17)</f>
        <v>#VALUE!</v>
      </c>
      <c r="M48" s="9" t="e">
        <f t="shared" si="3"/>
        <v>#VALUE!</v>
      </c>
      <c r="N48" s="7" t="e">
        <f>IF(C47&lt;1,"0",LeasingHab!$C$39)</f>
        <v>#VALUE!</v>
      </c>
      <c r="O48" s="9" t="e">
        <f t="shared" si="4"/>
        <v>#VALUE!</v>
      </c>
    </row>
    <row r="49" spans="2:15" ht="15.5" x14ac:dyDescent="0.35">
      <c r="B49" s="6" t="e">
        <f t="shared" si="5"/>
        <v>#VALUE!</v>
      </c>
      <c r="C49" s="7" t="e">
        <f t="shared" si="0"/>
        <v>#VALUE!</v>
      </c>
      <c r="D49" s="7" t="e">
        <f t="shared" si="6"/>
        <v>#VALUE!</v>
      </c>
      <c r="E49" s="7" t="e">
        <f>C48*LeasingHab!$E$17</f>
        <v>#VALUE!</v>
      </c>
      <c r="F49" s="8" t="e">
        <f>IF(C48&lt;1,"0",IF(LeasingHab!$D$27="Si",($C$19*(VLOOKUP(LeasingHab!$C$23,Seguros_Oblig!$A$3:$F$55,6,FALSE))),IF(LeasingHab!$C$10="TARIFA 1",(C48*(VLOOKUP(LeasingHab!$C$23,Seguros_Oblig!$A$3:$B$55,2,FALSE))),(C48*(VLOOKUP(LeasingHab!$C$23,Seguros_Oblig!$A$3:$D$55,4,FALSE))))))</f>
        <v>#VALUE!</v>
      </c>
      <c r="G49" s="8" t="e">
        <f>IF(LeasingHab!$C$10="TARIFA 1",(C48*(VLOOKUP(LeasingHab!$C$24,Seguros_Oblig!$A$3:$B$55,2,FALSE))),(C48*(VLOOKUP(LeasingHab!$C$24,Seguros_Oblig!$A$3:$D$55,4,FALSE))))</f>
        <v>#VALUE!</v>
      </c>
      <c r="H49" s="8" t="e">
        <f>IF(LeasingHab!$C$10="TARIFA 1",(C48*(VLOOKUP(LeasingHab!$C$25,Seguros_Oblig!$A$3:$B$55,2,FALSE))),(C48*(VLOOKUP(LeasingHab!$C$25,Seguros_Oblig!$A$3:$D$55,4,FALSE))))</f>
        <v>#VALUE!</v>
      </c>
      <c r="I49" s="8" t="e">
        <f>IF(LeasingHab!$C$10="TARIFA 1",(C48*(VLOOKUP(LeasingHab!$C$26,Seguros_Oblig!$A$3:$B$55,2,FALSE))),(C48*(VLOOKUP(LeasingHab!$C$26,Seguros_Oblig!$A$3:$D$55,4,FALSE))))</f>
        <v>#VALUE!</v>
      </c>
      <c r="J49" s="10">
        <f t="shared" si="2"/>
        <v>0</v>
      </c>
      <c r="K49" s="7" t="e">
        <f>IF(C48&lt;1,"0",Seguros_Oblig!$K$2*(LeasingHab!$C$12*90%))</f>
        <v>#VALUE!</v>
      </c>
      <c r="L49" s="7" t="e">
        <f>IF(B49=" ","0",PMT(LeasingHab!$E$17,LeasingHab!$C$18,-LeasingHab!$C$15,,)-PMT(LeasingHab!$E$17,LeasingHab!$C$18,-LeasingHab!$C$22)+LeasingHab!$C$22*LeasingHab!$E$17)</f>
        <v>#VALUE!</v>
      </c>
      <c r="M49" s="9" t="e">
        <f t="shared" si="3"/>
        <v>#VALUE!</v>
      </c>
      <c r="N49" s="7" t="e">
        <f>IF(C48&lt;1,"0",LeasingHab!$C$39)</f>
        <v>#VALUE!</v>
      </c>
      <c r="O49" s="9" t="e">
        <f t="shared" si="4"/>
        <v>#VALUE!</v>
      </c>
    </row>
    <row r="50" spans="2:15" ht="15.5" x14ac:dyDescent="0.35">
      <c r="B50" s="6" t="e">
        <f t="shared" si="5"/>
        <v>#VALUE!</v>
      </c>
      <c r="C50" s="7" t="e">
        <f t="shared" si="0"/>
        <v>#VALUE!</v>
      </c>
      <c r="D50" s="7" t="e">
        <f t="shared" si="6"/>
        <v>#VALUE!</v>
      </c>
      <c r="E50" s="7" t="e">
        <f>C49*LeasingHab!$E$17</f>
        <v>#VALUE!</v>
      </c>
      <c r="F50" s="8" t="e">
        <f>IF(C49&lt;1,"0",IF(LeasingHab!$D$27="Si",($C$19*(VLOOKUP(LeasingHab!$C$23,Seguros_Oblig!$A$3:$F$55,6,FALSE))),IF(LeasingHab!$C$10="TARIFA 1",(C49*(VLOOKUP(LeasingHab!$C$23,Seguros_Oblig!$A$3:$B$55,2,FALSE))),(C49*(VLOOKUP(LeasingHab!$C$23,Seguros_Oblig!$A$3:$D$55,4,FALSE))))))</f>
        <v>#VALUE!</v>
      </c>
      <c r="G50" s="8" t="e">
        <f>IF(LeasingHab!$C$10="TARIFA 1",(C49*(VLOOKUP(LeasingHab!$C$24,Seguros_Oblig!$A$3:$B$55,2,FALSE))),(C49*(VLOOKUP(LeasingHab!$C$24,Seguros_Oblig!$A$3:$D$55,4,FALSE))))</f>
        <v>#VALUE!</v>
      </c>
      <c r="H50" s="8" t="e">
        <f>IF(LeasingHab!$C$10="TARIFA 1",(C49*(VLOOKUP(LeasingHab!$C$25,Seguros_Oblig!$A$3:$B$55,2,FALSE))),(C49*(VLOOKUP(LeasingHab!$C$25,Seguros_Oblig!$A$3:$D$55,4,FALSE))))</f>
        <v>#VALUE!</v>
      </c>
      <c r="I50" s="8" t="e">
        <f>IF(LeasingHab!$C$10="TARIFA 1",(C49*(VLOOKUP(LeasingHab!$C$26,Seguros_Oblig!$A$3:$B$55,2,FALSE))),(C49*(VLOOKUP(LeasingHab!$C$26,Seguros_Oblig!$A$3:$D$55,4,FALSE))))</f>
        <v>#VALUE!</v>
      </c>
      <c r="J50" s="10">
        <f t="shared" si="2"/>
        <v>0</v>
      </c>
      <c r="K50" s="7" t="e">
        <f>IF(C49&lt;1,"0",Seguros_Oblig!$K$2*(LeasingHab!$C$12*90%))</f>
        <v>#VALUE!</v>
      </c>
      <c r="L50" s="7" t="e">
        <f>IF(B50=" ","0",PMT(LeasingHab!$E$17,LeasingHab!$C$18,-LeasingHab!$C$15,,)-PMT(LeasingHab!$E$17,LeasingHab!$C$18,-LeasingHab!$C$22)+LeasingHab!$C$22*LeasingHab!$E$17)</f>
        <v>#VALUE!</v>
      </c>
      <c r="M50" s="9" t="e">
        <f t="shared" si="3"/>
        <v>#VALUE!</v>
      </c>
      <c r="N50" s="7" t="e">
        <f>IF(C49&lt;1,"0",LeasingHab!$C$39)</f>
        <v>#VALUE!</v>
      </c>
      <c r="O50" s="9" t="e">
        <f t="shared" si="4"/>
        <v>#VALUE!</v>
      </c>
    </row>
    <row r="51" spans="2:15" ht="15.5" x14ac:dyDescent="0.35">
      <c r="B51" s="6" t="e">
        <f t="shared" si="5"/>
        <v>#VALUE!</v>
      </c>
      <c r="C51" s="7" t="e">
        <f t="shared" si="0"/>
        <v>#VALUE!</v>
      </c>
      <c r="D51" s="7" t="e">
        <f t="shared" si="6"/>
        <v>#VALUE!</v>
      </c>
      <c r="E51" s="7" t="e">
        <f>C50*LeasingHab!$E$17</f>
        <v>#VALUE!</v>
      </c>
      <c r="F51" s="8" t="e">
        <f>IF(C50&lt;1,"0",IF(LeasingHab!$D$27="Si",($C$19*(VLOOKUP(LeasingHab!$C$23,Seguros_Oblig!$A$3:$F$55,6,FALSE))),IF(LeasingHab!$C$10="TARIFA 1",(C50*(VLOOKUP(LeasingHab!$C$23,Seguros_Oblig!$A$3:$B$55,2,FALSE))),(C50*(VLOOKUP(LeasingHab!$C$23,Seguros_Oblig!$A$3:$D$55,4,FALSE))))))</f>
        <v>#VALUE!</v>
      </c>
      <c r="G51" s="8" t="e">
        <f>IF(LeasingHab!$C$10="TARIFA 1",(C50*(VLOOKUP(LeasingHab!$C$24,Seguros_Oblig!$A$3:$B$55,2,FALSE))),(C50*(VLOOKUP(LeasingHab!$C$24,Seguros_Oblig!$A$3:$D$55,4,FALSE))))</f>
        <v>#VALUE!</v>
      </c>
      <c r="H51" s="8" t="e">
        <f>IF(LeasingHab!$C$10="TARIFA 1",(C50*(VLOOKUP(LeasingHab!$C$25,Seguros_Oblig!$A$3:$B$55,2,FALSE))),(C50*(VLOOKUP(LeasingHab!$C$25,Seguros_Oblig!$A$3:$D$55,4,FALSE))))</f>
        <v>#VALUE!</v>
      </c>
      <c r="I51" s="8" t="e">
        <f>IF(LeasingHab!$C$10="TARIFA 1",(C50*(VLOOKUP(LeasingHab!$C$26,Seguros_Oblig!$A$3:$B$55,2,FALSE))),(C50*(VLOOKUP(LeasingHab!$C$26,Seguros_Oblig!$A$3:$D$55,4,FALSE))))</f>
        <v>#VALUE!</v>
      </c>
      <c r="J51" s="10">
        <f t="shared" si="2"/>
        <v>0</v>
      </c>
      <c r="K51" s="7" t="e">
        <f>IF(C50&lt;1,"0",Seguros_Oblig!$K$2*(LeasingHab!$C$12*90%))</f>
        <v>#VALUE!</v>
      </c>
      <c r="L51" s="7" t="e">
        <f>IF(B51=" ","0",PMT(LeasingHab!$E$17,LeasingHab!$C$18,-LeasingHab!$C$15,,)-PMT(LeasingHab!$E$17,LeasingHab!$C$18,-LeasingHab!$C$22)+LeasingHab!$C$22*LeasingHab!$E$17)</f>
        <v>#VALUE!</v>
      </c>
      <c r="M51" s="9" t="e">
        <f t="shared" si="3"/>
        <v>#VALUE!</v>
      </c>
      <c r="N51" s="7" t="e">
        <f>IF(C50&lt;1,"0",LeasingHab!$C$39)</f>
        <v>#VALUE!</v>
      </c>
      <c r="O51" s="9" t="e">
        <f t="shared" si="4"/>
        <v>#VALUE!</v>
      </c>
    </row>
    <row r="52" spans="2:15" ht="15.5" x14ac:dyDescent="0.35">
      <c r="B52" s="6" t="e">
        <f t="shared" si="5"/>
        <v>#VALUE!</v>
      </c>
      <c r="C52" s="7" t="e">
        <f t="shared" si="0"/>
        <v>#VALUE!</v>
      </c>
      <c r="D52" s="7" t="e">
        <f t="shared" si="6"/>
        <v>#VALUE!</v>
      </c>
      <c r="E52" s="7" t="e">
        <f>C51*LeasingHab!$E$17</f>
        <v>#VALUE!</v>
      </c>
      <c r="F52" s="8" t="e">
        <f>IF(C51&lt;1,"0",IF(LeasingHab!$D$27="Si",($C$19*(VLOOKUP(LeasingHab!$C$23,Seguros_Oblig!$A$3:$F$55,6,FALSE))),IF(LeasingHab!$C$10="TARIFA 1",(C51*(VLOOKUP(LeasingHab!$C$23,Seguros_Oblig!$A$3:$B$55,2,FALSE))),(C51*(VLOOKUP(LeasingHab!$C$23,Seguros_Oblig!$A$3:$D$55,4,FALSE))))))</f>
        <v>#VALUE!</v>
      </c>
      <c r="G52" s="8" t="e">
        <f>IF(LeasingHab!$C$10="TARIFA 1",(C51*(VLOOKUP(LeasingHab!$C$24,Seguros_Oblig!$A$3:$B$55,2,FALSE))),(C51*(VLOOKUP(LeasingHab!$C$24,Seguros_Oblig!$A$3:$D$55,4,FALSE))))</f>
        <v>#VALUE!</v>
      </c>
      <c r="H52" s="8" t="e">
        <f>IF(LeasingHab!$C$10="TARIFA 1",(C51*(VLOOKUP(LeasingHab!$C$25,Seguros_Oblig!$A$3:$B$55,2,FALSE))),(C51*(VLOOKUP(LeasingHab!$C$25,Seguros_Oblig!$A$3:$D$55,4,FALSE))))</f>
        <v>#VALUE!</v>
      </c>
      <c r="I52" s="8" t="e">
        <f>IF(LeasingHab!$C$10="TARIFA 1",(C51*(VLOOKUP(LeasingHab!$C$26,Seguros_Oblig!$A$3:$B$55,2,FALSE))),(C51*(VLOOKUP(LeasingHab!$C$26,Seguros_Oblig!$A$3:$D$55,4,FALSE))))</f>
        <v>#VALUE!</v>
      </c>
      <c r="J52" s="10">
        <f t="shared" si="2"/>
        <v>0</v>
      </c>
      <c r="K52" s="7" t="e">
        <f>IF(C51&lt;1,"0",Seguros_Oblig!$K$2*(LeasingHab!$C$12*90%))</f>
        <v>#VALUE!</v>
      </c>
      <c r="L52" s="7" t="e">
        <f>IF(B52=" ","0",PMT(LeasingHab!$E$17,LeasingHab!$C$18,-LeasingHab!$C$15,,)-PMT(LeasingHab!$E$17,LeasingHab!$C$18,-LeasingHab!$C$22)+LeasingHab!$C$22*LeasingHab!$E$17)</f>
        <v>#VALUE!</v>
      </c>
      <c r="M52" s="9" t="e">
        <f t="shared" si="3"/>
        <v>#VALUE!</v>
      </c>
      <c r="N52" s="7" t="e">
        <f>IF(C51&lt;1,"0",LeasingHab!$C$39)</f>
        <v>#VALUE!</v>
      </c>
      <c r="O52" s="9" t="e">
        <f t="shared" si="4"/>
        <v>#VALUE!</v>
      </c>
    </row>
    <row r="53" spans="2:15" ht="15.5" x14ac:dyDescent="0.35">
      <c r="B53" s="6" t="e">
        <f t="shared" si="5"/>
        <v>#VALUE!</v>
      </c>
      <c r="C53" s="7" t="e">
        <f t="shared" si="0"/>
        <v>#VALUE!</v>
      </c>
      <c r="D53" s="7" t="e">
        <f t="shared" si="6"/>
        <v>#VALUE!</v>
      </c>
      <c r="E53" s="7" t="e">
        <f>C52*LeasingHab!$E$17</f>
        <v>#VALUE!</v>
      </c>
      <c r="F53" s="8" t="e">
        <f>IF(C52&lt;1,"0",IF(LeasingHab!$D$27="Si",($C$19*(VLOOKUP(LeasingHab!$C$23,Seguros_Oblig!$A$3:$F$55,6,FALSE))),IF(LeasingHab!$C$10="TARIFA 1",(C52*(VLOOKUP(LeasingHab!$C$23,Seguros_Oblig!$A$3:$B$55,2,FALSE))),(C52*(VLOOKUP(LeasingHab!$C$23,Seguros_Oblig!$A$3:$D$55,4,FALSE))))))</f>
        <v>#VALUE!</v>
      </c>
      <c r="G53" s="8" t="e">
        <f>IF(LeasingHab!$C$10="TARIFA 1",(C52*(VLOOKUP(LeasingHab!$C$24,Seguros_Oblig!$A$3:$B$55,2,FALSE))),(C52*(VLOOKUP(LeasingHab!$C$24,Seguros_Oblig!$A$3:$D$55,4,FALSE))))</f>
        <v>#VALUE!</v>
      </c>
      <c r="H53" s="8" t="e">
        <f>IF(LeasingHab!$C$10="TARIFA 1",(C52*(VLOOKUP(LeasingHab!$C$25,Seguros_Oblig!$A$3:$B$55,2,FALSE))),(C52*(VLOOKUP(LeasingHab!$C$25,Seguros_Oblig!$A$3:$D$55,4,FALSE))))</f>
        <v>#VALUE!</v>
      </c>
      <c r="I53" s="8" t="e">
        <f>IF(LeasingHab!$C$10="TARIFA 1",(C52*(VLOOKUP(LeasingHab!$C$26,Seguros_Oblig!$A$3:$B$55,2,FALSE))),(C52*(VLOOKUP(LeasingHab!$C$26,Seguros_Oblig!$A$3:$D$55,4,FALSE))))</f>
        <v>#VALUE!</v>
      </c>
      <c r="J53" s="10">
        <f t="shared" si="2"/>
        <v>0</v>
      </c>
      <c r="K53" s="7" t="e">
        <f>IF(C52&lt;1,"0",Seguros_Oblig!$K$2*(LeasingHab!$C$12*90%))</f>
        <v>#VALUE!</v>
      </c>
      <c r="L53" s="7" t="e">
        <f>IF(B53=" ","0",PMT(LeasingHab!$E$17,LeasingHab!$C$18,-LeasingHab!$C$15,,)-PMT(LeasingHab!$E$17,LeasingHab!$C$18,-LeasingHab!$C$22)+LeasingHab!$C$22*LeasingHab!$E$17)</f>
        <v>#VALUE!</v>
      </c>
      <c r="M53" s="9" t="e">
        <f t="shared" si="3"/>
        <v>#VALUE!</v>
      </c>
      <c r="N53" s="7" t="e">
        <f>IF(C52&lt;1,"0",LeasingHab!$C$39)</f>
        <v>#VALUE!</v>
      </c>
      <c r="O53" s="9" t="e">
        <f t="shared" si="4"/>
        <v>#VALUE!</v>
      </c>
    </row>
    <row r="54" spans="2:15" ht="15.5" x14ac:dyDescent="0.35">
      <c r="B54" s="6" t="e">
        <f t="shared" si="5"/>
        <v>#VALUE!</v>
      </c>
      <c r="C54" s="7" t="e">
        <f t="shared" si="0"/>
        <v>#VALUE!</v>
      </c>
      <c r="D54" s="7" t="e">
        <f t="shared" si="6"/>
        <v>#VALUE!</v>
      </c>
      <c r="E54" s="7" t="e">
        <f>C53*LeasingHab!$E$17</f>
        <v>#VALUE!</v>
      </c>
      <c r="F54" s="8" t="e">
        <f>IF(C53&lt;1,"0",IF(LeasingHab!$D$27="Si",($C$19*(VLOOKUP(LeasingHab!$C$23,Seguros_Oblig!$A$3:$F$55,6,FALSE))),IF(LeasingHab!$C$10="TARIFA 1",(C53*(VLOOKUP(LeasingHab!$C$23,Seguros_Oblig!$A$3:$B$55,2,FALSE))),(C53*(VLOOKUP(LeasingHab!$C$23,Seguros_Oblig!$A$3:$D$55,4,FALSE))))))</f>
        <v>#VALUE!</v>
      </c>
      <c r="G54" s="8" t="e">
        <f>IF(LeasingHab!$C$10="TARIFA 1",(C53*(VLOOKUP(LeasingHab!$C$24,Seguros_Oblig!$A$3:$B$55,2,FALSE))),(C53*(VLOOKUP(LeasingHab!$C$24,Seguros_Oblig!$A$3:$D$55,4,FALSE))))</f>
        <v>#VALUE!</v>
      </c>
      <c r="H54" s="8" t="e">
        <f>IF(LeasingHab!$C$10="TARIFA 1",(C53*(VLOOKUP(LeasingHab!$C$25,Seguros_Oblig!$A$3:$B$55,2,FALSE))),(C53*(VLOOKUP(LeasingHab!$C$25,Seguros_Oblig!$A$3:$D$55,4,FALSE))))</f>
        <v>#VALUE!</v>
      </c>
      <c r="I54" s="8" t="e">
        <f>IF(LeasingHab!$C$10="TARIFA 1",(C53*(VLOOKUP(LeasingHab!$C$26,Seguros_Oblig!$A$3:$B$55,2,FALSE))),(C53*(VLOOKUP(LeasingHab!$C$26,Seguros_Oblig!$A$3:$D$55,4,FALSE))))</f>
        <v>#VALUE!</v>
      </c>
      <c r="J54" s="10">
        <f t="shared" si="2"/>
        <v>0</v>
      </c>
      <c r="K54" s="7" t="e">
        <f>IF(C53&lt;1,"0",Seguros_Oblig!$K$2*(LeasingHab!$C$12*90%))</f>
        <v>#VALUE!</v>
      </c>
      <c r="L54" s="7" t="e">
        <f>IF(B54=" ","0",PMT(LeasingHab!$E$17,LeasingHab!$C$18,-LeasingHab!$C$15,,)-PMT(LeasingHab!$E$17,LeasingHab!$C$18,-LeasingHab!$C$22)+LeasingHab!$C$22*LeasingHab!$E$17)</f>
        <v>#VALUE!</v>
      </c>
      <c r="M54" s="9" t="e">
        <f t="shared" si="3"/>
        <v>#VALUE!</v>
      </c>
      <c r="N54" s="7" t="e">
        <f>IF(C53&lt;1,"0",LeasingHab!$C$39)</f>
        <v>#VALUE!</v>
      </c>
      <c r="O54" s="9" t="e">
        <f t="shared" si="4"/>
        <v>#VALUE!</v>
      </c>
    </row>
    <row r="55" spans="2:15" ht="15.5" x14ac:dyDescent="0.35">
      <c r="B55" s="6" t="e">
        <f t="shared" si="5"/>
        <v>#VALUE!</v>
      </c>
      <c r="C55" s="7" t="e">
        <f t="shared" si="0"/>
        <v>#VALUE!</v>
      </c>
      <c r="D55" s="7" t="e">
        <f t="shared" si="6"/>
        <v>#VALUE!</v>
      </c>
      <c r="E55" s="7" t="e">
        <f>C54*LeasingHab!$E$17</f>
        <v>#VALUE!</v>
      </c>
      <c r="F55" s="8" t="e">
        <f>IF(C54&lt;1,"0",IF(LeasingHab!$D$27="Si",($C$19*(VLOOKUP(LeasingHab!$C$23,Seguros_Oblig!$A$3:$F$55,6,FALSE))),IF(LeasingHab!$C$10="TARIFA 1",(C54*(VLOOKUP(LeasingHab!$C$23,Seguros_Oblig!$A$3:$B$55,2,FALSE))),(C54*(VLOOKUP(LeasingHab!$C$23,Seguros_Oblig!$A$3:$D$55,4,FALSE))))))</f>
        <v>#VALUE!</v>
      </c>
      <c r="G55" s="8" t="e">
        <f>IF(LeasingHab!$C$10="TARIFA 1",(C54*(VLOOKUP(LeasingHab!$C$24,Seguros_Oblig!$A$3:$B$55,2,FALSE))),(C54*(VLOOKUP(LeasingHab!$C$24,Seguros_Oblig!$A$3:$D$55,4,FALSE))))</f>
        <v>#VALUE!</v>
      </c>
      <c r="H55" s="8" t="e">
        <f>IF(LeasingHab!$C$10="TARIFA 1",(C54*(VLOOKUP(LeasingHab!$C$25,Seguros_Oblig!$A$3:$B$55,2,FALSE))),(C54*(VLOOKUP(LeasingHab!$C$25,Seguros_Oblig!$A$3:$D$55,4,FALSE))))</f>
        <v>#VALUE!</v>
      </c>
      <c r="I55" s="8" t="e">
        <f>IF(LeasingHab!$C$10="TARIFA 1",(C54*(VLOOKUP(LeasingHab!$C$26,Seguros_Oblig!$A$3:$B$55,2,FALSE))),(C54*(VLOOKUP(LeasingHab!$C$26,Seguros_Oblig!$A$3:$D$55,4,FALSE))))</f>
        <v>#VALUE!</v>
      </c>
      <c r="J55" s="10">
        <f t="shared" si="2"/>
        <v>0</v>
      </c>
      <c r="K55" s="7" t="e">
        <f>IF(C54&lt;1,"0",Seguros_Oblig!$K$2*(LeasingHab!$C$12*90%))</f>
        <v>#VALUE!</v>
      </c>
      <c r="L55" s="7" t="e">
        <f>IF(B55=" ","0",PMT(LeasingHab!$E$17,LeasingHab!$C$18,-LeasingHab!$C$15,,)-PMT(LeasingHab!$E$17,LeasingHab!$C$18,-LeasingHab!$C$22)+LeasingHab!$C$22*LeasingHab!$E$17)</f>
        <v>#VALUE!</v>
      </c>
      <c r="M55" s="9" t="e">
        <f t="shared" si="3"/>
        <v>#VALUE!</v>
      </c>
      <c r="N55" s="7" t="e">
        <f>IF(C54&lt;1,"0",LeasingHab!$C$39)</f>
        <v>#VALUE!</v>
      </c>
      <c r="O55" s="9" t="e">
        <f t="shared" si="4"/>
        <v>#VALUE!</v>
      </c>
    </row>
    <row r="56" spans="2:15" ht="15.5" x14ac:dyDescent="0.35">
      <c r="B56" s="6" t="e">
        <f t="shared" si="5"/>
        <v>#VALUE!</v>
      </c>
      <c r="C56" s="7" t="e">
        <f t="shared" si="0"/>
        <v>#VALUE!</v>
      </c>
      <c r="D56" s="7" t="e">
        <f t="shared" si="6"/>
        <v>#VALUE!</v>
      </c>
      <c r="E56" s="7" t="e">
        <f>C55*LeasingHab!$E$17</f>
        <v>#VALUE!</v>
      </c>
      <c r="F56" s="8" t="e">
        <f>IF(C55&lt;1,"0",IF(LeasingHab!$D$27="Si",($C$19*(VLOOKUP(LeasingHab!$C$23,Seguros_Oblig!$A$3:$F$55,6,FALSE))),IF(LeasingHab!$C$10="TARIFA 1",(C55*(VLOOKUP(LeasingHab!$C$23,Seguros_Oblig!$A$3:$B$55,2,FALSE))),(C55*(VLOOKUP(LeasingHab!$C$23,Seguros_Oblig!$A$3:$D$55,4,FALSE))))))</f>
        <v>#VALUE!</v>
      </c>
      <c r="G56" s="8" t="e">
        <f>IF(LeasingHab!$C$10="TARIFA 1",(C55*(VLOOKUP(LeasingHab!$C$24,Seguros_Oblig!$A$3:$B$55,2,FALSE))),(C55*(VLOOKUP(LeasingHab!$C$24,Seguros_Oblig!$A$3:$D$55,4,FALSE))))</f>
        <v>#VALUE!</v>
      </c>
      <c r="H56" s="8" t="e">
        <f>IF(LeasingHab!$C$10="TARIFA 1",(C55*(VLOOKUP(LeasingHab!$C$25,Seguros_Oblig!$A$3:$B$55,2,FALSE))),(C55*(VLOOKUP(LeasingHab!$C$25,Seguros_Oblig!$A$3:$D$55,4,FALSE))))</f>
        <v>#VALUE!</v>
      </c>
      <c r="I56" s="8" t="e">
        <f>IF(LeasingHab!$C$10="TARIFA 1",(C55*(VLOOKUP(LeasingHab!$C$26,Seguros_Oblig!$A$3:$B$55,2,FALSE))),(C55*(VLOOKUP(LeasingHab!$C$26,Seguros_Oblig!$A$3:$D$55,4,FALSE))))</f>
        <v>#VALUE!</v>
      </c>
      <c r="J56" s="10">
        <f t="shared" si="2"/>
        <v>0</v>
      </c>
      <c r="K56" s="7" t="e">
        <f>IF(C55&lt;1,"0",Seguros_Oblig!$K$2*(LeasingHab!$C$12*90%))</f>
        <v>#VALUE!</v>
      </c>
      <c r="L56" s="7" t="e">
        <f>IF(B56=" ","0",PMT(LeasingHab!$E$17,LeasingHab!$C$18,-LeasingHab!$C$15,,)-PMT(LeasingHab!$E$17,LeasingHab!$C$18,-LeasingHab!$C$22)+LeasingHab!$C$22*LeasingHab!$E$17)</f>
        <v>#VALUE!</v>
      </c>
      <c r="M56" s="9" t="e">
        <f t="shared" si="3"/>
        <v>#VALUE!</v>
      </c>
      <c r="N56" s="7" t="e">
        <f>IF(C55&lt;1,"0",LeasingHab!$C$39)</f>
        <v>#VALUE!</v>
      </c>
      <c r="O56" s="9" t="e">
        <f t="shared" si="4"/>
        <v>#VALUE!</v>
      </c>
    </row>
    <row r="57" spans="2:15" ht="15.5" x14ac:dyDescent="0.35">
      <c r="B57" s="6" t="e">
        <f t="shared" si="5"/>
        <v>#VALUE!</v>
      </c>
      <c r="C57" s="7" t="e">
        <f t="shared" si="0"/>
        <v>#VALUE!</v>
      </c>
      <c r="D57" s="7" t="e">
        <f t="shared" si="6"/>
        <v>#VALUE!</v>
      </c>
      <c r="E57" s="7" t="e">
        <f>C56*LeasingHab!$E$17</f>
        <v>#VALUE!</v>
      </c>
      <c r="F57" s="8" t="e">
        <f>IF(C56&lt;1,"0",IF(LeasingHab!$D$27="Si",($C$19*(VLOOKUP(LeasingHab!$C$23,Seguros_Oblig!$A$3:$F$55,6,FALSE))),IF(LeasingHab!$C$10="TARIFA 1",(C56*(VLOOKUP(LeasingHab!$C$23,Seguros_Oblig!$A$3:$B$55,2,FALSE))),(C56*(VLOOKUP(LeasingHab!$C$23,Seguros_Oblig!$A$3:$D$55,4,FALSE))))))</f>
        <v>#VALUE!</v>
      </c>
      <c r="G57" s="8" t="e">
        <f>IF(LeasingHab!$C$10="TARIFA 1",(C56*(VLOOKUP(LeasingHab!$C$24,Seguros_Oblig!$A$3:$B$55,2,FALSE))),(C56*(VLOOKUP(LeasingHab!$C$24,Seguros_Oblig!$A$3:$D$55,4,FALSE))))</f>
        <v>#VALUE!</v>
      </c>
      <c r="H57" s="8" t="e">
        <f>IF(LeasingHab!$C$10="TARIFA 1",(C56*(VLOOKUP(LeasingHab!$C$25,Seguros_Oblig!$A$3:$B$55,2,FALSE))),(C56*(VLOOKUP(LeasingHab!$C$25,Seguros_Oblig!$A$3:$D$55,4,FALSE))))</f>
        <v>#VALUE!</v>
      </c>
      <c r="I57" s="8" t="e">
        <f>IF(LeasingHab!$C$10="TARIFA 1",(C56*(VLOOKUP(LeasingHab!$C$26,Seguros_Oblig!$A$3:$B$55,2,FALSE))),(C56*(VLOOKUP(LeasingHab!$C$26,Seguros_Oblig!$A$3:$D$55,4,FALSE))))</f>
        <v>#VALUE!</v>
      </c>
      <c r="J57" s="10">
        <f t="shared" si="2"/>
        <v>0</v>
      </c>
      <c r="K57" s="7" t="e">
        <f>IF(C56&lt;1,"0",Seguros_Oblig!$K$2*(LeasingHab!$C$12*90%))</f>
        <v>#VALUE!</v>
      </c>
      <c r="L57" s="7" t="e">
        <f>IF(B57=" ","0",PMT(LeasingHab!$E$17,LeasingHab!$C$18,-LeasingHab!$C$15,,)-PMT(LeasingHab!$E$17,LeasingHab!$C$18,-LeasingHab!$C$22)+LeasingHab!$C$22*LeasingHab!$E$17)</f>
        <v>#VALUE!</v>
      </c>
      <c r="M57" s="9" t="e">
        <f t="shared" si="3"/>
        <v>#VALUE!</v>
      </c>
      <c r="N57" s="7" t="e">
        <f>IF(C56&lt;1,"0",LeasingHab!$C$39)</f>
        <v>#VALUE!</v>
      </c>
      <c r="O57" s="9" t="e">
        <f t="shared" si="4"/>
        <v>#VALUE!</v>
      </c>
    </row>
    <row r="58" spans="2:15" ht="15.5" x14ac:dyDescent="0.35">
      <c r="B58" s="6" t="e">
        <f t="shared" si="5"/>
        <v>#VALUE!</v>
      </c>
      <c r="C58" s="7" t="e">
        <f t="shared" si="0"/>
        <v>#VALUE!</v>
      </c>
      <c r="D58" s="7" t="e">
        <f t="shared" si="6"/>
        <v>#VALUE!</v>
      </c>
      <c r="E58" s="7" t="e">
        <f>C57*LeasingHab!$E$17</f>
        <v>#VALUE!</v>
      </c>
      <c r="F58" s="8" t="e">
        <f>IF(C57&lt;1,"0",IF(LeasingHab!$D$27="Si",($C$19*(VLOOKUP(LeasingHab!$C$23,Seguros_Oblig!$A$3:$F$55,6,FALSE))),IF(LeasingHab!$C$10="TARIFA 1",(C57*(VLOOKUP(LeasingHab!$C$23,Seguros_Oblig!$A$3:$B$55,2,FALSE))),(C57*(VLOOKUP(LeasingHab!$C$23,Seguros_Oblig!$A$3:$D$55,4,FALSE))))))</f>
        <v>#VALUE!</v>
      </c>
      <c r="G58" s="8" t="e">
        <f>IF(LeasingHab!$C$10="TARIFA 1",(C57*(VLOOKUP(LeasingHab!$C$24,Seguros_Oblig!$A$3:$B$55,2,FALSE))),(C57*(VLOOKUP(LeasingHab!$C$24,Seguros_Oblig!$A$3:$D$55,4,FALSE))))</f>
        <v>#VALUE!</v>
      </c>
      <c r="H58" s="8" t="e">
        <f>IF(LeasingHab!$C$10="TARIFA 1",(C57*(VLOOKUP(LeasingHab!$C$25,Seguros_Oblig!$A$3:$B$55,2,FALSE))),(C57*(VLOOKUP(LeasingHab!$C$25,Seguros_Oblig!$A$3:$D$55,4,FALSE))))</f>
        <v>#VALUE!</v>
      </c>
      <c r="I58" s="8" t="e">
        <f>IF(LeasingHab!$C$10="TARIFA 1",(C57*(VLOOKUP(LeasingHab!$C$26,Seguros_Oblig!$A$3:$B$55,2,FALSE))),(C57*(VLOOKUP(LeasingHab!$C$26,Seguros_Oblig!$A$3:$D$55,4,FALSE))))</f>
        <v>#VALUE!</v>
      </c>
      <c r="J58" s="10">
        <f t="shared" si="2"/>
        <v>0</v>
      </c>
      <c r="K58" s="7" t="e">
        <f>IF(C57&lt;1,"0",Seguros_Oblig!$K$2*(LeasingHab!$C$12*90%))</f>
        <v>#VALUE!</v>
      </c>
      <c r="L58" s="7" t="e">
        <f>IF(B58=" ","0",PMT(LeasingHab!$E$17,LeasingHab!$C$18,-LeasingHab!$C$15,,)-PMT(LeasingHab!$E$17,LeasingHab!$C$18,-LeasingHab!$C$22)+LeasingHab!$C$22*LeasingHab!$E$17)</f>
        <v>#VALUE!</v>
      </c>
      <c r="M58" s="9" t="e">
        <f t="shared" si="3"/>
        <v>#VALUE!</v>
      </c>
      <c r="N58" s="7" t="e">
        <f>IF(C57&lt;1,"0",LeasingHab!$C$39)</f>
        <v>#VALUE!</v>
      </c>
      <c r="O58" s="9" t="e">
        <f t="shared" si="4"/>
        <v>#VALUE!</v>
      </c>
    </row>
    <row r="59" spans="2:15" ht="15.5" x14ac:dyDescent="0.35">
      <c r="B59" s="6" t="e">
        <f t="shared" si="5"/>
        <v>#VALUE!</v>
      </c>
      <c r="C59" s="7" t="e">
        <f t="shared" si="0"/>
        <v>#VALUE!</v>
      </c>
      <c r="D59" s="7" t="e">
        <f t="shared" si="6"/>
        <v>#VALUE!</v>
      </c>
      <c r="E59" s="7" t="e">
        <f>C58*LeasingHab!$E$17</f>
        <v>#VALUE!</v>
      </c>
      <c r="F59" s="8" t="e">
        <f>IF(C58&lt;1,"0",IF(LeasingHab!$D$27="Si",($C$19*(VLOOKUP(LeasingHab!$C$23,Seguros_Oblig!$A$3:$F$55,6,FALSE))),IF(LeasingHab!$C$10="TARIFA 1",(C58*(VLOOKUP(LeasingHab!$C$23,Seguros_Oblig!$A$3:$B$55,2,FALSE))),(C58*(VLOOKUP(LeasingHab!$C$23,Seguros_Oblig!$A$3:$D$55,4,FALSE))))))</f>
        <v>#VALUE!</v>
      </c>
      <c r="G59" s="8" t="e">
        <f>IF(LeasingHab!$C$10="TARIFA 1",(C58*(VLOOKUP(LeasingHab!$C$24,Seguros_Oblig!$A$3:$B$55,2,FALSE))),(C58*(VLOOKUP(LeasingHab!$C$24,Seguros_Oblig!$A$3:$D$55,4,FALSE))))</f>
        <v>#VALUE!</v>
      </c>
      <c r="H59" s="8" t="e">
        <f>IF(LeasingHab!$C$10="TARIFA 1",(C58*(VLOOKUP(LeasingHab!$C$25,Seguros_Oblig!$A$3:$B$55,2,FALSE))),(C58*(VLOOKUP(LeasingHab!$C$25,Seguros_Oblig!$A$3:$D$55,4,FALSE))))</f>
        <v>#VALUE!</v>
      </c>
      <c r="I59" s="8" t="e">
        <f>IF(LeasingHab!$C$10="TARIFA 1",(C58*(VLOOKUP(LeasingHab!$C$26,Seguros_Oblig!$A$3:$B$55,2,FALSE))),(C58*(VLOOKUP(LeasingHab!$C$26,Seguros_Oblig!$A$3:$D$55,4,FALSE))))</f>
        <v>#VALUE!</v>
      </c>
      <c r="J59" s="10">
        <f t="shared" si="2"/>
        <v>0</v>
      </c>
      <c r="K59" s="7" t="e">
        <f>IF(C58&lt;1,"0",Seguros_Oblig!$K$2*(LeasingHab!$C$12*90%))</f>
        <v>#VALUE!</v>
      </c>
      <c r="L59" s="7" t="e">
        <f>IF(B59=" ","0",PMT(LeasingHab!$E$17,LeasingHab!$C$18,-LeasingHab!$C$15,,)-PMT(LeasingHab!$E$17,LeasingHab!$C$18,-LeasingHab!$C$22)+LeasingHab!$C$22*LeasingHab!$E$17)</f>
        <v>#VALUE!</v>
      </c>
      <c r="M59" s="9" t="e">
        <f t="shared" si="3"/>
        <v>#VALUE!</v>
      </c>
      <c r="N59" s="7" t="e">
        <f>IF(C58&lt;1,"0",LeasingHab!$C$39)</f>
        <v>#VALUE!</v>
      </c>
      <c r="O59" s="9" t="e">
        <f t="shared" si="4"/>
        <v>#VALUE!</v>
      </c>
    </row>
    <row r="60" spans="2:15" ht="15.5" x14ac:dyDescent="0.35">
      <c r="B60" s="6" t="e">
        <f t="shared" si="5"/>
        <v>#VALUE!</v>
      </c>
      <c r="C60" s="7" t="e">
        <f t="shared" si="0"/>
        <v>#VALUE!</v>
      </c>
      <c r="D60" s="7" t="e">
        <f t="shared" si="6"/>
        <v>#VALUE!</v>
      </c>
      <c r="E60" s="7" t="e">
        <f>C59*LeasingHab!$E$17</f>
        <v>#VALUE!</v>
      </c>
      <c r="F60" s="8" t="e">
        <f>IF(C59&lt;1,"0",IF(LeasingHab!$D$27="Si",($C$19*(VLOOKUP(LeasingHab!$C$23,Seguros_Oblig!$A$3:$F$55,6,FALSE))),IF(LeasingHab!$C$10="TARIFA 1",(C59*(VLOOKUP(LeasingHab!$C$23,Seguros_Oblig!$A$3:$B$55,2,FALSE))),(C59*(VLOOKUP(LeasingHab!$C$23,Seguros_Oblig!$A$3:$D$55,4,FALSE))))))</f>
        <v>#VALUE!</v>
      </c>
      <c r="G60" s="8" t="e">
        <f>IF(LeasingHab!$C$10="TARIFA 1",(C59*(VLOOKUP(LeasingHab!$C$24,Seguros_Oblig!$A$3:$B$55,2,FALSE))),(C59*(VLOOKUP(LeasingHab!$C$24,Seguros_Oblig!$A$3:$D$55,4,FALSE))))</f>
        <v>#VALUE!</v>
      </c>
      <c r="H60" s="8" t="e">
        <f>IF(LeasingHab!$C$10="TARIFA 1",(C59*(VLOOKUP(LeasingHab!$C$25,Seguros_Oblig!$A$3:$B$55,2,FALSE))),(C59*(VLOOKUP(LeasingHab!$C$25,Seguros_Oblig!$A$3:$D$55,4,FALSE))))</f>
        <v>#VALUE!</v>
      </c>
      <c r="I60" s="8" t="e">
        <f>IF(LeasingHab!$C$10="TARIFA 1",(C59*(VLOOKUP(LeasingHab!$C$26,Seguros_Oblig!$A$3:$B$55,2,FALSE))),(C59*(VLOOKUP(LeasingHab!$C$26,Seguros_Oblig!$A$3:$D$55,4,FALSE))))</f>
        <v>#VALUE!</v>
      </c>
      <c r="J60" s="10">
        <f t="shared" si="2"/>
        <v>0</v>
      </c>
      <c r="K60" s="7" t="e">
        <f>IF(C59&lt;1,"0",Seguros_Oblig!$K$2*(LeasingHab!$C$12*90%))</f>
        <v>#VALUE!</v>
      </c>
      <c r="L60" s="7" t="e">
        <f>IF(B60=" ","0",PMT(LeasingHab!$E$17,LeasingHab!$C$18,-LeasingHab!$C$15,,)-PMT(LeasingHab!$E$17,LeasingHab!$C$18,-LeasingHab!$C$22)+LeasingHab!$C$22*LeasingHab!$E$17)</f>
        <v>#VALUE!</v>
      </c>
      <c r="M60" s="9" t="e">
        <f t="shared" si="3"/>
        <v>#VALUE!</v>
      </c>
      <c r="N60" s="7" t="e">
        <f>IF(C59&lt;1,"0",LeasingHab!$C$39)</f>
        <v>#VALUE!</v>
      </c>
      <c r="O60" s="9" t="e">
        <f t="shared" si="4"/>
        <v>#VALUE!</v>
      </c>
    </row>
    <row r="61" spans="2:15" ht="15.5" x14ac:dyDescent="0.35">
      <c r="B61" s="6" t="e">
        <f t="shared" si="5"/>
        <v>#VALUE!</v>
      </c>
      <c r="C61" s="7" t="e">
        <f t="shared" si="0"/>
        <v>#VALUE!</v>
      </c>
      <c r="D61" s="7" t="e">
        <f t="shared" si="6"/>
        <v>#VALUE!</v>
      </c>
      <c r="E61" s="7" t="e">
        <f>C60*LeasingHab!$E$17</f>
        <v>#VALUE!</v>
      </c>
      <c r="F61" s="8" t="e">
        <f>IF(C60&lt;1,"0",IF(LeasingHab!$D$27="Si",($C$19*(VLOOKUP(LeasingHab!$C$23,Seguros_Oblig!$A$3:$F$55,6,FALSE))),IF(LeasingHab!$C$10="TARIFA 1",(C60*(VLOOKUP(LeasingHab!$C$23,Seguros_Oblig!$A$3:$B$55,2,FALSE))),(C60*(VLOOKUP(LeasingHab!$C$23,Seguros_Oblig!$A$3:$D$55,4,FALSE))))))</f>
        <v>#VALUE!</v>
      </c>
      <c r="G61" s="8" t="e">
        <f>IF(LeasingHab!$C$10="TARIFA 1",(C60*(VLOOKUP(LeasingHab!$C$24,Seguros_Oblig!$A$3:$B$55,2,FALSE))),(C60*(VLOOKUP(LeasingHab!$C$24,Seguros_Oblig!$A$3:$D$55,4,FALSE))))</f>
        <v>#VALUE!</v>
      </c>
      <c r="H61" s="8" t="e">
        <f>IF(LeasingHab!$C$10="TARIFA 1",(C60*(VLOOKUP(LeasingHab!$C$25,Seguros_Oblig!$A$3:$B$55,2,FALSE))),(C60*(VLOOKUP(LeasingHab!$C$25,Seguros_Oblig!$A$3:$D$55,4,FALSE))))</f>
        <v>#VALUE!</v>
      </c>
      <c r="I61" s="8" t="e">
        <f>IF(LeasingHab!$C$10="TARIFA 1",(C60*(VLOOKUP(LeasingHab!$C$26,Seguros_Oblig!$A$3:$B$55,2,FALSE))),(C60*(VLOOKUP(LeasingHab!$C$26,Seguros_Oblig!$A$3:$D$55,4,FALSE))))</f>
        <v>#VALUE!</v>
      </c>
      <c r="J61" s="10">
        <f t="shared" si="2"/>
        <v>0</v>
      </c>
      <c r="K61" s="7" t="e">
        <f>IF(C60&lt;1,"0",Seguros_Oblig!$K$2*(LeasingHab!$C$12*90%))</f>
        <v>#VALUE!</v>
      </c>
      <c r="L61" s="7" t="e">
        <f>IF(B61=" ","0",PMT(LeasingHab!$E$17,LeasingHab!$C$18,-LeasingHab!$C$15,,)-PMT(LeasingHab!$E$17,LeasingHab!$C$18,-LeasingHab!$C$22)+LeasingHab!$C$22*LeasingHab!$E$17)</f>
        <v>#VALUE!</v>
      </c>
      <c r="M61" s="9" t="e">
        <f t="shared" si="3"/>
        <v>#VALUE!</v>
      </c>
      <c r="N61" s="7" t="e">
        <f>IF(C60&lt;1,"0",LeasingHab!$C$39)</f>
        <v>#VALUE!</v>
      </c>
      <c r="O61" s="9" t="e">
        <f t="shared" si="4"/>
        <v>#VALUE!</v>
      </c>
    </row>
    <row r="62" spans="2:15" ht="15.5" x14ac:dyDescent="0.35">
      <c r="B62" s="6" t="e">
        <f t="shared" si="5"/>
        <v>#VALUE!</v>
      </c>
      <c r="C62" s="7" t="e">
        <f t="shared" si="0"/>
        <v>#VALUE!</v>
      </c>
      <c r="D62" s="7" t="e">
        <f t="shared" si="6"/>
        <v>#VALUE!</v>
      </c>
      <c r="E62" s="7" t="e">
        <f>C61*LeasingHab!$E$17</f>
        <v>#VALUE!</v>
      </c>
      <c r="F62" s="8" t="e">
        <f>IF(C61&lt;1,"0",IF(LeasingHab!$D$27="Si",($C$19*(VLOOKUP(LeasingHab!$C$23,Seguros_Oblig!$A$3:$F$55,6,FALSE))),IF(LeasingHab!$C$10="TARIFA 1",(C61*(VLOOKUP(LeasingHab!$C$23,Seguros_Oblig!$A$3:$B$55,2,FALSE))),(C61*(VLOOKUP(LeasingHab!$C$23,Seguros_Oblig!$A$3:$D$55,4,FALSE))))))</f>
        <v>#VALUE!</v>
      </c>
      <c r="G62" s="8" t="e">
        <f>IF(LeasingHab!$C$10="TARIFA 1",(C61*(VLOOKUP(LeasingHab!$C$24,Seguros_Oblig!$A$3:$B$55,2,FALSE))),(C61*(VLOOKUP(LeasingHab!$C$24,Seguros_Oblig!$A$3:$D$55,4,FALSE))))</f>
        <v>#VALUE!</v>
      </c>
      <c r="H62" s="8" t="e">
        <f>IF(LeasingHab!$C$10="TARIFA 1",(C61*(VLOOKUP(LeasingHab!$C$25,Seguros_Oblig!$A$3:$B$55,2,FALSE))),(C61*(VLOOKUP(LeasingHab!$C$25,Seguros_Oblig!$A$3:$D$55,4,FALSE))))</f>
        <v>#VALUE!</v>
      </c>
      <c r="I62" s="8" t="e">
        <f>IF(LeasingHab!$C$10="TARIFA 1",(C61*(VLOOKUP(LeasingHab!$C$26,Seguros_Oblig!$A$3:$B$55,2,FALSE))),(C61*(VLOOKUP(LeasingHab!$C$26,Seguros_Oblig!$A$3:$D$55,4,FALSE))))</f>
        <v>#VALUE!</v>
      </c>
      <c r="J62" s="10">
        <f t="shared" si="2"/>
        <v>0</v>
      </c>
      <c r="K62" s="7" t="e">
        <f>IF(C61&lt;1,"0",Seguros_Oblig!$K$2*(LeasingHab!$C$12*90%))</f>
        <v>#VALUE!</v>
      </c>
      <c r="L62" s="7" t="e">
        <f>IF(B62=" ","0",PMT(LeasingHab!$E$17,LeasingHab!$C$18,-LeasingHab!$C$15,,)-PMT(LeasingHab!$E$17,LeasingHab!$C$18,-LeasingHab!$C$22)+LeasingHab!$C$22*LeasingHab!$E$17)</f>
        <v>#VALUE!</v>
      </c>
      <c r="M62" s="9" t="e">
        <f t="shared" si="3"/>
        <v>#VALUE!</v>
      </c>
      <c r="N62" s="7" t="e">
        <f>IF(C61&lt;1,"0",LeasingHab!$C$39)</f>
        <v>#VALUE!</v>
      </c>
      <c r="O62" s="9" t="e">
        <f t="shared" si="4"/>
        <v>#VALUE!</v>
      </c>
    </row>
    <row r="63" spans="2:15" ht="15.5" x14ac:dyDescent="0.35">
      <c r="B63" s="6" t="e">
        <f t="shared" si="5"/>
        <v>#VALUE!</v>
      </c>
      <c r="C63" s="7" t="e">
        <f t="shared" si="0"/>
        <v>#VALUE!</v>
      </c>
      <c r="D63" s="7" t="e">
        <f t="shared" si="6"/>
        <v>#VALUE!</v>
      </c>
      <c r="E63" s="7" t="e">
        <f>C62*LeasingHab!$E$17</f>
        <v>#VALUE!</v>
      </c>
      <c r="F63" s="8" t="e">
        <f>IF(C62&lt;1,"0",IF(LeasingHab!$D$27="Si",($C$19*(VLOOKUP(LeasingHab!$C$23,Seguros_Oblig!$A$3:$F$55,6,FALSE))),IF(LeasingHab!$C$10="TARIFA 1",(C62*(VLOOKUP(LeasingHab!$C$23,Seguros_Oblig!$A$3:$B$55,2,FALSE))),(C62*(VLOOKUP(LeasingHab!$C$23,Seguros_Oblig!$A$3:$D$55,4,FALSE))))))</f>
        <v>#VALUE!</v>
      </c>
      <c r="G63" s="8" t="e">
        <f>IF(LeasingHab!$C$10="TARIFA 1",(C62*(VLOOKUP(LeasingHab!$C$24,Seguros_Oblig!$A$3:$B$55,2,FALSE))),(C62*(VLOOKUP(LeasingHab!$C$24,Seguros_Oblig!$A$3:$D$55,4,FALSE))))</f>
        <v>#VALUE!</v>
      </c>
      <c r="H63" s="8" t="e">
        <f>IF(LeasingHab!$C$10="TARIFA 1",(C62*(VLOOKUP(LeasingHab!$C$25,Seguros_Oblig!$A$3:$B$55,2,FALSE))),(C62*(VLOOKUP(LeasingHab!$C$25,Seguros_Oblig!$A$3:$D$55,4,FALSE))))</f>
        <v>#VALUE!</v>
      </c>
      <c r="I63" s="8" t="e">
        <f>IF(LeasingHab!$C$10="TARIFA 1",(C62*(VLOOKUP(LeasingHab!$C$26,Seguros_Oblig!$A$3:$B$55,2,FALSE))),(C62*(VLOOKUP(LeasingHab!$C$26,Seguros_Oblig!$A$3:$D$55,4,FALSE))))</f>
        <v>#VALUE!</v>
      </c>
      <c r="J63" s="10">
        <f t="shared" si="2"/>
        <v>0</v>
      </c>
      <c r="K63" s="7" t="e">
        <f>IF(C62&lt;1,"0",Seguros_Oblig!$K$2*(LeasingHab!$C$12*90%))</f>
        <v>#VALUE!</v>
      </c>
      <c r="L63" s="7" t="e">
        <f>IF(B63=" ","0",PMT(LeasingHab!$E$17,LeasingHab!$C$18,-LeasingHab!$C$15,,)-PMT(LeasingHab!$E$17,LeasingHab!$C$18,-LeasingHab!$C$22)+LeasingHab!$C$22*LeasingHab!$E$17)</f>
        <v>#VALUE!</v>
      </c>
      <c r="M63" s="9" t="e">
        <f t="shared" si="3"/>
        <v>#VALUE!</v>
      </c>
      <c r="N63" s="7" t="e">
        <f>IF(C62&lt;1,"0",LeasingHab!$C$39)</f>
        <v>#VALUE!</v>
      </c>
      <c r="O63" s="9" t="e">
        <f t="shared" si="4"/>
        <v>#VALUE!</v>
      </c>
    </row>
    <row r="64" spans="2:15" ht="15.5" x14ac:dyDescent="0.35">
      <c r="B64" s="6" t="e">
        <f t="shared" si="5"/>
        <v>#VALUE!</v>
      </c>
      <c r="C64" s="7" t="e">
        <f t="shared" si="0"/>
        <v>#VALUE!</v>
      </c>
      <c r="D64" s="7" t="e">
        <f t="shared" si="6"/>
        <v>#VALUE!</v>
      </c>
      <c r="E64" s="7" t="e">
        <f>C63*LeasingHab!$E$17</f>
        <v>#VALUE!</v>
      </c>
      <c r="F64" s="8" t="e">
        <f>IF(C63&lt;1,"0",IF(LeasingHab!$D$27="Si",($C$19*(VLOOKUP(LeasingHab!$C$23,Seguros_Oblig!$A$3:$F$55,6,FALSE))),IF(LeasingHab!$C$10="TARIFA 1",(C63*(VLOOKUP(LeasingHab!$C$23,Seguros_Oblig!$A$3:$B$55,2,FALSE))),(C63*(VLOOKUP(LeasingHab!$C$23,Seguros_Oblig!$A$3:$D$55,4,FALSE))))))</f>
        <v>#VALUE!</v>
      </c>
      <c r="G64" s="8" t="e">
        <f>IF(LeasingHab!$C$10="TARIFA 1",(C63*(VLOOKUP(LeasingHab!$C$24,Seguros_Oblig!$A$3:$B$55,2,FALSE))),(C63*(VLOOKUP(LeasingHab!$C$24,Seguros_Oblig!$A$3:$D$55,4,FALSE))))</f>
        <v>#VALUE!</v>
      </c>
      <c r="H64" s="8" t="e">
        <f>IF(LeasingHab!$C$10="TARIFA 1",(C63*(VLOOKUP(LeasingHab!$C$25,Seguros_Oblig!$A$3:$B$55,2,FALSE))),(C63*(VLOOKUP(LeasingHab!$C$25,Seguros_Oblig!$A$3:$D$55,4,FALSE))))</f>
        <v>#VALUE!</v>
      </c>
      <c r="I64" s="8" t="e">
        <f>IF(LeasingHab!$C$10="TARIFA 1",(C63*(VLOOKUP(LeasingHab!$C$26,Seguros_Oblig!$A$3:$B$55,2,FALSE))),(C63*(VLOOKUP(LeasingHab!$C$26,Seguros_Oblig!$A$3:$D$55,4,FALSE))))</f>
        <v>#VALUE!</v>
      </c>
      <c r="J64" s="10">
        <f t="shared" si="2"/>
        <v>0</v>
      </c>
      <c r="K64" s="7" t="e">
        <f>IF(C63&lt;1,"0",Seguros_Oblig!$K$2*(LeasingHab!$C$12*90%))</f>
        <v>#VALUE!</v>
      </c>
      <c r="L64" s="7" t="e">
        <f>IF(B64=" ","0",PMT(LeasingHab!$E$17,LeasingHab!$C$18,-LeasingHab!$C$15,,)-PMT(LeasingHab!$E$17,LeasingHab!$C$18,-LeasingHab!$C$22)+LeasingHab!$C$22*LeasingHab!$E$17)</f>
        <v>#VALUE!</v>
      </c>
      <c r="M64" s="9" t="e">
        <f t="shared" si="3"/>
        <v>#VALUE!</v>
      </c>
      <c r="N64" s="7" t="e">
        <f>IF(C63&lt;1,"0",LeasingHab!$C$39)</f>
        <v>#VALUE!</v>
      </c>
      <c r="O64" s="9" t="e">
        <f t="shared" si="4"/>
        <v>#VALUE!</v>
      </c>
    </row>
    <row r="65" spans="2:15" ht="15.5" x14ac:dyDescent="0.35">
      <c r="B65" s="6" t="e">
        <f t="shared" si="5"/>
        <v>#VALUE!</v>
      </c>
      <c r="C65" s="7" t="e">
        <f t="shared" si="0"/>
        <v>#VALUE!</v>
      </c>
      <c r="D65" s="7" t="e">
        <f t="shared" si="6"/>
        <v>#VALUE!</v>
      </c>
      <c r="E65" s="7" t="e">
        <f>C64*LeasingHab!$E$17</f>
        <v>#VALUE!</v>
      </c>
      <c r="F65" s="8" t="e">
        <f>IF(C64&lt;1,"0",IF(LeasingHab!$D$27="Si",($C$19*(VLOOKUP(LeasingHab!$C$23,Seguros_Oblig!$A$3:$F$55,6,FALSE))),IF(LeasingHab!$C$10="TARIFA 1",(C64*(VLOOKUP(LeasingHab!$C$23,Seguros_Oblig!$A$3:$B$55,2,FALSE))),(C64*(VLOOKUP(LeasingHab!$C$23,Seguros_Oblig!$A$3:$D$55,4,FALSE))))))</f>
        <v>#VALUE!</v>
      </c>
      <c r="G65" s="8" t="e">
        <f>IF(LeasingHab!$C$10="TARIFA 1",(C64*(VLOOKUP(LeasingHab!$C$24,Seguros_Oblig!$A$3:$B$55,2,FALSE))),(C64*(VLOOKUP(LeasingHab!$C$24,Seguros_Oblig!$A$3:$D$55,4,FALSE))))</f>
        <v>#VALUE!</v>
      </c>
      <c r="H65" s="8" t="e">
        <f>IF(LeasingHab!$C$10="TARIFA 1",(C64*(VLOOKUP(LeasingHab!$C$25,Seguros_Oblig!$A$3:$B$55,2,FALSE))),(C64*(VLOOKUP(LeasingHab!$C$25,Seguros_Oblig!$A$3:$D$55,4,FALSE))))</f>
        <v>#VALUE!</v>
      </c>
      <c r="I65" s="8" t="e">
        <f>IF(LeasingHab!$C$10="TARIFA 1",(C64*(VLOOKUP(LeasingHab!$C$26,Seguros_Oblig!$A$3:$B$55,2,FALSE))),(C64*(VLOOKUP(LeasingHab!$C$26,Seguros_Oblig!$A$3:$D$55,4,FALSE))))</f>
        <v>#VALUE!</v>
      </c>
      <c r="J65" s="10">
        <f t="shared" si="2"/>
        <v>0</v>
      </c>
      <c r="K65" s="7" t="e">
        <f>IF(C64&lt;1,"0",Seguros_Oblig!$K$2*(LeasingHab!$C$12*90%))</f>
        <v>#VALUE!</v>
      </c>
      <c r="L65" s="7" t="e">
        <f>IF(B65=" ","0",PMT(LeasingHab!$E$17,LeasingHab!$C$18,-LeasingHab!$C$15,,)-PMT(LeasingHab!$E$17,LeasingHab!$C$18,-LeasingHab!$C$22)+LeasingHab!$C$22*LeasingHab!$E$17)</f>
        <v>#VALUE!</v>
      </c>
      <c r="M65" s="9" t="e">
        <f t="shared" si="3"/>
        <v>#VALUE!</v>
      </c>
      <c r="N65" s="7" t="e">
        <f>IF(C64&lt;1,"0",LeasingHab!$C$39)</f>
        <v>#VALUE!</v>
      </c>
      <c r="O65" s="9" t="e">
        <f t="shared" si="4"/>
        <v>#VALUE!</v>
      </c>
    </row>
    <row r="66" spans="2:15" ht="15.5" x14ac:dyDescent="0.35">
      <c r="B66" s="6" t="e">
        <f t="shared" si="5"/>
        <v>#VALUE!</v>
      </c>
      <c r="C66" s="7" t="e">
        <f t="shared" si="0"/>
        <v>#VALUE!</v>
      </c>
      <c r="D66" s="7" t="e">
        <f t="shared" si="6"/>
        <v>#VALUE!</v>
      </c>
      <c r="E66" s="7" t="e">
        <f>C65*LeasingHab!$E$17</f>
        <v>#VALUE!</v>
      </c>
      <c r="F66" s="8" t="e">
        <f>IF(C65&lt;1,"0",IF(LeasingHab!$D$27="Si",($C$19*(VLOOKUP(LeasingHab!$C$23,Seguros_Oblig!$A$3:$F$55,6,FALSE))),IF(LeasingHab!$C$10="TARIFA 1",(C65*(VLOOKUP(LeasingHab!$C$23,Seguros_Oblig!$A$3:$B$55,2,FALSE))),(C65*(VLOOKUP(LeasingHab!$C$23,Seguros_Oblig!$A$3:$D$55,4,FALSE))))))</f>
        <v>#VALUE!</v>
      </c>
      <c r="G66" s="8" t="e">
        <f>IF(LeasingHab!$C$10="TARIFA 1",(C65*(VLOOKUP(LeasingHab!$C$24,Seguros_Oblig!$A$3:$B$55,2,FALSE))),(C65*(VLOOKUP(LeasingHab!$C$24,Seguros_Oblig!$A$3:$D$55,4,FALSE))))</f>
        <v>#VALUE!</v>
      </c>
      <c r="H66" s="8" t="e">
        <f>IF(LeasingHab!$C$10="TARIFA 1",(C65*(VLOOKUP(LeasingHab!$C$25,Seguros_Oblig!$A$3:$B$55,2,FALSE))),(C65*(VLOOKUP(LeasingHab!$C$25,Seguros_Oblig!$A$3:$D$55,4,FALSE))))</f>
        <v>#VALUE!</v>
      </c>
      <c r="I66" s="8" t="e">
        <f>IF(LeasingHab!$C$10="TARIFA 1",(C65*(VLOOKUP(LeasingHab!$C$26,Seguros_Oblig!$A$3:$B$55,2,FALSE))),(C65*(VLOOKUP(LeasingHab!$C$26,Seguros_Oblig!$A$3:$D$55,4,FALSE))))</f>
        <v>#VALUE!</v>
      </c>
      <c r="J66" s="10">
        <f t="shared" si="2"/>
        <v>0</v>
      </c>
      <c r="K66" s="7" t="e">
        <f>IF(C65&lt;1,"0",Seguros_Oblig!$K$2*(LeasingHab!$C$12*90%))</f>
        <v>#VALUE!</v>
      </c>
      <c r="L66" s="7" t="e">
        <f>IF(B66=" ","0",PMT(LeasingHab!$E$17,LeasingHab!$C$18,-LeasingHab!$C$15,,)-PMT(LeasingHab!$E$17,LeasingHab!$C$18,-LeasingHab!$C$22)+LeasingHab!$C$22*LeasingHab!$E$17)</f>
        <v>#VALUE!</v>
      </c>
      <c r="M66" s="9" t="e">
        <f t="shared" si="3"/>
        <v>#VALUE!</v>
      </c>
      <c r="N66" s="7" t="e">
        <f>IF(C65&lt;1,"0",LeasingHab!$C$39)</f>
        <v>#VALUE!</v>
      </c>
      <c r="O66" s="9" t="e">
        <f t="shared" si="4"/>
        <v>#VALUE!</v>
      </c>
    </row>
    <row r="67" spans="2:15" ht="15.5" x14ac:dyDescent="0.35">
      <c r="B67" s="6" t="e">
        <f t="shared" si="5"/>
        <v>#VALUE!</v>
      </c>
      <c r="C67" s="7" t="e">
        <f t="shared" si="0"/>
        <v>#VALUE!</v>
      </c>
      <c r="D67" s="7" t="e">
        <f t="shared" si="6"/>
        <v>#VALUE!</v>
      </c>
      <c r="E67" s="7" t="e">
        <f>C66*LeasingHab!$E$17</f>
        <v>#VALUE!</v>
      </c>
      <c r="F67" s="8" t="e">
        <f>IF(C66&lt;1,"0",IF(LeasingHab!$D$27="Si",($C$19*(VLOOKUP(LeasingHab!$C$23,Seguros_Oblig!$A$3:$F$55,6,FALSE))),IF(LeasingHab!$C$10="TARIFA 1",(C66*(VLOOKUP(LeasingHab!$C$23,Seguros_Oblig!$A$3:$B$55,2,FALSE))),(C66*(VLOOKUP(LeasingHab!$C$23,Seguros_Oblig!$A$3:$D$55,4,FALSE))))))</f>
        <v>#VALUE!</v>
      </c>
      <c r="G67" s="8" t="e">
        <f>IF(LeasingHab!$C$10="TARIFA 1",(C66*(VLOOKUP(LeasingHab!$C$24,Seguros_Oblig!$A$3:$B$55,2,FALSE))),(C66*(VLOOKUP(LeasingHab!$C$24,Seguros_Oblig!$A$3:$D$55,4,FALSE))))</f>
        <v>#VALUE!</v>
      </c>
      <c r="H67" s="8" t="e">
        <f>IF(LeasingHab!$C$10="TARIFA 1",(C66*(VLOOKUP(LeasingHab!$C$25,Seguros_Oblig!$A$3:$B$55,2,FALSE))),(C66*(VLOOKUP(LeasingHab!$C$25,Seguros_Oblig!$A$3:$D$55,4,FALSE))))</f>
        <v>#VALUE!</v>
      </c>
      <c r="I67" s="8" t="e">
        <f>IF(LeasingHab!$C$10="TARIFA 1",(C66*(VLOOKUP(LeasingHab!$C$26,Seguros_Oblig!$A$3:$B$55,2,FALSE))),(C66*(VLOOKUP(LeasingHab!$C$26,Seguros_Oblig!$A$3:$D$55,4,FALSE))))</f>
        <v>#VALUE!</v>
      </c>
      <c r="J67" s="10">
        <f t="shared" si="2"/>
        <v>0</v>
      </c>
      <c r="K67" s="7" t="e">
        <f>IF(C66&lt;1,"0",Seguros_Oblig!$K$2*(LeasingHab!$C$12*90%))</f>
        <v>#VALUE!</v>
      </c>
      <c r="L67" s="7" t="e">
        <f>IF(B67=" ","0",PMT(LeasingHab!$E$17,LeasingHab!$C$18,-LeasingHab!$C$15,,)-PMT(LeasingHab!$E$17,LeasingHab!$C$18,-LeasingHab!$C$22)+LeasingHab!$C$22*LeasingHab!$E$17)</f>
        <v>#VALUE!</v>
      </c>
      <c r="M67" s="9" t="e">
        <f t="shared" si="3"/>
        <v>#VALUE!</v>
      </c>
      <c r="N67" s="7" t="e">
        <f>IF(C66&lt;1,"0",LeasingHab!$C$39)</f>
        <v>#VALUE!</v>
      </c>
      <c r="O67" s="9" t="e">
        <f t="shared" si="4"/>
        <v>#VALUE!</v>
      </c>
    </row>
    <row r="68" spans="2:15" ht="15.5" x14ac:dyDescent="0.35">
      <c r="B68" s="6" t="e">
        <f t="shared" si="5"/>
        <v>#VALUE!</v>
      </c>
      <c r="C68" s="7" t="e">
        <f t="shared" si="0"/>
        <v>#VALUE!</v>
      </c>
      <c r="D68" s="7" t="e">
        <f t="shared" si="6"/>
        <v>#VALUE!</v>
      </c>
      <c r="E68" s="7" t="e">
        <f>C67*LeasingHab!$E$17</f>
        <v>#VALUE!</v>
      </c>
      <c r="F68" s="8" t="e">
        <f>IF(C67&lt;1,"0",IF(LeasingHab!$D$27="Si",($C$19*(VLOOKUP(LeasingHab!$C$23,Seguros_Oblig!$A$3:$F$55,6,FALSE))),IF(LeasingHab!$C$10="TARIFA 1",(C67*(VLOOKUP(LeasingHab!$C$23,Seguros_Oblig!$A$3:$B$55,2,FALSE))),(C67*(VLOOKUP(LeasingHab!$C$23,Seguros_Oblig!$A$3:$D$55,4,FALSE))))))</f>
        <v>#VALUE!</v>
      </c>
      <c r="G68" s="8" t="e">
        <f>IF(LeasingHab!$C$10="TARIFA 1",(C67*(VLOOKUP(LeasingHab!$C$24,Seguros_Oblig!$A$3:$B$55,2,FALSE))),(C67*(VLOOKUP(LeasingHab!$C$24,Seguros_Oblig!$A$3:$D$55,4,FALSE))))</f>
        <v>#VALUE!</v>
      </c>
      <c r="H68" s="8" t="e">
        <f>IF(LeasingHab!$C$10="TARIFA 1",(C67*(VLOOKUP(LeasingHab!$C$25,Seguros_Oblig!$A$3:$B$55,2,FALSE))),(C67*(VLOOKUP(LeasingHab!$C$25,Seguros_Oblig!$A$3:$D$55,4,FALSE))))</f>
        <v>#VALUE!</v>
      </c>
      <c r="I68" s="8" t="e">
        <f>IF(LeasingHab!$C$10="TARIFA 1",(C67*(VLOOKUP(LeasingHab!$C$26,Seguros_Oblig!$A$3:$B$55,2,FALSE))),(C67*(VLOOKUP(LeasingHab!$C$26,Seguros_Oblig!$A$3:$D$55,4,FALSE))))</f>
        <v>#VALUE!</v>
      </c>
      <c r="J68" s="10">
        <f t="shared" si="2"/>
        <v>0</v>
      </c>
      <c r="K68" s="7" t="e">
        <f>IF(C67&lt;1,"0",Seguros_Oblig!$K$2*(LeasingHab!$C$12*90%))</f>
        <v>#VALUE!</v>
      </c>
      <c r="L68" s="7" t="e">
        <f>IF(B68=" ","0",PMT(LeasingHab!$E$17,LeasingHab!$C$18,-LeasingHab!$C$15,,)-PMT(LeasingHab!$E$17,LeasingHab!$C$18,-LeasingHab!$C$22)+LeasingHab!$C$22*LeasingHab!$E$17)</f>
        <v>#VALUE!</v>
      </c>
      <c r="M68" s="9" t="e">
        <f t="shared" si="3"/>
        <v>#VALUE!</v>
      </c>
      <c r="N68" s="7" t="e">
        <f>IF(C67&lt;1,"0",LeasingHab!$C$39)</f>
        <v>#VALUE!</v>
      </c>
      <c r="O68" s="9" t="e">
        <f t="shared" si="4"/>
        <v>#VALUE!</v>
      </c>
    </row>
    <row r="69" spans="2:15" ht="15.5" x14ac:dyDescent="0.35">
      <c r="B69" s="6" t="e">
        <f t="shared" si="5"/>
        <v>#VALUE!</v>
      </c>
      <c r="C69" s="7" t="e">
        <f t="shared" si="0"/>
        <v>#VALUE!</v>
      </c>
      <c r="D69" s="7" t="e">
        <f t="shared" si="6"/>
        <v>#VALUE!</v>
      </c>
      <c r="E69" s="7" t="e">
        <f>C68*LeasingHab!$E$17</f>
        <v>#VALUE!</v>
      </c>
      <c r="F69" s="8" t="e">
        <f>IF(C68&lt;1,"0",IF(LeasingHab!$D$27="Si",($C$19*(VLOOKUP(LeasingHab!$C$23,Seguros_Oblig!$A$3:$F$55,6,FALSE))),IF(LeasingHab!$C$10="TARIFA 1",(C68*(VLOOKUP(LeasingHab!$C$23,Seguros_Oblig!$A$3:$B$55,2,FALSE))),(C68*(VLOOKUP(LeasingHab!$C$23,Seguros_Oblig!$A$3:$D$55,4,FALSE))))))</f>
        <v>#VALUE!</v>
      </c>
      <c r="G69" s="8" t="e">
        <f>IF(LeasingHab!$C$10="TARIFA 1",(C68*(VLOOKUP(LeasingHab!$C$24,Seguros_Oblig!$A$3:$B$55,2,FALSE))),(C68*(VLOOKUP(LeasingHab!$C$24,Seguros_Oblig!$A$3:$D$55,4,FALSE))))</f>
        <v>#VALUE!</v>
      </c>
      <c r="H69" s="8" t="e">
        <f>IF(LeasingHab!$C$10="TARIFA 1",(C68*(VLOOKUP(LeasingHab!$C$25,Seguros_Oblig!$A$3:$B$55,2,FALSE))),(C68*(VLOOKUP(LeasingHab!$C$25,Seguros_Oblig!$A$3:$D$55,4,FALSE))))</f>
        <v>#VALUE!</v>
      </c>
      <c r="I69" s="8" t="e">
        <f>IF(LeasingHab!$C$10="TARIFA 1",(C68*(VLOOKUP(LeasingHab!$C$26,Seguros_Oblig!$A$3:$B$55,2,FALSE))),(C68*(VLOOKUP(LeasingHab!$C$26,Seguros_Oblig!$A$3:$D$55,4,FALSE))))</f>
        <v>#VALUE!</v>
      </c>
      <c r="J69" s="10">
        <f t="shared" si="2"/>
        <v>0</v>
      </c>
      <c r="K69" s="7" t="e">
        <f>IF(C68&lt;1,"0",Seguros_Oblig!$K$2*(LeasingHab!$C$12*90%))</f>
        <v>#VALUE!</v>
      </c>
      <c r="L69" s="7" t="e">
        <f>IF(B69=" ","0",PMT(LeasingHab!$E$17,LeasingHab!$C$18,-LeasingHab!$C$15,,)-PMT(LeasingHab!$E$17,LeasingHab!$C$18,-LeasingHab!$C$22)+LeasingHab!$C$22*LeasingHab!$E$17)</f>
        <v>#VALUE!</v>
      </c>
      <c r="M69" s="9" t="e">
        <f t="shared" si="3"/>
        <v>#VALUE!</v>
      </c>
      <c r="N69" s="7" t="e">
        <f>IF(C68&lt;1,"0",LeasingHab!$C$39)</f>
        <v>#VALUE!</v>
      </c>
      <c r="O69" s="9" t="e">
        <f t="shared" si="4"/>
        <v>#VALUE!</v>
      </c>
    </row>
    <row r="70" spans="2:15" ht="15.5" x14ac:dyDescent="0.35">
      <c r="B70" s="6" t="e">
        <f t="shared" si="5"/>
        <v>#VALUE!</v>
      </c>
      <c r="C70" s="7" t="e">
        <f t="shared" si="0"/>
        <v>#VALUE!</v>
      </c>
      <c r="D70" s="7" t="e">
        <f t="shared" si="6"/>
        <v>#VALUE!</v>
      </c>
      <c r="E70" s="7" t="e">
        <f>C69*LeasingHab!$E$17</f>
        <v>#VALUE!</v>
      </c>
      <c r="F70" s="8" t="e">
        <f>IF(C69&lt;1,"0",IF(LeasingHab!$D$27="Si",($C$19*(VLOOKUP(LeasingHab!$C$23,Seguros_Oblig!$A$3:$F$55,6,FALSE))),IF(LeasingHab!$C$10="TARIFA 1",(C69*(VLOOKUP(LeasingHab!$C$23,Seguros_Oblig!$A$3:$B$55,2,FALSE))),(C69*(VLOOKUP(LeasingHab!$C$23,Seguros_Oblig!$A$3:$D$55,4,FALSE))))))</f>
        <v>#VALUE!</v>
      </c>
      <c r="G70" s="8" t="e">
        <f>IF(LeasingHab!$C$10="TARIFA 1",(C69*(VLOOKUP(LeasingHab!$C$24,Seguros_Oblig!$A$3:$B$55,2,FALSE))),(C69*(VLOOKUP(LeasingHab!$C$24,Seguros_Oblig!$A$3:$D$55,4,FALSE))))</f>
        <v>#VALUE!</v>
      </c>
      <c r="H70" s="8" t="e">
        <f>IF(LeasingHab!$C$10="TARIFA 1",(C69*(VLOOKUP(LeasingHab!$C$25,Seguros_Oblig!$A$3:$B$55,2,FALSE))),(C69*(VLOOKUP(LeasingHab!$C$25,Seguros_Oblig!$A$3:$D$55,4,FALSE))))</f>
        <v>#VALUE!</v>
      </c>
      <c r="I70" s="8" t="e">
        <f>IF(LeasingHab!$C$10="TARIFA 1",(C69*(VLOOKUP(LeasingHab!$C$26,Seguros_Oblig!$A$3:$B$55,2,FALSE))),(C69*(VLOOKUP(LeasingHab!$C$26,Seguros_Oblig!$A$3:$D$55,4,FALSE))))</f>
        <v>#VALUE!</v>
      </c>
      <c r="J70" s="10">
        <f t="shared" si="2"/>
        <v>0</v>
      </c>
      <c r="K70" s="7" t="e">
        <f>IF(C69&lt;1,"0",Seguros_Oblig!$K$2*(LeasingHab!$C$12*90%))</f>
        <v>#VALUE!</v>
      </c>
      <c r="L70" s="7" t="e">
        <f>IF(B70=" ","0",PMT(LeasingHab!$E$17,LeasingHab!$C$18,-LeasingHab!$C$15,,)-PMT(LeasingHab!$E$17,LeasingHab!$C$18,-LeasingHab!$C$22)+LeasingHab!$C$22*LeasingHab!$E$17)</f>
        <v>#VALUE!</v>
      </c>
      <c r="M70" s="9" t="e">
        <f t="shared" si="3"/>
        <v>#VALUE!</v>
      </c>
      <c r="N70" s="7" t="e">
        <f>IF(C69&lt;1,"0",LeasingHab!$C$39)</f>
        <v>#VALUE!</v>
      </c>
      <c r="O70" s="9" t="e">
        <f t="shared" si="4"/>
        <v>#VALUE!</v>
      </c>
    </row>
    <row r="71" spans="2:15" ht="15.5" x14ac:dyDescent="0.35">
      <c r="B71" s="6" t="e">
        <f t="shared" si="5"/>
        <v>#VALUE!</v>
      </c>
      <c r="C71" s="7" t="e">
        <f t="shared" si="0"/>
        <v>#VALUE!</v>
      </c>
      <c r="D71" s="7" t="e">
        <f t="shared" si="6"/>
        <v>#VALUE!</v>
      </c>
      <c r="E71" s="7" t="e">
        <f>C70*LeasingHab!$E$17</f>
        <v>#VALUE!</v>
      </c>
      <c r="F71" s="8" t="e">
        <f>IF(C70&lt;1,"0",IF(LeasingHab!$D$27="Si",($C$19*(VLOOKUP(LeasingHab!$C$23,Seguros_Oblig!$A$3:$F$55,6,FALSE))),IF(LeasingHab!$C$10="TARIFA 1",(C70*(VLOOKUP(LeasingHab!$C$23,Seguros_Oblig!$A$3:$B$55,2,FALSE))),(C70*(VLOOKUP(LeasingHab!$C$23,Seguros_Oblig!$A$3:$D$55,4,FALSE))))))</f>
        <v>#VALUE!</v>
      </c>
      <c r="G71" s="8" t="e">
        <f>IF(LeasingHab!$C$10="TARIFA 1",(C70*(VLOOKUP(LeasingHab!$C$24,Seguros_Oblig!$A$3:$B$55,2,FALSE))),(C70*(VLOOKUP(LeasingHab!$C$24,Seguros_Oblig!$A$3:$D$55,4,FALSE))))</f>
        <v>#VALUE!</v>
      </c>
      <c r="H71" s="8" t="e">
        <f>IF(LeasingHab!$C$10="TARIFA 1",(C70*(VLOOKUP(LeasingHab!$C$25,Seguros_Oblig!$A$3:$B$55,2,FALSE))),(C70*(VLOOKUP(LeasingHab!$C$25,Seguros_Oblig!$A$3:$D$55,4,FALSE))))</f>
        <v>#VALUE!</v>
      </c>
      <c r="I71" s="8" t="e">
        <f>IF(LeasingHab!$C$10="TARIFA 1",(C70*(VLOOKUP(LeasingHab!$C$26,Seguros_Oblig!$A$3:$B$55,2,FALSE))),(C70*(VLOOKUP(LeasingHab!$C$26,Seguros_Oblig!$A$3:$D$55,4,FALSE))))</f>
        <v>#VALUE!</v>
      </c>
      <c r="J71" s="10">
        <f t="shared" si="2"/>
        <v>0</v>
      </c>
      <c r="K71" s="7" t="e">
        <f>IF(C70&lt;1,"0",Seguros_Oblig!$K$2*(LeasingHab!$C$12*90%))</f>
        <v>#VALUE!</v>
      </c>
      <c r="L71" s="7" t="e">
        <f>IF(B71=" ","0",PMT(LeasingHab!$E$17,LeasingHab!$C$18,-LeasingHab!$C$15,,)-PMT(LeasingHab!$E$17,LeasingHab!$C$18,-LeasingHab!$C$22)+LeasingHab!$C$22*LeasingHab!$E$17)</f>
        <v>#VALUE!</v>
      </c>
      <c r="M71" s="9" t="e">
        <f t="shared" si="3"/>
        <v>#VALUE!</v>
      </c>
      <c r="N71" s="7" t="e">
        <f>IF(C70&lt;1,"0",LeasingHab!$C$39)</f>
        <v>#VALUE!</v>
      </c>
      <c r="O71" s="9" t="e">
        <f t="shared" si="4"/>
        <v>#VALUE!</v>
      </c>
    </row>
    <row r="72" spans="2:15" ht="15.5" x14ac:dyDescent="0.35">
      <c r="B72" s="6" t="e">
        <f t="shared" si="5"/>
        <v>#VALUE!</v>
      </c>
      <c r="C72" s="7" t="e">
        <f t="shared" si="0"/>
        <v>#VALUE!</v>
      </c>
      <c r="D72" s="7" t="e">
        <f t="shared" si="6"/>
        <v>#VALUE!</v>
      </c>
      <c r="E72" s="7" t="e">
        <f>C71*LeasingHab!$E$17</f>
        <v>#VALUE!</v>
      </c>
      <c r="F72" s="8" t="e">
        <f>IF(C71&lt;1,"0",IF(LeasingHab!$D$27="Si",($C$19*(VLOOKUP(LeasingHab!$C$23,Seguros_Oblig!$A$3:$F$55,6,FALSE))),IF(LeasingHab!$C$10="TARIFA 1",(C71*(VLOOKUP(LeasingHab!$C$23,Seguros_Oblig!$A$3:$B$55,2,FALSE))),(C71*(VLOOKUP(LeasingHab!$C$23,Seguros_Oblig!$A$3:$D$55,4,FALSE))))))</f>
        <v>#VALUE!</v>
      </c>
      <c r="G72" s="8" t="e">
        <f>IF(LeasingHab!$C$10="TARIFA 1",(C71*(VLOOKUP(LeasingHab!$C$24,Seguros_Oblig!$A$3:$B$55,2,FALSE))),(C71*(VLOOKUP(LeasingHab!$C$24,Seguros_Oblig!$A$3:$D$55,4,FALSE))))</f>
        <v>#VALUE!</v>
      </c>
      <c r="H72" s="8" t="e">
        <f>IF(LeasingHab!$C$10="TARIFA 1",(C71*(VLOOKUP(LeasingHab!$C$25,Seguros_Oblig!$A$3:$B$55,2,FALSE))),(C71*(VLOOKUP(LeasingHab!$C$25,Seguros_Oblig!$A$3:$D$55,4,FALSE))))</f>
        <v>#VALUE!</v>
      </c>
      <c r="I72" s="8" t="e">
        <f>IF(LeasingHab!$C$10="TARIFA 1",(C71*(VLOOKUP(LeasingHab!$C$26,Seguros_Oblig!$A$3:$B$55,2,FALSE))),(C71*(VLOOKUP(LeasingHab!$C$26,Seguros_Oblig!$A$3:$D$55,4,FALSE))))</f>
        <v>#VALUE!</v>
      </c>
      <c r="J72" s="10">
        <f t="shared" si="2"/>
        <v>0</v>
      </c>
      <c r="K72" s="7" t="e">
        <f>IF(C71&lt;1,"0",Seguros_Oblig!$K$2*(LeasingHab!$C$12*90%))</f>
        <v>#VALUE!</v>
      </c>
      <c r="L72" s="7" t="e">
        <f>IF(B72=" ","0",PMT(LeasingHab!$E$17,LeasingHab!$C$18,-LeasingHab!$C$15,,)-PMT(LeasingHab!$E$17,LeasingHab!$C$18,-LeasingHab!$C$22)+LeasingHab!$C$22*LeasingHab!$E$17)</f>
        <v>#VALUE!</v>
      </c>
      <c r="M72" s="9" t="e">
        <f t="shared" si="3"/>
        <v>#VALUE!</v>
      </c>
      <c r="N72" s="7" t="e">
        <f>IF(C71&lt;1,"0",LeasingHab!$C$39)</f>
        <v>#VALUE!</v>
      </c>
      <c r="O72" s="9" t="e">
        <f t="shared" si="4"/>
        <v>#VALUE!</v>
      </c>
    </row>
    <row r="73" spans="2:15" ht="15.5" x14ac:dyDescent="0.35">
      <c r="B73" s="6" t="e">
        <f t="shared" si="5"/>
        <v>#VALUE!</v>
      </c>
      <c r="C73" s="7" t="e">
        <f t="shared" si="0"/>
        <v>#VALUE!</v>
      </c>
      <c r="D73" s="7" t="e">
        <f t="shared" si="6"/>
        <v>#VALUE!</v>
      </c>
      <c r="E73" s="7" t="e">
        <f>C72*LeasingHab!$E$17</f>
        <v>#VALUE!</v>
      </c>
      <c r="F73" s="8" t="e">
        <f>IF(C72&lt;1,"0",IF(LeasingHab!$D$27="Si",($C$19*(VLOOKUP(LeasingHab!$C$23,Seguros_Oblig!$A$3:$F$55,6,FALSE))),IF(LeasingHab!$C$10="TARIFA 1",(C72*(VLOOKUP(LeasingHab!$C$23,Seguros_Oblig!$A$3:$B$55,2,FALSE))),(C72*(VLOOKUP(LeasingHab!$C$23,Seguros_Oblig!$A$3:$D$55,4,FALSE))))))</f>
        <v>#VALUE!</v>
      </c>
      <c r="G73" s="8" t="e">
        <f>IF(LeasingHab!$C$10="TARIFA 1",(C72*(VLOOKUP(LeasingHab!$C$24,Seguros_Oblig!$A$3:$B$55,2,FALSE))),(C72*(VLOOKUP(LeasingHab!$C$24,Seguros_Oblig!$A$3:$D$55,4,FALSE))))</f>
        <v>#VALUE!</v>
      </c>
      <c r="H73" s="8" t="e">
        <f>IF(LeasingHab!$C$10="TARIFA 1",(C72*(VLOOKUP(LeasingHab!$C$25,Seguros_Oblig!$A$3:$B$55,2,FALSE))),(C72*(VLOOKUP(LeasingHab!$C$25,Seguros_Oblig!$A$3:$D$55,4,FALSE))))</f>
        <v>#VALUE!</v>
      </c>
      <c r="I73" s="8" t="e">
        <f>IF(LeasingHab!$C$10="TARIFA 1",(C72*(VLOOKUP(LeasingHab!$C$26,Seguros_Oblig!$A$3:$B$55,2,FALSE))),(C72*(VLOOKUP(LeasingHab!$C$26,Seguros_Oblig!$A$3:$D$55,4,FALSE))))</f>
        <v>#VALUE!</v>
      </c>
      <c r="J73" s="10">
        <f t="shared" si="2"/>
        <v>0</v>
      </c>
      <c r="K73" s="7" t="e">
        <f>IF(C72&lt;1,"0",Seguros_Oblig!$K$2*(LeasingHab!$C$12*90%))</f>
        <v>#VALUE!</v>
      </c>
      <c r="L73" s="7" t="e">
        <f>IF(B73=" ","0",PMT(LeasingHab!$E$17,LeasingHab!$C$18,-LeasingHab!$C$15,,)-PMT(LeasingHab!$E$17,LeasingHab!$C$18,-LeasingHab!$C$22)+LeasingHab!$C$22*LeasingHab!$E$17)</f>
        <v>#VALUE!</v>
      </c>
      <c r="M73" s="9" t="e">
        <f t="shared" si="3"/>
        <v>#VALUE!</v>
      </c>
      <c r="N73" s="7" t="e">
        <f>IF(C72&lt;1,"0",LeasingHab!$C$39)</f>
        <v>#VALUE!</v>
      </c>
      <c r="O73" s="9" t="e">
        <f t="shared" si="4"/>
        <v>#VALUE!</v>
      </c>
    </row>
    <row r="74" spans="2:15" ht="15.5" x14ac:dyDescent="0.35">
      <c r="B74" s="6" t="e">
        <f t="shared" si="5"/>
        <v>#VALUE!</v>
      </c>
      <c r="C74" s="7" t="e">
        <f t="shared" si="0"/>
        <v>#VALUE!</v>
      </c>
      <c r="D74" s="7" t="e">
        <f t="shared" si="6"/>
        <v>#VALUE!</v>
      </c>
      <c r="E74" s="7" t="e">
        <f>C73*LeasingHab!$E$17</f>
        <v>#VALUE!</v>
      </c>
      <c r="F74" s="8" t="e">
        <f>IF(C73&lt;1,"0",IF(LeasingHab!$D$27="Si",($C$19*(VLOOKUP(LeasingHab!$C$23,Seguros_Oblig!$A$3:$F$55,6,FALSE))),IF(LeasingHab!$C$10="TARIFA 1",(C73*(VLOOKUP(LeasingHab!$C$23,Seguros_Oblig!$A$3:$B$55,2,FALSE))),(C73*(VLOOKUP(LeasingHab!$C$23,Seguros_Oblig!$A$3:$D$55,4,FALSE))))))</f>
        <v>#VALUE!</v>
      </c>
      <c r="G74" s="8" t="e">
        <f>IF(LeasingHab!$C$10="TARIFA 1",(C73*(VLOOKUP(LeasingHab!$C$24,Seguros_Oblig!$A$3:$B$55,2,FALSE))),(C73*(VLOOKUP(LeasingHab!$C$24,Seguros_Oblig!$A$3:$D$55,4,FALSE))))</f>
        <v>#VALUE!</v>
      </c>
      <c r="H74" s="8" t="e">
        <f>IF(LeasingHab!$C$10="TARIFA 1",(C73*(VLOOKUP(LeasingHab!$C$25,Seguros_Oblig!$A$3:$B$55,2,FALSE))),(C73*(VLOOKUP(LeasingHab!$C$25,Seguros_Oblig!$A$3:$D$55,4,FALSE))))</f>
        <v>#VALUE!</v>
      </c>
      <c r="I74" s="8" t="e">
        <f>IF(LeasingHab!$C$10="TARIFA 1",(C73*(VLOOKUP(LeasingHab!$C$26,Seguros_Oblig!$A$3:$B$55,2,FALSE))),(C73*(VLOOKUP(LeasingHab!$C$26,Seguros_Oblig!$A$3:$D$55,4,FALSE))))</f>
        <v>#VALUE!</v>
      </c>
      <c r="J74" s="10">
        <f t="shared" si="2"/>
        <v>0</v>
      </c>
      <c r="K74" s="7" t="e">
        <f>IF(C73&lt;1,"0",Seguros_Oblig!$K$2*(LeasingHab!$C$12*90%))</f>
        <v>#VALUE!</v>
      </c>
      <c r="L74" s="7" t="e">
        <f>IF(B74=" ","0",PMT(LeasingHab!$E$17,LeasingHab!$C$18,-LeasingHab!$C$15,,)-PMT(LeasingHab!$E$17,LeasingHab!$C$18,-LeasingHab!$C$22)+LeasingHab!$C$22*LeasingHab!$E$17)</f>
        <v>#VALUE!</v>
      </c>
      <c r="M74" s="9" t="e">
        <f t="shared" si="3"/>
        <v>#VALUE!</v>
      </c>
      <c r="N74" s="7" t="e">
        <f>IF(C73&lt;1,"0",LeasingHab!$C$39)</f>
        <v>#VALUE!</v>
      </c>
      <c r="O74" s="9" t="e">
        <f t="shared" si="4"/>
        <v>#VALUE!</v>
      </c>
    </row>
    <row r="75" spans="2:15" ht="15.5" x14ac:dyDescent="0.35">
      <c r="B75" s="6" t="e">
        <f t="shared" si="5"/>
        <v>#VALUE!</v>
      </c>
      <c r="C75" s="7" t="e">
        <f t="shared" si="0"/>
        <v>#VALUE!</v>
      </c>
      <c r="D75" s="7" t="e">
        <f t="shared" si="6"/>
        <v>#VALUE!</v>
      </c>
      <c r="E75" s="7" t="e">
        <f>C74*LeasingHab!$E$17</f>
        <v>#VALUE!</v>
      </c>
      <c r="F75" s="8" t="e">
        <f>IF(C74&lt;1,"0",IF(LeasingHab!$D$27="Si",($C$19*(VLOOKUP(LeasingHab!$C$23,Seguros_Oblig!$A$3:$F$55,6,FALSE))),IF(LeasingHab!$C$10="TARIFA 1",(C74*(VLOOKUP(LeasingHab!$C$23,Seguros_Oblig!$A$3:$B$55,2,FALSE))),(C74*(VLOOKUP(LeasingHab!$C$23,Seguros_Oblig!$A$3:$D$55,4,FALSE))))))</f>
        <v>#VALUE!</v>
      </c>
      <c r="G75" s="8" t="e">
        <f>IF(LeasingHab!$C$10="TARIFA 1",(C74*(VLOOKUP(LeasingHab!$C$24,Seguros_Oblig!$A$3:$B$55,2,FALSE))),(C74*(VLOOKUP(LeasingHab!$C$24,Seguros_Oblig!$A$3:$D$55,4,FALSE))))</f>
        <v>#VALUE!</v>
      </c>
      <c r="H75" s="8" t="e">
        <f>IF(LeasingHab!$C$10="TARIFA 1",(C74*(VLOOKUP(LeasingHab!$C$25,Seguros_Oblig!$A$3:$B$55,2,FALSE))),(C74*(VLOOKUP(LeasingHab!$C$25,Seguros_Oblig!$A$3:$D$55,4,FALSE))))</f>
        <v>#VALUE!</v>
      </c>
      <c r="I75" s="8" t="e">
        <f>IF(LeasingHab!$C$10="TARIFA 1",(C74*(VLOOKUP(LeasingHab!$C$26,Seguros_Oblig!$A$3:$B$55,2,FALSE))),(C74*(VLOOKUP(LeasingHab!$C$26,Seguros_Oblig!$A$3:$D$55,4,FALSE))))</f>
        <v>#VALUE!</v>
      </c>
      <c r="J75" s="10">
        <f t="shared" si="2"/>
        <v>0</v>
      </c>
      <c r="K75" s="7" t="e">
        <f>IF(C74&lt;1,"0",Seguros_Oblig!$K$2*(LeasingHab!$C$12*90%))</f>
        <v>#VALUE!</v>
      </c>
      <c r="L75" s="7" t="e">
        <f>IF(B75=" ","0",PMT(LeasingHab!$E$17,LeasingHab!$C$18,-LeasingHab!$C$15,,)-PMT(LeasingHab!$E$17,LeasingHab!$C$18,-LeasingHab!$C$22)+LeasingHab!$C$22*LeasingHab!$E$17)</f>
        <v>#VALUE!</v>
      </c>
      <c r="M75" s="9" t="e">
        <f t="shared" si="3"/>
        <v>#VALUE!</v>
      </c>
      <c r="N75" s="7" t="e">
        <f>IF(C74&lt;1,"0",LeasingHab!$C$39)</f>
        <v>#VALUE!</v>
      </c>
      <c r="O75" s="9" t="e">
        <f t="shared" si="4"/>
        <v>#VALUE!</v>
      </c>
    </row>
    <row r="76" spans="2:15" ht="15.5" x14ac:dyDescent="0.35">
      <c r="B76" s="6" t="e">
        <f t="shared" si="5"/>
        <v>#VALUE!</v>
      </c>
      <c r="C76" s="7" t="e">
        <f t="shared" si="0"/>
        <v>#VALUE!</v>
      </c>
      <c r="D76" s="7" t="e">
        <f t="shared" si="6"/>
        <v>#VALUE!</v>
      </c>
      <c r="E76" s="7" t="e">
        <f>C75*LeasingHab!$E$17</f>
        <v>#VALUE!</v>
      </c>
      <c r="F76" s="8" t="e">
        <f>IF(C75&lt;1,"0",IF(LeasingHab!$D$27="Si",($C$19*(VLOOKUP(LeasingHab!$C$23,Seguros_Oblig!$A$3:$F$55,6,FALSE))),IF(LeasingHab!$C$10="TARIFA 1",(C75*(VLOOKUP(LeasingHab!$C$23,Seguros_Oblig!$A$3:$B$55,2,FALSE))),(C75*(VLOOKUP(LeasingHab!$C$23,Seguros_Oblig!$A$3:$D$55,4,FALSE))))))</f>
        <v>#VALUE!</v>
      </c>
      <c r="G76" s="8" t="e">
        <f>IF(LeasingHab!$C$10="TARIFA 1",(C75*(VLOOKUP(LeasingHab!$C$24,Seguros_Oblig!$A$3:$B$55,2,FALSE))),(C75*(VLOOKUP(LeasingHab!$C$24,Seguros_Oblig!$A$3:$D$55,4,FALSE))))</f>
        <v>#VALUE!</v>
      </c>
      <c r="H76" s="8" t="e">
        <f>IF(LeasingHab!$C$10="TARIFA 1",(C75*(VLOOKUP(LeasingHab!$C$25,Seguros_Oblig!$A$3:$B$55,2,FALSE))),(C75*(VLOOKUP(LeasingHab!$C$25,Seguros_Oblig!$A$3:$D$55,4,FALSE))))</f>
        <v>#VALUE!</v>
      </c>
      <c r="I76" s="8" t="e">
        <f>IF(LeasingHab!$C$10="TARIFA 1",(C75*(VLOOKUP(LeasingHab!$C$26,Seguros_Oblig!$A$3:$B$55,2,FALSE))),(C75*(VLOOKUP(LeasingHab!$C$26,Seguros_Oblig!$A$3:$D$55,4,FALSE))))</f>
        <v>#VALUE!</v>
      </c>
      <c r="J76" s="10">
        <f t="shared" si="2"/>
        <v>0</v>
      </c>
      <c r="K76" s="7" t="e">
        <f>IF(C75&lt;1,"0",Seguros_Oblig!$K$2*(LeasingHab!$C$12*90%))</f>
        <v>#VALUE!</v>
      </c>
      <c r="L76" s="7" t="e">
        <f>IF(B76=" ","0",PMT(LeasingHab!$E$17,LeasingHab!$C$18,-LeasingHab!$C$15,,)-PMT(LeasingHab!$E$17,LeasingHab!$C$18,-LeasingHab!$C$22)+LeasingHab!$C$22*LeasingHab!$E$17)</f>
        <v>#VALUE!</v>
      </c>
      <c r="M76" s="9" t="e">
        <f t="shared" si="3"/>
        <v>#VALUE!</v>
      </c>
      <c r="N76" s="7" t="e">
        <f>IF(C75&lt;1,"0",LeasingHab!$C$39)</f>
        <v>#VALUE!</v>
      </c>
      <c r="O76" s="9" t="e">
        <f t="shared" si="4"/>
        <v>#VALUE!</v>
      </c>
    </row>
    <row r="77" spans="2:15" ht="15.5" x14ac:dyDescent="0.35">
      <c r="B77" s="6" t="e">
        <f t="shared" si="5"/>
        <v>#VALUE!</v>
      </c>
      <c r="C77" s="7" t="e">
        <f t="shared" si="0"/>
        <v>#VALUE!</v>
      </c>
      <c r="D77" s="7" t="e">
        <f t="shared" si="6"/>
        <v>#VALUE!</v>
      </c>
      <c r="E77" s="7" t="e">
        <f>C76*LeasingHab!$E$17</f>
        <v>#VALUE!</v>
      </c>
      <c r="F77" s="8" t="e">
        <f>IF(C76&lt;1,"0",IF(LeasingHab!$D$27="Si",($C$19*(VLOOKUP(LeasingHab!$C$23,Seguros_Oblig!$A$3:$F$55,6,FALSE))),IF(LeasingHab!$C$10="TARIFA 1",(C76*(VLOOKUP(LeasingHab!$C$23,Seguros_Oblig!$A$3:$B$55,2,FALSE))),(C76*(VLOOKUP(LeasingHab!$C$23,Seguros_Oblig!$A$3:$D$55,4,FALSE))))))</f>
        <v>#VALUE!</v>
      </c>
      <c r="G77" s="8" t="e">
        <f>IF(LeasingHab!$C$10="TARIFA 1",(C76*(VLOOKUP(LeasingHab!$C$24,Seguros_Oblig!$A$3:$B$55,2,FALSE))),(C76*(VLOOKUP(LeasingHab!$C$24,Seguros_Oblig!$A$3:$D$55,4,FALSE))))</f>
        <v>#VALUE!</v>
      </c>
      <c r="H77" s="8" t="e">
        <f>IF(LeasingHab!$C$10="TARIFA 1",(C76*(VLOOKUP(LeasingHab!$C$25,Seguros_Oblig!$A$3:$B$55,2,FALSE))),(C76*(VLOOKUP(LeasingHab!$C$25,Seguros_Oblig!$A$3:$D$55,4,FALSE))))</f>
        <v>#VALUE!</v>
      </c>
      <c r="I77" s="8" t="e">
        <f>IF(LeasingHab!$C$10="TARIFA 1",(C76*(VLOOKUP(LeasingHab!$C$26,Seguros_Oblig!$A$3:$B$55,2,FALSE))),(C76*(VLOOKUP(LeasingHab!$C$26,Seguros_Oblig!$A$3:$D$55,4,FALSE))))</f>
        <v>#VALUE!</v>
      </c>
      <c r="J77" s="10">
        <f t="shared" si="2"/>
        <v>0</v>
      </c>
      <c r="K77" s="7" t="e">
        <f>IF(C76&lt;1,"0",Seguros_Oblig!$K$2*(LeasingHab!$C$12*90%))</f>
        <v>#VALUE!</v>
      </c>
      <c r="L77" s="7" t="e">
        <f>IF(B77=" ","0",PMT(LeasingHab!$E$17,LeasingHab!$C$18,-LeasingHab!$C$15,,)-PMT(LeasingHab!$E$17,LeasingHab!$C$18,-LeasingHab!$C$22)+LeasingHab!$C$22*LeasingHab!$E$17)</f>
        <v>#VALUE!</v>
      </c>
      <c r="M77" s="9" t="e">
        <f t="shared" si="3"/>
        <v>#VALUE!</v>
      </c>
      <c r="N77" s="7" t="e">
        <f>IF(C76&lt;1,"0",LeasingHab!$C$39)</f>
        <v>#VALUE!</v>
      </c>
      <c r="O77" s="9" t="e">
        <f t="shared" si="4"/>
        <v>#VALUE!</v>
      </c>
    </row>
    <row r="78" spans="2:15" ht="15.5" x14ac:dyDescent="0.35">
      <c r="B78" s="6" t="e">
        <f t="shared" si="5"/>
        <v>#VALUE!</v>
      </c>
      <c r="C78" s="7" t="e">
        <f t="shared" si="0"/>
        <v>#VALUE!</v>
      </c>
      <c r="D78" s="7" t="e">
        <f t="shared" si="6"/>
        <v>#VALUE!</v>
      </c>
      <c r="E78" s="7" t="e">
        <f>C77*LeasingHab!$E$17</f>
        <v>#VALUE!</v>
      </c>
      <c r="F78" s="8" t="e">
        <f>IF(C77&lt;1,"0",IF(LeasingHab!$D$27="Si",($C$19*(VLOOKUP(LeasingHab!$C$23,Seguros_Oblig!$A$3:$F$55,6,FALSE))),IF(LeasingHab!$C$10="TARIFA 1",(C77*(VLOOKUP(LeasingHab!$C$23,Seguros_Oblig!$A$3:$B$55,2,FALSE))),(C77*(VLOOKUP(LeasingHab!$C$23,Seguros_Oblig!$A$3:$D$55,4,FALSE))))))</f>
        <v>#VALUE!</v>
      </c>
      <c r="G78" s="8" t="e">
        <f>IF(LeasingHab!$C$10="TARIFA 1",(C77*(VLOOKUP(LeasingHab!$C$24,Seguros_Oblig!$A$3:$B$55,2,FALSE))),(C77*(VLOOKUP(LeasingHab!$C$24,Seguros_Oblig!$A$3:$D$55,4,FALSE))))</f>
        <v>#VALUE!</v>
      </c>
      <c r="H78" s="8" t="e">
        <f>IF(LeasingHab!$C$10="TARIFA 1",(C77*(VLOOKUP(LeasingHab!$C$25,Seguros_Oblig!$A$3:$B$55,2,FALSE))),(C77*(VLOOKUP(LeasingHab!$C$25,Seguros_Oblig!$A$3:$D$55,4,FALSE))))</f>
        <v>#VALUE!</v>
      </c>
      <c r="I78" s="8" t="e">
        <f>IF(LeasingHab!$C$10="TARIFA 1",(C77*(VLOOKUP(LeasingHab!$C$26,Seguros_Oblig!$A$3:$B$55,2,FALSE))),(C77*(VLOOKUP(LeasingHab!$C$26,Seguros_Oblig!$A$3:$D$55,4,FALSE))))</f>
        <v>#VALUE!</v>
      </c>
      <c r="J78" s="10">
        <f t="shared" si="2"/>
        <v>0</v>
      </c>
      <c r="K78" s="7" t="e">
        <f>IF(C77&lt;1,"0",Seguros_Oblig!$K$2*(LeasingHab!$C$12*90%))</f>
        <v>#VALUE!</v>
      </c>
      <c r="L78" s="7" t="e">
        <f>IF(B78=" ","0",PMT(LeasingHab!$E$17,LeasingHab!$C$18,-LeasingHab!$C$15,,)-PMT(LeasingHab!$E$17,LeasingHab!$C$18,-LeasingHab!$C$22)+LeasingHab!$C$22*LeasingHab!$E$17)</f>
        <v>#VALUE!</v>
      </c>
      <c r="M78" s="9" t="e">
        <f t="shared" si="3"/>
        <v>#VALUE!</v>
      </c>
      <c r="N78" s="7" t="e">
        <f>IF(C77&lt;1,"0",LeasingHab!$C$39)</f>
        <v>#VALUE!</v>
      </c>
      <c r="O78" s="9" t="e">
        <f t="shared" si="4"/>
        <v>#VALUE!</v>
      </c>
    </row>
    <row r="79" spans="2:15" ht="15.5" x14ac:dyDescent="0.35">
      <c r="B79" s="6" t="e">
        <f t="shared" si="5"/>
        <v>#VALUE!</v>
      </c>
      <c r="C79" s="7" t="e">
        <f t="shared" si="0"/>
        <v>#VALUE!</v>
      </c>
      <c r="D79" s="7" t="e">
        <f>IF(C78&lt;1,"0",L79-E79)</f>
        <v>#VALUE!</v>
      </c>
      <c r="E79" s="7" t="e">
        <f>C78*LeasingHab!$E$17</f>
        <v>#VALUE!</v>
      </c>
      <c r="F79" s="8" t="e">
        <f>IF(C78&lt;1,"0",IF(LeasingHab!$D$27="Si",($C$19*(VLOOKUP(LeasingHab!$C$23,Seguros_Oblig!$A$3:$F$55,6,FALSE))),IF(LeasingHab!$C$10="TARIFA 1",(C78*(VLOOKUP(LeasingHab!$C$23,Seguros_Oblig!$A$3:$B$55,2,FALSE))),(C78*(VLOOKUP(LeasingHab!$C$23,Seguros_Oblig!$A$3:$D$55,4,FALSE))))))</f>
        <v>#VALUE!</v>
      </c>
      <c r="G79" s="8" t="e">
        <f>IF(LeasingHab!$C$10="TARIFA 1",(C78*(VLOOKUP(LeasingHab!$C$24,Seguros_Oblig!$A$3:$B$55,2,FALSE))),(C78*(VLOOKUP(LeasingHab!$C$24,Seguros_Oblig!$A$3:$D$55,4,FALSE))))</f>
        <v>#VALUE!</v>
      </c>
      <c r="H79" s="8" t="e">
        <f>IF(LeasingHab!$C$10="TARIFA 1",(C78*(VLOOKUP(LeasingHab!$C$25,Seguros_Oblig!$A$3:$B$55,2,FALSE))),(C78*(VLOOKUP(LeasingHab!$C$25,Seguros_Oblig!$A$3:$D$55,4,FALSE))))</f>
        <v>#VALUE!</v>
      </c>
      <c r="I79" s="8" t="e">
        <f>IF(LeasingHab!$C$10="TARIFA 1",(C78*(VLOOKUP(LeasingHab!$C$26,Seguros_Oblig!$A$3:$B$55,2,FALSE))),(C78*(VLOOKUP(LeasingHab!$C$26,Seguros_Oblig!$A$3:$D$55,4,FALSE))))</f>
        <v>#VALUE!</v>
      </c>
      <c r="J79" s="10">
        <f t="shared" si="2"/>
        <v>0</v>
      </c>
      <c r="K79" s="7" t="e">
        <f>IF(C78&lt;1,"0",Seguros_Oblig!$K$2*(LeasingHab!$C$12*90%))</f>
        <v>#VALUE!</v>
      </c>
      <c r="L79" s="7" t="e">
        <f>IF(B79=" ","0",PMT(LeasingHab!$E$17,LeasingHab!$C$18,-LeasingHab!$C$15,,)-PMT(LeasingHab!$E$17,LeasingHab!$C$18,-LeasingHab!$C$22)+LeasingHab!$C$22*LeasingHab!$E$17)</f>
        <v>#VALUE!</v>
      </c>
      <c r="M79" s="9" t="e">
        <f t="shared" si="3"/>
        <v>#VALUE!</v>
      </c>
      <c r="N79" s="7" t="e">
        <f>IF(C78&lt;1,"0",LeasingHab!$C$39)</f>
        <v>#VALUE!</v>
      </c>
      <c r="O79" s="9" t="e">
        <f t="shared" si="4"/>
        <v>#VALUE!</v>
      </c>
    </row>
    <row r="80" spans="2:15" ht="15.5" x14ac:dyDescent="0.35">
      <c r="B80" s="6" t="e">
        <f>IF(C79&gt;1,B79+1," ")</f>
        <v>#VALUE!</v>
      </c>
      <c r="C80" s="7" t="e">
        <f>IF(D79=0,0,C79-D80)</f>
        <v>#VALUE!</v>
      </c>
      <c r="D80" s="7" t="e">
        <f>IF((C79-1)&lt;$E$17,0,L80-E80)</f>
        <v>#VALUE!</v>
      </c>
      <c r="E80" s="7" t="e">
        <f>IF((C79-1)&lt;$E$17,0,C79*LeasingHab!$E$17)</f>
        <v>#VALUE!</v>
      </c>
      <c r="F80" s="8" t="e">
        <f>IF((C79-1)&lt;$E$17,"0",IF(LeasingHab!$D$27="Si",($C$19*(VLOOKUP(LeasingHab!$C$23,Seguros_Oblig!$A$3:$F$55,6,FALSE))),IF(LeasingHab!$C$10="TARIFA 1",(C79*(VLOOKUP(LeasingHab!$C$23,Seguros_Oblig!$A$3:$B$55,2,FALSE))),(C79*(VLOOKUP(LeasingHab!$C$23,Seguros_Oblig!$A$3:$D$55,4,FALSE))))))</f>
        <v>#VALUE!</v>
      </c>
      <c r="G80" s="8" t="e">
        <f>IF(LeasingHab!$C$10="TARIFA 1",(C79*(VLOOKUP(LeasingHab!$C$24,Seguros_Oblig!$A$3:$B$55,2,FALSE))),(C79*(VLOOKUP(LeasingHab!$C$24,Seguros_Oblig!$A$3:$D$55,4,FALSE))))</f>
        <v>#VALUE!</v>
      </c>
      <c r="H80" s="8" t="e">
        <f>IF(LeasingHab!$C$10="TARIFA 1",(C79*(VLOOKUP(LeasingHab!$C$25,Seguros_Oblig!$A$3:$B$55,2,FALSE))),(C79*(VLOOKUP(LeasingHab!$C$25,Seguros_Oblig!$A$3:$D$55,4,FALSE))))</f>
        <v>#VALUE!</v>
      </c>
      <c r="I80" s="8" t="e">
        <f>IF(LeasingHab!$C$10="TARIFA 1",(C79*(VLOOKUP(LeasingHab!$C$26,Seguros_Oblig!$A$3:$B$55,2,FALSE))),(C79*(VLOOKUP(LeasingHab!$C$26,Seguros_Oblig!$A$3:$D$55,4,FALSE))))</f>
        <v>#VALUE!</v>
      </c>
      <c r="J80" s="10">
        <f t="shared" si="2"/>
        <v>0</v>
      </c>
      <c r="K80" s="7" t="e">
        <f>IF((C79-1)&lt;$E$17,0,Seguros_Oblig!$K$2*(LeasingHab!$C$12*90%))</f>
        <v>#VALUE!</v>
      </c>
      <c r="L80" s="7" t="e">
        <f>IF(B80&gt;LeasingHab!$C$18,0,PMT(LeasingHab!$E$17,LeasingHab!$C$18,-LeasingHab!$C$15,,)-PMT(LeasingHab!$E$17,LeasingHab!$C$18,-LeasingHab!$C$22)+LeasingHab!$C$22*LeasingHab!$E$17)</f>
        <v>#VALUE!</v>
      </c>
      <c r="M80" s="9" t="e">
        <f>K80+L80+J80</f>
        <v>#VALUE!</v>
      </c>
      <c r="N80" s="7" t="e">
        <f>IF((C79-1)&lt;$E$17,0,LeasingHab!$C$39)</f>
        <v>#VALUE!</v>
      </c>
      <c r="O80" s="9" t="e">
        <f t="shared" si="4"/>
        <v>#VALUE!</v>
      </c>
    </row>
    <row r="81" spans="2:15" ht="15.5" x14ac:dyDescent="0.35">
      <c r="B81" s="6" t="e">
        <f t="shared" si="5"/>
        <v>#VALUE!</v>
      </c>
      <c r="C81" s="7" t="e">
        <f>IF(D80=0,0,C80-D81)</f>
        <v>#VALUE!</v>
      </c>
      <c r="D81" s="7" t="e">
        <f t="shared" ref="D81:D144" si="7">IF((C80-1)&lt;$E$17,0,L81-E81)</f>
        <v>#VALUE!</v>
      </c>
      <c r="E81" s="7" t="e">
        <f>IF((C80-1)&lt;$E$17,0,C80*LeasingHab!$E$17)</f>
        <v>#VALUE!</v>
      </c>
      <c r="F81" s="8" t="e">
        <f>IF((C80-1)&lt;$E$17,"0",IF(LeasingHab!$D$27="Si",($C$19*(VLOOKUP(LeasingHab!$C$23,Seguros_Oblig!$A$3:$F$55,6,FALSE))),IF(LeasingHab!$C$10="TARIFA 1",(C80*(VLOOKUP(LeasingHab!$C$23,Seguros_Oblig!$A$3:$B$55,2,FALSE))),(C80*(VLOOKUP(LeasingHab!$C$23,Seguros_Oblig!$A$3:$D$55,4,FALSE))))))</f>
        <v>#VALUE!</v>
      </c>
      <c r="G81" s="8" t="e">
        <f>IF(LeasingHab!$C$10="TARIFA 1",(C80*(VLOOKUP(LeasingHab!$C$24,Seguros_Oblig!$A$3:$B$55,2,FALSE))),(C80*(VLOOKUP(LeasingHab!$C$24,Seguros_Oblig!$A$3:$D$55,4,FALSE))))</f>
        <v>#VALUE!</v>
      </c>
      <c r="H81" s="8" t="e">
        <f>IF(LeasingHab!$C$10="TARIFA 1",(C80*(VLOOKUP(LeasingHab!$C$25,Seguros_Oblig!$A$3:$B$55,2,FALSE))),(C80*(VLOOKUP(LeasingHab!$C$25,Seguros_Oblig!$A$3:$D$55,4,FALSE))))</f>
        <v>#VALUE!</v>
      </c>
      <c r="I81" s="8" t="e">
        <f>IF(LeasingHab!$C$10="TARIFA 1",(C80*(VLOOKUP(LeasingHab!$C$26,Seguros_Oblig!$A$3:$B$55,2,FALSE))),(C80*(VLOOKUP(LeasingHab!$C$26,Seguros_Oblig!$A$3:$D$55,4,FALSE))))</f>
        <v>#VALUE!</v>
      </c>
      <c r="J81" s="10">
        <f t="shared" si="2"/>
        <v>0</v>
      </c>
      <c r="K81" s="7" t="e">
        <f>IF((C80-1)&lt;$E$17,0,Seguros_Oblig!$K$2*(LeasingHab!$C$12*90%))</f>
        <v>#VALUE!</v>
      </c>
      <c r="L81" s="7" t="e">
        <f>IF(B81&gt;LeasingHab!$C$18,0,PMT(LeasingHab!$E$17,LeasingHab!$C$18,-LeasingHab!$C$15,,)-PMT(LeasingHab!$E$17,LeasingHab!$C$18,-LeasingHab!$C$22)+LeasingHab!$C$22*LeasingHab!$E$17)</f>
        <v>#VALUE!</v>
      </c>
      <c r="M81" s="9" t="e">
        <f t="shared" si="3"/>
        <v>#VALUE!</v>
      </c>
      <c r="N81" s="7" t="e">
        <f>IF((C80-1)&lt;$E$17,0,LeasingHab!$C$39)</f>
        <v>#VALUE!</v>
      </c>
      <c r="O81" s="9" t="e">
        <f t="shared" si="4"/>
        <v>#VALUE!</v>
      </c>
    </row>
    <row r="82" spans="2:15" ht="15.5" x14ac:dyDescent="0.35">
      <c r="B82" s="6" t="e">
        <f t="shared" si="5"/>
        <v>#VALUE!</v>
      </c>
      <c r="C82" s="7" t="e">
        <f t="shared" ref="C82:C144" si="8">IF(D81=0,0,C81-D82)</f>
        <v>#VALUE!</v>
      </c>
      <c r="D82" s="7" t="e">
        <f t="shared" si="7"/>
        <v>#VALUE!</v>
      </c>
      <c r="E82" s="7" t="e">
        <f>IF((C81-1)&lt;$E$17,0,C81*LeasingHab!$E$17)</f>
        <v>#VALUE!</v>
      </c>
      <c r="F82" s="8" t="e">
        <f>IF((C81-1)&lt;$E$17,"0",IF(LeasingHab!$D$27="Si",($C$19*(VLOOKUP(LeasingHab!$C$23,Seguros_Oblig!$A$3:$F$55,6,FALSE))),IF(LeasingHab!$C$10="TARIFA 1",(C81*(VLOOKUP(LeasingHab!$C$23,Seguros_Oblig!$A$3:$B$55,2,FALSE))),(C81*(VLOOKUP(LeasingHab!$C$23,Seguros_Oblig!$A$3:$D$55,4,FALSE))))))</f>
        <v>#VALUE!</v>
      </c>
      <c r="G82" s="8" t="e">
        <f>IF(LeasingHab!$C$10="TARIFA 1",(C81*(VLOOKUP(LeasingHab!$C$24,Seguros_Oblig!$A$3:$B$55,2,FALSE))),(C81*(VLOOKUP(LeasingHab!$C$24,Seguros_Oblig!$A$3:$D$55,4,FALSE))))</f>
        <v>#VALUE!</v>
      </c>
      <c r="H82" s="8" t="e">
        <f>IF(LeasingHab!$C$10="TARIFA 1",(C81*(VLOOKUP(LeasingHab!$C$25,Seguros_Oblig!$A$3:$B$55,2,FALSE))),(C81*(VLOOKUP(LeasingHab!$C$25,Seguros_Oblig!$A$3:$D$55,4,FALSE))))</f>
        <v>#VALUE!</v>
      </c>
      <c r="I82" s="8" t="e">
        <f>IF(LeasingHab!$C$10="TARIFA 1",(C81*(VLOOKUP(LeasingHab!$C$26,Seguros_Oblig!$A$3:$B$55,2,FALSE))),(C81*(VLOOKUP(LeasingHab!$C$26,Seguros_Oblig!$A$3:$D$55,4,FALSE))))</f>
        <v>#VALUE!</v>
      </c>
      <c r="J82" s="10">
        <f t="shared" si="2"/>
        <v>0</v>
      </c>
      <c r="K82" s="7" t="e">
        <f>IF((C81-1)&lt;$E$17,0,Seguros_Oblig!$K$2*(LeasingHab!$C$12*90%))</f>
        <v>#VALUE!</v>
      </c>
      <c r="L82" s="7" t="e">
        <f>IF(B82&gt;LeasingHab!$C$18,0,PMT(LeasingHab!$E$17,LeasingHab!$C$18,-LeasingHab!$C$15,,)-PMT(LeasingHab!$E$17,LeasingHab!$C$18,-LeasingHab!$C$22)+LeasingHab!$C$22*LeasingHab!$E$17)</f>
        <v>#VALUE!</v>
      </c>
      <c r="M82" s="9" t="e">
        <f t="shared" si="3"/>
        <v>#VALUE!</v>
      </c>
      <c r="N82" s="7" t="e">
        <f>IF((C81-1)&lt;$E$17,0,LeasingHab!$C$39)</f>
        <v>#VALUE!</v>
      </c>
      <c r="O82" s="9" t="e">
        <f t="shared" si="4"/>
        <v>#VALUE!</v>
      </c>
    </row>
    <row r="83" spans="2:15" ht="15.5" x14ac:dyDescent="0.35">
      <c r="B83" s="6" t="e">
        <f t="shared" si="5"/>
        <v>#VALUE!</v>
      </c>
      <c r="C83" s="7" t="e">
        <f t="shared" si="8"/>
        <v>#VALUE!</v>
      </c>
      <c r="D83" s="7" t="e">
        <f t="shared" si="7"/>
        <v>#VALUE!</v>
      </c>
      <c r="E83" s="7" t="e">
        <f>IF((C82-1)&lt;$E$17,0,C82*LeasingHab!$E$17)</f>
        <v>#VALUE!</v>
      </c>
      <c r="F83" s="8" t="e">
        <f>IF((C82-1)&lt;$E$17,"0",IF(LeasingHab!$D$27="Si",($C$19*(VLOOKUP(LeasingHab!$C$23,Seguros_Oblig!$A$3:$F$55,6,FALSE))),IF(LeasingHab!$C$10="TARIFA 1",(C82*(VLOOKUP(LeasingHab!$C$23,Seguros_Oblig!$A$3:$B$55,2,FALSE))),(C82*(VLOOKUP(LeasingHab!$C$23,Seguros_Oblig!$A$3:$D$55,4,FALSE))))))</f>
        <v>#VALUE!</v>
      </c>
      <c r="G83" s="8" t="e">
        <f>IF(LeasingHab!$C$10="TARIFA 1",(C82*(VLOOKUP(LeasingHab!$C$24,Seguros_Oblig!$A$3:$B$55,2,FALSE))),(C82*(VLOOKUP(LeasingHab!$C$24,Seguros_Oblig!$A$3:$D$55,4,FALSE))))</f>
        <v>#VALUE!</v>
      </c>
      <c r="H83" s="8" t="e">
        <f>IF(LeasingHab!$C$10="TARIFA 1",(C82*(VLOOKUP(LeasingHab!$C$25,Seguros_Oblig!$A$3:$B$55,2,FALSE))),(C82*(VLOOKUP(LeasingHab!$C$25,Seguros_Oblig!$A$3:$D$55,4,FALSE))))</f>
        <v>#VALUE!</v>
      </c>
      <c r="I83" s="8" t="e">
        <f>IF(LeasingHab!$C$10="TARIFA 1",(C82*(VLOOKUP(LeasingHab!$C$26,Seguros_Oblig!$A$3:$B$55,2,FALSE))),(C82*(VLOOKUP(LeasingHab!$C$26,Seguros_Oblig!$A$3:$D$55,4,FALSE))))</f>
        <v>#VALUE!</v>
      </c>
      <c r="J83" s="10">
        <f t="shared" si="2"/>
        <v>0</v>
      </c>
      <c r="K83" s="7" t="e">
        <f>IF((C82-1)&lt;$E$17,0,Seguros_Oblig!$K$2*(LeasingHab!$C$12*90%))</f>
        <v>#VALUE!</v>
      </c>
      <c r="L83" s="7" t="e">
        <f>IF(B83&gt;LeasingHab!$C$18,0,PMT(LeasingHab!$E$17,LeasingHab!$C$18,-LeasingHab!$C$15,,)-PMT(LeasingHab!$E$17,LeasingHab!$C$18,-LeasingHab!$C$22)+LeasingHab!$C$22*LeasingHab!$E$17)</f>
        <v>#VALUE!</v>
      </c>
      <c r="M83" s="9" t="e">
        <f t="shared" si="3"/>
        <v>#VALUE!</v>
      </c>
      <c r="N83" s="7" t="e">
        <f>IF((C82-1)&lt;$E$17,0,LeasingHab!$C$39)</f>
        <v>#VALUE!</v>
      </c>
      <c r="O83" s="9" t="e">
        <f t="shared" si="4"/>
        <v>#VALUE!</v>
      </c>
    </row>
    <row r="84" spans="2:15" ht="15.5" x14ac:dyDescent="0.35">
      <c r="B84" s="6" t="e">
        <f t="shared" si="5"/>
        <v>#VALUE!</v>
      </c>
      <c r="C84" s="7" t="e">
        <f t="shared" si="8"/>
        <v>#VALUE!</v>
      </c>
      <c r="D84" s="7" t="e">
        <f t="shared" si="7"/>
        <v>#VALUE!</v>
      </c>
      <c r="E84" s="7" t="e">
        <f>IF((C83-1)&lt;$E$17,0,C83*LeasingHab!$E$17)</f>
        <v>#VALUE!</v>
      </c>
      <c r="F84" s="8" t="e">
        <f>IF((C83-1)&lt;$E$17,"0",IF(LeasingHab!$D$27="Si",($C$19*(VLOOKUP(LeasingHab!$C$23,Seguros_Oblig!$A$3:$F$55,6,FALSE))),IF(LeasingHab!$C$10="TARIFA 1",(C83*(VLOOKUP(LeasingHab!$C$23,Seguros_Oblig!$A$3:$B$55,2,FALSE))),(C83*(VLOOKUP(LeasingHab!$C$23,Seguros_Oblig!$A$3:$D$55,4,FALSE))))))</f>
        <v>#VALUE!</v>
      </c>
      <c r="G84" s="8" t="e">
        <f>IF(LeasingHab!$C$10="TARIFA 1",(C83*(VLOOKUP(LeasingHab!$C$24,Seguros_Oblig!$A$3:$B$55,2,FALSE))),(C83*(VLOOKUP(LeasingHab!$C$24,Seguros_Oblig!$A$3:$D$55,4,FALSE))))</f>
        <v>#VALUE!</v>
      </c>
      <c r="H84" s="8" t="e">
        <f>IF(LeasingHab!$C$10="TARIFA 1",(C83*(VLOOKUP(LeasingHab!$C$25,Seguros_Oblig!$A$3:$B$55,2,FALSE))),(C83*(VLOOKUP(LeasingHab!$C$25,Seguros_Oblig!$A$3:$D$55,4,FALSE))))</f>
        <v>#VALUE!</v>
      </c>
      <c r="I84" s="8" t="e">
        <f>IF(LeasingHab!$C$10="TARIFA 1",(C83*(VLOOKUP(LeasingHab!$C$26,Seguros_Oblig!$A$3:$B$55,2,FALSE))),(C83*(VLOOKUP(LeasingHab!$C$26,Seguros_Oblig!$A$3:$D$55,4,FALSE))))</f>
        <v>#VALUE!</v>
      </c>
      <c r="J84" s="10">
        <f t="shared" si="2"/>
        <v>0</v>
      </c>
      <c r="K84" s="7" t="e">
        <f>IF((C83-1)&lt;$E$17,0,Seguros_Oblig!$K$2*(LeasingHab!$C$12*90%))</f>
        <v>#VALUE!</v>
      </c>
      <c r="L84" s="7" t="e">
        <f>IF(B84&gt;LeasingHab!$C$18,0,PMT(LeasingHab!$E$17,LeasingHab!$C$18,-LeasingHab!$C$15,,)-PMT(LeasingHab!$E$17,LeasingHab!$C$18,-LeasingHab!$C$22)+LeasingHab!$C$22*LeasingHab!$E$17)</f>
        <v>#VALUE!</v>
      </c>
      <c r="M84" s="9" t="e">
        <f t="shared" si="3"/>
        <v>#VALUE!</v>
      </c>
      <c r="N84" s="7" t="e">
        <f>IF((C83-1)&lt;$E$17,0,LeasingHab!$C$39)</f>
        <v>#VALUE!</v>
      </c>
      <c r="O84" s="9" t="e">
        <f t="shared" si="4"/>
        <v>#VALUE!</v>
      </c>
    </row>
    <row r="85" spans="2:15" ht="15.5" x14ac:dyDescent="0.35">
      <c r="B85" s="6" t="e">
        <f t="shared" si="5"/>
        <v>#VALUE!</v>
      </c>
      <c r="C85" s="7" t="e">
        <f t="shared" si="8"/>
        <v>#VALUE!</v>
      </c>
      <c r="D85" s="7" t="e">
        <f t="shared" si="7"/>
        <v>#VALUE!</v>
      </c>
      <c r="E85" s="7" t="e">
        <f>IF((C84-1)&lt;$E$17,0,C84*LeasingHab!$E$17)</f>
        <v>#VALUE!</v>
      </c>
      <c r="F85" s="8" t="e">
        <f>IF((C84-1)&lt;$E$17,"0",IF(LeasingHab!$D$27="Si",($C$19*(VLOOKUP(LeasingHab!$C$23,Seguros_Oblig!$A$3:$F$55,6,FALSE))),IF(LeasingHab!$C$10="TARIFA 1",(C84*(VLOOKUP(LeasingHab!$C$23,Seguros_Oblig!$A$3:$B$55,2,FALSE))),(C84*(VLOOKUP(LeasingHab!$C$23,Seguros_Oblig!$A$3:$D$55,4,FALSE))))))</f>
        <v>#VALUE!</v>
      </c>
      <c r="G85" s="8" t="e">
        <f>IF(LeasingHab!$C$10="TARIFA 1",(C84*(VLOOKUP(LeasingHab!$C$24,Seguros_Oblig!$A$3:$B$55,2,FALSE))),(C84*(VLOOKUP(LeasingHab!$C$24,Seguros_Oblig!$A$3:$D$55,4,FALSE))))</f>
        <v>#VALUE!</v>
      </c>
      <c r="H85" s="8" t="e">
        <f>IF(LeasingHab!$C$10="TARIFA 1",(C84*(VLOOKUP(LeasingHab!$C$25,Seguros_Oblig!$A$3:$B$55,2,FALSE))),(C84*(VLOOKUP(LeasingHab!$C$25,Seguros_Oblig!$A$3:$D$55,4,FALSE))))</f>
        <v>#VALUE!</v>
      </c>
      <c r="I85" s="8" t="e">
        <f>IF(LeasingHab!$C$10="TARIFA 1",(C84*(VLOOKUP(LeasingHab!$C$26,Seguros_Oblig!$A$3:$B$55,2,FALSE))),(C84*(VLOOKUP(LeasingHab!$C$26,Seguros_Oblig!$A$3:$D$55,4,FALSE))))</f>
        <v>#VALUE!</v>
      </c>
      <c r="J85" s="10">
        <f t="shared" ref="J85:J148" si="9">_xlfn.AGGREGATE(9,6,F85:I85)</f>
        <v>0</v>
      </c>
      <c r="K85" s="7" t="e">
        <f>IF((C84-1)&lt;$E$17,0,Seguros_Oblig!$K$2*(LeasingHab!$C$12*90%))</f>
        <v>#VALUE!</v>
      </c>
      <c r="L85" s="7" t="e">
        <f>IF(B85&gt;LeasingHab!$C$18,0,PMT(LeasingHab!$E$17,LeasingHab!$C$18,-LeasingHab!$C$15,,)-PMT(LeasingHab!$E$17,LeasingHab!$C$18,-LeasingHab!$C$22)+LeasingHab!$C$22*LeasingHab!$E$17)</f>
        <v>#VALUE!</v>
      </c>
      <c r="M85" s="9" t="e">
        <f t="shared" ref="M85:M148" si="10">K85+L85+J85</f>
        <v>#VALUE!</v>
      </c>
      <c r="N85" s="7" t="e">
        <f>IF((C84-1)&lt;$E$17,0,LeasingHab!$C$39)</f>
        <v>#VALUE!</v>
      </c>
      <c r="O85" s="9" t="e">
        <f t="shared" ref="O85:O148" si="11">M85+N85</f>
        <v>#VALUE!</v>
      </c>
    </row>
    <row r="86" spans="2:15" ht="15.5" x14ac:dyDescent="0.35">
      <c r="B86" s="6" t="e">
        <f t="shared" si="5"/>
        <v>#VALUE!</v>
      </c>
      <c r="C86" s="7" t="e">
        <f t="shared" si="8"/>
        <v>#VALUE!</v>
      </c>
      <c r="D86" s="7" t="e">
        <f t="shared" si="7"/>
        <v>#VALUE!</v>
      </c>
      <c r="E86" s="7" t="e">
        <f>IF((C85-1)&lt;$E$17,0,C85*LeasingHab!$E$17)</f>
        <v>#VALUE!</v>
      </c>
      <c r="F86" s="8" t="e">
        <f>IF((C85-1)&lt;$E$17,"0",IF(LeasingHab!$D$27="Si",($C$19*(VLOOKUP(LeasingHab!$C$23,Seguros_Oblig!$A$3:$F$55,6,FALSE))),IF(LeasingHab!$C$10="TARIFA 1",(C85*(VLOOKUP(LeasingHab!$C$23,Seguros_Oblig!$A$3:$B$55,2,FALSE))),(C85*(VLOOKUP(LeasingHab!$C$23,Seguros_Oblig!$A$3:$D$55,4,FALSE))))))</f>
        <v>#VALUE!</v>
      </c>
      <c r="G86" s="8" t="e">
        <f>IF(LeasingHab!$C$10="TARIFA 1",(C85*(VLOOKUP(LeasingHab!$C$24,Seguros_Oblig!$A$3:$B$55,2,FALSE))),(C85*(VLOOKUP(LeasingHab!$C$24,Seguros_Oblig!$A$3:$D$55,4,FALSE))))</f>
        <v>#VALUE!</v>
      </c>
      <c r="H86" s="8" t="e">
        <f>IF(LeasingHab!$C$10="TARIFA 1",(C85*(VLOOKUP(LeasingHab!$C$25,Seguros_Oblig!$A$3:$B$55,2,FALSE))),(C85*(VLOOKUP(LeasingHab!$C$25,Seguros_Oblig!$A$3:$D$55,4,FALSE))))</f>
        <v>#VALUE!</v>
      </c>
      <c r="I86" s="8" t="e">
        <f>IF(LeasingHab!$C$10="TARIFA 1",(C85*(VLOOKUP(LeasingHab!$C$26,Seguros_Oblig!$A$3:$B$55,2,FALSE))),(C85*(VLOOKUP(LeasingHab!$C$26,Seguros_Oblig!$A$3:$D$55,4,FALSE))))</f>
        <v>#VALUE!</v>
      </c>
      <c r="J86" s="10">
        <f t="shared" si="9"/>
        <v>0</v>
      </c>
      <c r="K86" s="7" t="e">
        <f>IF((C85-1)&lt;$E$17,0,Seguros_Oblig!$K$2*(LeasingHab!$C$12*90%))</f>
        <v>#VALUE!</v>
      </c>
      <c r="L86" s="7" t="e">
        <f>IF(B86&gt;LeasingHab!$C$18,0,PMT(LeasingHab!$E$17,LeasingHab!$C$18,-LeasingHab!$C$15,,)-PMT(LeasingHab!$E$17,LeasingHab!$C$18,-LeasingHab!$C$22)+LeasingHab!$C$22*LeasingHab!$E$17)</f>
        <v>#VALUE!</v>
      </c>
      <c r="M86" s="9" t="e">
        <f t="shared" si="10"/>
        <v>#VALUE!</v>
      </c>
      <c r="N86" s="7" t="e">
        <f>IF((C85-1)&lt;$E$17,0,LeasingHab!$C$39)</f>
        <v>#VALUE!</v>
      </c>
      <c r="O86" s="9" t="e">
        <f t="shared" si="11"/>
        <v>#VALUE!</v>
      </c>
    </row>
    <row r="87" spans="2:15" ht="15.5" x14ac:dyDescent="0.35">
      <c r="B87" s="6" t="e">
        <f t="shared" si="5"/>
        <v>#VALUE!</v>
      </c>
      <c r="C87" s="7" t="e">
        <f t="shared" si="8"/>
        <v>#VALUE!</v>
      </c>
      <c r="D87" s="7" t="e">
        <f t="shared" si="7"/>
        <v>#VALUE!</v>
      </c>
      <c r="E87" s="7" t="e">
        <f>IF((C86-1)&lt;$E$17,0,C86*LeasingHab!$E$17)</f>
        <v>#VALUE!</v>
      </c>
      <c r="F87" s="8" t="e">
        <f>IF((C86-1)&lt;$E$17,"0",IF(LeasingHab!$D$27="Si",($C$19*(VLOOKUP(LeasingHab!$C$23,Seguros_Oblig!$A$3:$F$55,6,FALSE))),IF(LeasingHab!$C$10="TARIFA 1",(C86*(VLOOKUP(LeasingHab!$C$23,Seguros_Oblig!$A$3:$B$55,2,FALSE))),(C86*(VLOOKUP(LeasingHab!$C$23,Seguros_Oblig!$A$3:$D$55,4,FALSE))))))</f>
        <v>#VALUE!</v>
      </c>
      <c r="G87" s="8" t="e">
        <f>IF(LeasingHab!$C$10="TARIFA 1",(C86*(VLOOKUP(LeasingHab!$C$24,Seguros_Oblig!$A$3:$B$55,2,FALSE))),(C86*(VLOOKUP(LeasingHab!$C$24,Seguros_Oblig!$A$3:$D$55,4,FALSE))))</f>
        <v>#VALUE!</v>
      </c>
      <c r="H87" s="8" t="e">
        <f>IF(LeasingHab!$C$10="TARIFA 1",(C86*(VLOOKUP(LeasingHab!$C$25,Seguros_Oblig!$A$3:$B$55,2,FALSE))),(C86*(VLOOKUP(LeasingHab!$C$25,Seguros_Oblig!$A$3:$D$55,4,FALSE))))</f>
        <v>#VALUE!</v>
      </c>
      <c r="I87" s="8" t="e">
        <f>IF(LeasingHab!$C$10="TARIFA 1",(C86*(VLOOKUP(LeasingHab!$C$26,Seguros_Oblig!$A$3:$B$55,2,FALSE))),(C86*(VLOOKUP(LeasingHab!$C$26,Seguros_Oblig!$A$3:$D$55,4,FALSE))))</f>
        <v>#VALUE!</v>
      </c>
      <c r="J87" s="10">
        <f t="shared" si="9"/>
        <v>0</v>
      </c>
      <c r="K87" s="7" t="e">
        <f>IF((C86-1)&lt;$E$17,0,Seguros_Oblig!$K$2*(LeasingHab!$C$12*90%))</f>
        <v>#VALUE!</v>
      </c>
      <c r="L87" s="7" t="e">
        <f>IF(B87&gt;LeasingHab!$C$18,0,PMT(LeasingHab!$E$17,LeasingHab!$C$18,-LeasingHab!$C$15,,)-PMT(LeasingHab!$E$17,LeasingHab!$C$18,-LeasingHab!$C$22)+LeasingHab!$C$22*LeasingHab!$E$17)</f>
        <v>#VALUE!</v>
      </c>
      <c r="M87" s="9" t="e">
        <f t="shared" si="10"/>
        <v>#VALUE!</v>
      </c>
      <c r="N87" s="7" t="e">
        <f>IF((C86-1)&lt;$E$17,0,LeasingHab!$C$39)</f>
        <v>#VALUE!</v>
      </c>
      <c r="O87" s="9" t="e">
        <f t="shared" si="11"/>
        <v>#VALUE!</v>
      </c>
    </row>
    <row r="88" spans="2:15" ht="15.5" x14ac:dyDescent="0.35">
      <c r="B88" s="6" t="e">
        <f t="shared" si="5"/>
        <v>#VALUE!</v>
      </c>
      <c r="C88" s="7" t="e">
        <f t="shared" si="8"/>
        <v>#VALUE!</v>
      </c>
      <c r="D88" s="7" t="e">
        <f t="shared" si="7"/>
        <v>#VALUE!</v>
      </c>
      <c r="E88" s="7" t="e">
        <f>IF((C87-1)&lt;$E$17,0,C87*LeasingHab!$E$17)</f>
        <v>#VALUE!</v>
      </c>
      <c r="F88" s="8" t="e">
        <f>IF((C87-1)&lt;$E$17,"0",IF(LeasingHab!$D$27="Si",($C$19*(VLOOKUP(LeasingHab!$C$23,Seguros_Oblig!$A$3:$F$55,6,FALSE))),IF(LeasingHab!$C$10="TARIFA 1",(C87*(VLOOKUP(LeasingHab!$C$23,Seguros_Oblig!$A$3:$B$55,2,FALSE))),(C87*(VLOOKUP(LeasingHab!$C$23,Seguros_Oblig!$A$3:$D$55,4,FALSE))))))</f>
        <v>#VALUE!</v>
      </c>
      <c r="G88" s="8" t="e">
        <f>IF(LeasingHab!$C$10="TARIFA 1",(C87*(VLOOKUP(LeasingHab!$C$24,Seguros_Oblig!$A$3:$B$55,2,FALSE))),(C87*(VLOOKUP(LeasingHab!$C$24,Seguros_Oblig!$A$3:$D$55,4,FALSE))))</f>
        <v>#VALUE!</v>
      </c>
      <c r="H88" s="8" t="e">
        <f>IF(LeasingHab!$C$10="TARIFA 1",(C87*(VLOOKUP(LeasingHab!$C$25,Seguros_Oblig!$A$3:$B$55,2,FALSE))),(C87*(VLOOKUP(LeasingHab!$C$25,Seguros_Oblig!$A$3:$D$55,4,FALSE))))</f>
        <v>#VALUE!</v>
      </c>
      <c r="I88" s="8" t="e">
        <f>IF(LeasingHab!$C$10="TARIFA 1",(C87*(VLOOKUP(LeasingHab!$C$26,Seguros_Oblig!$A$3:$B$55,2,FALSE))),(C87*(VLOOKUP(LeasingHab!$C$26,Seguros_Oblig!$A$3:$D$55,4,FALSE))))</f>
        <v>#VALUE!</v>
      </c>
      <c r="J88" s="10">
        <f t="shared" si="9"/>
        <v>0</v>
      </c>
      <c r="K88" s="7" t="e">
        <f>IF((C87-1)&lt;$E$17,0,Seguros_Oblig!$K$2*(LeasingHab!$C$12*90%))</f>
        <v>#VALUE!</v>
      </c>
      <c r="L88" s="7" t="e">
        <f>IF(B88&gt;LeasingHab!$C$18,0,PMT(LeasingHab!$E$17,LeasingHab!$C$18,-LeasingHab!$C$15,,)-PMT(LeasingHab!$E$17,LeasingHab!$C$18,-LeasingHab!$C$22)+LeasingHab!$C$22*LeasingHab!$E$17)</f>
        <v>#VALUE!</v>
      </c>
      <c r="M88" s="9" t="e">
        <f t="shared" si="10"/>
        <v>#VALUE!</v>
      </c>
      <c r="N88" s="7" t="e">
        <f>IF((C87-1)&lt;$E$17,0,LeasingHab!$C$39)</f>
        <v>#VALUE!</v>
      </c>
      <c r="O88" s="9" t="e">
        <f t="shared" si="11"/>
        <v>#VALUE!</v>
      </c>
    </row>
    <row r="89" spans="2:15" ht="15.5" x14ac:dyDescent="0.35">
      <c r="B89" s="6" t="e">
        <f t="shared" si="5"/>
        <v>#VALUE!</v>
      </c>
      <c r="C89" s="7" t="e">
        <f t="shared" si="8"/>
        <v>#VALUE!</v>
      </c>
      <c r="D89" s="7" t="e">
        <f t="shared" si="7"/>
        <v>#VALUE!</v>
      </c>
      <c r="E89" s="7" t="e">
        <f>IF((C88-1)&lt;$E$17,0,C88*LeasingHab!$E$17)</f>
        <v>#VALUE!</v>
      </c>
      <c r="F89" s="8" t="e">
        <f>IF((C88-1)&lt;$E$17,"0",IF(LeasingHab!$D$27="Si",($C$19*(VLOOKUP(LeasingHab!$C$23,Seguros_Oblig!$A$3:$F$55,6,FALSE))),IF(LeasingHab!$C$10="TARIFA 1",(C88*(VLOOKUP(LeasingHab!$C$23,Seguros_Oblig!$A$3:$B$55,2,FALSE))),(C88*(VLOOKUP(LeasingHab!$C$23,Seguros_Oblig!$A$3:$D$55,4,FALSE))))))</f>
        <v>#VALUE!</v>
      </c>
      <c r="G89" s="8" t="e">
        <f>IF(LeasingHab!$C$10="TARIFA 1",(C88*(VLOOKUP(LeasingHab!$C$24,Seguros_Oblig!$A$3:$B$55,2,FALSE))),(C88*(VLOOKUP(LeasingHab!$C$24,Seguros_Oblig!$A$3:$D$55,4,FALSE))))</f>
        <v>#VALUE!</v>
      </c>
      <c r="H89" s="8" t="e">
        <f>IF(LeasingHab!$C$10="TARIFA 1",(C88*(VLOOKUP(LeasingHab!$C$25,Seguros_Oblig!$A$3:$B$55,2,FALSE))),(C88*(VLOOKUP(LeasingHab!$C$25,Seguros_Oblig!$A$3:$D$55,4,FALSE))))</f>
        <v>#VALUE!</v>
      </c>
      <c r="I89" s="8" t="e">
        <f>IF(LeasingHab!$C$10="TARIFA 1",(C88*(VLOOKUP(LeasingHab!$C$26,Seguros_Oblig!$A$3:$B$55,2,FALSE))),(C88*(VLOOKUP(LeasingHab!$C$26,Seguros_Oblig!$A$3:$D$55,4,FALSE))))</f>
        <v>#VALUE!</v>
      </c>
      <c r="J89" s="10">
        <f t="shared" si="9"/>
        <v>0</v>
      </c>
      <c r="K89" s="7" t="e">
        <f>IF((C88-1)&lt;$E$17,0,Seguros_Oblig!$K$2*(LeasingHab!$C$12*90%))</f>
        <v>#VALUE!</v>
      </c>
      <c r="L89" s="7" t="e">
        <f>IF(B89&gt;LeasingHab!$C$18,0,PMT(LeasingHab!$E$17,LeasingHab!$C$18,-LeasingHab!$C$15,,)-PMT(LeasingHab!$E$17,LeasingHab!$C$18,-LeasingHab!$C$22)+LeasingHab!$C$22*LeasingHab!$E$17)</f>
        <v>#VALUE!</v>
      </c>
      <c r="M89" s="9" t="e">
        <f t="shared" si="10"/>
        <v>#VALUE!</v>
      </c>
      <c r="N89" s="7" t="e">
        <f>IF((C88-1)&lt;$E$17,0,LeasingHab!$C$39)</f>
        <v>#VALUE!</v>
      </c>
      <c r="O89" s="9" t="e">
        <f t="shared" si="11"/>
        <v>#VALUE!</v>
      </c>
    </row>
    <row r="90" spans="2:15" ht="15.5" x14ac:dyDescent="0.35">
      <c r="B90" s="6" t="e">
        <f t="shared" ref="B90:B153" si="12">IF(C89&gt;1,B89+1," ")</f>
        <v>#VALUE!</v>
      </c>
      <c r="C90" s="7" t="e">
        <f t="shared" si="8"/>
        <v>#VALUE!</v>
      </c>
      <c r="D90" s="7" t="e">
        <f t="shared" si="7"/>
        <v>#VALUE!</v>
      </c>
      <c r="E90" s="7" t="e">
        <f>IF((C89-1)&lt;$E$17,0,C89*LeasingHab!$E$17)</f>
        <v>#VALUE!</v>
      </c>
      <c r="F90" s="8" t="e">
        <f>IF((C89-1)&lt;$E$17,"0",IF(LeasingHab!$D$27="Si",($C$19*(VLOOKUP(LeasingHab!$C$23,Seguros_Oblig!$A$3:$F$55,6,FALSE))),IF(LeasingHab!$C$10="TARIFA 1",(C89*(VLOOKUP(LeasingHab!$C$23,Seguros_Oblig!$A$3:$B$55,2,FALSE))),(C89*(VLOOKUP(LeasingHab!$C$23,Seguros_Oblig!$A$3:$D$55,4,FALSE))))))</f>
        <v>#VALUE!</v>
      </c>
      <c r="G90" s="8" t="e">
        <f>IF(LeasingHab!$C$10="TARIFA 1",(C89*(VLOOKUP(LeasingHab!$C$24,Seguros_Oblig!$A$3:$B$55,2,FALSE))),(C89*(VLOOKUP(LeasingHab!$C$24,Seguros_Oblig!$A$3:$D$55,4,FALSE))))</f>
        <v>#VALUE!</v>
      </c>
      <c r="H90" s="8" t="e">
        <f>IF(LeasingHab!$C$10="TARIFA 1",(C89*(VLOOKUP(LeasingHab!$C$25,Seguros_Oblig!$A$3:$B$55,2,FALSE))),(C89*(VLOOKUP(LeasingHab!$C$25,Seguros_Oblig!$A$3:$D$55,4,FALSE))))</f>
        <v>#VALUE!</v>
      </c>
      <c r="I90" s="8" t="e">
        <f>IF(LeasingHab!$C$10="TARIFA 1",(C89*(VLOOKUP(LeasingHab!$C$26,Seguros_Oblig!$A$3:$B$55,2,FALSE))),(C89*(VLOOKUP(LeasingHab!$C$26,Seguros_Oblig!$A$3:$D$55,4,FALSE))))</f>
        <v>#VALUE!</v>
      </c>
      <c r="J90" s="10">
        <f t="shared" si="9"/>
        <v>0</v>
      </c>
      <c r="K90" s="7" t="e">
        <f>IF((C89-1)&lt;$E$17,0,Seguros_Oblig!$K$2*(LeasingHab!$C$12*90%))</f>
        <v>#VALUE!</v>
      </c>
      <c r="L90" s="7" t="e">
        <f>IF(B90&gt;LeasingHab!$C$18,0,PMT(LeasingHab!$E$17,LeasingHab!$C$18,-LeasingHab!$C$15,,)-PMT(LeasingHab!$E$17,LeasingHab!$C$18,-LeasingHab!$C$22)+LeasingHab!$C$22*LeasingHab!$E$17)</f>
        <v>#VALUE!</v>
      </c>
      <c r="M90" s="9" t="e">
        <f t="shared" si="10"/>
        <v>#VALUE!</v>
      </c>
      <c r="N90" s="7" t="e">
        <f>IF((C89-1)&lt;$E$17,0,LeasingHab!$C$39)</f>
        <v>#VALUE!</v>
      </c>
      <c r="O90" s="9" t="e">
        <f t="shared" si="11"/>
        <v>#VALUE!</v>
      </c>
    </row>
    <row r="91" spans="2:15" ht="15.5" x14ac:dyDescent="0.35">
      <c r="B91" s="6" t="e">
        <f t="shared" si="12"/>
        <v>#VALUE!</v>
      </c>
      <c r="C91" s="7" t="e">
        <f t="shared" si="8"/>
        <v>#VALUE!</v>
      </c>
      <c r="D91" s="7" t="e">
        <f t="shared" si="7"/>
        <v>#VALUE!</v>
      </c>
      <c r="E91" s="7" t="e">
        <f>IF((C90-1)&lt;$E$17,0,C90*LeasingHab!$E$17)</f>
        <v>#VALUE!</v>
      </c>
      <c r="F91" s="8" t="e">
        <f>IF((C90-1)&lt;$E$17,"0",IF(LeasingHab!$D$27="Si",($C$19*(VLOOKUP(LeasingHab!$C$23,Seguros_Oblig!$A$3:$F$55,6,FALSE))),IF(LeasingHab!$C$10="TARIFA 1",(C90*(VLOOKUP(LeasingHab!$C$23,Seguros_Oblig!$A$3:$B$55,2,FALSE))),(C90*(VLOOKUP(LeasingHab!$C$23,Seguros_Oblig!$A$3:$D$55,4,FALSE))))))</f>
        <v>#VALUE!</v>
      </c>
      <c r="G91" s="8" t="e">
        <f>IF(LeasingHab!$C$10="TARIFA 1",(C90*(VLOOKUP(LeasingHab!$C$24,Seguros_Oblig!$A$3:$B$55,2,FALSE))),(C90*(VLOOKUP(LeasingHab!$C$24,Seguros_Oblig!$A$3:$D$55,4,FALSE))))</f>
        <v>#VALUE!</v>
      </c>
      <c r="H91" s="8" t="e">
        <f>IF(LeasingHab!$C$10="TARIFA 1",(C90*(VLOOKUP(LeasingHab!$C$25,Seguros_Oblig!$A$3:$B$55,2,FALSE))),(C90*(VLOOKUP(LeasingHab!$C$25,Seguros_Oblig!$A$3:$D$55,4,FALSE))))</f>
        <v>#VALUE!</v>
      </c>
      <c r="I91" s="8" t="e">
        <f>IF(LeasingHab!$C$10="TARIFA 1",(C90*(VLOOKUP(LeasingHab!$C$26,Seguros_Oblig!$A$3:$B$55,2,FALSE))),(C90*(VLOOKUP(LeasingHab!$C$26,Seguros_Oblig!$A$3:$D$55,4,FALSE))))</f>
        <v>#VALUE!</v>
      </c>
      <c r="J91" s="10">
        <f t="shared" si="9"/>
        <v>0</v>
      </c>
      <c r="K91" s="7" t="e">
        <f>IF((C90-1)&lt;$E$17,0,Seguros_Oblig!$K$2*(LeasingHab!$C$12*90%))</f>
        <v>#VALUE!</v>
      </c>
      <c r="L91" s="7" t="e">
        <f>IF(B91&gt;LeasingHab!$C$18,0,PMT(LeasingHab!$E$17,LeasingHab!$C$18,-LeasingHab!$C$15,,)-PMT(LeasingHab!$E$17,LeasingHab!$C$18,-LeasingHab!$C$22)+LeasingHab!$C$22*LeasingHab!$E$17)</f>
        <v>#VALUE!</v>
      </c>
      <c r="M91" s="9" t="e">
        <f t="shared" si="10"/>
        <v>#VALUE!</v>
      </c>
      <c r="N91" s="7" t="e">
        <f>IF((C90-1)&lt;$E$17,0,LeasingHab!$C$39)</f>
        <v>#VALUE!</v>
      </c>
      <c r="O91" s="9" t="e">
        <f t="shared" si="11"/>
        <v>#VALUE!</v>
      </c>
    </row>
    <row r="92" spans="2:15" ht="15.5" x14ac:dyDescent="0.35">
      <c r="B92" s="6" t="e">
        <f t="shared" si="12"/>
        <v>#VALUE!</v>
      </c>
      <c r="C92" s="7" t="e">
        <f t="shared" si="8"/>
        <v>#VALUE!</v>
      </c>
      <c r="D92" s="7" t="e">
        <f t="shared" si="7"/>
        <v>#VALUE!</v>
      </c>
      <c r="E92" s="7" t="e">
        <f>IF((C91-1)&lt;$E$17,0,C91*LeasingHab!$E$17)</f>
        <v>#VALUE!</v>
      </c>
      <c r="F92" s="8" t="e">
        <f>IF((C91-1)&lt;$E$17,"0",IF(LeasingHab!$D$27="Si",($C$19*(VLOOKUP(LeasingHab!$C$23,Seguros_Oblig!$A$3:$F$55,6,FALSE))),IF(LeasingHab!$C$10="TARIFA 1",(C91*(VLOOKUP(LeasingHab!$C$23,Seguros_Oblig!$A$3:$B$55,2,FALSE))),(C91*(VLOOKUP(LeasingHab!$C$23,Seguros_Oblig!$A$3:$D$55,4,FALSE))))))</f>
        <v>#VALUE!</v>
      </c>
      <c r="G92" s="8" t="e">
        <f>IF(LeasingHab!$C$10="TARIFA 1",(C91*(VLOOKUP(LeasingHab!$C$24,Seguros_Oblig!$A$3:$B$55,2,FALSE))),(C91*(VLOOKUP(LeasingHab!$C$24,Seguros_Oblig!$A$3:$D$55,4,FALSE))))</f>
        <v>#VALUE!</v>
      </c>
      <c r="H92" s="8" t="e">
        <f>IF(LeasingHab!$C$10="TARIFA 1",(C91*(VLOOKUP(LeasingHab!$C$25,Seguros_Oblig!$A$3:$B$55,2,FALSE))),(C91*(VLOOKUP(LeasingHab!$C$25,Seguros_Oblig!$A$3:$D$55,4,FALSE))))</f>
        <v>#VALUE!</v>
      </c>
      <c r="I92" s="8" t="e">
        <f>IF(LeasingHab!$C$10="TARIFA 1",(C91*(VLOOKUP(LeasingHab!$C$26,Seguros_Oblig!$A$3:$B$55,2,FALSE))),(C91*(VLOOKUP(LeasingHab!$C$26,Seguros_Oblig!$A$3:$D$55,4,FALSE))))</f>
        <v>#VALUE!</v>
      </c>
      <c r="J92" s="10">
        <f t="shared" si="9"/>
        <v>0</v>
      </c>
      <c r="K92" s="7" t="e">
        <f>IF((C91-1)&lt;$E$17,0,Seguros_Oblig!$K$2*(LeasingHab!$C$12*90%))</f>
        <v>#VALUE!</v>
      </c>
      <c r="L92" s="7" t="e">
        <f>IF(B92&gt;LeasingHab!$C$18,0,PMT(LeasingHab!$E$17,LeasingHab!$C$18,-LeasingHab!$C$15,,)-PMT(LeasingHab!$E$17,LeasingHab!$C$18,-LeasingHab!$C$22)+LeasingHab!$C$22*LeasingHab!$E$17)</f>
        <v>#VALUE!</v>
      </c>
      <c r="M92" s="9" t="e">
        <f t="shared" si="10"/>
        <v>#VALUE!</v>
      </c>
      <c r="N92" s="7" t="e">
        <f>IF((C91-1)&lt;$E$17,0,LeasingHab!$C$39)</f>
        <v>#VALUE!</v>
      </c>
      <c r="O92" s="9" t="e">
        <f t="shared" si="11"/>
        <v>#VALUE!</v>
      </c>
    </row>
    <row r="93" spans="2:15" ht="15.5" x14ac:dyDescent="0.35">
      <c r="B93" s="6" t="e">
        <f t="shared" si="12"/>
        <v>#VALUE!</v>
      </c>
      <c r="C93" s="7" t="e">
        <f t="shared" si="8"/>
        <v>#VALUE!</v>
      </c>
      <c r="D93" s="7" t="e">
        <f t="shared" si="7"/>
        <v>#VALUE!</v>
      </c>
      <c r="E93" s="7" t="e">
        <f>IF((C92-1)&lt;$E$17,0,C92*LeasingHab!$E$17)</f>
        <v>#VALUE!</v>
      </c>
      <c r="F93" s="8" t="e">
        <f>IF((C92-1)&lt;$E$17,"0",IF(LeasingHab!$D$27="Si",($C$19*(VLOOKUP(LeasingHab!$C$23,Seguros_Oblig!$A$3:$F$55,6,FALSE))),IF(LeasingHab!$C$10="TARIFA 1",(C92*(VLOOKUP(LeasingHab!$C$23,Seguros_Oblig!$A$3:$B$55,2,FALSE))),(C92*(VLOOKUP(LeasingHab!$C$23,Seguros_Oblig!$A$3:$D$55,4,FALSE))))))</f>
        <v>#VALUE!</v>
      </c>
      <c r="G93" s="8" t="e">
        <f>IF(LeasingHab!$C$10="TARIFA 1",(C92*(VLOOKUP(LeasingHab!$C$24,Seguros_Oblig!$A$3:$B$55,2,FALSE))),(C92*(VLOOKUP(LeasingHab!$C$24,Seguros_Oblig!$A$3:$D$55,4,FALSE))))</f>
        <v>#VALUE!</v>
      </c>
      <c r="H93" s="8" t="e">
        <f>IF(LeasingHab!$C$10="TARIFA 1",(C92*(VLOOKUP(LeasingHab!$C$25,Seguros_Oblig!$A$3:$B$55,2,FALSE))),(C92*(VLOOKUP(LeasingHab!$C$25,Seguros_Oblig!$A$3:$D$55,4,FALSE))))</f>
        <v>#VALUE!</v>
      </c>
      <c r="I93" s="8" t="e">
        <f>IF(LeasingHab!$C$10="TARIFA 1",(C92*(VLOOKUP(LeasingHab!$C$26,Seguros_Oblig!$A$3:$B$55,2,FALSE))),(C92*(VLOOKUP(LeasingHab!$C$26,Seguros_Oblig!$A$3:$D$55,4,FALSE))))</f>
        <v>#VALUE!</v>
      </c>
      <c r="J93" s="10">
        <f t="shared" si="9"/>
        <v>0</v>
      </c>
      <c r="K93" s="7" t="e">
        <f>IF((C92-1)&lt;$E$17,0,Seguros_Oblig!$K$2*(LeasingHab!$C$12*90%))</f>
        <v>#VALUE!</v>
      </c>
      <c r="L93" s="7" t="e">
        <f>IF(B93&gt;LeasingHab!$C$18,0,PMT(LeasingHab!$E$17,LeasingHab!$C$18,-LeasingHab!$C$15,,)-PMT(LeasingHab!$E$17,LeasingHab!$C$18,-LeasingHab!$C$22)+LeasingHab!$C$22*LeasingHab!$E$17)</f>
        <v>#VALUE!</v>
      </c>
      <c r="M93" s="9" t="e">
        <f t="shared" si="10"/>
        <v>#VALUE!</v>
      </c>
      <c r="N93" s="7" t="e">
        <f>IF((C92-1)&lt;$E$17,0,LeasingHab!$C$39)</f>
        <v>#VALUE!</v>
      </c>
      <c r="O93" s="9" t="e">
        <f t="shared" si="11"/>
        <v>#VALUE!</v>
      </c>
    </row>
    <row r="94" spans="2:15" ht="15.5" x14ac:dyDescent="0.35">
      <c r="B94" s="6" t="e">
        <f t="shared" si="12"/>
        <v>#VALUE!</v>
      </c>
      <c r="C94" s="7" t="e">
        <f t="shared" si="8"/>
        <v>#VALUE!</v>
      </c>
      <c r="D94" s="7" t="e">
        <f t="shared" si="7"/>
        <v>#VALUE!</v>
      </c>
      <c r="E94" s="7" t="e">
        <f>IF((C93-1)&lt;$E$17,0,C93*LeasingHab!$E$17)</f>
        <v>#VALUE!</v>
      </c>
      <c r="F94" s="8" t="e">
        <f>IF((C93-1)&lt;$E$17,"0",IF(LeasingHab!$D$27="Si",($C$19*(VLOOKUP(LeasingHab!$C$23,Seguros_Oblig!$A$3:$F$55,6,FALSE))),IF(LeasingHab!$C$10="TARIFA 1",(C93*(VLOOKUP(LeasingHab!$C$23,Seguros_Oblig!$A$3:$B$55,2,FALSE))),(C93*(VLOOKUP(LeasingHab!$C$23,Seguros_Oblig!$A$3:$D$55,4,FALSE))))))</f>
        <v>#VALUE!</v>
      </c>
      <c r="G94" s="8" t="e">
        <f>IF(LeasingHab!$C$10="TARIFA 1",(C93*(VLOOKUP(LeasingHab!$C$24,Seguros_Oblig!$A$3:$B$55,2,FALSE))),(C93*(VLOOKUP(LeasingHab!$C$24,Seguros_Oblig!$A$3:$D$55,4,FALSE))))</f>
        <v>#VALUE!</v>
      </c>
      <c r="H94" s="8" t="e">
        <f>IF(LeasingHab!$C$10="TARIFA 1",(C93*(VLOOKUP(LeasingHab!$C$25,Seguros_Oblig!$A$3:$B$55,2,FALSE))),(C93*(VLOOKUP(LeasingHab!$C$25,Seguros_Oblig!$A$3:$D$55,4,FALSE))))</f>
        <v>#VALUE!</v>
      </c>
      <c r="I94" s="8" t="e">
        <f>IF(LeasingHab!$C$10="TARIFA 1",(C93*(VLOOKUP(LeasingHab!$C$26,Seguros_Oblig!$A$3:$B$55,2,FALSE))),(C93*(VLOOKUP(LeasingHab!$C$26,Seguros_Oblig!$A$3:$D$55,4,FALSE))))</f>
        <v>#VALUE!</v>
      </c>
      <c r="J94" s="10">
        <f t="shared" si="9"/>
        <v>0</v>
      </c>
      <c r="K94" s="7" t="e">
        <f>IF((C93-1)&lt;$E$17,0,Seguros_Oblig!$K$2*(LeasingHab!$C$12*90%))</f>
        <v>#VALUE!</v>
      </c>
      <c r="L94" s="7" t="e">
        <f>IF(B94&gt;LeasingHab!$C$18,0,PMT(LeasingHab!$E$17,LeasingHab!$C$18,-LeasingHab!$C$15,,)-PMT(LeasingHab!$E$17,LeasingHab!$C$18,-LeasingHab!$C$22)+LeasingHab!$C$22*LeasingHab!$E$17)</f>
        <v>#VALUE!</v>
      </c>
      <c r="M94" s="9" t="e">
        <f t="shared" si="10"/>
        <v>#VALUE!</v>
      </c>
      <c r="N94" s="7" t="e">
        <f>IF((C93-1)&lt;$E$17,0,LeasingHab!$C$39)</f>
        <v>#VALUE!</v>
      </c>
      <c r="O94" s="9" t="e">
        <f t="shared" si="11"/>
        <v>#VALUE!</v>
      </c>
    </row>
    <row r="95" spans="2:15" ht="15.5" x14ac:dyDescent="0.35">
      <c r="B95" s="6" t="e">
        <f t="shared" si="12"/>
        <v>#VALUE!</v>
      </c>
      <c r="C95" s="7" t="e">
        <f t="shared" si="8"/>
        <v>#VALUE!</v>
      </c>
      <c r="D95" s="7" t="e">
        <f t="shared" si="7"/>
        <v>#VALUE!</v>
      </c>
      <c r="E95" s="7" t="e">
        <f>IF((C94-1)&lt;$E$17,0,C94*LeasingHab!$E$17)</f>
        <v>#VALUE!</v>
      </c>
      <c r="F95" s="8" t="e">
        <f>IF((C94-1)&lt;$E$17,"0",IF(LeasingHab!$D$27="Si",($C$19*(VLOOKUP(LeasingHab!$C$23,Seguros_Oblig!$A$3:$F$55,6,FALSE))),IF(LeasingHab!$C$10="TARIFA 1",(C94*(VLOOKUP(LeasingHab!$C$23,Seguros_Oblig!$A$3:$B$55,2,FALSE))),(C94*(VLOOKUP(LeasingHab!$C$23,Seguros_Oblig!$A$3:$D$55,4,FALSE))))))</f>
        <v>#VALUE!</v>
      </c>
      <c r="G95" s="8" t="e">
        <f>IF(LeasingHab!$C$10="TARIFA 1",(C94*(VLOOKUP(LeasingHab!$C$24,Seguros_Oblig!$A$3:$B$55,2,FALSE))),(C94*(VLOOKUP(LeasingHab!$C$24,Seguros_Oblig!$A$3:$D$55,4,FALSE))))</f>
        <v>#VALUE!</v>
      </c>
      <c r="H95" s="8" t="e">
        <f>IF(LeasingHab!$C$10="TARIFA 1",(C94*(VLOOKUP(LeasingHab!$C$25,Seguros_Oblig!$A$3:$B$55,2,FALSE))),(C94*(VLOOKUP(LeasingHab!$C$25,Seguros_Oblig!$A$3:$D$55,4,FALSE))))</f>
        <v>#VALUE!</v>
      </c>
      <c r="I95" s="8" t="e">
        <f>IF(LeasingHab!$C$10="TARIFA 1",(C94*(VLOOKUP(LeasingHab!$C$26,Seguros_Oblig!$A$3:$B$55,2,FALSE))),(C94*(VLOOKUP(LeasingHab!$C$26,Seguros_Oblig!$A$3:$D$55,4,FALSE))))</f>
        <v>#VALUE!</v>
      </c>
      <c r="J95" s="10">
        <f t="shared" si="9"/>
        <v>0</v>
      </c>
      <c r="K95" s="7" t="e">
        <f>IF((C94-1)&lt;$E$17,0,Seguros_Oblig!$K$2*(LeasingHab!$C$12*90%))</f>
        <v>#VALUE!</v>
      </c>
      <c r="L95" s="7" t="e">
        <f>IF(B95&gt;LeasingHab!$C$18,0,PMT(LeasingHab!$E$17,LeasingHab!$C$18,-LeasingHab!$C$15,,)-PMT(LeasingHab!$E$17,LeasingHab!$C$18,-LeasingHab!$C$22)+LeasingHab!$C$22*LeasingHab!$E$17)</f>
        <v>#VALUE!</v>
      </c>
      <c r="M95" s="9" t="e">
        <f t="shared" si="10"/>
        <v>#VALUE!</v>
      </c>
      <c r="N95" s="7" t="e">
        <f>IF((C94-1)&lt;$E$17,0,LeasingHab!$C$39)</f>
        <v>#VALUE!</v>
      </c>
      <c r="O95" s="9" t="e">
        <f t="shared" si="11"/>
        <v>#VALUE!</v>
      </c>
    </row>
    <row r="96" spans="2:15" ht="15.5" x14ac:dyDescent="0.35">
      <c r="B96" s="6" t="e">
        <f t="shared" si="12"/>
        <v>#VALUE!</v>
      </c>
      <c r="C96" s="7" t="e">
        <f t="shared" si="8"/>
        <v>#VALUE!</v>
      </c>
      <c r="D96" s="7" t="e">
        <f t="shared" si="7"/>
        <v>#VALUE!</v>
      </c>
      <c r="E96" s="7" t="e">
        <f>IF((C95-1)&lt;$E$17,0,C95*LeasingHab!$E$17)</f>
        <v>#VALUE!</v>
      </c>
      <c r="F96" s="8" t="e">
        <f>IF((C95-1)&lt;$E$17,"0",IF(LeasingHab!$D$27="Si",($C$19*(VLOOKUP(LeasingHab!$C$23,Seguros_Oblig!$A$3:$F$55,6,FALSE))),IF(LeasingHab!$C$10="TARIFA 1",(C95*(VLOOKUP(LeasingHab!$C$23,Seguros_Oblig!$A$3:$B$55,2,FALSE))),(C95*(VLOOKUP(LeasingHab!$C$23,Seguros_Oblig!$A$3:$D$55,4,FALSE))))))</f>
        <v>#VALUE!</v>
      </c>
      <c r="G96" s="8" t="e">
        <f>IF(LeasingHab!$C$10="TARIFA 1",(C95*(VLOOKUP(LeasingHab!$C$24,Seguros_Oblig!$A$3:$B$55,2,FALSE))),(C95*(VLOOKUP(LeasingHab!$C$24,Seguros_Oblig!$A$3:$D$55,4,FALSE))))</f>
        <v>#VALUE!</v>
      </c>
      <c r="H96" s="8" t="e">
        <f>IF(LeasingHab!$C$10="TARIFA 1",(C95*(VLOOKUP(LeasingHab!$C$25,Seguros_Oblig!$A$3:$B$55,2,FALSE))),(C95*(VLOOKUP(LeasingHab!$C$25,Seguros_Oblig!$A$3:$D$55,4,FALSE))))</f>
        <v>#VALUE!</v>
      </c>
      <c r="I96" s="8" t="e">
        <f>IF(LeasingHab!$C$10="TARIFA 1",(C95*(VLOOKUP(LeasingHab!$C$26,Seguros_Oblig!$A$3:$B$55,2,FALSE))),(C95*(VLOOKUP(LeasingHab!$C$26,Seguros_Oblig!$A$3:$D$55,4,FALSE))))</f>
        <v>#VALUE!</v>
      </c>
      <c r="J96" s="10">
        <f t="shared" si="9"/>
        <v>0</v>
      </c>
      <c r="K96" s="7" t="e">
        <f>IF((C95-1)&lt;$E$17,0,Seguros_Oblig!$K$2*(LeasingHab!$C$12*90%))</f>
        <v>#VALUE!</v>
      </c>
      <c r="L96" s="7" t="e">
        <f>IF(B96&gt;LeasingHab!$C$18,0,PMT(LeasingHab!$E$17,LeasingHab!$C$18,-LeasingHab!$C$15,,)-PMT(LeasingHab!$E$17,LeasingHab!$C$18,-LeasingHab!$C$22)+LeasingHab!$C$22*LeasingHab!$E$17)</f>
        <v>#VALUE!</v>
      </c>
      <c r="M96" s="9" t="e">
        <f t="shared" si="10"/>
        <v>#VALUE!</v>
      </c>
      <c r="N96" s="7" t="e">
        <f>IF((C95-1)&lt;$E$17,0,LeasingHab!$C$39)</f>
        <v>#VALUE!</v>
      </c>
      <c r="O96" s="9" t="e">
        <f t="shared" si="11"/>
        <v>#VALUE!</v>
      </c>
    </row>
    <row r="97" spans="2:15" ht="15.5" x14ac:dyDescent="0.35">
      <c r="B97" s="6" t="e">
        <f t="shared" si="12"/>
        <v>#VALUE!</v>
      </c>
      <c r="C97" s="7" t="e">
        <f t="shared" si="8"/>
        <v>#VALUE!</v>
      </c>
      <c r="D97" s="7" t="e">
        <f t="shared" si="7"/>
        <v>#VALUE!</v>
      </c>
      <c r="E97" s="7" t="e">
        <f>IF((C96-1)&lt;$E$17,0,C96*LeasingHab!$E$17)</f>
        <v>#VALUE!</v>
      </c>
      <c r="F97" s="8" t="e">
        <f>IF((C96-1)&lt;$E$17,"0",IF(LeasingHab!$D$27="Si",($C$19*(VLOOKUP(LeasingHab!$C$23,Seguros_Oblig!$A$3:$F$55,6,FALSE))),IF(LeasingHab!$C$10="TARIFA 1",(C96*(VLOOKUP(LeasingHab!$C$23,Seguros_Oblig!$A$3:$B$55,2,FALSE))),(C96*(VLOOKUP(LeasingHab!$C$23,Seguros_Oblig!$A$3:$D$55,4,FALSE))))))</f>
        <v>#VALUE!</v>
      </c>
      <c r="G97" s="8" t="e">
        <f>IF(LeasingHab!$C$10="TARIFA 1",(C96*(VLOOKUP(LeasingHab!$C$24,Seguros_Oblig!$A$3:$B$55,2,FALSE))),(C96*(VLOOKUP(LeasingHab!$C$24,Seguros_Oblig!$A$3:$D$55,4,FALSE))))</f>
        <v>#VALUE!</v>
      </c>
      <c r="H97" s="8" t="e">
        <f>IF(LeasingHab!$C$10="TARIFA 1",(C96*(VLOOKUP(LeasingHab!$C$25,Seguros_Oblig!$A$3:$B$55,2,FALSE))),(C96*(VLOOKUP(LeasingHab!$C$25,Seguros_Oblig!$A$3:$D$55,4,FALSE))))</f>
        <v>#VALUE!</v>
      </c>
      <c r="I97" s="8" t="e">
        <f>IF(LeasingHab!$C$10="TARIFA 1",(C96*(VLOOKUP(LeasingHab!$C$26,Seguros_Oblig!$A$3:$B$55,2,FALSE))),(C96*(VLOOKUP(LeasingHab!$C$26,Seguros_Oblig!$A$3:$D$55,4,FALSE))))</f>
        <v>#VALUE!</v>
      </c>
      <c r="J97" s="10">
        <f t="shared" si="9"/>
        <v>0</v>
      </c>
      <c r="K97" s="7" t="e">
        <f>IF((C96-1)&lt;$E$17,0,Seguros_Oblig!$K$2*(LeasingHab!$C$12*90%))</f>
        <v>#VALUE!</v>
      </c>
      <c r="L97" s="7" t="e">
        <f>IF(B97&gt;LeasingHab!$C$18,0,PMT(LeasingHab!$E$17,LeasingHab!$C$18,-LeasingHab!$C$15,,)-PMT(LeasingHab!$E$17,LeasingHab!$C$18,-LeasingHab!$C$22)+LeasingHab!$C$22*LeasingHab!$E$17)</f>
        <v>#VALUE!</v>
      </c>
      <c r="M97" s="9" t="e">
        <f t="shared" si="10"/>
        <v>#VALUE!</v>
      </c>
      <c r="N97" s="7" t="e">
        <f>IF((C96-1)&lt;$E$17,0,LeasingHab!$C$39)</f>
        <v>#VALUE!</v>
      </c>
      <c r="O97" s="9" t="e">
        <f t="shared" si="11"/>
        <v>#VALUE!</v>
      </c>
    </row>
    <row r="98" spans="2:15" ht="15.5" x14ac:dyDescent="0.35">
      <c r="B98" s="6" t="e">
        <f t="shared" si="12"/>
        <v>#VALUE!</v>
      </c>
      <c r="C98" s="7" t="e">
        <f t="shared" si="8"/>
        <v>#VALUE!</v>
      </c>
      <c r="D98" s="7" t="e">
        <f t="shared" si="7"/>
        <v>#VALUE!</v>
      </c>
      <c r="E98" s="7" t="e">
        <f>IF((C97-1)&lt;$E$17,0,C97*LeasingHab!$E$17)</f>
        <v>#VALUE!</v>
      </c>
      <c r="F98" s="8" t="e">
        <f>IF((C97-1)&lt;$E$17,"0",IF(LeasingHab!$D$27="Si",($C$19*(VLOOKUP(LeasingHab!$C$23,Seguros_Oblig!$A$3:$F$55,6,FALSE))),IF(LeasingHab!$C$10="TARIFA 1",(C97*(VLOOKUP(LeasingHab!$C$23,Seguros_Oblig!$A$3:$B$55,2,FALSE))),(C97*(VLOOKUP(LeasingHab!$C$23,Seguros_Oblig!$A$3:$D$55,4,FALSE))))))</f>
        <v>#VALUE!</v>
      </c>
      <c r="G98" s="8" t="e">
        <f>IF(LeasingHab!$C$10="TARIFA 1",(C97*(VLOOKUP(LeasingHab!$C$24,Seguros_Oblig!$A$3:$B$55,2,FALSE))),(C97*(VLOOKUP(LeasingHab!$C$24,Seguros_Oblig!$A$3:$D$55,4,FALSE))))</f>
        <v>#VALUE!</v>
      </c>
      <c r="H98" s="8" t="e">
        <f>IF(LeasingHab!$C$10="TARIFA 1",(C97*(VLOOKUP(LeasingHab!$C$25,Seguros_Oblig!$A$3:$B$55,2,FALSE))),(C97*(VLOOKUP(LeasingHab!$C$25,Seguros_Oblig!$A$3:$D$55,4,FALSE))))</f>
        <v>#VALUE!</v>
      </c>
      <c r="I98" s="8" t="e">
        <f>IF(LeasingHab!$C$10="TARIFA 1",(C97*(VLOOKUP(LeasingHab!$C$26,Seguros_Oblig!$A$3:$B$55,2,FALSE))),(C97*(VLOOKUP(LeasingHab!$C$26,Seguros_Oblig!$A$3:$D$55,4,FALSE))))</f>
        <v>#VALUE!</v>
      </c>
      <c r="J98" s="10">
        <f t="shared" si="9"/>
        <v>0</v>
      </c>
      <c r="K98" s="7" t="e">
        <f>IF((C97-1)&lt;$E$17,0,Seguros_Oblig!$K$2*(LeasingHab!$C$12*90%))</f>
        <v>#VALUE!</v>
      </c>
      <c r="L98" s="7" t="e">
        <f>IF(B98&gt;LeasingHab!$C$18,0,PMT(LeasingHab!$E$17,LeasingHab!$C$18,-LeasingHab!$C$15,,)-PMT(LeasingHab!$E$17,LeasingHab!$C$18,-LeasingHab!$C$22)+LeasingHab!$C$22*LeasingHab!$E$17)</f>
        <v>#VALUE!</v>
      </c>
      <c r="M98" s="9" t="e">
        <f t="shared" si="10"/>
        <v>#VALUE!</v>
      </c>
      <c r="N98" s="7" t="e">
        <f>IF((C97-1)&lt;$E$17,0,LeasingHab!$C$39)</f>
        <v>#VALUE!</v>
      </c>
      <c r="O98" s="9" t="e">
        <f t="shared" si="11"/>
        <v>#VALUE!</v>
      </c>
    </row>
    <row r="99" spans="2:15" ht="15.5" x14ac:dyDescent="0.35">
      <c r="B99" s="6" t="e">
        <f t="shared" si="12"/>
        <v>#VALUE!</v>
      </c>
      <c r="C99" s="7" t="e">
        <f t="shared" si="8"/>
        <v>#VALUE!</v>
      </c>
      <c r="D99" s="7" t="e">
        <f t="shared" si="7"/>
        <v>#VALUE!</v>
      </c>
      <c r="E99" s="7" t="e">
        <f>IF((C98-1)&lt;$E$17,0,C98*LeasingHab!$E$17)</f>
        <v>#VALUE!</v>
      </c>
      <c r="F99" s="8" t="e">
        <f>IF((C98-1)&lt;$E$17,"0",IF(LeasingHab!$D$27="Si",($C$19*(VLOOKUP(LeasingHab!$C$23,Seguros_Oblig!$A$3:$F$55,6,FALSE))),IF(LeasingHab!$C$10="TARIFA 1",(C98*(VLOOKUP(LeasingHab!$C$23,Seguros_Oblig!$A$3:$B$55,2,FALSE))),(C98*(VLOOKUP(LeasingHab!$C$23,Seguros_Oblig!$A$3:$D$55,4,FALSE))))))</f>
        <v>#VALUE!</v>
      </c>
      <c r="G99" s="8" t="e">
        <f>IF(LeasingHab!$C$10="TARIFA 1",(C98*(VLOOKUP(LeasingHab!$C$24,Seguros_Oblig!$A$3:$B$55,2,FALSE))),(C98*(VLOOKUP(LeasingHab!$C$24,Seguros_Oblig!$A$3:$D$55,4,FALSE))))</f>
        <v>#VALUE!</v>
      </c>
      <c r="H99" s="8" t="e">
        <f>IF(LeasingHab!$C$10="TARIFA 1",(C98*(VLOOKUP(LeasingHab!$C$25,Seguros_Oblig!$A$3:$B$55,2,FALSE))),(C98*(VLOOKUP(LeasingHab!$C$25,Seguros_Oblig!$A$3:$D$55,4,FALSE))))</f>
        <v>#VALUE!</v>
      </c>
      <c r="I99" s="8" t="e">
        <f>IF(LeasingHab!$C$10="TARIFA 1",(C98*(VLOOKUP(LeasingHab!$C$26,Seguros_Oblig!$A$3:$B$55,2,FALSE))),(C98*(VLOOKUP(LeasingHab!$C$26,Seguros_Oblig!$A$3:$D$55,4,FALSE))))</f>
        <v>#VALUE!</v>
      </c>
      <c r="J99" s="10">
        <f t="shared" si="9"/>
        <v>0</v>
      </c>
      <c r="K99" s="7" t="e">
        <f>IF((C98-1)&lt;$E$17,0,Seguros_Oblig!$K$2*(LeasingHab!$C$12*90%))</f>
        <v>#VALUE!</v>
      </c>
      <c r="L99" s="7" t="e">
        <f>IF(B99&gt;LeasingHab!$C$18,0,PMT(LeasingHab!$E$17,LeasingHab!$C$18,-LeasingHab!$C$15,,)-PMT(LeasingHab!$E$17,LeasingHab!$C$18,-LeasingHab!$C$22)+LeasingHab!$C$22*LeasingHab!$E$17)</f>
        <v>#VALUE!</v>
      </c>
      <c r="M99" s="9" t="e">
        <f t="shared" si="10"/>
        <v>#VALUE!</v>
      </c>
      <c r="N99" s="7" t="e">
        <f>IF((C98-1)&lt;$E$17,0,LeasingHab!$C$39)</f>
        <v>#VALUE!</v>
      </c>
      <c r="O99" s="9" t="e">
        <f t="shared" si="11"/>
        <v>#VALUE!</v>
      </c>
    </row>
    <row r="100" spans="2:15" ht="15.5" x14ac:dyDescent="0.35">
      <c r="B100" s="6" t="e">
        <f t="shared" si="12"/>
        <v>#VALUE!</v>
      </c>
      <c r="C100" s="7" t="e">
        <f t="shared" si="8"/>
        <v>#VALUE!</v>
      </c>
      <c r="D100" s="7" t="e">
        <f t="shared" si="7"/>
        <v>#VALUE!</v>
      </c>
      <c r="E100" s="7" t="e">
        <f>IF((C99-1)&lt;$E$17,0,C99*LeasingHab!$E$17)</f>
        <v>#VALUE!</v>
      </c>
      <c r="F100" s="8" t="e">
        <f>IF((C99-1)&lt;$E$17,"0",IF(LeasingHab!$D$27="Si",($C$19*(VLOOKUP(LeasingHab!$C$23,Seguros_Oblig!$A$3:$F$55,6,FALSE))),IF(LeasingHab!$C$10="TARIFA 1",(C99*(VLOOKUP(LeasingHab!$C$23,Seguros_Oblig!$A$3:$B$55,2,FALSE))),(C99*(VLOOKUP(LeasingHab!$C$23,Seguros_Oblig!$A$3:$D$55,4,FALSE))))))</f>
        <v>#VALUE!</v>
      </c>
      <c r="G100" s="8" t="e">
        <f>IF(LeasingHab!$C$10="TARIFA 1",(C99*(VLOOKUP(LeasingHab!$C$24,Seguros_Oblig!$A$3:$B$55,2,FALSE))),(C99*(VLOOKUP(LeasingHab!$C$24,Seguros_Oblig!$A$3:$D$55,4,FALSE))))</f>
        <v>#VALUE!</v>
      </c>
      <c r="H100" s="8" t="e">
        <f>IF(LeasingHab!$C$10="TARIFA 1",(C99*(VLOOKUP(LeasingHab!$C$25,Seguros_Oblig!$A$3:$B$55,2,FALSE))),(C99*(VLOOKUP(LeasingHab!$C$25,Seguros_Oblig!$A$3:$D$55,4,FALSE))))</f>
        <v>#VALUE!</v>
      </c>
      <c r="I100" s="8" t="e">
        <f>IF(LeasingHab!$C$10="TARIFA 1",(C99*(VLOOKUP(LeasingHab!$C$26,Seguros_Oblig!$A$3:$B$55,2,FALSE))),(C99*(VLOOKUP(LeasingHab!$C$26,Seguros_Oblig!$A$3:$D$55,4,FALSE))))</f>
        <v>#VALUE!</v>
      </c>
      <c r="J100" s="10">
        <f t="shared" si="9"/>
        <v>0</v>
      </c>
      <c r="K100" s="7" t="e">
        <f>IF((C99-1)&lt;$E$17,0,Seguros_Oblig!$K$2*(LeasingHab!$C$12*90%))</f>
        <v>#VALUE!</v>
      </c>
      <c r="L100" s="7" t="e">
        <f>IF(B100&gt;LeasingHab!$C$18,0,PMT(LeasingHab!$E$17,LeasingHab!$C$18,-LeasingHab!$C$15,,)-PMT(LeasingHab!$E$17,LeasingHab!$C$18,-LeasingHab!$C$22)+LeasingHab!$C$22*LeasingHab!$E$17)</f>
        <v>#VALUE!</v>
      </c>
      <c r="M100" s="9" t="e">
        <f t="shared" si="10"/>
        <v>#VALUE!</v>
      </c>
      <c r="N100" s="7" t="e">
        <f>IF((C99-1)&lt;$E$17,0,LeasingHab!$C$39)</f>
        <v>#VALUE!</v>
      </c>
      <c r="O100" s="9" t="e">
        <f t="shared" si="11"/>
        <v>#VALUE!</v>
      </c>
    </row>
    <row r="101" spans="2:15" ht="15.5" x14ac:dyDescent="0.35">
      <c r="B101" s="6" t="e">
        <f t="shared" si="12"/>
        <v>#VALUE!</v>
      </c>
      <c r="C101" s="7" t="e">
        <f t="shared" si="8"/>
        <v>#VALUE!</v>
      </c>
      <c r="D101" s="7" t="e">
        <f t="shared" si="7"/>
        <v>#VALUE!</v>
      </c>
      <c r="E101" s="7" t="e">
        <f>IF((C100-1)&lt;$E$17,0,C100*LeasingHab!$E$17)</f>
        <v>#VALUE!</v>
      </c>
      <c r="F101" s="8" t="e">
        <f>IF((C100-1)&lt;$E$17,"0",IF(LeasingHab!$D$27="Si",($C$19*(VLOOKUP(LeasingHab!$C$23,Seguros_Oblig!$A$3:$F$55,6,FALSE))),IF(LeasingHab!$C$10="TARIFA 1",(C100*(VLOOKUP(LeasingHab!$C$23,Seguros_Oblig!$A$3:$B$55,2,FALSE))),(C100*(VLOOKUP(LeasingHab!$C$23,Seguros_Oblig!$A$3:$D$55,4,FALSE))))))</f>
        <v>#VALUE!</v>
      </c>
      <c r="G101" s="8" t="e">
        <f>IF(LeasingHab!$C$10="TARIFA 1",(C100*(VLOOKUP(LeasingHab!$C$24,Seguros_Oblig!$A$3:$B$55,2,FALSE))),(C100*(VLOOKUP(LeasingHab!$C$24,Seguros_Oblig!$A$3:$D$55,4,FALSE))))</f>
        <v>#VALUE!</v>
      </c>
      <c r="H101" s="8" t="e">
        <f>IF(LeasingHab!$C$10="TARIFA 1",(C100*(VLOOKUP(LeasingHab!$C$25,Seguros_Oblig!$A$3:$B$55,2,FALSE))),(C100*(VLOOKUP(LeasingHab!$C$25,Seguros_Oblig!$A$3:$D$55,4,FALSE))))</f>
        <v>#VALUE!</v>
      </c>
      <c r="I101" s="8" t="e">
        <f>IF(LeasingHab!$C$10="TARIFA 1",(C100*(VLOOKUP(LeasingHab!$C$26,Seguros_Oblig!$A$3:$B$55,2,FALSE))),(C100*(VLOOKUP(LeasingHab!$C$26,Seguros_Oblig!$A$3:$D$55,4,FALSE))))</f>
        <v>#VALUE!</v>
      </c>
      <c r="J101" s="10">
        <f t="shared" si="9"/>
        <v>0</v>
      </c>
      <c r="K101" s="7" t="e">
        <f>IF((C100-1)&lt;$E$17,0,Seguros_Oblig!$K$2*(LeasingHab!$C$12*90%))</f>
        <v>#VALUE!</v>
      </c>
      <c r="L101" s="7" t="e">
        <f>IF(B101&gt;LeasingHab!$C$18,0,PMT(LeasingHab!$E$17,LeasingHab!$C$18,-LeasingHab!$C$15,,)-PMT(LeasingHab!$E$17,LeasingHab!$C$18,-LeasingHab!$C$22)+LeasingHab!$C$22*LeasingHab!$E$17)</f>
        <v>#VALUE!</v>
      </c>
      <c r="M101" s="9" t="e">
        <f t="shared" si="10"/>
        <v>#VALUE!</v>
      </c>
      <c r="N101" s="7" t="e">
        <f>IF((C100-1)&lt;$E$17,0,LeasingHab!$C$39)</f>
        <v>#VALUE!</v>
      </c>
      <c r="O101" s="9" t="e">
        <f t="shared" si="11"/>
        <v>#VALUE!</v>
      </c>
    </row>
    <row r="102" spans="2:15" ht="15.5" x14ac:dyDescent="0.35">
      <c r="B102" s="6" t="e">
        <f t="shared" si="12"/>
        <v>#VALUE!</v>
      </c>
      <c r="C102" s="7" t="e">
        <f t="shared" si="8"/>
        <v>#VALUE!</v>
      </c>
      <c r="D102" s="7" t="e">
        <f t="shared" si="7"/>
        <v>#VALUE!</v>
      </c>
      <c r="E102" s="7" t="e">
        <f>IF((C101-1)&lt;$E$17,0,C101*LeasingHab!$E$17)</f>
        <v>#VALUE!</v>
      </c>
      <c r="F102" s="8" t="e">
        <f>IF((C101-1)&lt;$E$17,"0",IF(LeasingHab!$D$27="Si",($C$19*(VLOOKUP(LeasingHab!$C$23,Seguros_Oblig!$A$3:$F$55,6,FALSE))),IF(LeasingHab!$C$10="TARIFA 1",(C101*(VLOOKUP(LeasingHab!$C$23,Seguros_Oblig!$A$3:$B$55,2,FALSE))),(C101*(VLOOKUP(LeasingHab!$C$23,Seguros_Oblig!$A$3:$D$55,4,FALSE))))))</f>
        <v>#VALUE!</v>
      </c>
      <c r="G102" s="8" t="e">
        <f>IF(LeasingHab!$C$10="TARIFA 1",(C101*(VLOOKUP(LeasingHab!$C$24,Seguros_Oblig!$A$3:$B$55,2,FALSE))),(C101*(VLOOKUP(LeasingHab!$C$24,Seguros_Oblig!$A$3:$D$55,4,FALSE))))</f>
        <v>#VALUE!</v>
      </c>
      <c r="H102" s="8" t="e">
        <f>IF(LeasingHab!$C$10="TARIFA 1",(C101*(VLOOKUP(LeasingHab!$C$25,Seguros_Oblig!$A$3:$B$55,2,FALSE))),(C101*(VLOOKUP(LeasingHab!$C$25,Seguros_Oblig!$A$3:$D$55,4,FALSE))))</f>
        <v>#VALUE!</v>
      </c>
      <c r="I102" s="8" t="e">
        <f>IF(LeasingHab!$C$10="TARIFA 1",(C101*(VLOOKUP(LeasingHab!$C$26,Seguros_Oblig!$A$3:$B$55,2,FALSE))),(C101*(VLOOKUP(LeasingHab!$C$26,Seguros_Oblig!$A$3:$D$55,4,FALSE))))</f>
        <v>#VALUE!</v>
      </c>
      <c r="J102" s="10">
        <f t="shared" si="9"/>
        <v>0</v>
      </c>
      <c r="K102" s="7" t="e">
        <f>IF((C101-1)&lt;$E$17,0,Seguros_Oblig!$K$2*(LeasingHab!$C$12*90%))</f>
        <v>#VALUE!</v>
      </c>
      <c r="L102" s="7" t="e">
        <f>IF(B102&gt;LeasingHab!$C$18,0,PMT(LeasingHab!$E$17,LeasingHab!$C$18,-LeasingHab!$C$15,,)-PMT(LeasingHab!$E$17,LeasingHab!$C$18,-LeasingHab!$C$22)+LeasingHab!$C$22*LeasingHab!$E$17)</f>
        <v>#VALUE!</v>
      </c>
      <c r="M102" s="9" t="e">
        <f t="shared" si="10"/>
        <v>#VALUE!</v>
      </c>
      <c r="N102" s="7" t="e">
        <f>IF((C101-1)&lt;$E$17,0,LeasingHab!$C$39)</f>
        <v>#VALUE!</v>
      </c>
      <c r="O102" s="9" t="e">
        <f t="shared" si="11"/>
        <v>#VALUE!</v>
      </c>
    </row>
    <row r="103" spans="2:15" ht="15.5" x14ac:dyDescent="0.35">
      <c r="B103" s="6" t="e">
        <f t="shared" si="12"/>
        <v>#VALUE!</v>
      </c>
      <c r="C103" s="7" t="e">
        <f t="shared" si="8"/>
        <v>#VALUE!</v>
      </c>
      <c r="D103" s="7" t="e">
        <f t="shared" si="7"/>
        <v>#VALUE!</v>
      </c>
      <c r="E103" s="7" t="e">
        <f>IF((C102-1)&lt;$E$17,0,C102*LeasingHab!$E$17)</f>
        <v>#VALUE!</v>
      </c>
      <c r="F103" s="8" t="e">
        <f>IF((C102-1)&lt;$E$17,"0",IF(LeasingHab!$D$27="Si",($C$19*(VLOOKUP(LeasingHab!$C$23,Seguros_Oblig!$A$3:$F$55,6,FALSE))),IF(LeasingHab!$C$10="TARIFA 1",(C102*(VLOOKUP(LeasingHab!$C$23,Seguros_Oblig!$A$3:$B$55,2,FALSE))),(C102*(VLOOKUP(LeasingHab!$C$23,Seguros_Oblig!$A$3:$D$55,4,FALSE))))))</f>
        <v>#VALUE!</v>
      </c>
      <c r="G103" s="8" t="e">
        <f>IF(LeasingHab!$C$10="TARIFA 1",(C102*(VLOOKUP(LeasingHab!$C$24,Seguros_Oblig!$A$3:$B$55,2,FALSE))),(C102*(VLOOKUP(LeasingHab!$C$24,Seguros_Oblig!$A$3:$D$55,4,FALSE))))</f>
        <v>#VALUE!</v>
      </c>
      <c r="H103" s="8" t="e">
        <f>IF(LeasingHab!$C$10="TARIFA 1",(C102*(VLOOKUP(LeasingHab!$C$25,Seguros_Oblig!$A$3:$B$55,2,FALSE))),(C102*(VLOOKUP(LeasingHab!$C$25,Seguros_Oblig!$A$3:$D$55,4,FALSE))))</f>
        <v>#VALUE!</v>
      </c>
      <c r="I103" s="8" t="e">
        <f>IF(LeasingHab!$C$10="TARIFA 1",(C102*(VLOOKUP(LeasingHab!$C$26,Seguros_Oblig!$A$3:$B$55,2,FALSE))),(C102*(VLOOKUP(LeasingHab!$C$26,Seguros_Oblig!$A$3:$D$55,4,FALSE))))</f>
        <v>#VALUE!</v>
      </c>
      <c r="J103" s="10">
        <f t="shared" si="9"/>
        <v>0</v>
      </c>
      <c r="K103" s="7" t="e">
        <f>IF((C102-1)&lt;$E$17,0,Seguros_Oblig!$K$2*(LeasingHab!$C$12*90%))</f>
        <v>#VALUE!</v>
      </c>
      <c r="L103" s="7" t="e">
        <f>IF(B103&gt;LeasingHab!$C$18,0,PMT(LeasingHab!$E$17,LeasingHab!$C$18,-LeasingHab!$C$15,,)-PMT(LeasingHab!$E$17,LeasingHab!$C$18,-LeasingHab!$C$22)+LeasingHab!$C$22*LeasingHab!$E$17)</f>
        <v>#VALUE!</v>
      </c>
      <c r="M103" s="9" t="e">
        <f t="shared" si="10"/>
        <v>#VALUE!</v>
      </c>
      <c r="N103" s="7" t="e">
        <f>IF((C102-1)&lt;$E$17,0,LeasingHab!$C$39)</f>
        <v>#VALUE!</v>
      </c>
      <c r="O103" s="9" t="e">
        <f t="shared" si="11"/>
        <v>#VALUE!</v>
      </c>
    </row>
    <row r="104" spans="2:15" ht="15.5" x14ac:dyDescent="0.35">
      <c r="B104" s="6" t="e">
        <f t="shared" si="12"/>
        <v>#VALUE!</v>
      </c>
      <c r="C104" s="7" t="e">
        <f t="shared" si="8"/>
        <v>#VALUE!</v>
      </c>
      <c r="D104" s="7" t="e">
        <f t="shared" si="7"/>
        <v>#VALUE!</v>
      </c>
      <c r="E104" s="7" t="e">
        <f>IF((C103-1)&lt;$E$17,0,C103*LeasingHab!$E$17)</f>
        <v>#VALUE!</v>
      </c>
      <c r="F104" s="8" t="e">
        <f>IF((C103-1)&lt;$E$17,"0",IF(LeasingHab!$D$27="Si",($C$19*(VLOOKUP(LeasingHab!$C$23,Seguros_Oblig!$A$3:$F$55,6,FALSE))),IF(LeasingHab!$C$10="TARIFA 1",(C103*(VLOOKUP(LeasingHab!$C$23,Seguros_Oblig!$A$3:$B$55,2,FALSE))),(C103*(VLOOKUP(LeasingHab!$C$23,Seguros_Oblig!$A$3:$D$55,4,FALSE))))))</f>
        <v>#VALUE!</v>
      </c>
      <c r="G104" s="8" t="e">
        <f>IF(LeasingHab!$C$10="TARIFA 1",(C103*(VLOOKUP(LeasingHab!$C$24,Seguros_Oblig!$A$3:$B$55,2,FALSE))),(C103*(VLOOKUP(LeasingHab!$C$24,Seguros_Oblig!$A$3:$D$55,4,FALSE))))</f>
        <v>#VALUE!</v>
      </c>
      <c r="H104" s="8" t="e">
        <f>IF(LeasingHab!$C$10="TARIFA 1",(C103*(VLOOKUP(LeasingHab!$C$25,Seguros_Oblig!$A$3:$B$55,2,FALSE))),(C103*(VLOOKUP(LeasingHab!$C$25,Seguros_Oblig!$A$3:$D$55,4,FALSE))))</f>
        <v>#VALUE!</v>
      </c>
      <c r="I104" s="8" t="e">
        <f>IF(LeasingHab!$C$10="TARIFA 1",(C103*(VLOOKUP(LeasingHab!$C$26,Seguros_Oblig!$A$3:$B$55,2,FALSE))),(C103*(VLOOKUP(LeasingHab!$C$26,Seguros_Oblig!$A$3:$D$55,4,FALSE))))</f>
        <v>#VALUE!</v>
      </c>
      <c r="J104" s="10">
        <f t="shared" si="9"/>
        <v>0</v>
      </c>
      <c r="K104" s="7" t="e">
        <f>IF((C103-1)&lt;$E$17,0,Seguros_Oblig!$K$2*(LeasingHab!$C$12*90%))</f>
        <v>#VALUE!</v>
      </c>
      <c r="L104" s="7" t="e">
        <f>IF(B104&gt;LeasingHab!$C$18,0,PMT(LeasingHab!$E$17,LeasingHab!$C$18,-LeasingHab!$C$15,,)-PMT(LeasingHab!$E$17,LeasingHab!$C$18,-LeasingHab!$C$22)+LeasingHab!$C$22*LeasingHab!$E$17)</f>
        <v>#VALUE!</v>
      </c>
      <c r="M104" s="9" t="e">
        <f t="shared" si="10"/>
        <v>#VALUE!</v>
      </c>
      <c r="N104" s="7" t="e">
        <f>IF((C103-1)&lt;$E$17,0,LeasingHab!$C$39)</f>
        <v>#VALUE!</v>
      </c>
      <c r="O104" s="9" t="e">
        <f t="shared" si="11"/>
        <v>#VALUE!</v>
      </c>
    </row>
    <row r="105" spans="2:15" ht="15.5" x14ac:dyDescent="0.35">
      <c r="B105" s="6" t="e">
        <f t="shared" si="12"/>
        <v>#VALUE!</v>
      </c>
      <c r="C105" s="7" t="e">
        <f t="shared" si="8"/>
        <v>#VALUE!</v>
      </c>
      <c r="D105" s="7" t="e">
        <f t="shared" si="7"/>
        <v>#VALUE!</v>
      </c>
      <c r="E105" s="7" t="e">
        <f>IF((C104-1)&lt;$E$17,0,C104*LeasingHab!$E$17)</f>
        <v>#VALUE!</v>
      </c>
      <c r="F105" s="8" t="e">
        <f>IF((C104-1)&lt;$E$17,"0",IF(LeasingHab!$D$27="Si",($C$19*(VLOOKUP(LeasingHab!$C$23,Seguros_Oblig!$A$3:$F$55,6,FALSE))),IF(LeasingHab!$C$10="TARIFA 1",(C104*(VLOOKUP(LeasingHab!$C$23,Seguros_Oblig!$A$3:$B$55,2,FALSE))),(C104*(VLOOKUP(LeasingHab!$C$23,Seguros_Oblig!$A$3:$D$55,4,FALSE))))))</f>
        <v>#VALUE!</v>
      </c>
      <c r="G105" s="8" t="e">
        <f>IF(LeasingHab!$C$10="TARIFA 1",(C104*(VLOOKUP(LeasingHab!$C$24,Seguros_Oblig!$A$3:$B$55,2,FALSE))),(C104*(VLOOKUP(LeasingHab!$C$24,Seguros_Oblig!$A$3:$D$55,4,FALSE))))</f>
        <v>#VALUE!</v>
      </c>
      <c r="H105" s="8" t="e">
        <f>IF(LeasingHab!$C$10="TARIFA 1",(C104*(VLOOKUP(LeasingHab!$C$25,Seguros_Oblig!$A$3:$B$55,2,FALSE))),(C104*(VLOOKUP(LeasingHab!$C$25,Seguros_Oblig!$A$3:$D$55,4,FALSE))))</f>
        <v>#VALUE!</v>
      </c>
      <c r="I105" s="8" t="e">
        <f>IF(LeasingHab!$C$10="TARIFA 1",(C104*(VLOOKUP(LeasingHab!$C$26,Seguros_Oblig!$A$3:$B$55,2,FALSE))),(C104*(VLOOKUP(LeasingHab!$C$26,Seguros_Oblig!$A$3:$D$55,4,FALSE))))</f>
        <v>#VALUE!</v>
      </c>
      <c r="J105" s="10">
        <f t="shared" si="9"/>
        <v>0</v>
      </c>
      <c r="K105" s="7" t="e">
        <f>IF((C104-1)&lt;$E$17,0,Seguros_Oblig!$K$2*(LeasingHab!$C$12*90%))</f>
        <v>#VALUE!</v>
      </c>
      <c r="L105" s="7" t="e">
        <f>IF(B105&gt;LeasingHab!$C$18,0,PMT(LeasingHab!$E$17,LeasingHab!$C$18,-LeasingHab!$C$15,,)-PMT(LeasingHab!$E$17,LeasingHab!$C$18,-LeasingHab!$C$22)+LeasingHab!$C$22*LeasingHab!$E$17)</f>
        <v>#VALUE!</v>
      </c>
      <c r="M105" s="9" t="e">
        <f t="shared" si="10"/>
        <v>#VALUE!</v>
      </c>
      <c r="N105" s="7" t="e">
        <f>IF((C104-1)&lt;$E$17,0,LeasingHab!$C$39)</f>
        <v>#VALUE!</v>
      </c>
      <c r="O105" s="9" t="e">
        <f t="shared" si="11"/>
        <v>#VALUE!</v>
      </c>
    </row>
    <row r="106" spans="2:15" ht="15.5" x14ac:dyDescent="0.35">
      <c r="B106" s="6" t="e">
        <f t="shared" si="12"/>
        <v>#VALUE!</v>
      </c>
      <c r="C106" s="7" t="e">
        <f t="shared" si="8"/>
        <v>#VALUE!</v>
      </c>
      <c r="D106" s="7" t="e">
        <f t="shared" si="7"/>
        <v>#VALUE!</v>
      </c>
      <c r="E106" s="7" t="e">
        <f>IF((C105-1)&lt;$E$17,0,C105*LeasingHab!$E$17)</f>
        <v>#VALUE!</v>
      </c>
      <c r="F106" s="8" t="e">
        <f>IF((C105-1)&lt;$E$17,"0",IF(LeasingHab!$D$27="Si",($C$19*(VLOOKUP(LeasingHab!$C$23,Seguros_Oblig!$A$3:$F$55,6,FALSE))),IF(LeasingHab!$C$10="TARIFA 1",(C105*(VLOOKUP(LeasingHab!$C$23,Seguros_Oblig!$A$3:$B$55,2,FALSE))),(C105*(VLOOKUP(LeasingHab!$C$23,Seguros_Oblig!$A$3:$D$55,4,FALSE))))))</f>
        <v>#VALUE!</v>
      </c>
      <c r="G106" s="8" t="e">
        <f>IF(LeasingHab!$C$10="TARIFA 1",(C105*(VLOOKUP(LeasingHab!$C$24,Seguros_Oblig!$A$3:$B$55,2,FALSE))),(C105*(VLOOKUP(LeasingHab!$C$24,Seguros_Oblig!$A$3:$D$55,4,FALSE))))</f>
        <v>#VALUE!</v>
      </c>
      <c r="H106" s="8" t="e">
        <f>IF(LeasingHab!$C$10="TARIFA 1",(C105*(VLOOKUP(LeasingHab!$C$25,Seguros_Oblig!$A$3:$B$55,2,FALSE))),(C105*(VLOOKUP(LeasingHab!$C$25,Seguros_Oblig!$A$3:$D$55,4,FALSE))))</f>
        <v>#VALUE!</v>
      </c>
      <c r="I106" s="8" t="e">
        <f>IF(LeasingHab!$C$10="TARIFA 1",(C105*(VLOOKUP(LeasingHab!$C$26,Seguros_Oblig!$A$3:$B$55,2,FALSE))),(C105*(VLOOKUP(LeasingHab!$C$26,Seguros_Oblig!$A$3:$D$55,4,FALSE))))</f>
        <v>#VALUE!</v>
      </c>
      <c r="J106" s="10">
        <f t="shared" si="9"/>
        <v>0</v>
      </c>
      <c r="K106" s="7" t="e">
        <f>IF((C105-1)&lt;$E$17,0,Seguros_Oblig!$K$2*(LeasingHab!$C$12*90%))</f>
        <v>#VALUE!</v>
      </c>
      <c r="L106" s="7" t="e">
        <f>IF(B106&gt;LeasingHab!$C$18,0,PMT(LeasingHab!$E$17,LeasingHab!$C$18,-LeasingHab!$C$15,,)-PMT(LeasingHab!$E$17,LeasingHab!$C$18,-LeasingHab!$C$22)+LeasingHab!$C$22*LeasingHab!$E$17)</f>
        <v>#VALUE!</v>
      </c>
      <c r="M106" s="9" t="e">
        <f t="shared" si="10"/>
        <v>#VALUE!</v>
      </c>
      <c r="N106" s="7" t="e">
        <f>IF((C105-1)&lt;$E$17,0,LeasingHab!$C$39)</f>
        <v>#VALUE!</v>
      </c>
      <c r="O106" s="9" t="e">
        <f t="shared" si="11"/>
        <v>#VALUE!</v>
      </c>
    </row>
    <row r="107" spans="2:15" ht="15.5" x14ac:dyDescent="0.35">
      <c r="B107" s="6" t="e">
        <f t="shared" si="12"/>
        <v>#VALUE!</v>
      </c>
      <c r="C107" s="7" t="e">
        <f t="shared" si="8"/>
        <v>#VALUE!</v>
      </c>
      <c r="D107" s="7" t="e">
        <f t="shared" si="7"/>
        <v>#VALUE!</v>
      </c>
      <c r="E107" s="7" t="e">
        <f>IF((C106-1)&lt;$E$17,0,C106*LeasingHab!$E$17)</f>
        <v>#VALUE!</v>
      </c>
      <c r="F107" s="8" t="e">
        <f>IF((C106-1)&lt;$E$17,"0",IF(LeasingHab!$D$27="Si",($C$19*(VLOOKUP(LeasingHab!$C$23,Seguros_Oblig!$A$3:$F$55,6,FALSE))),IF(LeasingHab!$C$10="TARIFA 1",(C106*(VLOOKUP(LeasingHab!$C$23,Seguros_Oblig!$A$3:$B$55,2,FALSE))),(C106*(VLOOKUP(LeasingHab!$C$23,Seguros_Oblig!$A$3:$D$55,4,FALSE))))))</f>
        <v>#VALUE!</v>
      </c>
      <c r="G107" s="8" t="e">
        <f>IF(LeasingHab!$C$10="TARIFA 1",(C106*(VLOOKUP(LeasingHab!$C$24,Seguros_Oblig!$A$3:$B$55,2,FALSE))),(C106*(VLOOKUP(LeasingHab!$C$24,Seguros_Oblig!$A$3:$D$55,4,FALSE))))</f>
        <v>#VALUE!</v>
      </c>
      <c r="H107" s="8" t="e">
        <f>IF(LeasingHab!$C$10="TARIFA 1",(C106*(VLOOKUP(LeasingHab!$C$25,Seguros_Oblig!$A$3:$B$55,2,FALSE))),(C106*(VLOOKUP(LeasingHab!$C$25,Seguros_Oblig!$A$3:$D$55,4,FALSE))))</f>
        <v>#VALUE!</v>
      </c>
      <c r="I107" s="8" t="e">
        <f>IF(LeasingHab!$C$10="TARIFA 1",(C106*(VLOOKUP(LeasingHab!$C$26,Seguros_Oblig!$A$3:$B$55,2,FALSE))),(C106*(VLOOKUP(LeasingHab!$C$26,Seguros_Oblig!$A$3:$D$55,4,FALSE))))</f>
        <v>#VALUE!</v>
      </c>
      <c r="J107" s="10">
        <f t="shared" si="9"/>
        <v>0</v>
      </c>
      <c r="K107" s="7" t="e">
        <f>IF((C106-1)&lt;$E$17,0,Seguros_Oblig!$K$2*(LeasingHab!$C$12*90%))</f>
        <v>#VALUE!</v>
      </c>
      <c r="L107" s="7" t="e">
        <f>IF(B107&gt;LeasingHab!$C$18,0,PMT(LeasingHab!$E$17,LeasingHab!$C$18,-LeasingHab!$C$15,,)-PMT(LeasingHab!$E$17,LeasingHab!$C$18,-LeasingHab!$C$22)+LeasingHab!$C$22*LeasingHab!$E$17)</f>
        <v>#VALUE!</v>
      </c>
      <c r="M107" s="9" t="e">
        <f t="shared" si="10"/>
        <v>#VALUE!</v>
      </c>
      <c r="N107" s="7" t="e">
        <f>IF((C106-1)&lt;$E$17,0,LeasingHab!$C$39)</f>
        <v>#VALUE!</v>
      </c>
      <c r="O107" s="9" t="e">
        <f t="shared" si="11"/>
        <v>#VALUE!</v>
      </c>
    </row>
    <row r="108" spans="2:15" ht="15.5" x14ac:dyDescent="0.35">
      <c r="B108" s="6" t="e">
        <f t="shared" si="12"/>
        <v>#VALUE!</v>
      </c>
      <c r="C108" s="7" t="e">
        <f t="shared" si="8"/>
        <v>#VALUE!</v>
      </c>
      <c r="D108" s="7" t="e">
        <f t="shared" si="7"/>
        <v>#VALUE!</v>
      </c>
      <c r="E108" s="7" t="e">
        <f>IF((C107-1)&lt;$E$17,0,C107*LeasingHab!$E$17)</f>
        <v>#VALUE!</v>
      </c>
      <c r="F108" s="8" t="e">
        <f>IF((C107-1)&lt;$E$17,"0",IF(LeasingHab!$D$27="Si",($C$19*(VLOOKUP(LeasingHab!$C$23,Seguros_Oblig!$A$3:$F$55,6,FALSE))),IF(LeasingHab!$C$10="TARIFA 1",(C107*(VLOOKUP(LeasingHab!$C$23,Seguros_Oblig!$A$3:$B$55,2,FALSE))),(C107*(VLOOKUP(LeasingHab!$C$23,Seguros_Oblig!$A$3:$D$55,4,FALSE))))))</f>
        <v>#VALUE!</v>
      </c>
      <c r="G108" s="8" t="e">
        <f>IF(LeasingHab!$C$10="TARIFA 1",(C107*(VLOOKUP(LeasingHab!$C$24,Seguros_Oblig!$A$3:$B$55,2,FALSE))),(C107*(VLOOKUP(LeasingHab!$C$24,Seguros_Oblig!$A$3:$D$55,4,FALSE))))</f>
        <v>#VALUE!</v>
      </c>
      <c r="H108" s="8" t="e">
        <f>IF(LeasingHab!$C$10="TARIFA 1",(C107*(VLOOKUP(LeasingHab!$C$25,Seguros_Oblig!$A$3:$B$55,2,FALSE))),(C107*(VLOOKUP(LeasingHab!$C$25,Seguros_Oblig!$A$3:$D$55,4,FALSE))))</f>
        <v>#VALUE!</v>
      </c>
      <c r="I108" s="8" t="e">
        <f>IF(LeasingHab!$C$10="TARIFA 1",(C107*(VLOOKUP(LeasingHab!$C$26,Seguros_Oblig!$A$3:$B$55,2,FALSE))),(C107*(VLOOKUP(LeasingHab!$C$26,Seguros_Oblig!$A$3:$D$55,4,FALSE))))</f>
        <v>#VALUE!</v>
      </c>
      <c r="J108" s="10">
        <f t="shared" si="9"/>
        <v>0</v>
      </c>
      <c r="K108" s="7" t="e">
        <f>IF((C107-1)&lt;$E$17,0,Seguros_Oblig!$K$2*(LeasingHab!$C$12*90%))</f>
        <v>#VALUE!</v>
      </c>
      <c r="L108" s="7" t="e">
        <f>IF(B108&gt;LeasingHab!$C$18,0,PMT(LeasingHab!$E$17,LeasingHab!$C$18,-LeasingHab!$C$15,,)-PMT(LeasingHab!$E$17,LeasingHab!$C$18,-LeasingHab!$C$22)+LeasingHab!$C$22*LeasingHab!$E$17)</f>
        <v>#VALUE!</v>
      </c>
      <c r="M108" s="9" t="e">
        <f t="shared" si="10"/>
        <v>#VALUE!</v>
      </c>
      <c r="N108" s="7" t="e">
        <f>IF((C107-1)&lt;$E$17,0,LeasingHab!$C$39)</f>
        <v>#VALUE!</v>
      </c>
      <c r="O108" s="9" t="e">
        <f t="shared" si="11"/>
        <v>#VALUE!</v>
      </c>
    </row>
    <row r="109" spans="2:15" ht="15.5" x14ac:dyDescent="0.35">
      <c r="B109" s="6" t="e">
        <f t="shared" si="12"/>
        <v>#VALUE!</v>
      </c>
      <c r="C109" s="7" t="e">
        <f t="shared" si="8"/>
        <v>#VALUE!</v>
      </c>
      <c r="D109" s="7" t="e">
        <f t="shared" si="7"/>
        <v>#VALUE!</v>
      </c>
      <c r="E109" s="7" t="e">
        <f>IF((C108-1)&lt;$E$17,0,C108*LeasingHab!$E$17)</f>
        <v>#VALUE!</v>
      </c>
      <c r="F109" s="8" t="e">
        <f>IF((C108-1)&lt;$E$17,"0",IF(LeasingHab!$D$27="Si",($C$19*(VLOOKUP(LeasingHab!$C$23,Seguros_Oblig!$A$3:$F$55,6,FALSE))),IF(LeasingHab!$C$10="TARIFA 1",(C108*(VLOOKUP(LeasingHab!$C$23,Seguros_Oblig!$A$3:$B$55,2,FALSE))),(C108*(VLOOKUP(LeasingHab!$C$23,Seguros_Oblig!$A$3:$D$55,4,FALSE))))))</f>
        <v>#VALUE!</v>
      </c>
      <c r="G109" s="8" t="e">
        <f>IF(LeasingHab!$C$10="TARIFA 1",(C108*(VLOOKUP(LeasingHab!$C$24,Seguros_Oblig!$A$3:$B$55,2,FALSE))),(C108*(VLOOKUP(LeasingHab!$C$24,Seguros_Oblig!$A$3:$D$55,4,FALSE))))</f>
        <v>#VALUE!</v>
      </c>
      <c r="H109" s="8" t="e">
        <f>IF(LeasingHab!$C$10="TARIFA 1",(C108*(VLOOKUP(LeasingHab!$C$25,Seguros_Oblig!$A$3:$B$55,2,FALSE))),(C108*(VLOOKUP(LeasingHab!$C$25,Seguros_Oblig!$A$3:$D$55,4,FALSE))))</f>
        <v>#VALUE!</v>
      </c>
      <c r="I109" s="8" t="e">
        <f>IF(LeasingHab!$C$10="TARIFA 1",(C108*(VLOOKUP(LeasingHab!$C$26,Seguros_Oblig!$A$3:$B$55,2,FALSE))),(C108*(VLOOKUP(LeasingHab!$C$26,Seguros_Oblig!$A$3:$D$55,4,FALSE))))</f>
        <v>#VALUE!</v>
      </c>
      <c r="J109" s="10">
        <f t="shared" si="9"/>
        <v>0</v>
      </c>
      <c r="K109" s="7" t="e">
        <f>IF((C108-1)&lt;$E$17,0,Seguros_Oblig!$K$2*(LeasingHab!$C$12*90%))</f>
        <v>#VALUE!</v>
      </c>
      <c r="L109" s="7" t="e">
        <f>IF(B109&gt;LeasingHab!$C$18,0,PMT(LeasingHab!$E$17,LeasingHab!$C$18,-LeasingHab!$C$15,,)-PMT(LeasingHab!$E$17,LeasingHab!$C$18,-LeasingHab!$C$22)+LeasingHab!$C$22*LeasingHab!$E$17)</f>
        <v>#VALUE!</v>
      </c>
      <c r="M109" s="9" t="e">
        <f t="shared" si="10"/>
        <v>#VALUE!</v>
      </c>
      <c r="N109" s="7" t="e">
        <f>IF((C108-1)&lt;$E$17,0,LeasingHab!$C$39)</f>
        <v>#VALUE!</v>
      </c>
      <c r="O109" s="9" t="e">
        <f t="shared" si="11"/>
        <v>#VALUE!</v>
      </c>
    </row>
    <row r="110" spans="2:15" ht="15.5" x14ac:dyDescent="0.35">
      <c r="B110" s="6" t="e">
        <f t="shared" si="12"/>
        <v>#VALUE!</v>
      </c>
      <c r="C110" s="7" t="e">
        <f t="shared" si="8"/>
        <v>#VALUE!</v>
      </c>
      <c r="D110" s="7" t="e">
        <f t="shared" si="7"/>
        <v>#VALUE!</v>
      </c>
      <c r="E110" s="7" t="e">
        <f>IF((C109-1)&lt;$E$17,0,C109*LeasingHab!$E$17)</f>
        <v>#VALUE!</v>
      </c>
      <c r="F110" s="8" t="e">
        <f>IF((C109-1)&lt;$E$17,"0",IF(LeasingHab!$D$27="Si",($C$19*(VLOOKUP(LeasingHab!$C$23,Seguros_Oblig!$A$3:$F$55,6,FALSE))),IF(LeasingHab!$C$10="TARIFA 1",(C109*(VLOOKUP(LeasingHab!$C$23,Seguros_Oblig!$A$3:$B$55,2,FALSE))),(C109*(VLOOKUP(LeasingHab!$C$23,Seguros_Oblig!$A$3:$D$55,4,FALSE))))))</f>
        <v>#VALUE!</v>
      </c>
      <c r="G110" s="8" t="e">
        <f>IF(LeasingHab!$C$10="TARIFA 1",(C109*(VLOOKUP(LeasingHab!$C$24,Seguros_Oblig!$A$3:$B$55,2,FALSE))),(C109*(VLOOKUP(LeasingHab!$C$24,Seguros_Oblig!$A$3:$D$55,4,FALSE))))</f>
        <v>#VALUE!</v>
      </c>
      <c r="H110" s="8" t="e">
        <f>IF(LeasingHab!$C$10="TARIFA 1",(C109*(VLOOKUP(LeasingHab!$C$25,Seguros_Oblig!$A$3:$B$55,2,FALSE))),(C109*(VLOOKUP(LeasingHab!$C$25,Seguros_Oblig!$A$3:$D$55,4,FALSE))))</f>
        <v>#VALUE!</v>
      </c>
      <c r="I110" s="8" t="e">
        <f>IF(LeasingHab!$C$10="TARIFA 1",(C109*(VLOOKUP(LeasingHab!$C$26,Seguros_Oblig!$A$3:$B$55,2,FALSE))),(C109*(VLOOKUP(LeasingHab!$C$26,Seguros_Oblig!$A$3:$D$55,4,FALSE))))</f>
        <v>#VALUE!</v>
      </c>
      <c r="J110" s="10">
        <f t="shared" si="9"/>
        <v>0</v>
      </c>
      <c r="K110" s="7" t="e">
        <f>IF((C109-1)&lt;$E$17,0,Seguros_Oblig!$K$2*(LeasingHab!$C$12*90%))</f>
        <v>#VALUE!</v>
      </c>
      <c r="L110" s="7" t="e">
        <f>IF(B110&gt;LeasingHab!$C$18,0,PMT(LeasingHab!$E$17,LeasingHab!$C$18,-LeasingHab!$C$15,,)-PMT(LeasingHab!$E$17,LeasingHab!$C$18,-LeasingHab!$C$22)+LeasingHab!$C$22*LeasingHab!$E$17)</f>
        <v>#VALUE!</v>
      </c>
      <c r="M110" s="9" t="e">
        <f t="shared" si="10"/>
        <v>#VALUE!</v>
      </c>
      <c r="N110" s="7" t="e">
        <f>IF((C109-1)&lt;$E$17,0,LeasingHab!$C$39)</f>
        <v>#VALUE!</v>
      </c>
      <c r="O110" s="9" t="e">
        <f t="shared" si="11"/>
        <v>#VALUE!</v>
      </c>
    </row>
    <row r="111" spans="2:15" ht="15.5" x14ac:dyDescent="0.35">
      <c r="B111" s="6" t="e">
        <f t="shared" si="12"/>
        <v>#VALUE!</v>
      </c>
      <c r="C111" s="7" t="e">
        <f t="shared" si="8"/>
        <v>#VALUE!</v>
      </c>
      <c r="D111" s="7" t="e">
        <f t="shared" si="7"/>
        <v>#VALUE!</v>
      </c>
      <c r="E111" s="7" t="e">
        <f>IF((C110-1)&lt;$E$17,0,C110*LeasingHab!$E$17)</f>
        <v>#VALUE!</v>
      </c>
      <c r="F111" s="8" t="e">
        <f>IF((C110-1)&lt;$E$17,"0",IF(LeasingHab!$D$27="Si",($C$19*(VLOOKUP(LeasingHab!$C$23,Seguros_Oblig!$A$3:$F$55,6,FALSE))),IF(LeasingHab!$C$10="TARIFA 1",(C110*(VLOOKUP(LeasingHab!$C$23,Seguros_Oblig!$A$3:$B$55,2,FALSE))),(C110*(VLOOKUP(LeasingHab!$C$23,Seguros_Oblig!$A$3:$D$55,4,FALSE))))))</f>
        <v>#VALUE!</v>
      </c>
      <c r="G111" s="8" t="e">
        <f>IF(LeasingHab!$C$10="TARIFA 1",(C110*(VLOOKUP(LeasingHab!$C$24,Seguros_Oblig!$A$3:$B$55,2,FALSE))),(C110*(VLOOKUP(LeasingHab!$C$24,Seguros_Oblig!$A$3:$D$55,4,FALSE))))</f>
        <v>#VALUE!</v>
      </c>
      <c r="H111" s="8" t="e">
        <f>IF(LeasingHab!$C$10="TARIFA 1",(C110*(VLOOKUP(LeasingHab!$C$25,Seguros_Oblig!$A$3:$B$55,2,FALSE))),(C110*(VLOOKUP(LeasingHab!$C$25,Seguros_Oblig!$A$3:$D$55,4,FALSE))))</f>
        <v>#VALUE!</v>
      </c>
      <c r="I111" s="8" t="e">
        <f>IF(LeasingHab!$C$10="TARIFA 1",(C110*(VLOOKUP(LeasingHab!$C$26,Seguros_Oblig!$A$3:$B$55,2,FALSE))),(C110*(VLOOKUP(LeasingHab!$C$26,Seguros_Oblig!$A$3:$D$55,4,FALSE))))</f>
        <v>#VALUE!</v>
      </c>
      <c r="J111" s="10">
        <f t="shared" si="9"/>
        <v>0</v>
      </c>
      <c r="K111" s="7" t="e">
        <f>IF((C110-1)&lt;$E$17,0,Seguros_Oblig!$K$2*(LeasingHab!$C$12*90%))</f>
        <v>#VALUE!</v>
      </c>
      <c r="L111" s="7" t="e">
        <f>IF(B111&gt;LeasingHab!$C$18,0,PMT(LeasingHab!$E$17,LeasingHab!$C$18,-LeasingHab!$C$15,,)-PMT(LeasingHab!$E$17,LeasingHab!$C$18,-LeasingHab!$C$22)+LeasingHab!$C$22*LeasingHab!$E$17)</f>
        <v>#VALUE!</v>
      </c>
      <c r="M111" s="9" t="e">
        <f t="shared" si="10"/>
        <v>#VALUE!</v>
      </c>
      <c r="N111" s="7" t="e">
        <f>IF((C110-1)&lt;$E$17,0,LeasingHab!$C$39)</f>
        <v>#VALUE!</v>
      </c>
      <c r="O111" s="9" t="e">
        <f t="shared" si="11"/>
        <v>#VALUE!</v>
      </c>
    </row>
    <row r="112" spans="2:15" ht="15.5" x14ac:dyDescent="0.35">
      <c r="B112" s="6" t="e">
        <f t="shared" si="12"/>
        <v>#VALUE!</v>
      </c>
      <c r="C112" s="7" t="e">
        <f t="shared" si="8"/>
        <v>#VALUE!</v>
      </c>
      <c r="D112" s="7" t="e">
        <f t="shared" si="7"/>
        <v>#VALUE!</v>
      </c>
      <c r="E112" s="7" t="e">
        <f>IF((C111-1)&lt;$E$17,0,C111*LeasingHab!$E$17)</f>
        <v>#VALUE!</v>
      </c>
      <c r="F112" s="8" t="e">
        <f>IF((C111-1)&lt;$E$17,"0",IF(LeasingHab!$D$27="Si",($C$19*(VLOOKUP(LeasingHab!$C$23,Seguros_Oblig!$A$3:$F$55,6,FALSE))),IF(LeasingHab!$C$10="TARIFA 1",(C111*(VLOOKUP(LeasingHab!$C$23,Seguros_Oblig!$A$3:$B$55,2,FALSE))),(C111*(VLOOKUP(LeasingHab!$C$23,Seguros_Oblig!$A$3:$D$55,4,FALSE))))))</f>
        <v>#VALUE!</v>
      </c>
      <c r="G112" s="8" t="e">
        <f>IF(LeasingHab!$C$10="TARIFA 1",(C111*(VLOOKUP(LeasingHab!$C$24,Seguros_Oblig!$A$3:$B$55,2,FALSE))),(C111*(VLOOKUP(LeasingHab!$C$24,Seguros_Oblig!$A$3:$D$55,4,FALSE))))</f>
        <v>#VALUE!</v>
      </c>
      <c r="H112" s="8" t="e">
        <f>IF(LeasingHab!$C$10="TARIFA 1",(C111*(VLOOKUP(LeasingHab!$C$25,Seguros_Oblig!$A$3:$B$55,2,FALSE))),(C111*(VLOOKUP(LeasingHab!$C$25,Seguros_Oblig!$A$3:$D$55,4,FALSE))))</f>
        <v>#VALUE!</v>
      </c>
      <c r="I112" s="8" t="e">
        <f>IF(LeasingHab!$C$10="TARIFA 1",(C111*(VLOOKUP(LeasingHab!$C$26,Seguros_Oblig!$A$3:$B$55,2,FALSE))),(C111*(VLOOKUP(LeasingHab!$C$26,Seguros_Oblig!$A$3:$D$55,4,FALSE))))</f>
        <v>#VALUE!</v>
      </c>
      <c r="J112" s="10">
        <f t="shared" si="9"/>
        <v>0</v>
      </c>
      <c r="K112" s="7" t="e">
        <f>IF((C111-1)&lt;$E$17,0,Seguros_Oblig!$K$2*(LeasingHab!$C$12*90%))</f>
        <v>#VALUE!</v>
      </c>
      <c r="L112" s="7" t="e">
        <f>IF(B112&gt;LeasingHab!$C$18,0,PMT(LeasingHab!$E$17,LeasingHab!$C$18,-LeasingHab!$C$15,,)-PMT(LeasingHab!$E$17,LeasingHab!$C$18,-LeasingHab!$C$22)+LeasingHab!$C$22*LeasingHab!$E$17)</f>
        <v>#VALUE!</v>
      </c>
      <c r="M112" s="9" t="e">
        <f t="shared" si="10"/>
        <v>#VALUE!</v>
      </c>
      <c r="N112" s="7" t="e">
        <f>IF((C111-1)&lt;$E$17,0,LeasingHab!$C$39)</f>
        <v>#VALUE!</v>
      </c>
      <c r="O112" s="9" t="e">
        <f t="shared" si="11"/>
        <v>#VALUE!</v>
      </c>
    </row>
    <row r="113" spans="2:15" ht="15.5" x14ac:dyDescent="0.35">
      <c r="B113" s="6" t="e">
        <f t="shared" si="12"/>
        <v>#VALUE!</v>
      </c>
      <c r="C113" s="7" t="e">
        <f t="shared" si="8"/>
        <v>#VALUE!</v>
      </c>
      <c r="D113" s="7" t="e">
        <f t="shared" si="7"/>
        <v>#VALUE!</v>
      </c>
      <c r="E113" s="7" t="e">
        <f>IF((C112-1)&lt;$E$17,0,C112*LeasingHab!$E$17)</f>
        <v>#VALUE!</v>
      </c>
      <c r="F113" s="8" t="e">
        <f>IF((C112-1)&lt;$E$17,"0",IF(LeasingHab!$D$27="Si",($C$19*(VLOOKUP(LeasingHab!$C$23,Seguros_Oblig!$A$3:$F$55,6,FALSE))),IF(LeasingHab!$C$10="TARIFA 1",(C112*(VLOOKUP(LeasingHab!$C$23,Seguros_Oblig!$A$3:$B$55,2,FALSE))),(C112*(VLOOKUP(LeasingHab!$C$23,Seguros_Oblig!$A$3:$D$55,4,FALSE))))))</f>
        <v>#VALUE!</v>
      </c>
      <c r="G113" s="8" t="e">
        <f>IF(LeasingHab!$C$10="TARIFA 1",(C112*(VLOOKUP(LeasingHab!$C$24,Seguros_Oblig!$A$3:$B$55,2,FALSE))),(C112*(VLOOKUP(LeasingHab!$C$24,Seguros_Oblig!$A$3:$D$55,4,FALSE))))</f>
        <v>#VALUE!</v>
      </c>
      <c r="H113" s="8" t="e">
        <f>IF(LeasingHab!$C$10="TARIFA 1",(C112*(VLOOKUP(LeasingHab!$C$25,Seguros_Oblig!$A$3:$B$55,2,FALSE))),(C112*(VLOOKUP(LeasingHab!$C$25,Seguros_Oblig!$A$3:$D$55,4,FALSE))))</f>
        <v>#VALUE!</v>
      </c>
      <c r="I113" s="8" t="e">
        <f>IF(LeasingHab!$C$10="TARIFA 1",(C112*(VLOOKUP(LeasingHab!$C$26,Seguros_Oblig!$A$3:$B$55,2,FALSE))),(C112*(VLOOKUP(LeasingHab!$C$26,Seguros_Oblig!$A$3:$D$55,4,FALSE))))</f>
        <v>#VALUE!</v>
      </c>
      <c r="J113" s="10">
        <f t="shared" si="9"/>
        <v>0</v>
      </c>
      <c r="K113" s="7" t="e">
        <f>IF((C112-1)&lt;$E$17,0,Seguros_Oblig!$K$2*(LeasingHab!$C$12*90%))</f>
        <v>#VALUE!</v>
      </c>
      <c r="L113" s="7" t="e">
        <f>IF(B113&gt;LeasingHab!$C$18,0,PMT(LeasingHab!$E$17,LeasingHab!$C$18,-LeasingHab!$C$15,,)-PMT(LeasingHab!$E$17,LeasingHab!$C$18,-LeasingHab!$C$22)+LeasingHab!$C$22*LeasingHab!$E$17)</f>
        <v>#VALUE!</v>
      </c>
      <c r="M113" s="9" t="e">
        <f t="shared" si="10"/>
        <v>#VALUE!</v>
      </c>
      <c r="N113" s="7" t="e">
        <f>IF((C112-1)&lt;$E$17,0,LeasingHab!$C$39)</f>
        <v>#VALUE!</v>
      </c>
      <c r="O113" s="9" t="e">
        <f t="shared" si="11"/>
        <v>#VALUE!</v>
      </c>
    </row>
    <row r="114" spans="2:15" ht="15.5" x14ac:dyDescent="0.35">
      <c r="B114" s="6" t="e">
        <f t="shared" si="12"/>
        <v>#VALUE!</v>
      </c>
      <c r="C114" s="7" t="e">
        <f t="shared" si="8"/>
        <v>#VALUE!</v>
      </c>
      <c r="D114" s="7" t="e">
        <f t="shared" si="7"/>
        <v>#VALUE!</v>
      </c>
      <c r="E114" s="7" t="e">
        <f>IF((C113-1)&lt;$E$17,0,C113*LeasingHab!$E$17)</f>
        <v>#VALUE!</v>
      </c>
      <c r="F114" s="8" t="e">
        <f>IF((C113-1)&lt;$E$17,"0",IF(LeasingHab!$D$27="Si",($C$19*(VLOOKUP(LeasingHab!$C$23,Seguros_Oblig!$A$3:$F$55,6,FALSE))),IF(LeasingHab!$C$10="TARIFA 1",(C113*(VLOOKUP(LeasingHab!$C$23,Seguros_Oblig!$A$3:$B$55,2,FALSE))),(C113*(VLOOKUP(LeasingHab!$C$23,Seguros_Oblig!$A$3:$D$55,4,FALSE))))))</f>
        <v>#VALUE!</v>
      </c>
      <c r="G114" s="8" t="e">
        <f>IF(LeasingHab!$C$10="TARIFA 1",(C113*(VLOOKUP(LeasingHab!$C$24,Seguros_Oblig!$A$3:$B$55,2,FALSE))),(C113*(VLOOKUP(LeasingHab!$C$24,Seguros_Oblig!$A$3:$D$55,4,FALSE))))</f>
        <v>#VALUE!</v>
      </c>
      <c r="H114" s="8" t="e">
        <f>IF(LeasingHab!$C$10="TARIFA 1",(C113*(VLOOKUP(LeasingHab!$C$25,Seguros_Oblig!$A$3:$B$55,2,FALSE))),(C113*(VLOOKUP(LeasingHab!$C$25,Seguros_Oblig!$A$3:$D$55,4,FALSE))))</f>
        <v>#VALUE!</v>
      </c>
      <c r="I114" s="8" t="e">
        <f>IF(LeasingHab!$C$10="TARIFA 1",(C113*(VLOOKUP(LeasingHab!$C$26,Seguros_Oblig!$A$3:$B$55,2,FALSE))),(C113*(VLOOKUP(LeasingHab!$C$26,Seguros_Oblig!$A$3:$D$55,4,FALSE))))</f>
        <v>#VALUE!</v>
      </c>
      <c r="J114" s="10">
        <f t="shared" si="9"/>
        <v>0</v>
      </c>
      <c r="K114" s="7" t="e">
        <f>IF((C113-1)&lt;$E$17,0,Seguros_Oblig!$K$2*(LeasingHab!$C$12*90%))</f>
        <v>#VALUE!</v>
      </c>
      <c r="L114" s="7" t="e">
        <f>IF(B114&gt;LeasingHab!$C$18,0,PMT(LeasingHab!$E$17,LeasingHab!$C$18,-LeasingHab!$C$15,,)-PMT(LeasingHab!$E$17,LeasingHab!$C$18,-LeasingHab!$C$22)+LeasingHab!$C$22*LeasingHab!$E$17)</f>
        <v>#VALUE!</v>
      </c>
      <c r="M114" s="9" t="e">
        <f t="shared" si="10"/>
        <v>#VALUE!</v>
      </c>
      <c r="N114" s="7" t="e">
        <f>IF((C113-1)&lt;$E$17,0,LeasingHab!$C$39)</f>
        <v>#VALUE!</v>
      </c>
      <c r="O114" s="9" t="e">
        <f t="shared" si="11"/>
        <v>#VALUE!</v>
      </c>
    </row>
    <row r="115" spans="2:15" ht="15.5" x14ac:dyDescent="0.35">
      <c r="B115" s="6" t="e">
        <f t="shared" si="12"/>
        <v>#VALUE!</v>
      </c>
      <c r="C115" s="7" t="e">
        <f t="shared" si="8"/>
        <v>#VALUE!</v>
      </c>
      <c r="D115" s="7" t="e">
        <f t="shared" si="7"/>
        <v>#VALUE!</v>
      </c>
      <c r="E115" s="7" t="e">
        <f>IF((C114-1)&lt;$E$17,0,C114*LeasingHab!$E$17)</f>
        <v>#VALUE!</v>
      </c>
      <c r="F115" s="8" t="e">
        <f>IF((C114-1)&lt;$E$17,"0",IF(LeasingHab!$D$27="Si",($C$19*(VLOOKUP(LeasingHab!$C$23,Seguros_Oblig!$A$3:$F$55,6,FALSE))),IF(LeasingHab!$C$10="TARIFA 1",(C114*(VLOOKUP(LeasingHab!$C$23,Seguros_Oblig!$A$3:$B$55,2,FALSE))),(C114*(VLOOKUP(LeasingHab!$C$23,Seguros_Oblig!$A$3:$D$55,4,FALSE))))))</f>
        <v>#VALUE!</v>
      </c>
      <c r="G115" s="8" t="e">
        <f>IF(LeasingHab!$C$10="TARIFA 1",(C114*(VLOOKUP(LeasingHab!$C$24,Seguros_Oblig!$A$3:$B$55,2,FALSE))),(C114*(VLOOKUP(LeasingHab!$C$24,Seguros_Oblig!$A$3:$D$55,4,FALSE))))</f>
        <v>#VALUE!</v>
      </c>
      <c r="H115" s="8" t="e">
        <f>IF(LeasingHab!$C$10="TARIFA 1",(C114*(VLOOKUP(LeasingHab!$C$25,Seguros_Oblig!$A$3:$B$55,2,FALSE))),(C114*(VLOOKUP(LeasingHab!$C$25,Seguros_Oblig!$A$3:$D$55,4,FALSE))))</f>
        <v>#VALUE!</v>
      </c>
      <c r="I115" s="8" t="e">
        <f>IF(LeasingHab!$C$10="TARIFA 1",(C114*(VLOOKUP(LeasingHab!$C$26,Seguros_Oblig!$A$3:$B$55,2,FALSE))),(C114*(VLOOKUP(LeasingHab!$C$26,Seguros_Oblig!$A$3:$D$55,4,FALSE))))</f>
        <v>#VALUE!</v>
      </c>
      <c r="J115" s="10">
        <f t="shared" si="9"/>
        <v>0</v>
      </c>
      <c r="K115" s="7" t="e">
        <f>IF((C114-1)&lt;$E$17,0,Seguros_Oblig!$K$2*(LeasingHab!$C$12*90%))</f>
        <v>#VALUE!</v>
      </c>
      <c r="L115" s="7" t="e">
        <f>IF(B115&gt;LeasingHab!$C$18,0,PMT(LeasingHab!$E$17,LeasingHab!$C$18,-LeasingHab!$C$15,,)-PMT(LeasingHab!$E$17,LeasingHab!$C$18,-LeasingHab!$C$22)+LeasingHab!$C$22*LeasingHab!$E$17)</f>
        <v>#VALUE!</v>
      </c>
      <c r="M115" s="9" t="e">
        <f t="shared" si="10"/>
        <v>#VALUE!</v>
      </c>
      <c r="N115" s="7" t="e">
        <f>IF((C114-1)&lt;$E$17,0,LeasingHab!$C$39)</f>
        <v>#VALUE!</v>
      </c>
      <c r="O115" s="9" t="e">
        <f t="shared" si="11"/>
        <v>#VALUE!</v>
      </c>
    </row>
    <row r="116" spans="2:15" ht="15.5" x14ac:dyDescent="0.35">
      <c r="B116" s="6" t="e">
        <f t="shared" si="12"/>
        <v>#VALUE!</v>
      </c>
      <c r="C116" s="7" t="e">
        <f t="shared" si="8"/>
        <v>#VALUE!</v>
      </c>
      <c r="D116" s="7" t="e">
        <f t="shared" si="7"/>
        <v>#VALUE!</v>
      </c>
      <c r="E116" s="7" t="e">
        <f>IF((C115-1)&lt;$E$17,0,C115*LeasingHab!$E$17)</f>
        <v>#VALUE!</v>
      </c>
      <c r="F116" s="8" t="e">
        <f>IF((C115-1)&lt;$E$17,"0",IF(LeasingHab!$D$27="Si",($C$19*(VLOOKUP(LeasingHab!$C$23,Seguros_Oblig!$A$3:$F$55,6,FALSE))),IF(LeasingHab!$C$10="TARIFA 1",(C115*(VLOOKUP(LeasingHab!$C$23,Seguros_Oblig!$A$3:$B$55,2,FALSE))),(C115*(VLOOKUP(LeasingHab!$C$23,Seguros_Oblig!$A$3:$D$55,4,FALSE))))))</f>
        <v>#VALUE!</v>
      </c>
      <c r="G116" s="8" t="e">
        <f>IF(LeasingHab!$C$10="TARIFA 1",(C115*(VLOOKUP(LeasingHab!$C$24,Seguros_Oblig!$A$3:$B$55,2,FALSE))),(C115*(VLOOKUP(LeasingHab!$C$24,Seguros_Oblig!$A$3:$D$55,4,FALSE))))</f>
        <v>#VALUE!</v>
      </c>
      <c r="H116" s="8" t="e">
        <f>IF(LeasingHab!$C$10="TARIFA 1",(C115*(VLOOKUP(LeasingHab!$C$25,Seguros_Oblig!$A$3:$B$55,2,FALSE))),(C115*(VLOOKUP(LeasingHab!$C$25,Seguros_Oblig!$A$3:$D$55,4,FALSE))))</f>
        <v>#VALUE!</v>
      </c>
      <c r="I116" s="8" t="e">
        <f>IF(LeasingHab!$C$10="TARIFA 1",(C115*(VLOOKUP(LeasingHab!$C$26,Seguros_Oblig!$A$3:$B$55,2,FALSE))),(C115*(VLOOKUP(LeasingHab!$C$26,Seguros_Oblig!$A$3:$D$55,4,FALSE))))</f>
        <v>#VALUE!</v>
      </c>
      <c r="J116" s="10">
        <f t="shared" si="9"/>
        <v>0</v>
      </c>
      <c r="K116" s="7" t="e">
        <f>IF((C115-1)&lt;$E$17,0,Seguros_Oblig!$K$2*(LeasingHab!$C$12*90%))</f>
        <v>#VALUE!</v>
      </c>
      <c r="L116" s="7" t="e">
        <f>IF(B116&gt;LeasingHab!$C$18,0,PMT(LeasingHab!$E$17,LeasingHab!$C$18,-LeasingHab!$C$15,,)-PMT(LeasingHab!$E$17,LeasingHab!$C$18,-LeasingHab!$C$22)+LeasingHab!$C$22*LeasingHab!$E$17)</f>
        <v>#VALUE!</v>
      </c>
      <c r="M116" s="9" t="e">
        <f t="shared" si="10"/>
        <v>#VALUE!</v>
      </c>
      <c r="N116" s="7" t="e">
        <f>IF((C115-1)&lt;$E$17,0,LeasingHab!$C$39)</f>
        <v>#VALUE!</v>
      </c>
      <c r="O116" s="9" t="e">
        <f t="shared" si="11"/>
        <v>#VALUE!</v>
      </c>
    </row>
    <row r="117" spans="2:15" ht="15.5" x14ac:dyDescent="0.35">
      <c r="B117" s="6" t="e">
        <f t="shared" si="12"/>
        <v>#VALUE!</v>
      </c>
      <c r="C117" s="7" t="e">
        <f t="shared" si="8"/>
        <v>#VALUE!</v>
      </c>
      <c r="D117" s="7" t="e">
        <f t="shared" si="7"/>
        <v>#VALUE!</v>
      </c>
      <c r="E117" s="7" t="e">
        <f>IF((C116-1)&lt;$E$17,0,C116*LeasingHab!$E$17)</f>
        <v>#VALUE!</v>
      </c>
      <c r="F117" s="8" t="e">
        <f>IF((C116-1)&lt;$E$17,"0",IF(LeasingHab!$D$27="Si",($C$19*(VLOOKUP(LeasingHab!$C$23,Seguros_Oblig!$A$3:$F$55,6,FALSE))),IF(LeasingHab!$C$10="TARIFA 1",(C116*(VLOOKUP(LeasingHab!$C$23,Seguros_Oblig!$A$3:$B$55,2,FALSE))),(C116*(VLOOKUP(LeasingHab!$C$23,Seguros_Oblig!$A$3:$D$55,4,FALSE))))))</f>
        <v>#VALUE!</v>
      </c>
      <c r="G117" s="8" t="e">
        <f>IF(LeasingHab!$C$10="TARIFA 1",(C116*(VLOOKUP(LeasingHab!$C$24,Seguros_Oblig!$A$3:$B$55,2,FALSE))),(C116*(VLOOKUP(LeasingHab!$C$24,Seguros_Oblig!$A$3:$D$55,4,FALSE))))</f>
        <v>#VALUE!</v>
      </c>
      <c r="H117" s="8" t="e">
        <f>IF(LeasingHab!$C$10="TARIFA 1",(C116*(VLOOKUP(LeasingHab!$C$25,Seguros_Oblig!$A$3:$B$55,2,FALSE))),(C116*(VLOOKUP(LeasingHab!$C$25,Seguros_Oblig!$A$3:$D$55,4,FALSE))))</f>
        <v>#VALUE!</v>
      </c>
      <c r="I117" s="8" t="e">
        <f>IF(LeasingHab!$C$10="TARIFA 1",(C116*(VLOOKUP(LeasingHab!$C$26,Seguros_Oblig!$A$3:$B$55,2,FALSE))),(C116*(VLOOKUP(LeasingHab!$C$26,Seguros_Oblig!$A$3:$D$55,4,FALSE))))</f>
        <v>#VALUE!</v>
      </c>
      <c r="J117" s="10">
        <f t="shared" si="9"/>
        <v>0</v>
      </c>
      <c r="K117" s="7" t="e">
        <f>IF((C116-1)&lt;$E$17,0,Seguros_Oblig!$K$2*(LeasingHab!$C$12*90%))</f>
        <v>#VALUE!</v>
      </c>
      <c r="L117" s="7" t="e">
        <f>IF(B117&gt;LeasingHab!$C$18,0,PMT(LeasingHab!$E$17,LeasingHab!$C$18,-LeasingHab!$C$15,,)-PMT(LeasingHab!$E$17,LeasingHab!$C$18,-LeasingHab!$C$22)+LeasingHab!$C$22*LeasingHab!$E$17)</f>
        <v>#VALUE!</v>
      </c>
      <c r="M117" s="9" t="e">
        <f t="shared" si="10"/>
        <v>#VALUE!</v>
      </c>
      <c r="N117" s="7" t="e">
        <f>IF((C116-1)&lt;$E$17,0,LeasingHab!$C$39)</f>
        <v>#VALUE!</v>
      </c>
      <c r="O117" s="9" t="e">
        <f t="shared" si="11"/>
        <v>#VALUE!</v>
      </c>
    </row>
    <row r="118" spans="2:15" ht="15.5" x14ac:dyDescent="0.35">
      <c r="B118" s="6" t="e">
        <f t="shared" si="12"/>
        <v>#VALUE!</v>
      </c>
      <c r="C118" s="7" t="e">
        <f t="shared" si="8"/>
        <v>#VALUE!</v>
      </c>
      <c r="D118" s="7" t="e">
        <f t="shared" si="7"/>
        <v>#VALUE!</v>
      </c>
      <c r="E118" s="7" t="e">
        <f>IF((C117-1)&lt;$E$17,0,C117*LeasingHab!$E$17)</f>
        <v>#VALUE!</v>
      </c>
      <c r="F118" s="8" t="e">
        <f>IF((C117-1)&lt;$E$17,"0",IF(LeasingHab!$D$27="Si",($C$19*(VLOOKUP(LeasingHab!$C$23,Seguros_Oblig!$A$3:$F$55,6,FALSE))),IF(LeasingHab!$C$10="TARIFA 1",(C117*(VLOOKUP(LeasingHab!$C$23,Seguros_Oblig!$A$3:$B$55,2,FALSE))),(C117*(VLOOKUP(LeasingHab!$C$23,Seguros_Oblig!$A$3:$D$55,4,FALSE))))))</f>
        <v>#VALUE!</v>
      </c>
      <c r="G118" s="8" t="e">
        <f>IF(LeasingHab!$C$10="TARIFA 1",(C117*(VLOOKUP(LeasingHab!$C$24,Seguros_Oblig!$A$3:$B$55,2,FALSE))),(C117*(VLOOKUP(LeasingHab!$C$24,Seguros_Oblig!$A$3:$D$55,4,FALSE))))</f>
        <v>#VALUE!</v>
      </c>
      <c r="H118" s="8" t="e">
        <f>IF(LeasingHab!$C$10="TARIFA 1",(C117*(VLOOKUP(LeasingHab!$C$25,Seguros_Oblig!$A$3:$B$55,2,FALSE))),(C117*(VLOOKUP(LeasingHab!$C$25,Seguros_Oblig!$A$3:$D$55,4,FALSE))))</f>
        <v>#VALUE!</v>
      </c>
      <c r="I118" s="8" t="e">
        <f>IF(LeasingHab!$C$10="TARIFA 1",(C117*(VLOOKUP(LeasingHab!$C$26,Seguros_Oblig!$A$3:$B$55,2,FALSE))),(C117*(VLOOKUP(LeasingHab!$C$26,Seguros_Oblig!$A$3:$D$55,4,FALSE))))</f>
        <v>#VALUE!</v>
      </c>
      <c r="J118" s="10">
        <f t="shared" si="9"/>
        <v>0</v>
      </c>
      <c r="K118" s="7" t="e">
        <f>IF((C117-1)&lt;$E$17,0,Seguros_Oblig!$K$2*(LeasingHab!$C$12*90%))</f>
        <v>#VALUE!</v>
      </c>
      <c r="L118" s="7" t="e">
        <f>IF(B118&gt;LeasingHab!$C$18,0,PMT(LeasingHab!$E$17,LeasingHab!$C$18,-LeasingHab!$C$15,,)-PMT(LeasingHab!$E$17,LeasingHab!$C$18,-LeasingHab!$C$22)+LeasingHab!$C$22*LeasingHab!$E$17)</f>
        <v>#VALUE!</v>
      </c>
      <c r="M118" s="9" t="e">
        <f t="shared" si="10"/>
        <v>#VALUE!</v>
      </c>
      <c r="N118" s="7" t="e">
        <f>IF((C117-1)&lt;$E$17,0,LeasingHab!$C$39)</f>
        <v>#VALUE!</v>
      </c>
      <c r="O118" s="9" t="e">
        <f t="shared" si="11"/>
        <v>#VALUE!</v>
      </c>
    </row>
    <row r="119" spans="2:15" ht="15.5" x14ac:dyDescent="0.35">
      <c r="B119" s="6" t="e">
        <f t="shared" si="12"/>
        <v>#VALUE!</v>
      </c>
      <c r="C119" s="7" t="e">
        <f t="shared" si="8"/>
        <v>#VALUE!</v>
      </c>
      <c r="D119" s="7" t="e">
        <f t="shared" si="7"/>
        <v>#VALUE!</v>
      </c>
      <c r="E119" s="7" t="e">
        <f>IF((C118-1)&lt;$E$17,0,C118*LeasingHab!$E$17)</f>
        <v>#VALUE!</v>
      </c>
      <c r="F119" s="8" t="e">
        <f>IF((C118-1)&lt;$E$17,"0",IF(LeasingHab!$D$27="Si",($C$19*(VLOOKUP(LeasingHab!$C$23,Seguros_Oblig!$A$3:$F$55,6,FALSE))),IF(LeasingHab!$C$10="TARIFA 1",(C118*(VLOOKUP(LeasingHab!$C$23,Seguros_Oblig!$A$3:$B$55,2,FALSE))),(C118*(VLOOKUP(LeasingHab!$C$23,Seguros_Oblig!$A$3:$D$55,4,FALSE))))))</f>
        <v>#VALUE!</v>
      </c>
      <c r="G119" s="8" t="e">
        <f>IF(LeasingHab!$C$10="TARIFA 1",(C118*(VLOOKUP(LeasingHab!$C$24,Seguros_Oblig!$A$3:$B$55,2,FALSE))),(C118*(VLOOKUP(LeasingHab!$C$24,Seguros_Oblig!$A$3:$D$55,4,FALSE))))</f>
        <v>#VALUE!</v>
      </c>
      <c r="H119" s="8" t="e">
        <f>IF(LeasingHab!$C$10="TARIFA 1",(C118*(VLOOKUP(LeasingHab!$C$25,Seguros_Oblig!$A$3:$B$55,2,FALSE))),(C118*(VLOOKUP(LeasingHab!$C$25,Seguros_Oblig!$A$3:$D$55,4,FALSE))))</f>
        <v>#VALUE!</v>
      </c>
      <c r="I119" s="8" t="e">
        <f>IF(LeasingHab!$C$10="TARIFA 1",(C118*(VLOOKUP(LeasingHab!$C$26,Seguros_Oblig!$A$3:$B$55,2,FALSE))),(C118*(VLOOKUP(LeasingHab!$C$26,Seguros_Oblig!$A$3:$D$55,4,FALSE))))</f>
        <v>#VALUE!</v>
      </c>
      <c r="J119" s="10">
        <f t="shared" si="9"/>
        <v>0</v>
      </c>
      <c r="K119" s="7" t="e">
        <f>IF((C118-1)&lt;$E$17,0,Seguros_Oblig!$K$2*(LeasingHab!$C$12*90%))</f>
        <v>#VALUE!</v>
      </c>
      <c r="L119" s="7" t="e">
        <f>IF(B119&gt;LeasingHab!$C$18,0,PMT(LeasingHab!$E$17,LeasingHab!$C$18,-LeasingHab!$C$15,,)-PMT(LeasingHab!$E$17,LeasingHab!$C$18,-LeasingHab!$C$22)+LeasingHab!$C$22*LeasingHab!$E$17)</f>
        <v>#VALUE!</v>
      </c>
      <c r="M119" s="9" t="e">
        <f t="shared" si="10"/>
        <v>#VALUE!</v>
      </c>
      <c r="N119" s="7" t="e">
        <f>IF((C118-1)&lt;$E$17,0,LeasingHab!$C$39)</f>
        <v>#VALUE!</v>
      </c>
      <c r="O119" s="9" t="e">
        <f t="shared" si="11"/>
        <v>#VALUE!</v>
      </c>
    </row>
    <row r="120" spans="2:15" ht="15.5" x14ac:dyDescent="0.35">
      <c r="B120" s="6" t="e">
        <f t="shared" si="12"/>
        <v>#VALUE!</v>
      </c>
      <c r="C120" s="7" t="e">
        <f t="shared" si="8"/>
        <v>#VALUE!</v>
      </c>
      <c r="D120" s="7" t="e">
        <f t="shared" si="7"/>
        <v>#VALUE!</v>
      </c>
      <c r="E120" s="7" t="e">
        <f>IF((C119-1)&lt;$E$17,0,C119*LeasingHab!$E$17)</f>
        <v>#VALUE!</v>
      </c>
      <c r="F120" s="8" t="e">
        <f>IF((C119-1)&lt;$E$17,"0",IF(LeasingHab!$D$27="Si",($C$19*(VLOOKUP(LeasingHab!$C$23,Seguros_Oblig!$A$3:$F$55,6,FALSE))),IF(LeasingHab!$C$10="TARIFA 1",(C119*(VLOOKUP(LeasingHab!$C$23,Seguros_Oblig!$A$3:$B$55,2,FALSE))),(C119*(VLOOKUP(LeasingHab!$C$23,Seguros_Oblig!$A$3:$D$55,4,FALSE))))))</f>
        <v>#VALUE!</v>
      </c>
      <c r="G120" s="8" t="e">
        <f>IF(LeasingHab!$C$10="TARIFA 1",(C119*(VLOOKUP(LeasingHab!$C$24,Seguros_Oblig!$A$3:$B$55,2,FALSE))),(C119*(VLOOKUP(LeasingHab!$C$24,Seguros_Oblig!$A$3:$D$55,4,FALSE))))</f>
        <v>#VALUE!</v>
      </c>
      <c r="H120" s="8" t="e">
        <f>IF(LeasingHab!$C$10="TARIFA 1",(C119*(VLOOKUP(LeasingHab!$C$25,Seguros_Oblig!$A$3:$B$55,2,FALSE))),(C119*(VLOOKUP(LeasingHab!$C$25,Seguros_Oblig!$A$3:$D$55,4,FALSE))))</f>
        <v>#VALUE!</v>
      </c>
      <c r="I120" s="8" t="e">
        <f>IF(LeasingHab!$C$10="TARIFA 1",(C119*(VLOOKUP(LeasingHab!$C$26,Seguros_Oblig!$A$3:$B$55,2,FALSE))),(C119*(VLOOKUP(LeasingHab!$C$26,Seguros_Oblig!$A$3:$D$55,4,FALSE))))</f>
        <v>#VALUE!</v>
      </c>
      <c r="J120" s="10">
        <f t="shared" si="9"/>
        <v>0</v>
      </c>
      <c r="K120" s="7" t="e">
        <f>IF((C119-1)&lt;$E$17,0,Seguros_Oblig!$K$2*(LeasingHab!$C$12*90%))</f>
        <v>#VALUE!</v>
      </c>
      <c r="L120" s="7" t="e">
        <f>IF(B120&gt;LeasingHab!$C$18,0,PMT(LeasingHab!$E$17,LeasingHab!$C$18,-LeasingHab!$C$15,,)-PMT(LeasingHab!$E$17,LeasingHab!$C$18,-LeasingHab!$C$22)+LeasingHab!$C$22*LeasingHab!$E$17)</f>
        <v>#VALUE!</v>
      </c>
      <c r="M120" s="9" t="e">
        <f t="shared" si="10"/>
        <v>#VALUE!</v>
      </c>
      <c r="N120" s="7" t="e">
        <f>IF((C119-1)&lt;$E$17,0,LeasingHab!$C$39)</f>
        <v>#VALUE!</v>
      </c>
      <c r="O120" s="9" t="e">
        <f t="shared" si="11"/>
        <v>#VALUE!</v>
      </c>
    </row>
    <row r="121" spans="2:15" ht="15.5" x14ac:dyDescent="0.35">
      <c r="B121" s="6" t="e">
        <f t="shared" si="12"/>
        <v>#VALUE!</v>
      </c>
      <c r="C121" s="7" t="e">
        <f t="shared" si="8"/>
        <v>#VALUE!</v>
      </c>
      <c r="D121" s="7" t="e">
        <f t="shared" si="7"/>
        <v>#VALUE!</v>
      </c>
      <c r="E121" s="7" t="e">
        <f>IF((C120-1)&lt;$E$17,0,C120*LeasingHab!$E$17)</f>
        <v>#VALUE!</v>
      </c>
      <c r="F121" s="8" t="e">
        <f>IF((C120-1)&lt;$E$17,"0",IF(LeasingHab!$D$27="Si",($C$19*(VLOOKUP(LeasingHab!$C$23,Seguros_Oblig!$A$3:$F$55,6,FALSE))),IF(LeasingHab!$C$10="TARIFA 1",(C120*(VLOOKUP(LeasingHab!$C$23,Seguros_Oblig!$A$3:$B$55,2,FALSE))),(C120*(VLOOKUP(LeasingHab!$C$23,Seguros_Oblig!$A$3:$D$55,4,FALSE))))))</f>
        <v>#VALUE!</v>
      </c>
      <c r="G121" s="8" t="e">
        <f>IF(LeasingHab!$C$10="TARIFA 1",(C120*(VLOOKUP(LeasingHab!$C$24,Seguros_Oblig!$A$3:$B$55,2,FALSE))),(C120*(VLOOKUP(LeasingHab!$C$24,Seguros_Oblig!$A$3:$D$55,4,FALSE))))</f>
        <v>#VALUE!</v>
      </c>
      <c r="H121" s="8" t="e">
        <f>IF(LeasingHab!$C$10="TARIFA 1",(C120*(VLOOKUP(LeasingHab!$C$25,Seguros_Oblig!$A$3:$B$55,2,FALSE))),(C120*(VLOOKUP(LeasingHab!$C$25,Seguros_Oblig!$A$3:$D$55,4,FALSE))))</f>
        <v>#VALUE!</v>
      </c>
      <c r="I121" s="8" t="e">
        <f>IF(LeasingHab!$C$10="TARIFA 1",(C120*(VLOOKUP(LeasingHab!$C$26,Seguros_Oblig!$A$3:$B$55,2,FALSE))),(C120*(VLOOKUP(LeasingHab!$C$26,Seguros_Oblig!$A$3:$D$55,4,FALSE))))</f>
        <v>#VALUE!</v>
      </c>
      <c r="J121" s="10">
        <f t="shared" si="9"/>
        <v>0</v>
      </c>
      <c r="K121" s="7" t="e">
        <f>IF((C120-1)&lt;$E$17,0,Seguros_Oblig!$K$2*(LeasingHab!$C$12*90%))</f>
        <v>#VALUE!</v>
      </c>
      <c r="L121" s="7" t="e">
        <f>IF(B121&gt;LeasingHab!$C$18,0,PMT(LeasingHab!$E$17,LeasingHab!$C$18,-LeasingHab!$C$15,,)-PMT(LeasingHab!$E$17,LeasingHab!$C$18,-LeasingHab!$C$22)+LeasingHab!$C$22*LeasingHab!$E$17)</f>
        <v>#VALUE!</v>
      </c>
      <c r="M121" s="9" t="e">
        <f t="shared" si="10"/>
        <v>#VALUE!</v>
      </c>
      <c r="N121" s="7" t="e">
        <f>IF((C120-1)&lt;$E$17,0,LeasingHab!$C$39)</f>
        <v>#VALUE!</v>
      </c>
      <c r="O121" s="9" t="e">
        <f t="shared" si="11"/>
        <v>#VALUE!</v>
      </c>
    </row>
    <row r="122" spans="2:15" ht="15.5" x14ac:dyDescent="0.35">
      <c r="B122" s="6" t="e">
        <f t="shared" si="12"/>
        <v>#VALUE!</v>
      </c>
      <c r="C122" s="7" t="e">
        <f t="shared" si="8"/>
        <v>#VALUE!</v>
      </c>
      <c r="D122" s="7" t="e">
        <f t="shared" si="7"/>
        <v>#VALUE!</v>
      </c>
      <c r="E122" s="7" t="e">
        <f>IF((C121-1)&lt;$E$17,0,C121*LeasingHab!$E$17)</f>
        <v>#VALUE!</v>
      </c>
      <c r="F122" s="8" t="e">
        <f>IF((C121-1)&lt;$E$17,"0",IF(LeasingHab!$D$27="Si",($C$19*(VLOOKUP(LeasingHab!$C$23,Seguros_Oblig!$A$3:$F$55,6,FALSE))),IF(LeasingHab!$C$10="TARIFA 1",(C121*(VLOOKUP(LeasingHab!$C$23,Seguros_Oblig!$A$3:$B$55,2,FALSE))),(C121*(VLOOKUP(LeasingHab!$C$23,Seguros_Oblig!$A$3:$D$55,4,FALSE))))))</f>
        <v>#VALUE!</v>
      </c>
      <c r="G122" s="8" t="e">
        <f>IF(LeasingHab!$C$10="TARIFA 1",(C121*(VLOOKUP(LeasingHab!$C$24,Seguros_Oblig!$A$3:$B$55,2,FALSE))),(C121*(VLOOKUP(LeasingHab!$C$24,Seguros_Oblig!$A$3:$D$55,4,FALSE))))</f>
        <v>#VALUE!</v>
      </c>
      <c r="H122" s="8" t="e">
        <f>IF(LeasingHab!$C$10="TARIFA 1",(C121*(VLOOKUP(LeasingHab!$C$25,Seguros_Oblig!$A$3:$B$55,2,FALSE))),(C121*(VLOOKUP(LeasingHab!$C$25,Seguros_Oblig!$A$3:$D$55,4,FALSE))))</f>
        <v>#VALUE!</v>
      </c>
      <c r="I122" s="8" t="e">
        <f>IF(LeasingHab!$C$10="TARIFA 1",(C121*(VLOOKUP(LeasingHab!$C$26,Seguros_Oblig!$A$3:$B$55,2,FALSE))),(C121*(VLOOKUP(LeasingHab!$C$26,Seguros_Oblig!$A$3:$D$55,4,FALSE))))</f>
        <v>#VALUE!</v>
      </c>
      <c r="J122" s="10">
        <f t="shared" si="9"/>
        <v>0</v>
      </c>
      <c r="K122" s="7" t="e">
        <f>IF((C121-1)&lt;$E$17,0,Seguros_Oblig!$K$2*(LeasingHab!$C$12*90%))</f>
        <v>#VALUE!</v>
      </c>
      <c r="L122" s="7" t="e">
        <f>IF(B122&gt;LeasingHab!$C$18,0,PMT(LeasingHab!$E$17,LeasingHab!$C$18,-LeasingHab!$C$15,,)-PMT(LeasingHab!$E$17,LeasingHab!$C$18,-LeasingHab!$C$22)+LeasingHab!$C$22*LeasingHab!$E$17)</f>
        <v>#VALUE!</v>
      </c>
      <c r="M122" s="9" t="e">
        <f t="shared" si="10"/>
        <v>#VALUE!</v>
      </c>
      <c r="N122" s="7" t="e">
        <f>IF((C121-1)&lt;$E$17,0,LeasingHab!$C$39)</f>
        <v>#VALUE!</v>
      </c>
      <c r="O122" s="9" t="e">
        <f t="shared" si="11"/>
        <v>#VALUE!</v>
      </c>
    </row>
    <row r="123" spans="2:15" ht="15.5" x14ac:dyDescent="0.35">
      <c r="B123" s="6" t="e">
        <f t="shared" si="12"/>
        <v>#VALUE!</v>
      </c>
      <c r="C123" s="7" t="e">
        <f t="shared" si="8"/>
        <v>#VALUE!</v>
      </c>
      <c r="D123" s="7" t="e">
        <f t="shared" si="7"/>
        <v>#VALUE!</v>
      </c>
      <c r="E123" s="7" t="e">
        <f>IF((C122-1)&lt;$E$17,0,C122*LeasingHab!$E$17)</f>
        <v>#VALUE!</v>
      </c>
      <c r="F123" s="8" t="e">
        <f>IF((C122-1)&lt;$E$17,"0",IF(LeasingHab!$D$27="Si",($C$19*(VLOOKUP(LeasingHab!$C$23,Seguros_Oblig!$A$3:$F$55,6,FALSE))),IF(LeasingHab!$C$10="TARIFA 1",(C122*(VLOOKUP(LeasingHab!$C$23,Seguros_Oblig!$A$3:$B$55,2,FALSE))),(C122*(VLOOKUP(LeasingHab!$C$23,Seguros_Oblig!$A$3:$D$55,4,FALSE))))))</f>
        <v>#VALUE!</v>
      </c>
      <c r="G123" s="8" t="e">
        <f>IF(LeasingHab!$C$10="TARIFA 1",(C122*(VLOOKUP(LeasingHab!$C$24,Seguros_Oblig!$A$3:$B$55,2,FALSE))),(C122*(VLOOKUP(LeasingHab!$C$24,Seguros_Oblig!$A$3:$D$55,4,FALSE))))</f>
        <v>#VALUE!</v>
      </c>
      <c r="H123" s="8" t="e">
        <f>IF(LeasingHab!$C$10="TARIFA 1",(C122*(VLOOKUP(LeasingHab!$C$25,Seguros_Oblig!$A$3:$B$55,2,FALSE))),(C122*(VLOOKUP(LeasingHab!$C$25,Seguros_Oblig!$A$3:$D$55,4,FALSE))))</f>
        <v>#VALUE!</v>
      </c>
      <c r="I123" s="8" t="e">
        <f>IF(LeasingHab!$C$10="TARIFA 1",(C122*(VLOOKUP(LeasingHab!$C$26,Seguros_Oblig!$A$3:$B$55,2,FALSE))),(C122*(VLOOKUP(LeasingHab!$C$26,Seguros_Oblig!$A$3:$D$55,4,FALSE))))</f>
        <v>#VALUE!</v>
      </c>
      <c r="J123" s="10">
        <f t="shared" si="9"/>
        <v>0</v>
      </c>
      <c r="K123" s="7" t="e">
        <f>IF((C122-1)&lt;$E$17,0,Seguros_Oblig!$K$2*(LeasingHab!$C$12*90%))</f>
        <v>#VALUE!</v>
      </c>
      <c r="L123" s="7" t="e">
        <f>IF(B123&gt;LeasingHab!$C$18,0,PMT(LeasingHab!$E$17,LeasingHab!$C$18,-LeasingHab!$C$15,,)-PMT(LeasingHab!$E$17,LeasingHab!$C$18,-LeasingHab!$C$22)+LeasingHab!$C$22*LeasingHab!$E$17)</f>
        <v>#VALUE!</v>
      </c>
      <c r="M123" s="9" t="e">
        <f t="shared" si="10"/>
        <v>#VALUE!</v>
      </c>
      <c r="N123" s="7" t="e">
        <f>IF((C122-1)&lt;$E$17,0,LeasingHab!$C$39)</f>
        <v>#VALUE!</v>
      </c>
      <c r="O123" s="9" t="e">
        <f t="shared" si="11"/>
        <v>#VALUE!</v>
      </c>
    </row>
    <row r="124" spans="2:15" ht="15.5" x14ac:dyDescent="0.35">
      <c r="B124" s="6" t="e">
        <f t="shared" si="12"/>
        <v>#VALUE!</v>
      </c>
      <c r="C124" s="7" t="e">
        <f t="shared" si="8"/>
        <v>#VALUE!</v>
      </c>
      <c r="D124" s="7" t="e">
        <f t="shared" si="7"/>
        <v>#VALUE!</v>
      </c>
      <c r="E124" s="7" t="e">
        <f>IF((C123-1)&lt;$E$17,0,C123*LeasingHab!$E$17)</f>
        <v>#VALUE!</v>
      </c>
      <c r="F124" s="8" t="e">
        <f>IF((C123-1)&lt;$E$17,"0",IF(LeasingHab!$D$27="Si",($C$19*(VLOOKUP(LeasingHab!$C$23,Seguros_Oblig!$A$3:$F$55,6,FALSE))),IF(LeasingHab!$C$10="TARIFA 1",(C123*(VLOOKUP(LeasingHab!$C$23,Seguros_Oblig!$A$3:$B$55,2,FALSE))),(C123*(VLOOKUP(LeasingHab!$C$23,Seguros_Oblig!$A$3:$D$55,4,FALSE))))))</f>
        <v>#VALUE!</v>
      </c>
      <c r="G124" s="8" t="e">
        <f>IF(LeasingHab!$C$10="TARIFA 1",(C123*(VLOOKUP(LeasingHab!$C$24,Seguros_Oblig!$A$3:$B$55,2,FALSE))),(C123*(VLOOKUP(LeasingHab!$C$24,Seguros_Oblig!$A$3:$D$55,4,FALSE))))</f>
        <v>#VALUE!</v>
      </c>
      <c r="H124" s="8" t="e">
        <f>IF(LeasingHab!$C$10="TARIFA 1",(C123*(VLOOKUP(LeasingHab!$C$25,Seguros_Oblig!$A$3:$B$55,2,FALSE))),(C123*(VLOOKUP(LeasingHab!$C$25,Seguros_Oblig!$A$3:$D$55,4,FALSE))))</f>
        <v>#VALUE!</v>
      </c>
      <c r="I124" s="8" t="e">
        <f>IF(LeasingHab!$C$10="TARIFA 1",(C123*(VLOOKUP(LeasingHab!$C$26,Seguros_Oblig!$A$3:$B$55,2,FALSE))),(C123*(VLOOKUP(LeasingHab!$C$26,Seguros_Oblig!$A$3:$D$55,4,FALSE))))</f>
        <v>#VALUE!</v>
      </c>
      <c r="J124" s="10">
        <f t="shared" si="9"/>
        <v>0</v>
      </c>
      <c r="K124" s="7" t="e">
        <f>IF((C123-1)&lt;$E$17,0,Seguros_Oblig!$K$2*(LeasingHab!$C$12*90%))</f>
        <v>#VALUE!</v>
      </c>
      <c r="L124" s="7" t="e">
        <f>IF(B124&gt;LeasingHab!$C$18,0,PMT(LeasingHab!$E$17,LeasingHab!$C$18,-LeasingHab!$C$15,,)-PMT(LeasingHab!$E$17,LeasingHab!$C$18,-LeasingHab!$C$22)+LeasingHab!$C$22*LeasingHab!$E$17)</f>
        <v>#VALUE!</v>
      </c>
      <c r="M124" s="9" t="e">
        <f t="shared" si="10"/>
        <v>#VALUE!</v>
      </c>
      <c r="N124" s="7" t="e">
        <f>IF((C123-1)&lt;$E$17,0,LeasingHab!$C$39)</f>
        <v>#VALUE!</v>
      </c>
      <c r="O124" s="9" t="e">
        <f t="shared" si="11"/>
        <v>#VALUE!</v>
      </c>
    </row>
    <row r="125" spans="2:15" ht="15.5" x14ac:dyDescent="0.35">
      <c r="B125" s="6" t="e">
        <f t="shared" si="12"/>
        <v>#VALUE!</v>
      </c>
      <c r="C125" s="7" t="e">
        <f t="shared" si="8"/>
        <v>#VALUE!</v>
      </c>
      <c r="D125" s="7" t="e">
        <f t="shared" si="7"/>
        <v>#VALUE!</v>
      </c>
      <c r="E125" s="7" t="e">
        <f>IF((C124-1)&lt;$E$17,0,C124*LeasingHab!$E$17)</f>
        <v>#VALUE!</v>
      </c>
      <c r="F125" s="8" t="e">
        <f>IF((C124-1)&lt;$E$17,"0",IF(LeasingHab!$D$27="Si",($C$19*(VLOOKUP(LeasingHab!$C$23,Seguros_Oblig!$A$3:$F$55,6,FALSE))),IF(LeasingHab!$C$10="TARIFA 1",(C124*(VLOOKUP(LeasingHab!$C$23,Seguros_Oblig!$A$3:$B$55,2,FALSE))),(C124*(VLOOKUP(LeasingHab!$C$23,Seguros_Oblig!$A$3:$D$55,4,FALSE))))))</f>
        <v>#VALUE!</v>
      </c>
      <c r="G125" s="8" t="e">
        <f>IF(LeasingHab!$C$10="TARIFA 1",(C124*(VLOOKUP(LeasingHab!$C$24,Seguros_Oblig!$A$3:$B$55,2,FALSE))),(C124*(VLOOKUP(LeasingHab!$C$24,Seguros_Oblig!$A$3:$D$55,4,FALSE))))</f>
        <v>#VALUE!</v>
      </c>
      <c r="H125" s="8" t="e">
        <f>IF(LeasingHab!$C$10="TARIFA 1",(C124*(VLOOKUP(LeasingHab!$C$25,Seguros_Oblig!$A$3:$B$55,2,FALSE))),(C124*(VLOOKUP(LeasingHab!$C$25,Seguros_Oblig!$A$3:$D$55,4,FALSE))))</f>
        <v>#VALUE!</v>
      </c>
      <c r="I125" s="8" t="e">
        <f>IF(LeasingHab!$C$10="TARIFA 1",(C124*(VLOOKUP(LeasingHab!$C$26,Seguros_Oblig!$A$3:$B$55,2,FALSE))),(C124*(VLOOKUP(LeasingHab!$C$26,Seguros_Oblig!$A$3:$D$55,4,FALSE))))</f>
        <v>#VALUE!</v>
      </c>
      <c r="J125" s="10">
        <f t="shared" si="9"/>
        <v>0</v>
      </c>
      <c r="K125" s="7" t="e">
        <f>IF((C124-1)&lt;$E$17,0,Seguros_Oblig!$K$2*(LeasingHab!$C$12*90%))</f>
        <v>#VALUE!</v>
      </c>
      <c r="L125" s="7" t="e">
        <f>IF(B125&gt;LeasingHab!$C$18,0,PMT(LeasingHab!$E$17,LeasingHab!$C$18,-LeasingHab!$C$15,,)-PMT(LeasingHab!$E$17,LeasingHab!$C$18,-LeasingHab!$C$22)+LeasingHab!$C$22*LeasingHab!$E$17)</f>
        <v>#VALUE!</v>
      </c>
      <c r="M125" s="9" t="e">
        <f t="shared" si="10"/>
        <v>#VALUE!</v>
      </c>
      <c r="N125" s="7" t="e">
        <f>IF((C124-1)&lt;$E$17,0,LeasingHab!$C$39)</f>
        <v>#VALUE!</v>
      </c>
      <c r="O125" s="9" t="e">
        <f t="shared" si="11"/>
        <v>#VALUE!</v>
      </c>
    </row>
    <row r="126" spans="2:15" ht="15.5" x14ac:dyDescent="0.35">
      <c r="B126" s="6" t="e">
        <f t="shared" si="12"/>
        <v>#VALUE!</v>
      </c>
      <c r="C126" s="7" t="e">
        <f t="shared" si="8"/>
        <v>#VALUE!</v>
      </c>
      <c r="D126" s="7" t="e">
        <f t="shared" si="7"/>
        <v>#VALUE!</v>
      </c>
      <c r="E126" s="7" t="e">
        <f>IF((C125-1)&lt;$E$17,0,C125*LeasingHab!$E$17)</f>
        <v>#VALUE!</v>
      </c>
      <c r="F126" s="8" t="e">
        <f>IF((C125-1)&lt;$E$17,"0",IF(LeasingHab!$D$27="Si",($C$19*(VLOOKUP(LeasingHab!$C$23,Seguros_Oblig!$A$3:$F$55,6,FALSE))),IF(LeasingHab!$C$10="TARIFA 1",(C125*(VLOOKUP(LeasingHab!$C$23,Seguros_Oblig!$A$3:$B$55,2,FALSE))),(C125*(VLOOKUP(LeasingHab!$C$23,Seguros_Oblig!$A$3:$D$55,4,FALSE))))))</f>
        <v>#VALUE!</v>
      </c>
      <c r="G126" s="8" t="e">
        <f>IF(LeasingHab!$C$10="TARIFA 1",(C125*(VLOOKUP(LeasingHab!$C$24,Seguros_Oblig!$A$3:$B$55,2,FALSE))),(C125*(VLOOKUP(LeasingHab!$C$24,Seguros_Oblig!$A$3:$D$55,4,FALSE))))</f>
        <v>#VALUE!</v>
      </c>
      <c r="H126" s="8" t="e">
        <f>IF(LeasingHab!$C$10="TARIFA 1",(C125*(VLOOKUP(LeasingHab!$C$25,Seguros_Oblig!$A$3:$B$55,2,FALSE))),(C125*(VLOOKUP(LeasingHab!$C$25,Seguros_Oblig!$A$3:$D$55,4,FALSE))))</f>
        <v>#VALUE!</v>
      </c>
      <c r="I126" s="8" t="e">
        <f>IF(LeasingHab!$C$10="TARIFA 1",(C125*(VLOOKUP(LeasingHab!$C$26,Seguros_Oblig!$A$3:$B$55,2,FALSE))),(C125*(VLOOKUP(LeasingHab!$C$26,Seguros_Oblig!$A$3:$D$55,4,FALSE))))</f>
        <v>#VALUE!</v>
      </c>
      <c r="J126" s="10">
        <f t="shared" si="9"/>
        <v>0</v>
      </c>
      <c r="K126" s="7" t="e">
        <f>IF((C125-1)&lt;$E$17,0,Seguros_Oblig!$K$2*(LeasingHab!$C$12*90%))</f>
        <v>#VALUE!</v>
      </c>
      <c r="L126" s="7" t="e">
        <f>IF(B126&gt;LeasingHab!$C$18,0,PMT(LeasingHab!$E$17,LeasingHab!$C$18,-LeasingHab!$C$15,,)-PMT(LeasingHab!$E$17,LeasingHab!$C$18,-LeasingHab!$C$22)+LeasingHab!$C$22*LeasingHab!$E$17)</f>
        <v>#VALUE!</v>
      </c>
      <c r="M126" s="9" t="e">
        <f t="shared" si="10"/>
        <v>#VALUE!</v>
      </c>
      <c r="N126" s="7" t="e">
        <f>IF((C125-1)&lt;$E$17,0,LeasingHab!$C$39)</f>
        <v>#VALUE!</v>
      </c>
      <c r="O126" s="9" t="e">
        <f t="shared" si="11"/>
        <v>#VALUE!</v>
      </c>
    </row>
    <row r="127" spans="2:15" ht="15.5" x14ac:dyDescent="0.35">
      <c r="B127" s="6" t="e">
        <f t="shared" si="12"/>
        <v>#VALUE!</v>
      </c>
      <c r="C127" s="7" t="e">
        <f t="shared" si="8"/>
        <v>#VALUE!</v>
      </c>
      <c r="D127" s="7" t="e">
        <f t="shared" si="7"/>
        <v>#VALUE!</v>
      </c>
      <c r="E127" s="7" t="e">
        <f>IF((C126-1)&lt;$E$17,0,C126*LeasingHab!$E$17)</f>
        <v>#VALUE!</v>
      </c>
      <c r="F127" s="8" t="e">
        <f>IF((C126-1)&lt;$E$17,"0",IF(LeasingHab!$D$27="Si",($C$19*(VLOOKUP(LeasingHab!$C$23,Seguros_Oblig!$A$3:$F$55,6,FALSE))),IF(LeasingHab!$C$10="TARIFA 1",(C126*(VLOOKUP(LeasingHab!$C$23,Seguros_Oblig!$A$3:$B$55,2,FALSE))),(C126*(VLOOKUP(LeasingHab!$C$23,Seguros_Oblig!$A$3:$D$55,4,FALSE))))))</f>
        <v>#VALUE!</v>
      </c>
      <c r="G127" s="8" t="e">
        <f>IF(LeasingHab!$C$10="TARIFA 1",(C126*(VLOOKUP(LeasingHab!$C$24,Seguros_Oblig!$A$3:$B$55,2,FALSE))),(C126*(VLOOKUP(LeasingHab!$C$24,Seguros_Oblig!$A$3:$D$55,4,FALSE))))</f>
        <v>#VALUE!</v>
      </c>
      <c r="H127" s="8" t="e">
        <f>IF(LeasingHab!$C$10="TARIFA 1",(C126*(VLOOKUP(LeasingHab!$C$25,Seguros_Oblig!$A$3:$B$55,2,FALSE))),(C126*(VLOOKUP(LeasingHab!$C$25,Seguros_Oblig!$A$3:$D$55,4,FALSE))))</f>
        <v>#VALUE!</v>
      </c>
      <c r="I127" s="8" t="e">
        <f>IF(LeasingHab!$C$10="TARIFA 1",(C126*(VLOOKUP(LeasingHab!$C$26,Seguros_Oblig!$A$3:$B$55,2,FALSE))),(C126*(VLOOKUP(LeasingHab!$C$26,Seguros_Oblig!$A$3:$D$55,4,FALSE))))</f>
        <v>#VALUE!</v>
      </c>
      <c r="J127" s="10">
        <f t="shared" si="9"/>
        <v>0</v>
      </c>
      <c r="K127" s="7" t="e">
        <f>IF((C126-1)&lt;$E$17,0,Seguros_Oblig!$K$2*(LeasingHab!$C$12*90%))</f>
        <v>#VALUE!</v>
      </c>
      <c r="L127" s="7" t="e">
        <f>IF(B127&gt;LeasingHab!$C$18,0,PMT(LeasingHab!$E$17,LeasingHab!$C$18,-LeasingHab!$C$15,,)-PMT(LeasingHab!$E$17,LeasingHab!$C$18,-LeasingHab!$C$22)+LeasingHab!$C$22*LeasingHab!$E$17)</f>
        <v>#VALUE!</v>
      </c>
      <c r="M127" s="9" t="e">
        <f t="shared" si="10"/>
        <v>#VALUE!</v>
      </c>
      <c r="N127" s="7" t="e">
        <f>IF((C126-1)&lt;$E$17,0,LeasingHab!$C$39)</f>
        <v>#VALUE!</v>
      </c>
      <c r="O127" s="9" t="e">
        <f t="shared" si="11"/>
        <v>#VALUE!</v>
      </c>
    </row>
    <row r="128" spans="2:15" ht="15.5" x14ac:dyDescent="0.35">
      <c r="B128" s="6" t="e">
        <f t="shared" si="12"/>
        <v>#VALUE!</v>
      </c>
      <c r="C128" s="7" t="e">
        <f t="shared" si="8"/>
        <v>#VALUE!</v>
      </c>
      <c r="D128" s="7" t="e">
        <f t="shared" si="7"/>
        <v>#VALUE!</v>
      </c>
      <c r="E128" s="7" t="e">
        <f>IF((C127-1)&lt;$E$17,0,C127*LeasingHab!$E$17)</f>
        <v>#VALUE!</v>
      </c>
      <c r="F128" s="8" t="e">
        <f>IF((C127-1)&lt;$E$17,"0",IF(LeasingHab!$D$27="Si",($C$19*(VLOOKUP(LeasingHab!$C$23,Seguros_Oblig!$A$3:$F$55,6,FALSE))),IF(LeasingHab!$C$10="TARIFA 1",(C127*(VLOOKUP(LeasingHab!$C$23,Seguros_Oblig!$A$3:$B$55,2,FALSE))),(C127*(VLOOKUP(LeasingHab!$C$23,Seguros_Oblig!$A$3:$D$55,4,FALSE))))))</f>
        <v>#VALUE!</v>
      </c>
      <c r="G128" s="8" t="e">
        <f>IF(LeasingHab!$C$10="TARIFA 1",(C127*(VLOOKUP(LeasingHab!$C$24,Seguros_Oblig!$A$3:$B$55,2,FALSE))),(C127*(VLOOKUP(LeasingHab!$C$24,Seguros_Oblig!$A$3:$D$55,4,FALSE))))</f>
        <v>#VALUE!</v>
      </c>
      <c r="H128" s="8" t="e">
        <f>IF(LeasingHab!$C$10="TARIFA 1",(C127*(VLOOKUP(LeasingHab!$C$25,Seguros_Oblig!$A$3:$B$55,2,FALSE))),(C127*(VLOOKUP(LeasingHab!$C$25,Seguros_Oblig!$A$3:$D$55,4,FALSE))))</f>
        <v>#VALUE!</v>
      </c>
      <c r="I128" s="8" t="e">
        <f>IF(LeasingHab!$C$10="TARIFA 1",(C127*(VLOOKUP(LeasingHab!$C$26,Seguros_Oblig!$A$3:$B$55,2,FALSE))),(C127*(VLOOKUP(LeasingHab!$C$26,Seguros_Oblig!$A$3:$D$55,4,FALSE))))</f>
        <v>#VALUE!</v>
      </c>
      <c r="J128" s="10">
        <f t="shared" si="9"/>
        <v>0</v>
      </c>
      <c r="K128" s="7" t="e">
        <f>IF((C127-1)&lt;$E$17,0,Seguros_Oblig!$K$2*(LeasingHab!$C$12*90%))</f>
        <v>#VALUE!</v>
      </c>
      <c r="L128" s="7" t="e">
        <f>IF(B128&gt;LeasingHab!$C$18,0,PMT(LeasingHab!$E$17,LeasingHab!$C$18,-LeasingHab!$C$15,,)-PMT(LeasingHab!$E$17,LeasingHab!$C$18,-LeasingHab!$C$22)+LeasingHab!$C$22*LeasingHab!$E$17)</f>
        <v>#VALUE!</v>
      </c>
      <c r="M128" s="9" t="e">
        <f t="shared" si="10"/>
        <v>#VALUE!</v>
      </c>
      <c r="N128" s="7" t="e">
        <f>IF((C127-1)&lt;$E$17,0,LeasingHab!$C$39)</f>
        <v>#VALUE!</v>
      </c>
      <c r="O128" s="9" t="e">
        <f t="shared" si="11"/>
        <v>#VALUE!</v>
      </c>
    </row>
    <row r="129" spans="2:15" ht="15.5" x14ac:dyDescent="0.35">
      <c r="B129" s="6" t="e">
        <f t="shared" si="12"/>
        <v>#VALUE!</v>
      </c>
      <c r="C129" s="7" t="e">
        <f t="shared" si="8"/>
        <v>#VALUE!</v>
      </c>
      <c r="D129" s="7" t="e">
        <f t="shared" si="7"/>
        <v>#VALUE!</v>
      </c>
      <c r="E129" s="7" t="e">
        <f>IF((C128-1)&lt;$E$17,0,C128*LeasingHab!$E$17)</f>
        <v>#VALUE!</v>
      </c>
      <c r="F129" s="8" t="e">
        <f>IF((C128-1)&lt;$E$17,"0",IF(LeasingHab!$D$27="Si",($C$19*(VLOOKUP(LeasingHab!$C$23,Seguros_Oblig!$A$3:$F$55,6,FALSE))),IF(LeasingHab!$C$10="TARIFA 1",(C128*(VLOOKUP(LeasingHab!$C$23,Seguros_Oblig!$A$3:$B$55,2,FALSE))),(C128*(VLOOKUP(LeasingHab!$C$23,Seguros_Oblig!$A$3:$D$55,4,FALSE))))))</f>
        <v>#VALUE!</v>
      </c>
      <c r="G129" s="8" t="e">
        <f>IF(LeasingHab!$C$10="TARIFA 1",(C128*(VLOOKUP(LeasingHab!$C$24,Seguros_Oblig!$A$3:$B$55,2,FALSE))),(C128*(VLOOKUP(LeasingHab!$C$24,Seguros_Oblig!$A$3:$D$55,4,FALSE))))</f>
        <v>#VALUE!</v>
      </c>
      <c r="H129" s="8" t="e">
        <f>IF(LeasingHab!$C$10="TARIFA 1",(C128*(VLOOKUP(LeasingHab!$C$25,Seguros_Oblig!$A$3:$B$55,2,FALSE))),(C128*(VLOOKUP(LeasingHab!$C$25,Seguros_Oblig!$A$3:$D$55,4,FALSE))))</f>
        <v>#VALUE!</v>
      </c>
      <c r="I129" s="8" t="e">
        <f>IF(LeasingHab!$C$10="TARIFA 1",(C128*(VLOOKUP(LeasingHab!$C$26,Seguros_Oblig!$A$3:$B$55,2,FALSE))),(C128*(VLOOKUP(LeasingHab!$C$26,Seguros_Oblig!$A$3:$D$55,4,FALSE))))</f>
        <v>#VALUE!</v>
      </c>
      <c r="J129" s="10">
        <f t="shared" si="9"/>
        <v>0</v>
      </c>
      <c r="K129" s="7" t="e">
        <f>IF((C128-1)&lt;$E$17,0,Seguros_Oblig!$K$2*(LeasingHab!$C$12*90%))</f>
        <v>#VALUE!</v>
      </c>
      <c r="L129" s="7" t="e">
        <f>IF(B129&gt;LeasingHab!$C$18,0,PMT(LeasingHab!$E$17,LeasingHab!$C$18,-LeasingHab!$C$15,,)-PMT(LeasingHab!$E$17,LeasingHab!$C$18,-LeasingHab!$C$22)+LeasingHab!$C$22*LeasingHab!$E$17)</f>
        <v>#VALUE!</v>
      </c>
      <c r="M129" s="9" t="e">
        <f t="shared" si="10"/>
        <v>#VALUE!</v>
      </c>
      <c r="N129" s="7" t="e">
        <f>IF((C128-1)&lt;$E$17,0,LeasingHab!$C$39)</f>
        <v>#VALUE!</v>
      </c>
      <c r="O129" s="9" t="e">
        <f t="shared" si="11"/>
        <v>#VALUE!</v>
      </c>
    </row>
    <row r="130" spans="2:15" ht="15.5" x14ac:dyDescent="0.35">
      <c r="B130" s="6" t="e">
        <f t="shared" si="12"/>
        <v>#VALUE!</v>
      </c>
      <c r="C130" s="7" t="e">
        <f t="shared" si="8"/>
        <v>#VALUE!</v>
      </c>
      <c r="D130" s="7" t="e">
        <f t="shared" si="7"/>
        <v>#VALUE!</v>
      </c>
      <c r="E130" s="7" t="e">
        <f>IF((C129-1)&lt;$E$17,0,C129*LeasingHab!$E$17)</f>
        <v>#VALUE!</v>
      </c>
      <c r="F130" s="8" t="e">
        <f>IF((C129-1)&lt;$E$17,"0",IF(LeasingHab!$D$27="Si",($C$19*(VLOOKUP(LeasingHab!$C$23,Seguros_Oblig!$A$3:$F$55,6,FALSE))),IF(LeasingHab!$C$10="TARIFA 1",(C129*(VLOOKUP(LeasingHab!$C$23,Seguros_Oblig!$A$3:$B$55,2,FALSE))),(C129*(VLOOKUP(LeasingHab!$C$23,Seguros_Oblig!$A$3:$D$55,4,FALSE))))))</f>
        <v>#VALUE!</v>
      </c>
      <c r="G130" s="8" t="e">
        <f>IF(LeasingHab!$C$10="TARIFA 1",(C129*(VLOOKUP(LeasingHab!$C$24,Seguros_Oblig!$A$3:$B$55,2,FALSE))),(C129*(VLOOKUP(LeasingHab!$C$24,Seguros_Oblig!$A$3:$D$55,4,FALSE))))</f>
        <v>#VALUE!</v>
      </c>
      <c r="H130" s="8" t="e">
        <f>IF(LeasingHab!$C$10="TARIFA 1",(C129*(VLOOKUP(LeasingHab!$C$25,Seguros_Oblig!$A$3:$B$55,2,FALSE))),(C129*(VLOOKUP(LeasingHab!$C$25,Seguros_Oblig!$A$3:$D$55,4,FALSE))))</f>
        <v>#VALUE!</v>
      </c>
      <c r="I130" s="8" t="e">
        <f>IF(LeasingHab!$C$10="TARIFA 1",(C129*(VLOOKUP(LeasingHab!$C$26,Seguros_Oblig!$A$3:$B$55,2,FALSE))),(C129*(VLOOKUP(LeasingHab!$C$26,Seguros_Oblig!$A$3:$D$55,4,FALSE))))</f>
        <v>#VALUE!</v>
      </c>
      <c r="J130" s="10">
        <f t="shared" si="9"/>
        <v>0</v>
      </c>
      <c r="K130" s="7" t="e">
        <f>IF((C129-1)&lt;$E$17,0,Seguros_Oblig!$K$2*(LeasingHab!$C$12*90%))</f>
        <v>#VALUE!</v>
      </c>
      <c r="L130" s="7" t="e">
        <f>IF(B130&gt;LeasingHab!$C$18,0,PMT(LeasingHab!$E$17,LeasingHab!$C$18,-LeasingHab!$C$15,,)-PMT(LeasingHab!$E$17,LeasingHab!$C$18,-LeasingHab!$C$22)+LeasingHab!$C$22*LeasingHab!$E$17)</f>
        <v>#VALUE!</v>
      </c>
      <c r="M130" s="9" t="e">
        <f t="shared" si="10"/>
        <v>#VALUE!</v>
      </c>
      <c r="N130" s="7" t="e">
        <f>IF((C129-1)&lt;$E$17,0,LeasingHab!$C$39)</f>
        <v>#VALUE!</v>
      </c>
      <c r="O130" s="9" t="e">
        <f t="shared" si="11"/>
        <v>#VALUE!</v>
      </c>
    </row>
    <row r="131" spans="2:15" ht="15.5" x14ac:dyDescent="0.35">
      <c r="B131" s="6" t="e">
        <f t="shared" si="12"/>
        <v>#VALUE!</v>
      </c>
      <c r="C131" s="7" t="e">
        <f t="shared" si="8"/>
        <v>#VALUE!</v>
      </c>
      <c r="D131" s="7" t="e">
        <f t="shared" si="7"/>
        <v>#VALUE!</v>
      </c>
      <c r="E131" s="7" t="e">
        <f>IF((C130-1)&lt;$E$17,0,C130*LeasingHab!$E$17)</f>
        <v>#VALUE!</v>
      </c>
      <c r="F131" s="8" t="e">
        <f>IF((C130-1)&lt;$E$17,"0",IF(LeasingHab!$D$27="Si",($C$19*(VLOOKUP(LeasingHab!$C$23,Seguros_Oblig!$A$3:$F$55,6,FALSE))),IF(LeasingHab!$C$10="TARIFA 1",(C130*(VLOOKUP(LeasingHab!$C$23,Seguros_Oblig!$A$3:$B$55,2,FALSE))),(C130*(VLOOKUP(LeasingHab!$C$23,Seguros_Oblig!$A$3:$D$55,4,FALSE))))))</f>
        <v>#VALUE!</v>
      </c>
      <c r="G131" s="8" t="e">
        <f>IF(LeasingHab!$C$10="TARIFA 1",(C130*(VLOOKUP(LeasingHab!$C$24,Seguros_Oblig!$A$3:$B$55,2,FALSE))),(C130*(VLOOKUP(LeasingHab!$C$24,Seguros_Oblig!$A$3:$D$55,4,FALSE))))</f>
        <v>#VALUE!</v>
      </c>
      <c r="H131" s="8" t="e">
        <f>IF(LeasingHab!$C$10="TARIFA 1",(C130*(VLOOKUP(LeasingHab!$C$25,Seguros_Oblig!$A$3:$B$55,2,FALSE))),(C130*(VLOOKUP(LeasingHab!$C$25,Seguros_Oblig!$A$3:$D$55,4,FALSE))))</f>
        <v>#VALUE!</v>
      </c>
      <c r="I131" s="8" t="e">
        <f>IF(LeasingHab!$C$10="TARIFA 1",(C130*(VLOOKUP(LeasingHab!$C$26,Seguros_Oblig!$A$3:$B$55,2,FALSE))),(C130*(VLOOKUP(LeasingHab!$C$26,Seguros_Oblig!$A$3:$D$55,4,FALSE))))</f>
        <v>#VALUE!</v>
      </c>
      <c r="J131" s="10">
        <f t="shared" si="9"/>
        <v>0</v>
      </c>
      <c r="K131" s="7" t="e">
        <f>IF((C130-1)&lt;$E$17,0,Seguros_Oblig!$K$2*(LeasingHab!$C$12*90%))</f>
        <v>#VALUE!</v>
      </c>
      <c r="L131" s="7" t="e">
        <f>IF(B131&gt;LeasingHab!$C$18,0,PMT(LeasingHab!$E$17,LeasingHab!$C$18,-LeasingHab!$C$15,,)-PMT(LeasingHab!$E$17,LeasingHab!$C$18,-LeasingHab!$C$22)+LeasingHab!$C$22*LeasingHab!$E$17)</f>
        <v>#VALUE!</v>
      </c>
      <c r="M131" s="9" t="e">
        <f t="shared" si="10"/>
        <v>#VALUE!</v>
      </c>
      <c r="N131" s="7" t="e">
        <f>IF((C130-1)&lt;$E$17,0,LeasingHab!$C$39)</f>
        <v>#VALUE!</v>
      </c>
      <c r="O131" s="9" t="e">
        <f t="shared" si="11"/>
        <v>#VALUE!</v>
      </c>
    </row>
    <row r="132" spans="2:15" ht="15.5" x14ac:dyDescent="0.35">
      <c r="B132" s="6" t="e">
        <f t="shared" si="12"/>
        <v>#VALUE!</v>
      </c>
      <c r="C132" s="7" t="e">
        <f t="shared" si="8"/>
        <v>#VALUE!</v>
      </c>
      <c r="D132" s="7" t="e">
        <f t="shared" si="7"/>
        <v>#VALUE!</v>
      </c>
      <c r="E132" s="7" t="e">
        <f>IF((C131-1)&lt;$E$17,0,C131*LeasingHab!$E$17)</f>
        <v>#VALUE!</v>
      </c>
      <c r="F132" s="8" t="e">
        <f>IF((C131-1)&lt;$E$17,"0",IF(LeasingHab!$D$27="Si",($C$19*(VLOOKUP(LeasingHab!$C$23,Seguros_Oblig!$A$3:$F$55,6,FALSE))),IF(LeasingHab!$C$10="TARIFA 1",(C131*(VLOOKUP(LeasingHab!$C$23,Seguros_Oblig!$A$3:$B$55,2,FALSE))),(C131*(VLOOKUP(LeasingHab!$C$23,Seguros_Oblig!$A$3:$D$55,4,FALSE))))))</f>
        <v>#VALUE!</v>
      </c>
      <c r="G132" s="8" t="e">
        <f>IF(LeasingHab!$C$10="TARIFA 1",(C131*(VLOOKUP(LeasingHab!$C$24,Seguros_Oblig!$A$3:$B$55,2,FALSE))),(C131*(VLOOKUP(LeasingHab!$C$24,Seguros_Oblig!$A$3:$D$55,4,FALSE))))</f>
        <v>#VALUE!</v>
      </c>
      <c r="H132" s="8" t="e">
        <f>IF(LeasingHab!$C$10="TARIFA 1",(C131*(VLOOKUP(LeasingHab!$C$25,Seguros_Oblig!$A$3:$B$55,2,FALSE))),(C131*(VLOOKUP(LeasingHab!$C$25,Seguros_Oblig!$A$3:$D$55,4,FALSE))))</f>
        <v>#VALUE!</v>
      </c>
      <c r="I132" s="8" t="e">
        <f>IF(LeasingHab!$C$10="TARIFA 1",(C131*(VLOOKUP(LeasingHab!$C$26,Seguros_Oblig!$A$3:$B$55,2,FALSE))),(C131*(VLOOKUP(LeasingHab!$C$26,Seguros_Oblig!$A$3:$D$55,4,FALSE))))</f>
        <v>#VALUE!</v>
      </c>
      <c r="J132" s="10">
        <f t="shared" si="9"/>
        <v>0</v>
      </c>
      <c r="K132" s="7" t="e">
        <f>IF((C131-1)&lt;$E$17,0,Seguros_Oblig!$K$2*(LeasingHab!$C$12*90%))</f>
        <v>#VALUE!</v>
      </c>
      <c r="L132" s="7" t="e">
        <f>IF(B132&gt;LeasingHab!$C$18,0,PMT(LeasingHab!$E$17,LeasingHab!$C$18,-LeasingHab!$C$15,,)-PMT(LeasingHab!$E$17,LeasingHab!$C$18,-LeasingHab!$C$22)+LeasingHab!$C$22*LeasingHab!$E$17)</f>
        <v>#VALUE!</v>
      </c>
      <c r="M132" s="9" t="e">
        <f t="shared" si="10"/>
        <v>#VALUE!</v>
      </c>
      <c r="N132" s="7" t="e">
        <f>IF((C131-1)&lt;$E$17,0,LeasingHab!$C$39)</f>
        <v>#VALUE!</v>
      </c>
      <c r="O132" s="9" t="e">
        <f t="shared" si="11"/>
        <v>#VALUE!</v>
      </c>
    </row>
    <row r="133" spans="2:15" ht="15.5" x14ac:dyDescent="0.35">
      <c r="B133" s="6" t="e">
        <f t="shared" si="12"/>
        <v>#VALUE!</v>
      </c>
      <c r="C133" s="7" t="e">
        <f t="shared" si="8"/>
        <v>#VALUE!</v>
      </c>
      <c r="D133" s="7" t="e">
        <f t="shared" si="7"/>
        <v>#VALUE!</v>
      </c>
      <c r="E133" s="7" t="e">
        <f>IF((C132-1)&lt;$E$17,0,C132*LeasingHab!$E$17)</f>
        <v>#VALUE!</v>
      </c>
      <c r="F133" s="8" t="e">
        <f>IF((C132-1)&lt;$E$17,"0",IF(LeasingHab!$D$27="Si",($C$19*(VLOOKUP(LeasingHab!$C$23,Seguros_Oblig!$A$3:$F$55,6,FALSE))),IF(LeasingHab!$C$10="TARIFA 1",(C132*(VLOOKUP(LeasingHab!$C$23,Seguros_Oblig!$A$3:$B$55,2,FALSE))),(C132*(VLOOKUP(LeasingHab!$C$23,Seguros_Oblig!$A$3:$D$55,4,FALSE))))))</f>
        <v>#VALUE!</v>
      </c>
      <c r="G133" s="8" t="e">
        <f>IF(LeasingHab!$C$10="TARIFA 1",(C132*(VLOOKUP(LeasingHab!$C$24,Seguros_Oblig!$A$3:$B$55,2,FALSE))),(C132*(VLOOKUP(LeasingHab!$C$24,Seguros_Oblig!$A$3:$D$55,4,FALSE))))</f>
        <v>#VALUE!</v>
      </c>
      <c r="H133" s="8" t="e">
        <f>IF(LeasingHab!$C$10="TARIFA 1",(C132*(VLOOKUP(LeasingHab!$C$25,Seguros_Oblig!$A$3:$B$55,2,FALSE))),(C132*(VLOOKUP(LeasingHab!$C$25,Seguros_Oblig!$A$3:$D$55,4,FALSE))))</f>
        <v>#VALUE!</v>
      </c>
      <c r="I133" s="8" t="e">
        <f>IF(LeasingHab!$C$10="TARIFA 1",(C132*(VLOOKUP(LeasingHab!$C$26,Seguros_Oblig!$A$3:$B$55,2,FALSE))),(C132*(VLOOKUP(LeasingHab!$C$26,Seguros_Oblig!$A$3:$D$55,4,FALSE))))</f>
        <v>#VALUE!</v>
      </c>
      <c r="J133" s="10">
        <f t="shared" si="9"/>
        <v>0</v>
      </c>
      <c r="K133" s="7" t="e">
        <f>IF((C132-1)&lt;$E$17,0,Seguros_Oblig!$K$2*(LeasingHab!$C$12*90%))</f>
        <v>#VALUE!</v>
      </c>
      <c r="L133" s="7" t="e">
        <f>IF(B133&gt;LeasingHab!$C$18,0,PMT(LeasingHab!$E$17,LeasingHab!$C$18,-LeasingHab!$C$15,,)-PMT(LeasingHab!$E$17,LeasingHab!$C$18,-LeasingHab!$C$22)+LeasingHab!$C$22*LeasingHab!$E$17)</f>
        <v>#VALUE!</v>
      </c>
      <c r="M133" s="9" t="e">
        <f t="shared" si="10"/>
        <v>#VALUE!</v>
      </c>
      <c r="N133" s="7" t="e">
        <f>IF((C132-1)&lt;$E$17,0,LeasingHab!$C$39)</f>
        <v>#VALUE!</v>
      </c>
      <c r="O133" s="9" t="e">
        <f t="shared" si="11"/>
        <v>#VALUE!</v>
      </c>
    </row>
    <row r="134" spans="2:15" ht="15.5" x14ac:dyDescent="0.35">
      <c r="B134" s="6" t="e">
        <f t="shared" si="12"/>
        <v>#VALUE!</v>
      </c>
      <c r="C134" s="7" t="e">
        <f t="shared" si="8"/>
        <v>#VALUE!</v>
      </c>
      <c r="D134" s="7" t="e">
        <f t="shared" si="7"/>
        <v>#VALUE!</v>
      </c>
      <c r="E134" s="7" t="e">
        <f>IF((C133-1)&lt;$E$17,0,C133*LeasingHab!$E$17)</f>
        <v>#VALUE!</v>
      </c>
      <c r="F134" s="8" t="e">
        <f>IF((C133-1)&lt;$E$17,"0",IF(LeasingHab!$D$27="Si",($C$19*(VLOOKUP(LeasingHab!$C$23,Seguros_Oblig!$A$3:$F$55,6,FALSE))),IF(LeasingHab!$C$10="TARIFA 1",(C133*(VLOOKUP(LeasingHab!$C$23,Seguros_Oblig!$A$3:$B$55,2,FALSE))),(C133*(VLOOKUP(LeasingHab!$C$23,Seguros_Oblig!$A$3:$D$55,4,FALSE))))))</f>
        <v>#VALUE!</v>
      </c>
      <c r="G134" s="8" t="e">
        <f>IF(LeasingHab!$C$10="TARIFA 1",(C133*(VLOOKUP(LeasingHab!$C$24,Seguros_Oblig!$A$3:$B$55,2,FALSE))),(C133*(VLOOKUP(LeasingHab!$C$24,Seguros_Oblig!$A$3:$D$55,4,FALSE))))</f>
        <v>#VALUE!</v>
      </c>
      <c r="H134" s="8" t="e">
        <f>IF(LeasingHab!$C$10="TARIFA 1",(C133*(VLOOKUP(LeasingHab!$C$25,Seguros_Oblig!$A$3:$B$55,2,FALSE))),(C133*(VLOOKUP(LeasingHab!$C$25,Seguros_Oblig!$A$3:$D$55,4,FALSE))))</f>
        <v>#VALUE!</v>
      </c>
      <c r="I134" s="8" t="e">
        <f>IF(LeasingHab!$C$10="TARIFA 1",(C133*(VLOOKUP(LeasingHab!$C$26,Seguros_Oblig!$A$3:$B$55,2,FALSE))),(C133*(VLOOKUP(LeasingHab!$C$26,Seguros_Oblig!$A$3:$D$55,4,FALSE))))</f>
        <v>#VALUE!</v>
      </c>
      <c r="J134" s="10">
        <f t="shared" si="9"/>
        <v>0</v>
      </c>
      <c r="K134" s="7" t="e">
        <f>IF((C133-1)&lt;$E$17,0,Seguros_Oblig!$K$2*(LeasingHab!$C$12*90%))</f>
        <v>#VALUE!</v>
      </c>
      <c r="L134" s="7" t="e">
        <f>IF(B134&gt;LeasingHab!$C$18,0,PMT(LeasingHab!$E$17,LeasingHab!$C$18,-LeasingHab!$C$15,,)-PMT(LeasingHab!$E$17,LeasingHab!$C$18,-LeasingHab!$C$22)+LeasingHab!$C$22*LeasingHab!$E$17)</f>
        <v>#VALUE!</v>
      </c>
      <c r="M134" s="9" t="e">
        <f t="shared" si="10"/>
        <v>#VALUE!</v>
      </c>
      <c r="N134" s="7" t="e">
        <f>IF((C133-1)&lt;$E$17,0,LeasingHab!$C$39)</f>
        <v>#VALUE!</v>
      </c>
      <c r="O134" s="9" t="e">
        <f t="shared" si="11"/>
        <v>#VALUE!</v>
      </c>
    </row>
    <row r="135" spans="2:15" ht="15.5" x14ac:dyDescent="0.35">
      <c r="B135" s="6" t="e">
        <f t="shared" si="12"/>
        <v>#VALUE!</v>
      </c>
      <c r="C135" s="7" t="e">
        <f t="shared" si="8"/>
        <v>#VALUE!</v>
      </c>
      <c r="D135" s="7" t="e">
        <f t="shared" si="7"/>
        <v>#VALUE!</v>
      </c>
      <c r="E135" s="7" t="e">
        <f>IF((C134-1)&lt;$E$17,0,C134*LeasingHab!$E$17)</f>
        <v>#VALUE!</v>
      </c>
      <c r="F135" s="8" t="e">
        <f>IF((C134-1)&lt;$E$17,"0",IF(LeasingHab!$D$27="Si",($C$19*(VLOOKUP(LeasingHab!$C$23,Seguros_Oblig!$A$3:$F$55,6,FALSE))),IF(LeasingHab!$C$10="TARIFA 1",(C134*(VLOOKUP(LeasingHab!$C$23,Seguros_Oblig!$A$3:$B$55,2,FALSE))),(C134*(VLOOKUP(LeasingHab!$C$23,Seguros_Oblig!$A$3:$D$55,4,FALSE))))))</f>
        <v>#VALUE!</v>
      </c>
      <c r="G135" s="8" t="e">
        <f>IF(LeasingHab!$C$10="TARIFA 1",(C134*(VLOOKUP(LeasingHab!$C$24,Seguros_Oblig!$A$3:$B$55,2,FALSE))),(C134*(VLOOKUP(LeasingHab!$C$24,Seguros_Oblig!$A$3:$D$55,4,FALSE))))</f>
        <v>#VALUE!</v>
      </c>
      <c r="H135" s="8" t="e">
        <f>IF(LeasingHab!$C$10="TARIFA 1",(C134*(VLOOKUP(LeasingHab!$C$25,Seguros_Oblig!$A$3:$B$55,2,FALSE))),(C134*(VLOOKUP(LeasingHab!$C$25,Seguros_Oblig!$A$3:$D$55,4,FALSE))))</f>
        <v>#VALUE!</v>
      </c>
      <c r="I135" s="8" t="e">
        <f>IF(LeasingHab!$C$10="TARIFA 1",(C134*(VLOOKUP(LeasingHab!$C$26,Seguros_Oblig!$A$3:$B$55,2,FALSE))),(C134*(VLOOKUP(LeasingHab!$C$26,Seguros_Oblig!$A$3:$D$55,4,FALSE))))</f>
        <v>#VALUE!</v>
      </c>
      <c r="J135" s="10">
        <f t="shared" si="9"/>
        <v>0</v>
      </c>
      <c r="K135" s="7" t="e">
        <f>IF((C134-1)&lt;$E$17,0,Seguros_Oblig!$K$2*(LeasingHab!$C$12*90%))</f>
        <v>#VALUE!</v>
      </c>
      <c r="L135" s="7" t="e">
        <f>IF(B135&gt;LeasingHab!$C$18,0,PMT(LeasingHab!$E$17,LeasingHab!$C$18,-LeasingHab!$C$15,,)-PMT(LeasingHab!$E$17,LeasingHab!$C$18,-LeasingHab!$C$22)+LeasingHab!$C$22*LeasingHab!$E$17)</f>
        <v>#VALUE!</v>
      </c>
      <c r="M135" s="9" t="e">
        <f t="shared" si="10"/>
        <v>#VALUE!</v>
      </c>
      <c r="N135" s="7" t="e">
        <f>IF((C134-1)&lt;$E$17,0,LeasingHab!$C$39)</f>
        <v>#VALUE!</v>
      </c>
      <c r="O135" s="9" t="e">
        <f t="shared" si="11"/>
        <v>#VALUE!</v>
      </c>
    </row>
    <row r="136" spans="2:15" ht="15.5" x14ac:dyDescent="0.35">
      <c r="B136" s="6" t="e">
        <f t="shared" si="12"/>
        <v>#VALUE!</v>
      </c>
      <c r="C136" s="7" t="e">
        <f t="shared" si="8"/>
        <v>#VALUE!</v>
      </c>
      <c r="D136" s="7" t="e">
        <f t="shared" si="7"/>
        <v>#VALUE!</v>
      </c>
      <c r="E136" s="7" t="e">
        <f>IF((C135-1)&lt;$E$17,0,C135*LeasingHab!$E$17)</f>
        <v>#VALUE!</v>
      </c>
      <c r="F136" s="8" t="e">
        <f>IF((C135-1)&lt;$E$17,"0",IF(LeasingHab!$D$27="Si",($C$19*(VLOOKUP(LeasingHab!$C$23,Seguros_Oblig!$A$3:$F$55,6,FALSE))),IF(LeasingHab!$C$10="TARIFA 1",(C135*(VLOOKUP(LeasingHab!$C$23,Seguros_Oblig!$A$3:$B$55,2,FALSE))),(C135*(VLOOKUP(LeasingHab!$C$23,Seguros_Oblig!$A$3:$D$55,4,FALSE))))))</f>
        <v>#VALUE!</v>
      </c>
      <c r="G136" s="8" t="e">
        <f>IF(LeasingHab!$C$10="TARIFA 1",(C135*(VLOOKUP(LeasingHab!$C$24,Seguros_Oblig!$A$3:$B$55,2,FALSE))),(C135*(VLOOKUP(LeasingHab!$C$24,Seguros_Oblig!$A$3:$D$55,4,FALSE))))</f>
        <v>#VALUE!</v>
      </c>
      <c r="H136" s="8" t="e">
        <f>IF(LeasingHab!$C$10="TARIFA 1",(C135*(VLOOKUP(LeasingHab!$C$25,Seguros_Oblig!$A$3:$B$55,2,FALSE))),(C135*(VLOOKUP(LeasingHab!$C$25,Seguros_Oblig!$A$3:$D$55,4,FALSE))))</f>
        <v>#VALUE!</v>
      </c>
      <c r="I136" s="8" t="e">
        <f>IF(LeasingHab!$C$10="TARIFA 1",(C135*(VLOOKUP(LeasingHab!$C$26,Seguros_Oblig!$A$3:$B$55,2,FALSE))),(C135*(VLOOKUP(LeasingHab!$C$26,Seguros_Oblig!$A$3:$D$55,4,FALSE))))</f>
        <v>#VALUE!</v>
      </c>
      <c r="J136" s="10">
        <f t="shared" si="9"/>
        <v>0</v>
      </c>
      <c r="K136" s="7" t="e">
        <f>IF((C135-1)&lt;$E$17,0,Seguros_Oblig!$K$2*(LeasingHab!$C$12*90%))</f>
        <v>#VALUE!</v>
      </c>
      <c r="L136" s="7" t="e">
        <f>IF(B136&gt;LeasingHab!$C$18,0,PMT(LeasingHab!$E$17,LeasingHab!$C$18,-LeasingHab!$C$15,,)-PMT(LeasingHab!$E$17,LeasingHab!$C$18,-LeasingHab!$C$22)+LeasingHab!$C$22*LeasingHab!$E$17)</f>
        <v>#VALUE!</v>
      </c>
      <c r="M136" s="9" t="e">
        <f t="shared" si="10"/>
        <v>#VALUE!</v>
      </c>
      <c r="N136" s="7" t="e">
        <f>IF((C135-1)&lt;$E$17,0,LeasingHab!$C$39)</f>
        <v>#VALUE!</v>
      </c>
      <c r="O136" s="9" t="e">
        <f t="shared" si="11"/>
        <v>#VALUE!</v>
      </c>
    </row>
    <row r="137" spans="2:15" ht="15.5" x14ac:dyDescent="0.35">
      <c r="B137" s="6" t="e">
        <f t="shared" si="12"/>
        <v>#VALUE!</v>
      </c>
      <c r="C137" s="7" t="e">
        <f t="shared" si="8"/>
        <v>#VALUE!</v>
      </c>
      <c r="D137" s="7" t="e">
        <f t="shared" si="7"/>
        <v>#VALUE!</v>
      </c>
      <c r="E137" s="7" t="e">
        <f>IF((C136-1)&lt;$E$17,0,C136*LeasingHab!$E$17)</f>
        <v>#VALUE!</v>
      </c>
      <c r="F137" s="8" t="e">
        <f>IF((C136-1)&lt;$E$17,"0",IF(LeasingHab!$D$27="Si",($C$19*(VLOOKUP(LeasingHab!$C$23,Seguros_Oblig!$A$3:$F$55,6,FALSE))),IF(LeasingHab!$C$10="TARIFA 1",(C136*(VLOOKUP(LeasingHab!$C$23,Seguros_Oblig!$A$3:$B$55,2,FALSE))),(C136*(VLOOKUP(LeasingHab!$C$23,Seguros_Oblig!$A$3:$D$55,4,FALSE))))))</f>
        <v>#VALUE!</v>
      </c>
      <c r="G137" s="8" t="e">
        <f>IF(LeasingHab!$C$10="TARIFA 1",(C136*(VLOOKUP(LeasingHab!$C$24,Seguros_Oblig!$A$3:$B$55,2,FALSE))),(C136*(VLOOKUP(LeasingHab!$C$24,Seguros_Oblig!$A$3:$D$55,4,FALSE))))</f>
        <v>#VALUE!</v>
      </c>
      <c r="H137" s="8" t="e">
        <f>IF(LeasingHab!$C$10="TARIFA 1",(C136*(VLOOKUP(LeasingHab!$C$25,Seguros_Oblig!$A$3:$B$55,2,FALSE))),(C136*(VLOOKUP(LeasingHab!$C$25,Seguros_Oblig!$A$3:$D$55,4,FALSE))))</f>
        <v>#VALUE!</v>
      </c>
      <c r="I137" s="8" t="e">
        <f>IF(LeasingHab!$C$10="TARIFA 1",(C136*(VLOOKUP(LeasingHab!$C$26,Seguros_Oblig!$A$3:$B$55,2,FALSE))),(C136*(VLOOKUP(LeasingHab!$C$26,Seguros_Oblig!$A$3:$D$55,4,FALSE))))</f>
        <v>#VALUE!</v>
      </c>
      <c r="J137" s="10">
        <f t="shared" si="9"/>
        <v>0</v>
      </c>
      <c r="K137" s="7" t="e">
        <f>IF((C136-1)&lt;$E$17,0,Seguros_Oblig!$K$2*(LeasingHab!$C$12*90%))</f>
        <v>#VALUE!</v>
      </c>
      <c r="L137" s="7" t="e">
        <f>IF(B137&gt;LeasingHab!$C$18,0,PMT(LeasingHab!$E$17,LeasingHab!$C$18,-LeasingHab!$C$15,,)-PMT(LeasingHab!$E$17,LeasingHab!$C$18,-LeasingHab!$C$22)+LeasingHab!$C$22*LeasingHab!$E$17)</f>
        <v>#VALUE!</v>
      </c>
      <c r="M137" s="9" t="e">
        <f t="shared" si="10"/>
        <v>#VALUE!</v>
      </c>
      <c r="N137" s="7" t="e">
        <f>IF((C136-1)&lt;$E$17,0,LeasingHab!$C$39)</f>
        <v>#VALUE!</v>
      </c>
      <c r="O137" s="9" t="e">
        <f t="shared" si="11"/>
        <v>#VALUE!</v>
      </c>
    </row>
    <row r="138" spans="2:15" ht="15.5" x14ac:dyDescent="0.35">
      <c r="B138" s="6" t="e">
        <f t="shared" si="12"/>
        <v>#VALUE!</v>
      </c>
      <c r="C138" s="7" t="e">
        <f t="shared" si="8"/>
        <v>#VALUE!</v>
      </c>
      <c r="D138" s="7" t="e">
        <f t="shared" si="7"/>
        <v>#VALUE!</v>
      </c>
      <c r="E138" s="7" t="e">
        <f>IF((C137-1)&lt;$E$17,0,C137*LeasingHab!$E$17)</f>
        <v>#VALUE!</v>
      </c>
      <c r="F138" s="8" t="e">
        <f>IF((C137-1)&lt;$E$17,"0",IF(LeasingHab!$D$27="Si",($C$19*(VLOOKUP(LeasingHab!$C$23,Seguros_Oblig!$A$3:$F$55,6,FALSE))),IF(LeasingHab!$C$10="TARIFA 1",(C137*(VLOOKUP(LeasingHab!$C$23,Seguros_Oblig!$A$3:$B$55,2,FALSE))),(C137*(VLOOKUP(LeasingHab!$C$23,Seguros_Oblig!$A$3:$D$55,4,FALSE))))))</f>
        <v>#VALUE!</v>
      </c>
      <c r="G138" s="8" t="e">
        <f>IF(LeasingHab!$C$10="TARIFA 1",(C137*(VLOOKUP(LeasingHab!$C$24,Seguros_Oblig!$A$3:$B$55,2,FALSE))),(C137*(VLOOKUP(LeasingHab!$C$24,Seguros_Oblig!$A$3:$D$55,4,FALSE))))</f>
        <v>#VALUE!</v>
      </c>
      <c r="H138" s="8" t="e">
        <f>IF(LeasingHab!$C$10="TARIFA 1",(C137*(VLOOKUP(LeasingHab!$C$25,Seguros_Oblig!$A$3:$B$55,2,FALSE))),(C137*(VLOOKUP(LeasingHab!$C$25,Seguros_Oblig!$A$3:$D$55,4,FALSE))))</f>
        <v>#VALUE!</v>
      </c>
      <c r="I138" s="8" t="e">
        <f>IF(LeasingHab!$C$10="TARIFA 1",(C137*(VLOOKUP(LeasingHab!$C$26,Seguros_Oblig!$A$3:$B$55,2,FALSE))),(C137*(VLOOKUP(LeasingHab!$C$26,Seguros_Oblig!$A$3:$D$55,4,FALSE))))</f>
        <v>#VALUE!</v>
      </c>
      <c r="J138" s="10">
        <f t="shared" si="9"/>
        <v>0</v>
      </c>
      <c r="K138" s="7" t="e">
        <f>IF((C137-1)&lt;$E$17,0,Seguros_Oblig!$K$2*(LeasingHab!$C$12*90%))</f>
        <v>#VALUE!</v>
      </c>
      <c r="L138" s="7" t="e">
        <f>IF(B138&gt;LeasingHab!$C$18,0,PMT(LeasingHab!$E$17,LeasingHab!$C$18,-LeasingHab!$C$15,,)-PMT(LeasingHab!$E$17,LeasingHab!$C$18,-LeasingHab!$C$22)+LeasingHab!$C$22*LeasingHab!$E$17)</f>
        <v>#VALUE!</v>
      </c>
      <c r="M138" s="9" t="e">
        <f t="shared" si="10"/>
        <v>#VALUE!</v>
      </c>
      <c r="N138" s="7" t="e">
        <f>IF((C137-1)&lt;$E$17,0,LeasingHab!$C$39)</f>
        <v>#VALUE!</v>
      </c>
      <c r="O138" s="9" t="e">
        <f t="shared" si="11"/>
        <v>#VALUE!</v>
      </c>
    </row>
    <row r="139" spans="2:15" ht="15.5" x14ac:dyDescent="0.35">
      <c r="B139" s="6" t="e">
        <f t="shared" si="12"/>
        <v>#VALUE!</v>
      </c>
      <c r="C139" s="7" t="e">
        <f t="shared" si="8"/>
        <v>#VALUE!</v>
      </c>
      <c r="D139" s="7" t="e">
        <f t="shared" si="7"/>
        <v>#VALUE!</v>
      </c>
      <c r="E139" s="7" t="e">
        <f>IF((C138-1)&lt;$E$17,0,C138*LeasingHab!$E$17)</f>
        <v>#VALUE!</v>
      </c>
      <c r="F139" s="8" t="e">
        <f>IF((C138-1)&lt;$E$17,"0",IF(LeasingHab!$D$27="Si",($C$19*(VLOOKUP(LeasingHab!$C$23,Seguros_Oblig!$A$3:$F$55,6,FALSE))),IF(LeasingHab!$C$10="TARIFA 1",(C138*(VLOOKUP(LeasingHab!$C$23,Seguros_Oblig!$A$3:$B$55,2,FALSE))),(C138*(VLOOKUP(LeasingHab!$C$23,Seguros_Oblig!$A$3:$D$55,4,FALSE))))))</f>
        <v>#VALUE!</v>
      </c>
      <c r="G139" s="8" t="e">
        <f>IF(LeasingHab!$C$10="TARIFA 1",(C138*(VLOOKUP(LeasingHab!$C$24,Seguros_Oblig!$A$3:$B$55,2,FALSE))),(C138*(VLOOKUP(LeasingHab!$C$24,Seguros_Oblig!$A$3:$D$55,4,FALSE))))</f>
        <v>#VALUE!</v>
      </c>
      <c r="H139" s="8" t="e">
        <f>IF(LeasingHab!$C$10="TARIFA 1",(C138*(VLOOKUP(LeasingHab!$C$25,Seguros_Oblig!$A$3:$B$55,2,FALSE))),(C138*(VLOOKUP(LeasingHab!$C$25,Seguros_Oblig!$A$3:$D$55,4,FALSE))))</f>
        <v>#VALUE!</v>
      </c>
      <c r="I139" s="8" t="e">
        <f>IF(LeasingHab!$C$10="TARIFA 1",(C138*(VLOOKUP(LeasingHab!$C$26,Seguros_Oblig!$A$3:$B$55,2,FALSE))),(C138*(VLOOKUP(LeasingHab!$C$26,Seguros_Oblig!$A$3:$D$55,4,FALSE))))</f>
        <v>#VALUE!</v>
      </c>
      <c r="J139" s="10">
        <f t="shared" si="9"/>
        <v>0</v>
      </c>
      <c r="K139" s="7" t="e">
        <f>IF((C138-1)&lt;$E$17,0,Seguros_Oblig!$K$2*(LeasingHab!$C$12*90%))</f>
        <v>#VALUE!</v>
      </c>
      <c r="L139" s="7" t="e">
        <f>IF(B139&gt;LeasingHab!$C$18,0,PMT(LeasingHab!$E$17,LeasingHab!$C$18,-LeasingHab!$C$15,,)-PMT(LeasingHab!$E$17,LeasingHab!$C$18,-LeasingHab!$C$22)+LeasingHab!$C$22*LeasingHab!$E$17)</f>
        <v>#VALUE!</v>
      </c>
      <c r="M139" s="9" t="e">
        <f t="shared" si="10"/>
        <v>#VALUE!</v>
      </c>
      <c r="N139" s="7" t="e">
        <f>IF((C138-1)&lt;$E$17,0,LeasingHab!$C$39)</f>
        <v>#VALUE!</v>
      </c>
      <c r="O139" s="9" t="e">
        <f t="shared" si="11"/>
        <v>#VALUE!</v>
      </c>
    </row>
    <row r="140" spans="2:15" ht="15.5" x14ac:dyDescent="0.35">
      <c r="B140" s="6" t="e">
        <f t="shared" si="12"/>
        <v>#VALUE!</v>
      </c>
      <c r="C140" s="7" t="e">
        <f t="shared" si="8"/>
        <v>#VALUE!</v>
      </c>
      <c r="D140" s="7" t="e">
        <f t="shared" si="7"/>
        <v>#VALUE!</v>
      </c>
      <c r="E140" s="7" t="e">
        <f>IF((C139-1)&lt;$E$17,0,C139*LeasingHab!$E$17)</f>
        <v>#VALUE!</v>
      </c>
      <c r="F140" s="8" t="e">
        <f>IF((C139-1)&lt;$E$17,"0",IF(LeasingHab!$D$27="Si",($C$19*(VLOOKUP(LeasingHab!$C$23,Seguros_Oblig!$A$3:$F$55,6,FALSE))),IF(LeasingHab!$C$10="TARIFA 1",(C139*(VLOOKUP(LeasingHab!$C$23,Seguros_Oblig!$A$3:$B$55,2,FALSE))),(C139*(VLOOKUP(LeasingHab!$C$23,Seguros_Oblig!$A$3:$D$55,4,FALSE))))))</f>
        <v>#VALUE!</v>
      </c>
      <c r="G140" s="8" t="e">
        <f>IF(LeasingHab!$C$10="TARIFA 1",(C139*(VLOOKUP(LeasingHab!$C$24,Seguros_Oblig!$A$3:$B$55,2,FALSE))),(C139*(VLOOKUP(LeasingHab!$C$24,Seguros_Oblig!$A$3:$D$55,4,FALSE))))</f>
        <v>#VALUE!</v>
      </c>
      <c r="H140" s="8" t="e">
        <f>IF(LeasingHab!$C$10="TARIFA 1",(C139*(VLOOKUP(LeasingHab!$C$25,Seguros_Oblig!$A$3:$B$55,2,FALSE))),(C139*(VLOOKUP(LeasingHab!$C$25,Seguros_Oblig!$A$3:$D$55,4,FALSE))))</f>
        <v>#VALUE!</v>
      </c>
      <c r="I140" s="8" t="e">
        <f>IF(LeasingHab!$C$10="TARIFA 1",(C139*(VLOOKUP(LeasingHab!$C$26,Seguros_Oblig!$A$3:$B$55,2,FALSE))),(C139*(VLOOKUP(LeasingHab!$C$26,Seguros_Oblig!$A$3:$D$55,4,FALSE))))</f>
        <v>#VALUE!</v>
      </c>
      <c r="J140" s="10">
        <f t="shared" si="9"/>
        <v>0</v>
      </c>
      <c r="K140" s="7" t="e">
        <f>IF((C139-1)&lt;$E$17,0,Seguros_Oblig!$K$2*(LeasingHab!$C$12*90%))</f>
        <v>#VALUE!</v>
      </c>
      <c r="L140" s="7" t="e">
        <f>IF(B140&gt;LeasingHab!$C$18,0,PMT(LeasingHab!$E$17,LeasingHab!$C$18,-LeasingHab!$C$15,,)-PMT(LeasingHab!$E$17,LeasingHab!$C$18,-LeasingHab!$C$22)+LeasingHab!$C$22*LeasingHab!$E$17)</f>
        <v>#VALUE!</v>
      </c>
      <c r="M140" s="9" t="e">
        <f t="shared" si="10"/>
        <v>#VALUE!</v>
      </c>
      <c r="N140" s="7" t="e">
        <f>IF((C139-1)&lt;$E$17,0,LeasingHab!$C$39)</f>
        <v>#VALUE!</v>
      </c>
      <c r="O140" s="9" t="e">
        <f t="shared" si="11"/>
        <v>#VALUE!</v>
      </c>
    </row>
    <row r="141" spans="2:15" ht="15.5" x14ac:dyDescent="0.35">
      <c r="B141" s="6" t="e">
        <f t="shared" si="12"/>
        <v>#VALUE!</v>
      </c>
      <c r="C141" s="7" t="e">
        <f t="shared" si="8"/>
        <v>#VALUE!</v>
      </c>
      <c r="D141" s="7" t="e">
        <f t="shared" si="7"/>
        <v>#VALUE!</v>
      </c>
      <c r="E141" s="7" t="e">
        <f>IF((C140-1)&lt;$E$17,0,C140*LeasingHab!$E$17)</f>
        <v>#VALUE!</v>
      </c>
      <c r="F141" s="8" t="e">
        <f>IF((C140-1)&lt;$E$17,"0",IF(LeasingHab!$D$27="Si",($C$19*(VLOOKUP(LeasingHab!$C$23,Seguros_Oblig!$A$3:$F$55,6,FALSE))),IF(LeasingHab!$C$10="TARIFA 1",(C140*(VLOOKUP(LeasingHab!$C$23,Seguros_Oblig!$A$3:$B$55,2,FALSE))),(C140*(VLOOKUP(LeasingHab!$C$23,Seguros_Oblig!$A$3:$D$55,4,FALSE))))))</f>
        <v>#VALUE!</v>
      </c>
      <c r="G141" s="8" t="e">
        <f>IF(LeasingHab!$C$10="TARIFA 1",(C140*(VLOOKUP(LeasingHab!$C$24,Seguros_Oblig!$A$3:$B$55,2,FALSE))),(C140*(VLOOKUP(LeasingHab!$C$24,Seguros_Oblig!$A$3:$D$55,4,FALSE))))</f>
        <v>#VALUE!</v>
      </c>
      <c r="H141" s="8" t="e">
        <f>IF(LeasingHab!$C$10="TARIFA 1",(C140*(VLOOKUP(LeasingHab!$C$25,Seguros_Oblig!$A$3:$B$55,2,FALSE))),(C140*(VLOOKUP(LeasingHab!$C$25,Seguros_Oblig!$A$3:$D$55,4,FALSE))))</f>
        <v>#VALUE!</v>
      </c>
      <c r="I141" s="8" t="e">
        <f>IF(LeasingHab!$C$10="TARIFA 1",(C140*(VLOOKUP(LeasingHab!$C$26,Seguros_Oblig!$A$3:$B$55,2,FALSE))),(C140*(VLOOKUP(LeasingHab!$C$26,Seguros_Oblig!$A$3:$D$55,4,FALSE))))</f>
        <v>#VALUE!</v>
      </c>
      <c r="J141" s="10">
        <f t="shared" si="9"/>
        <v>0</v>
      </c>
      <c r="K141" s="7" t="e">
        <f>IF((C140-1)&lt;$E$17,0,Seguros_Oblig!$K$2*(LeasingHab!$C$12*90%))</f>
        <v>#VALUE!</v>
      </c>
      <c r="L141" s="7" t="e">
        <f>IF(B141&gt;LeasingHab!$C$18,0,PMT(LeasingHab!$E$17,LeasingHab!$C$18,-LeasingHab!$C$15,,)-PMT(LeasingHab!$E$17,LeasingHab!$C$18,-LeasingHab!$C$22)+LeasingHab!$C$22*LeasingHab!$E$17)</f>
        <v>#VALUE!</v>
      </c>
      <c r="M141" s="9" t="e">
        <f t="shared" si="10"/>
        <v>#VALUE!</v>
      </c>
      <c r="N141" s="7" t="e">
        <f>IF((C140-1)&lt;$E$17,0,LeasingHab!$C$39)</f>
        <v>#VALUE!</v>
      </c>
      <c r="O141" s="9" t="e">
        <f t="shared" si="11"/>
        <v>#VALUE!</v>
      </c>
    </row>
    <row r="142" spans="2:15" ht="15.5" x14ac:dyDescent="0.35">
      <c r="B142" s="6" t="e">
        <f t="shared" si="12"/>
        <v>#VALUE!</v>
      </c>
      <c r="C142" s="7" t="e">
        <f t="shared" si="8"/>
        <v>#VALUE!</v>
      </c>
      <c r="D142" s="7" t="e">
        <f t="shared" si="7"/>
        <v>#VALUE!</v>
      </c>
      <c r="E142" s="7" t="e">
        <f>IF((C141-1)&lt;$E$17,0,C141*LeasingHab!$E$17)</f>
        <v>#VALUE!</v>
      </c>
      <c r="F142" s="8" t="e">
        <f>IF((C141-1)&lt;$E$17,"0",IF(LeasingHab!$D$27="Si",($C$19*(VLOOKUP(LeasingHab!$C$23,Seguros_Oblig!$A$3:$F$55,6,FALSE))),IF(LeasingHab!$C$10="TARIFA 1",(C141*(VLOOKUP(LeasingHab!$C$23,Seguros_Oblig!$A$3:$B$55,2,FALSE))),(C141*(VLOOKUP(LeasingHab!$C$23,Seguros_Oblig!$A$3:$D$55,4,FALSE))))))</f>
        <v>#VALUE!</v>
      </c>
      <c r="G142" s="8" t="e">
        <f>IF(LeasingHab!$C$10="TARIFA 1",(C141*(VLOOKUP(LeasingHab!$C$24,Seguros_Oblig!$A$3:$B$55,2,FALSE))),(C141*(VLOOKUP(LeasingHab!$C$24,Seguros_Oblig!$A$3:$D$55,4,FALSE))))</f>
        <v>#VALUE!</v>
      </c>
      <c r="H142" s="8" t="e">
        <f>IF(LeasingHab!$C$10="TARIFA 1",(C141*(VLOOKUP(LeasingHab!$C$25,Seguros_Oblig!$A$3:$B$55,2,FALSE))),(C141*(VLOOKUP(LeasingHab!$C$25,Seguros_Oblig!$A$3:$D$55,4,FALSE))))</f>
        <v>#VALUE!</v>
      </c>
      <c r="I142" s="8" t="e">
        <f>IF(LeasingHab!$C$10="TARIFA 1",(C141*(VLOOKUP(LeasingHab!$C$26,Seguros_Oblig!$A$3:$B$55,2,FALSE))),(C141*(VLOOKUP(LeasingHab!$C$26,Seguros_Oblig!$A$3:$D$55,4,FALSE))))</f>
        <v>#VALUE!</v>
      </c>
      <c r="J142" s="10">
        <f t="shared" si="9"/>
        <v>0</v>
      </c>
      <c r="K142" s="7" t="e">
        <f>IF((C141-1)&lt;$E$17,0,Seguros_Oblig!$K$2*(LeasingHab!$C$12*90%))</f>
        <v>#VALUE!</v>
      </c>
      <c r="L142" s="7" t="e">
        <f>IF(B142&gt;LeasingHab!$C$18,0,PMT(LeasingHab!$E$17,LeasingHab!$C$18,-LeasingHab!$C$15,,)-PMT(LeasingHab!$E$17,LeasingHab!$C$18,-LeasingHab!$C$22)+LeasingHab!$C$22*LeasingHab!$E$17)</f>
        <v>#VALUE!</v>
      </c>
      <c r="M142" s="9" t="e">
        <f t="shared" si="10"/>
        <v>#VALUE!</v>
      </c>
      <c r="N142" s="7" t="e">
        <f>IF((C141-1)&lt;$E$17,0,LeasingHab!$C$39)</f>
        <v>#VALUE!</v>
      </c>
      <c r="O142" s="9" t="e">
        <f t="shared" si="11"/>
        <v>#VALUE!</v>
      </c>
    </row>
    <row r="143" spans="2:15" ht="15.5" x14ac:dyDescent="0.35">
      <c r="B143" s="6" t="e">
        <f t="shared" si="12"/>
        <v>#VALUE!</v>
      </c>
      <c r="C143" s="7" t="e">
        <f t="shared" si="8"/>
        <v>#VALUE!</v>
      </c>
      <c r="D143" s="7" t="e">
        <f t="shared" si="7"/>
        <v>#VALUE!</v>
      </c>
      <c r="E143" s="7" t="e">
        <f>IF((C142-1)&lt;$E$17,0,C142*LeasingHab!$E$17)</f>
        <v>#VALUE!</v>
      </c>
      <c r="F143" s="8" t="e">
        <f>IF((C142-1)&lt;$E$17,"0",IF(LeasingHab!$D$27="Si",($C$19*(VLOOKUP(LeasingHab!$C$23,Seguros_Oblig!$A$3:$F$55,6,FALSE))),IF(LeasingHab!$C$10="TARIFA 1",(C142*(VLOOKUP(LeasingHab!$C$23,Seguros_Oblig!$A$3:$B$55,2,FALSE))),(C142*(VLOOKUP(LeasingHab!$C$23,Seguros_Oblig!$A$3:$D$55,4,FALSE))))))</f>
        <v>#VALUE!</v>
      </c>
      <c r="G143" s="8" t="e">
        <f>IF(LeasingHab!$C$10="TARIFA 1",(C142*(VLOOKUP(LeasingHab!$C$24,Seguros_Oblig!$A$3:$B$55,2,FALSE))),(C142*(VLOOKUP(LeasingHab!$C$24,Seguros_Oblig!$A$3:$D$55,4,FALSE))))</f>
        <v>#VALUE!</v>
      </c>
      <c r="H143" s="8" t="e">
        <f>IF(LeasingHab!$C$10="TARIFA 1",(C142*(VLOOKUP(LeasingHab!$C$25,Seguros_Oblig!$A$3:$B$55,2,FALSE))),(C142*(VLOOKUP(LeasingHab!$C$25,Seguros_Oblig!$A$3:$D$55,4,FALSE))))</f>
        <v>#VALUE!</v>
      </c>
      <c r="I143" s="8" t="e">
        <f>IF(LeasingHab!$C$10="TARIFA 1",(C142*(VLOOKUP(LeasingHab!$C$26,Seguros_Oblig!$A$3:$B$55,2,FALSE))),(C142*(VLOOKUP(LeasingHab!$C$26,Seguros_Oblig!$A$3:$D$55,4,FALSE))))</f>
        <v>#VALUE!</v>
      </c>
      <c r="J143" s="10">
        <f t="shared" si="9"/>
        <v>0</v>
      </c>
      <c r="K143" s="7" t="e">
        <f>IF((C142-1)&lt;$E$17,0,Seguros_Oblig!$K$2*(LeasingHab!$C$12*90%))</f>
        <v>#VALUE!</v>
      </c>
      <c r="L143" s="7" t="e">
        <f>IF(B143&gt;LeasingHab!$C$18,0,PMT(LeasingHab!$E$17,LeasingHab!$C$18,-LeasingHab!$C$15,,)-PMT(LeasingHab!$E$17,LeasingHab!$C$18,-LeasingHab!$C$22)+LeasingHab!$C$22*LeasingHab!$E$17)</f>
        <v>#VALUE!</v>
      </c>
      <c r="M143" s="9" t="e">
        <f t="shared" si="10"/>
        <v>#VALUE!</v>
      </c>
      <c r="N143" s="7" t="e">
        <f>IF((C142-1)&lt;$E$17,0,LeasingHab!$C$39)</f>
        <v>#VALUE!</v>
      </c>
      <c r="O143" s="9" t="e">
        <f t="shared" si="11"/>
        <v>#VALUE!</v>
      </c>
    </row>
    <row r="144" spans="2:15" ht="15.5" x14ac:dyDescent="0.35">
      <c r="B144" s="6" t="e">
        <f t="shared" si="12"/>
        <v>#VALUE!</v>
      </c>
      <c r="C144" s="7" t="e">
        <f t="shared" si="8"/>
        <v>#VALUE!</v>
      </c>
      <c r="D144" s="7" t="e">
        <f t="shared" si="7"/>
        <v>#VALUE!</v>
      </c>
      <c r="E144" s="7" t="e">
        <f>IF((C143-1)&lt;$E$17,0,C143*LeasingHab!$E$17)</f>
        <v>#VALUE!</v>
      </c>
      <c r="F144" s="8" t="e">
        <f>IF((C143-1)&lt;$E$17,"0",IF(LeasingHab!$D$27="Si",($C$19*(VLOOKUP(LeasingHab!$C$23,Seguros_Oblig!$A$3:$F$55,6,FALSE))),IF(LeasingHab!$C$10="TARIFA 1",(C143*(VLOOKUP(LeasingHab!$C$23,Seguros_Oblig!$A$3:$B$55,2,FALSE))),(C143*(VLOOKUP(LeasingHab!$C$23,Seguros_Oblig!$A$3:$D$55,4,FALSE))))))</f>
        <v>#VALUE!</v>
      </c>
      <c r="G144" s="8" t="e">
        <f>IF(LeasingHab!$C$10="TARIFA 1",(C143*(VLOOKUP(LeasingHab!$C$24,Seguros_Oblig!$A$3:$B$55,2,FALSE))),(C143*(VLOOKUP(LeasingHab!$C$24,Seguros_Oblig!$A$3:$D$55,4,FALSE))))</f>
        <v>#VALUE!</v>
      </c>
      <c r="H144" s="8" t="e">
        <f>IF(LeasingHab!$C$10="TARIFA 1",(C143*(VLOOKUP(LeasingHab!$C$25,Seguros_Oblig!$A$3:$B$55,2,FALSE))),(C143*(VLOOKUP(LeasingHab!$C$25,Seguros_Oblig!$A$3:$D$55,4,FALSE))))</f>
        <v>#VALUE!</v>
      </c>
      <c r="I144" s="8" t="e">
        <f>IF(LeasingHab!$C$10="TARIFA 1",(C143*(VLOOKUP(LeasingHab!$C$26,Seguros_Oblig!$A$3:$B$55,2,FALSE))),(C143*(VLOOKUP(LeasingHab!$C$26,Seguros_Oblig!$A$3:$D$55,4,FALSE))))</f>
        <v>#VALUE!</v>
      </c>
      <c r="J144" s="10">
        <f t="shared" si="9"/>
        <v>0</v>
      </c>
      <c r="K144" s="7" t="e">
        <f>IF((C143-1)&lt;$E$17,0,Seguros_Oblig!$K$2*(LeasingHab!$C$12*90%))</f>
        <v>#VALUE!</v>
      </c>
      <c r="L144" s="7" t="e">
        <f>IF(B144&gt;LeasingHab!$C$18,0,PMT(LeasingHab!$E$17,LeasingHab!$C$18,-LeasingHab!$C$15,,)-PMT(LeasingHab!$E$17,LeasingHab!$C$18,-LeasingHab!$C$22)+LeasingHab!$C$22*LeasingHab!$E$17)</f>
        <v>#VALUE!</v>
      </c>
      <c r="M144" s="9" t="e">
        <f t="shared" si="10"/>
        <v>#VALUE!</v>
      </c>
      <c r="N144" s="7" t="e">
        <f>IF((C143-1)&lt;$E$17,0,LeasingHab!$C$39)</f>
        <v>#VALUE!</v>
      </c>
      <c r="O144" s="9" t="e">
        <f t="shared" si="11"/>
        <v>#VALUE!</v>
      </c>
    </row>
    <row r="145" spans="2:15" ht="15.5" x14ac:dyDescent="0.35">
      <c r="B145" s="6" t="e">
        <f t="shared" si="12"/>
        <v>#VALUE!</v>
      </c>
      <c r="C145" s="7" t="e">
        <f t="shared" ref="C145:C208" si="13">IF(D144=0,0,C144-D145)</f>
        <v>#VALUE!</v>
      </c>
      <c r="D145" s="7" t="e">
        <f t="shared" ref="D145:D208" si="14">IF((C144-1)&lt;$E$17,0,L145-E145)</f>
        <v>#VALUE!</v>
      </c>
      <c r="E145" s="7" t="e">
        <f>IF((C144-1)&lt;$E$17,0,C144*LeasingHab!$E$17)</f>
        <v>#VALUE!</v>
      </c>
      <c r="F145" s="8" t="e">
        <f>IF((C144-1)&lt;$E$17,"0",IF(LeasingHab!$D$27="Si",($C$19*(VLOOKUP(LeasingHab!$C$23,Seguros_Oblig!$A$3:$F$55,6,FALSE))),IF(LeasingHab!$C$10="TARIFA 1",(C144*(VLOOKUP(LeasingHab!$C$23,Seguros_Oblig!$A$3:$B$55,2,FALSE))),(C144*(VLOOKUP(LeasingHab!$C$23,Seguros_Oblig!$A$3:$D$55,4,FALSE))))))</f>
        <v>#VALUE!</v>
      </c>
      <c r="G145" s="8" t="e">
        <f>IF(LeasingHab!$C$10="TARIFA 1",(C144*(VLOOKUP(LeasingHab!$C$24,Seguros_Oblig!$A$3:$B$55,2,FALSE))),(C144*(VLOOKUP(LeasingHab!$C$24,Seguros_Oblig!$A$3:$D$55,4,FALSE))))</f>
        <v>#VALUE!</v>
      </c>
      <c r="H145" s="8" t="e">
        <f>IF(LeasingHab!$C$10="TARIFA 1",(C144*(VLOOKUP(LeasingHab!$C$25,Seguros_Oblig!$A$3:$B$55,2,FALSE))),(C144*(VLOOKUP(LeasingHab!$C$25,Seguros_Oblig!$A$3:$D$55,4,FALSE))))</f>
        <v>#VALUE!</v>
      </c>
      <c r="I145" s="8" t="e">
        <f>IF(LeasingHab!$C$10="TARIFA 1",(C144*(VLOOKUP(LeasingHab!$C$26,Seguros_Oblig!$A$3:$B$55,2,FALSE))),(C144*(VLOOKUP(LeasingHab!$C$26,Seguros_Oblig!$A$3:$D$55,4,FALSE))))</f>
        <v>#VALUE!</v>
      </c>
      <c r="J145" s="10">
        <f t="shared" si="9"/>
        <v>0</v>
      </c>
      <c r="K145" s="7" t="e">
        <f>IF((C144-1)&lt;$E$17,0,Seguros_Oblig!$K$2*(LeasingHab!$C$12*90%))</f>
        <v>#VALUE!</v>
      </c>
      <c r="L145" s="7" t="e">
        <f>IF(B145&gt;LeasingHab!$C$18,0,PMT(LeasingHab!$E$17,LeasingHab!$C$18,-LeasingHab!$C$15,,)-PMT(LeasingHab!$E$17,LeasingHab!$C$18,-LeasingHab!$C$22)+LeasingHab!$C$22*LeasingHab!$E$17)</f>
        <v>#VALUE!</v>
      </c>
      <c r="M145" s="9" t="e">
        <f t="shared" si="10"/>
        <v>#VALUE!</v>
      </c>
      <c r="N145" s="7" t="e">
        <f>IF((C144-1)&lt;$E$17,0,LeasingHab!$C$39)</f>
        <v>#VALUE!</v>
      </c>
      <c r="O145" s="9" t="e">
        <f t="shared" si="11"/>
        <v>#VALUE!</v>
      </c>
    </row>
    <row r="146" spans="2:15" ht="15.5" x14ac:dyDescent="0.35">
      <c r="B146" s="6" t="e">
        <f t="shared" si="12"/>
        <v>#VALUE!</v>
      </c>
      <c r="C146" s="7" t="e">
        <f t="shared" si="13"/>
        <v>#VALUE!</v>
      </c>
      <c r="D146" s="7" t="e">
        <f t="shared" si="14"/>
        <v>#VALUE!</v>
      </c>
      <c r="E146" s="7" t="e">
        <f>IF((C145-1)&lt;$E$17,0,C145*LeasingHab!$E$17)</f>
        <v>#VALUE!</v>
      </c>
      <c r="F146" s="8" t="e">
        <f>IF((C145-1)&lt;$E$17,"0",IF(LeasingHab!$D$27="Si",($C$19*(VLOOKUP(LeasingHab!$C$23,Seguros_Oblig!$A$3:$F$55,6,FALSE))),IF(LeasingHab!$C$10="TARIFA 1",(C145*(VLOOKUP(LeasingHab!$C$23,Seguros_Oblig!$A$3:$B$55,2,FALSE))),(C145*(VLOOKUP(LeasingHab!$C$23,Seguros_Oblig!$A$3:$D$55,4,FALSE))))))</f>
        <v>#VALUE!</v>
      </c>
      <c r="G146" s="8" t="e">
        <f>IF(LeasingHab!$C$10="TARIFA 1",(C145*(VLOOKUP(LeasingHab!$C$24,Seguros_Oblig!$A$3:$B$55,2,FALSE))),(C145*(VLOOKUP(LeasingHab!$C$24,Seguros_Oblig!$A$3:$D$55,4,FALSE))))</f>
        <v>#VALUE!</v>
      </c>
      <c r="H146" s="8" t="e">
        <f>IF(LeasingHab!$C$10="TARIFA 1",(C145*(VLOOKUP(LeasingHab!$C$25,Seguros_Oblig!$A$3:$B$55,2,FALSE))),(C145*(VLOOKUP(LeasingHab!$C$25,Seguros_Oblig!$A$3:$D$55,4,FALSE))))</f>
        <v>#VALUE!</v>
      </c>
      <c r="I146" s="8" t="e">
        <f>IF(LeasingHab!$C$10="TARIFA 1",(C145*(VLOOKUP(LeasingHab!$C$26,Seguros_Oblig!$A$3:$B$55,2,FALSE))),(C145*(VLOOKUP(LeasingHab!$C$26,Seguros_Oblig!$A$3:$D$55,4,FALSE))))</f>
        <v>#VALUE!</v>
      </c>
      <c r="J146" s="10">
        <f t="shared" si="9"/>
        <v>0</v>
      </c>
      <c r="K146" s="7" t="e">
        <f>IF((C145-1)&lt;$E$17,0,Seguros_Oblig!$K$2*(LeasingHab!$C$12*90%))</f>
        <v>#VALUE!</v>
      </c>
      <c r="L146" s="7" t="e">
        <f>IF(B146&gt;LeasingHab!$C$18,0,PMT(LeasingHab!$E$17,LeasingHab!$C$18,-LeasingHab!$C$15,,)-PMT(LeasingHab!$E$17,LeasingHab!$C$18,-LeasingHab!$C$22)+LeasingHab!$C$22*LeasingHab!$E$17)</f>
        <v>#VALUE!</v>
      </c>
      <c r="M146" s="9" t="e">
        <f t="shared" si="10"/>
        <v>#VALUE!</v>
      </c>
      <c r="N146" s="7" t="e">
        <f>IF((C145-1)&lt;$E$17,0,LeasingHab!$C$39)</f>
        <v>#VALUE!</v>
      </c>
      <c r="O146" s="9" t="e">
        <f t="shared" si="11"/>
        <v>#VALUE!</v>
      </c>
    </row>
    <row r="147" spans="2:15" ht="15.5" x14ac:dyDescent="0.35">
      <c r="B147" s="6" t="e">
        <f t="shared" si="12"/>
        <v>#VALUE!</v>
      </c>
      <c r="C147" s="7" t="e">
        <f t="shared" si="13"/>
        <v>#VALUE!</v>
      </c>
      <c r="D147" s="7" t="e">
        <f t="shared" si="14"/>
        <v>#VALUE!</v>
      </c>
      <c r="E147" s="7" t="e">
        <f>IF((C146-1)&lt;$E$17,0,C146*LeasingHab!$E$17)</f>
        <v>#VALUE!</v>
      </c>
      <c r="F147" s="8" t="e">
        <f>IF((C146-1)&lt;$E$17,"0",IF(LeasingHab!$D$27="Si",($C$19*(VLOOKUP(LeasingHab!$C$23,Seguros_Oblig!$A$3:$F$55,6,FALSE))),IF(LeasingHab!$C$10="TARIFA 1",(C146*(VLOOKUP(LeasingHab!$C$23,Seguros_Oblig!$A$3:$B$55,2,FALSE))),(C146*(VLOOKUP(LeasingHab!$C$23,Seguros_Oblig!$A$3:$D$55,4,FALSE))))))</f>
        <v>#VALUE!</v>
      </c>
      <c r="G147" s="8" t="e">
        <f>IF(LeasingHab!$C$10="TARIFA 1",(C146*(VLOOKUP(LeasingHab!$C$24,Seguros_Oblig!$A$3:$B$55,2,FALSE))),(C146*(VLOOKUP(LeasingHab!$C$24,Seguros_Oblig!$A$3:$D$55,4,FALSE))))</f>
        <v>#VALUE!</v>
      </c>
      <c r="H147" s="8" t="e">
        <f>IF(LeasingHab!$C$10="TARIFA 1",(C146*(VLOOKUP(LeasingHab!$C$25,Seguros_Oblig!$A$3:$B$55,2,FALSE))),(C146*(VLOOKUP(LeasingHab!$C$25,Seguros_Oblig!$A$3:$D$55,4,FALSE))))</f>
        <v>#VALUE!</v>
      </c>
      <c r="I147" s="8" t="e">
        <f>IF(LeasingHab!$C$10="TARIFA 1",(C146*(VLOOKUP(LeasingHab!$C$26,Seguros_Oblig!$A$3:$B$55,2,FALSE))),(C146*(VLOOKUP(LeasingHab!$C$26,Seguros_Oblig!$A$3:$D$55,4,FALSE))))</f>
        <v>#VALUE!</v>
      </c>
      <c r="J147" s="10">
        <f t="shared" si="9"/>
        <v>0</v>
      </c>
      <c r="K147" s="7" t="e">
        <f>IF((C146-1)&lt;$E$17,0,Seguros_Oblig!$K$2*(LeasingHab!$C$12*90%))</f>
        <v>#VALUE!</v>
      </c>
      <c r="L147" s="7" t="e">
        <f>IF(B147&gt;LeasingHab!$C$18,0,PMT(LeasingHab!$E$17,LeasingHab!$C$18,-LeasingHab!$C$15,,)-PMT(LeasingHab!$E$17,LeasingHab!$C$18,-LeasingHab!$C$22)+LeasingHab!$C$22*LeasingHab!$E$17)</f>
        <v>#VALUE!</v>
      </c>
      <c r="M147" s="9" t="e">
        <f t="shared" si="10"/>
        <v>#VALUE!</v>
      </c>
      <c r="N147" s="7" t="e">
        <f>IF((C146-1)&lt;$E$17,0,LeasingHab!$C$39)</f>
        <v>#VALUE!</v>
      </c>
      <c r="O147" s="9" t="e">
        <f t="shared" si="11"/>
        <v>#VALUE!</v>
      </c>
    </row>
    <row r="148" spans="2:15" ht="15.5" x14ac:dyDescent="0.35">
      <c r="B148" s="6" t="e">
        <f t="shared" si="12"/>
        <v>#VALUE!</v>
      </c>
      <c r="C148" s="7" t="e">
        <f t="shared" si="13"/>
        <v>#VALUE!</v>
      </c>
      <c r="D148" s="7" t="e">
        <f t="shared" si="14"/>
        <v>#VALUE!</v>
      </c>
      <c r="E148" s="7" t="e">
        <f>IF((C147-1)&lt;$E$17,0,C147*LeasingHab!$E$17)</f>
        <v>#VALUE!</v>
      </c>
      <c r="F148" s="8" t="e">
        <f>IF((C147-1)&lt;$E$17,"0",IF(LeasingHab!$D$27="Si",($C$19*(VLOOKUP(LeasingHab!$C$23,Seguros_Oblig!$A$3:$F$55,6,FALSE))),IF(LeasingHab!$C$10="TARIFA 1",(C147*(VLOOKUP(LeasingHab!$C$23,Seguros_Oblig!$A$3:$B$55,2,FALSE))),(C147*(VLOOKUP(LeasingHab!$C$23,Seguros_Oblig!$A$3:$D$55,4,FALSE))))))</f>
        <v>#VALUE!</v>
      </c>
      <c r="G148" s="8" t="e">
        <f>IF(LeasingHab!$C$10="TARIFA 1",(C147*(VLOOKUP(LeasingHab!$C$24,Seguros_Oblig!$A$3:$B$55,2,FALSE))),(C147*(VLOOKUP(LeasingHab!$C$24,Seguros_Oblig!$A$3:$D$55,4,FALSE))))</f>
        <v>#VALUE!</v>
      </c>
      <c r="H148" s="8" t="e">
        <f>IF(LeasingHab!$C$10="TARIFA 1",(C147*(VLOOKUP(LeasingHab!$C$25,Seguros_Oblig!$A$3:$B$55,2,FALSE))),(C147*(VLOOKUP(LeasingHab!$C$25,Seguros_Oblig!$A$3:$D$55,4,FALSE))))</f>
        <v>#VALUE!</v>
      </c>
      <c r="I148" s="8" t="e">
        <f>IF(LeasingHab!$C$10="TARIFA 1",(C147*(VLOOKUP(LeasingHab!$C$26,Seguros_Oblig!$A$3:$B$55,2,FALSE))),(C147*(VLOOKUP(LeasingHab!$C$26,Seguros_Oblig!$A$3:$D$55,4,FALSE))))</f>
        <v>#VALUE!</v>
      </c>
      <c r="J148" s="10">
        <f t="shared" si="9"/>
        <v>0</v>
      </c>
      <c r="K148" s="7" t="e">
        <f>IF((C147-1)&lt;$E$17,0,Seguros_Oblig!$K$2*(LeasingHab!$C$12*90%))</f>
        <v>#VALUE!</v>
      </c>
      <c r="L148" s="7" t="e">
        <f>IF(B148&gt;LeasingHab!$C$18,0,PMT(LeasingHab!$E$17,LeasingHab!$C$18,-LeasingHab!$C$15,,)-PMT(LeasingHab!$E$17,LeasingHab!$C$18,-LeasingHab!$C$22)+LeasingHab!$C$22*LeasingHab!$E$17)</f>
        <v>#VALUE!</v>
      </c>
      <c r="M148" s="9" t="e">
        <f t="shared" si="10"/>
        <v>#VALUE!</v>
      </c>
      <c r="N148" s="7" t="e">
        <f>IF((C147-1)&lt;$E$17,0,LeasingHab!$C$39)</f>
        <v>#VALUE!</v>
      </c>
      <c r="O148" s="9" t="e">
        <f t="shared" si="11"/>
        <v>#VALUE!</v>
      </c>
    </row>
    <row r="149" spans="2:15" ht="15.5" x14ac:dyDescent="0.35">
      <c r="B149" s="6" t="e">
        <f t="shared" si="12"/>
        <v>#VALUE!</v>
      </c>
      <c r="C149" s="7" t="e">
        <f t="shared" si="13"/>
        <v>#VALUE!</v>
      </c>
      <c r="D149" s="7" t="e">
        <f t="shared" si="14"/>
        <v>#VALUE!</v>
      </c>
      <c r="E149" s="7" t="e">
        <f>IF((C148-1)&lt;$E$17,0,C148*LeasingHab!$E$17)</f>
        <v>#VALUE!</v>
      </c>
      <c r="F149" s="8" t="e">
        <f>IF((C148-1)&lt;$E$17,"0",IF(LeasingHab!$D$27="Si",($C$19*(VLOOKUP(LeasingHab!$C$23,Seguros_Oblig!$A$3:$F$55,6,FALSE))),IF(LeasingHab!$C$10="TARIFA 1",(C148*(VLOOKUP(LeasingHab!$C$23,Seguros_Oblig!$A$3:$B$55,2,FALSE))),(C148*(VLOOKUP(LeasingHab!$C$23,Seguros_Oblig!$A$3:$D$55,4,FALSE))))))</f>
        <v>#VALUE!</v>
      </c>
      <c r="G149" s="8" t="e">
        <f>IF(LeasingHab!$C$10="TARIFA 1",(C148*(VLOOKUP(LeasingHab!$C$24,Seguros_Oblig!$A$3:$B$55,2,FALSE))),(C148*(VLOOKUP(LeasingHab!$C$24,Seguros_Oblig!$A$3:$D$55,4,FALSE))))</f>
        <v>#VALUE!</v>
      </c>
      <c r="H149" s="8" t="e">
        <f>IF(LeasingHab!$C$10="TARIFA 1",(C148*(VLOOKUP(LeasingHab!$C$25,Seguros_Oblig!$A$3:$B$55,2,FALSE))),(C148*(VLOOKUP(LeasingHab!$C$25,Seguros_Oblig!$A$3:$D$55,4,FALSE))))</f>
        <v>#VALUE!</v>
      </c>
      <c r="I149" s="8" t="e">
        <f>IF(LeasingHab!$C$10="TARIFA 1",(C148*(VLOOKUP(LeasingHab!$C$26,Seguros_Oblig!$A$3:$B$55,2,FALSE))),(C148*(VLOOKUP(LeasingHab!$C$26,Seguros_Oblig!$A$3:$D$55,4,FALSE))))</f>
        <v>#VALUE!</v>
      </c>
      <c r="J149" s="10">
        <f t="shared" ref="J149:J212" si="15">_xlfn.AGGREGATE(9,6,F149:I149)</f>
        <v>0</v>
      </c>
      <c r="K149" s="7" t="e">
        <f>IF((C148-1)&lt;$E$17,0,Seguros_Oblig!$K$2*(LeasingHab!$C$12*90%))</f>
        <v>#VALUE!</v>
      </c>
      <c r="L149" s="7" t="e">
        <f>IF(B149&gt;LeasingHab!$C$18,0,PMT(LeasingHab!$E$17,LeasingHab!$C$18,-LeasingHab!$C$15,,)-PMT(LeasingHab!$E$17,LeasingHab!$C$18,-LeasingHab!$C$22)+LeasingHab!$C$22*LeasingHab!$E$17)</f>
        <v>#VALUE!</v>
      </c>
      <c r="M149" s="9" t="e">
        <f t="shared" ref="M149:M212" si="16">K149+L149+J149</f>
        <v>#VALUE!</v>
      </c>
      <c r="N149" s="7" t="e">
        <f>IF((C148-1)&lt;$E$17,0,LeasingHab!$C$39)</f>
        <v>#VALUE!</v>
      </c>
      <c r="O149" s="9" t="e">
        <f t="shared" ref="O149:O212" si="17">M149+N149</f>
        <v>#VALUE!</v>
      </c>
    </row>
    <row r="150" spans="2:15" ht="15.5" x14ac:dyDescent="0.35">
      <c r="B150" s="6" t="e">
        <f t="shared" si="12"/>
        <v>#VALUE!</v>
      </c>
      <c r="C150" s="7" t="e">
        <f t="shared" si="13"/>
        <v>#VALUE!</v>
      </c>
      <c r="D150" s="7" t="e">
        <f t="shared" si="14"/>
        <v>#VALUE!</v>
      </c>
      <c r="E150" s="7" t="e">
        <f>IF((C149-1)&lt;$E$17,0,C149*LeasingHab!$E$17)</f>
        <v>#VALUE!</v>
      </c>
      <c r="F150" s="8" t="e">
        <f>IF((C149-1)&lt;$E$17,"0",IF(LeasingHab!$D$27="Si",($C$19*(VLOOKUP(LeasingHab!$C$23,Seguros_Oblig!$A$3:$F$55,6,FALSE))),IF(LeasingHab!$C$10="TARIFA 1",(C149*(VLOOKUP(LeasingHab!$C$23,Seguros_Oblig!$A$3:$B$55,2,FALSE))),(C149*(VLOOKUP(LeasingHab!$C$23,Seguros_Oblig!$A$3:$D$55,4,FALSE))))))</f>
        <v>#VALUE!</v>
      </c>
      <c r="G150" s="8" t="e">
        <f>IF(LeasingHab!$C$10="TARIFA 1",(C149*(VLOOKUP(LeasingHab!$C$24,Seguros_Oblig!$A$3:$B$55,2,FALSE))),(C149*(VLOOKUP(LeasingHab!$C$24,Seguros_Oblig!$A$3:$D$55,4,FALSE))))</f>
        <v>#VALUE!</v>
      </c>
      <c r="H150" s="8" t="e">
        <f>IF(LeasingHab!$C$10="TARIFA 1",(C149*(VLOOKUP(LeasingHab!$C$25,Seguros_Oblig!$A$3:$B$55,2,FALSE))),(C149*(VLOOKUP(LeasingHab!$C$25,Seguros_Oblig!$A$3:$D$55,4,FALSE))))</f>
        <v>#VALUE!</v>
      </c>
      <c r="I150" s="8" t="e">
        <f>IF(LeasingHab!$C$10="TARIFA 1",(C149*(VLOOKUP(LeasingHab!$C$26,Seguros_Oblig!$A$3:$B$55,2,FALSE))),(C149*(VLOOKUP(LeasingHab!$C$26,Seguros_Oblig!$A$3:$D$55,4,FALSE))))</f>
        <v>#VALUE!</v>
      </c>
      <c r="J150" s="10">
        <f t="shared" si="15"/>
        <v>0</v>
      </c>
      <c r="K150" s="7" t="e">
        <f>IF((C149-1)&lt;$E$17,0,Seguros_Oblig!$K$2*(LeasingHab!$C$12*90%))</f>
        <v>#VALUE!</v>
      </c>
      <c r="L150" s="7" t="e">
        <f>IF(B150&gt;LeasingHab!$C$18,0,PMT(LeasingHab!$E$17,LeasingHab!$C$18,-LeasingHab!$C$15,,)-PMT(LeasingHab!$E$17,LeasingHab!$C$18,-LeasingHab!$C$22)+LeasingHab!$C$22*LeasingHab!$E$17)</f>
        <v>#VALUE!</v>
      </c>
      <c r="M150" s="9" t="e">
        <f t="shared" si="16"/>
        <v>#VALUE!</v>
      </c>
      <c r="N150" s="7" t="e">
        <f>IF((C149-1)&lt;$E$17,0,LeasingHab!$C$39)</f>
        <v>#VALUE!</v>
      </c>
      <c r="O150" s="9" t="e">
        <f t="shared" si="17"/>
        <v>#VALUE!</v>
      </c>
    </row>
    <row r="151" spans="2:15" ht="15.5" x14ac:dyDescent="0.35">
      <c r="B151" s="6" t="e">
        <f t="shared" si="12"/>
        <v>#VALUE!</v>
      </c>
      <c r="C151" s="7" t="e">
        <f t="shared" si="13"/>
        <v>#VALUE!</v>
      </c>
      <c r="D151" s="7" t="e">
        <f t="shared" si="14"/>
        <v>#VALUE!</v>
      </c>
      <c r="E151" s="7" t="e">
        <f>IF((C150-1)&lt;$E$17,0,C150*LeasingHab!$E$17)</f>
        <v>#VALUE!</v>
      </c>
      <c r="F151" s="8" t="e">
        <f>IF((C150-1)&lt;$E$17,"0",IF(LeasingHab!$D$27="Si",($C$19*(VLOOKUP(LeasingHab!$C$23,Seguros_Oblig!$A$3:$F$55,6,FALSE))),IF(LeasingHab!$C$10="TARIFA 1",(C150*(VLOOKUP(LeasingHab!$C$23,Seguros_Oblig!$A$3:$B$55,2,FALSE))),(C150*(VLOOKUP(LeasingHab!$C$23,Seguros_Oblig!$A$3:$D$55,4,FALSE))))))</f>
        <v>#VALUE!</v>
      </c>
      <c r="G151" s="8" t="e">
        <f>IF(LeasingHab!$C$10="TARIFA 1",(C150*(VLOOKUP(LeasingHab!$C$24,Seguros_Oblig!$A$3:$B$55,2,FALSE))),(C150*(VLOOKUP(LeasingHab!$C$24,Seguros_Oblig!$A$3:$D$55,4,FALSE))))</f>
        <v>#VALUE!</v>
      </c>
      <c r="H151" s="8" t="e">
        <f>IF(LeasingHab!$C$10="TARIFA 1",(C150*(VLOOKUP(LeasingHab!$C$25,Seguros_Oblig!$A$3:$B$55,2,FALSE))),(C150*(VLOOKUP(LeasingHab!$C$25,Seguros_Oblig!$A$3:$D$55,4,FALSE))))</f>
        <v>#VALUE!</v>
      </c>
      <c r="I151" s="8" t="e">
        <f>IF(LeasingHab!$C$10="TARIFA 1",(C150*(VLOOKUP(LeasingHab!$C$26,Seguros_Oblig!$A$3:$B$55,2,FALSE))),(C150*(VLOOKUP(LeasingHab!$C$26,Seguros_Oblig!$A$3:$D$55,4,FALSE))))</f>
        <v>#VALUE!</v>
      </c>
      <c r="J151" s="10">
        <f t="shared" si="15"/>
        <v>0</v>
      </c>
      <c r="K151" s="7" t="e">
        <f>IF((C150-1)&lt;$E$17,0,Seguros_Oblig!$K$2*(LeasingHab!$C$12*90%))</f>
        <v>#VALUE!</v>
      </c>
      <c r="L151" s="7" t="e">
        <f>IF(B151&gt;LeasingHab!$C$18,0,PMT(LeasingHab!$E$17,LeasingHab!$C$18,-LeasingHab!$C$15,,)-PMT(LeasingHab!$E$17,LeasingHab!$C$18,-LeasingHab!$C$22)+LeasingHab!$C$22*LeasingHab!$E$17)</f>
        <v>#VALUE!</v>
      </c>
      <c r="M151" s="9" t="e">
        <f t="shared" si="16"/>
        <v>#VALUE!</v>
      </c>
      <c r="N151" s="7" t="e">
        <f>IF((C150-1)&lt;$E$17,0,LeasingHab!$C$39)</f>
        <v>#VALUE!</v>
      </c>
      <c r="O151" s="9" t="e">
        <f t="shared" si="17"/>
        <v>#VALUE!</v>
      </c>
    </row>
    <row r="152" spans="2:15" ht="15.5" x14ac:dyDescent="0.35">
      <c r="B152" s="6" t="e">
        <f t="shared" si="12"/>
        <v>#VALUE!</v>
      </c>
      <c r="C152" s="7" t="e">
        <f t="shared" si="13"/>
        <v>#VALUE!</v>
      </c>
      <c r="D152" s="7" t="e">
        <f t="shared" si="14"/>
        <v>#VALUE!</v>
      </c>
      <c r="E152" s="7" t="e">
        <f>IF((C151-1)&lt;$E$17,0,C151*LeasingHab!$E$17)</f>
        <v>#VALUE!</v>
      </c>
      <c r="F152" s="8" t="e">
        <f>IF((C151-1)&lt;$E$17,"0",IF(LeasingHab!$D$27="Si",($C$19*(VLOOKUP(LeasingHab!$C$23,Seguros_Oblig!$A$3:$F$55,6,FALSE))),IF(LeasingHab!$C$10="TARIFA 1",(C151*(VLOOKUP(LeasingHab!$C$23,Seguros_Oblig!$A$3:$B$55,2,FALSE))),(C151*(VLOOKUP(LeasingHab!$C$23,Seguros_Oblig!$A$3:$D$55,4,FALSE))))))</f>
        <v>#VALUE!</v>
      </c>
      <c r="G152" s="8" t="e">
        <f>IF(LeasingHab!$C$10="TARIFA 1",(C151*(VLOOKUP(LeasingHab!$C$24,Seguros_Oblig!$A$3:$B$55,2,FALSE))),(C151*(VLOOKUP(LeasingHab!$C$24,Seguros_Oblig!$A$3:$D$55,4,FALSE))))</f>
        <v>#VALUE!</v>
      </c>
      <c r="H152" s="8" t="e">
        <f>IF(LeasingHab!$C$10="TARIFA 1",(C151*(VLOOKUP(LeasingHab!$C$25,Seguros_Oblig!$A$3:$B$55,2,FALSE))),(C151*(VLOOKUP(LeasingHab!$C$25,Seguros_Oblig!$A$3:$D$55,4,FALSE))))</f>
        <v>#VALUE!</v>
      </c>
      <c r="I152" s="8" t="e">
        <f>IF(LeasingHab!$C$10="TARIFA 1",(C151*(VLOOKUP(LeasingHab!$C$26,Seguros_Oblig!$A$3:$B$55,2,FALSE))),(C151*(VLOOKUP(LeasingHab!$C$26,Seguros_Oblig!$A$3:$D$55,4,FALSE))))</f>
        <v>#VALUE!</v>
      </c>
      <c r="J152" s="10">
        <f t="shared" si="15"/>
        <v>0</v>
      </c>
      <c r="K152" s="7" t="e">
        <f>IF((C151-1)&lt;$E$17,0,Seguros_Oblig!$K$2*(LeasingHab!$C$12*90%))</f>
        <v>#VALUE!</v>
      </c>
      <c r="L152" s="7" t="e">
        <f>IF(B152&gt;LeasingHab!$C$18,0,PMT(LeasingHab!$E$17,LeasingHab!$C$18,-LeasingHab!$C$15,,)-PMT(LeasingHab!$E$17,LeasingHab!$C$18,-LeasingHab!$C$22)+LeasingHab!$C$22*LeasingHab!$E$17)</f>
        <v>#VALUE!</v>
      </c>
      <c r="M152" s="9" t="e">
        <f t="shared" si="16"/>
        <v>#VALUE!</v>
      </c>
      <c r="N152" s="7" t="e">
        <f>IF((C151-1)&lt;$E$17,0,LeasingHab!$C$39)</f>
        <v>#VALUE!</v>
      </c>
      <c r="O152" s="9" t="e">
        <f t="shared" si="17"/>
        <v>#VALUE!</v>
      </c>
    </row>
    <row r="153" spans="2:15" ht="15.5" x14ac:dyDescent="0.35">
      <c r="B153" s="6" t="e">
        <f t="shared" si="12"/>
        <v>#VALUE!</v>
      </c>
      <c r="C153" s="7" t="e">
        <f t="shared" si="13"/>
        <v>#VALUE!</v>
      </c>
      <c r="D153" s="7" t="e">
        <f t="shared" si="14"/>
        <v>#VALUE!</v>
      </c>
      <c r="E153" s="7" t="e">
        <f>IF((C152-1)&lt;$E$17,0,C152*LeasingHab!$E$17)</f>
        <v>#VALUE!</v>
      </c>
      <c r="F153" s="8" t="e">
        <f>IF((C152-1)&lt;$E$17,"0",IF(LeasingHab!$D$27="Si",($C$19*(VLOOKUP(LeasingHab!$C$23,Seguros_Oblig!$A$3:$F$55,6,FALSE))),IF(LeasingHab!$C$10="TARIFA 1",(C152*(VLOOKUP(LeasingHab!$C$23,Seguros_Oblig!$A$3:$B$55,2,FALSE))),(C152*(VLOOKUP(LeasingHab!$C$23,Seguros_Oblig!$A$3:$D$55,4,FALSE))))))</f>
        <v>#VALUE!</v>
      </c>
      <c r="G153" s="8" t="e">
        <f>IF(LeasingHab!$C$10="TARIFA 1",(C152*(VLOOKUP(LeasingHab!$C$24,Seguros_Oblig!$A$3:$B$55,2,FALSE))),(C152*(VLOOKUP(LeasingHab!$C$24,Seguros_Oblig!$A$3:$D$55,4,FALSE))))</f>
        <v>#VALUE!</v>
      </c>
      <c r="H153" s="8" t="e">
        <f>IF(LeasingHab!$C$10="TARIFA 1",(C152*(VLOOKUP(LeasingHab!$C$25,Seguros_Oblig!$A$3:$B$55,2,FALSE))),(C152*(VLOOKUP(LeasingHab!$C$25,Seguros_Oblig!$A$3:$D$55,4,FALSE))))</f>
        <v>#VALUE!</v>
      </c>
      <c r="I153" s="8" t="e">
        <f>IF(LeasingHab!$C$10="TARIFA 1",(C152*(VLOOKUP(LeasingHab!$C$26,Seguros_Oblig!$A$3:$B$55,2,FALSE))),(C152*(VLOOKUP(LeasingHab!$C$26,Seguros_Oblig!$A$3:$D$55,4,FALSE))))</f>
        <v>#VALUE!</v>
      </c>
      <c r="J153" s="10">
        <f t="shared" si="15"/>
        <v>0</v>
      </c>
      <c r="K153" s="7" t="e">
        <f>IF((C152-1)&lt;$E$17,0,Seguros_Oblig!$K$2*(LeasingHab!$C$12*90%))</f>
        <v>#VALUE!</v>
      </c>
      <c r="L153" s="7" t="e">
        <f>IF(B153&gt;LeasingHab!$C$18,0,PMT(LeasingHab!$E$17,LeasingHab!$C$18,-LeasingHab!$C$15,,)-PMT(LeasingHab!$E$17,LeasingHab!$C$18,-LeasingHab!$C$22)+LeasingHab!$C$22*LeasingHab!$E$17)</f>
        <v>#VALUE!</v>
      </c>
      <c r="M153" s="9" t="e">
        <f t="shared" si="16"/>
        <v>#VALUE!</v>
      </c>
      <c r="N153" s="7" t="e">
        <f>IF((C152-1)&lt;$E$17,0,LeasingHab!$C$39)</f>
        <v>#VALUE!</v>
      </c>
      <c r="O153" s="9" t="e">
        <f t="shared" si="17"/>
        <v>#VALUE!</v>
      </c>
    </row>
    <row r="154" spans="2:15" ht="15.5" x14ac:dyDescent="0.35">
      <c r="B154" s="6" t="e">
        <f t="shared" ref="B154:B217" si="18">IF(C153&gt;1,B153+1," ")</f>
        <v>#VALUE!</v>
      </c>
      <c r="C154" s="7" t="e">
        <f t="shared" si="13"/>
        <v>#VALUE!</v>
      </c>
      <c r="D154" s="7" t="e">
        <f t="shared" si="14"/>
        <v>#VALUE!</v>
      </c>
      <c r="E154" s="7" t="e">
        <f>IF((C153-1)&lt;$E$17,0,C153*LeasingHab!$E$17)</f>
        <v>#VALUE!</v>
      </c>
      <c r="F154" s="8" t="e">
        <f>IF((C153-1)&lt;$E$17,"0",IF(LeasingHab!$D$27="Si",($C$19*(VLOOKUP(LeasingHab!$C$23,Seguros_Oblig!$A$3:$F$55,6,FALSE))),IF(LeasingHab!$C$10="TARIFA 1",(C153*(VLOOKUP(LeasingHab!$C$23,Seguros_Oblig!$A$3:$B$55,2,FALSE))),(C153*(VLOOKUP(LeasingHab!$C$23,Seguros_Oblig!$A$3:$D$55,4,FALSE))))))</f>
        <v>#VALUE!</v>
      </c>
      <c r="G154" s="8" t="e">
        <f>IF(LeasingHab!$C$10="TARIFA 1",(C153*(VLOOKUP(LeasingHab!$C$24,Seguros_Oblig!$A$3:$B$55,2,FALSE))),(C153*(VLOOKUP(LeasingHab!$C$24,Seguros_Oblig!$A$3:$D$55,4,FALSE))))</f>
        <v>#VALUE!</v>
      </c>
      <c r="H154" s="8" t="e">
        <f>IF(LeasingHab!$C$10="TARIFA 1",(C153*(VLOOKUP(LeasingHab!$C$25,Seguros_Oblig!$A$3:$B$55,2,FALSE))),(C153*(VLOOKUP(LeasingHab!$C$25,Seguros_Oblig!$A$3:$D$55,4,FALSE))))</f>
        <v>#VALUE!</v>
      </c>
      <c r="I154" s="8" t="e">
        <f>IF(LeasingHab!$C$10="TARIFA 1",(C153*(VLOOKUP(LeasingHab!$C$26,Seguros_Oblig!$A$3:$B$55,2,FALSE))),(C153*(VLOOKUP(LeasingHab!$C$26,Seguros_Oblig!$A$3:$D$55,4,FALSE))))</f>
        <v>#VALUE!</v>
      </c>
      <c r="J154" s="10">
        <f t="shared" si="15"/>
        <v>0</v>
      </c>
      <c r="K154" s="7" t="e">
        <f>IF((C153-1)&lt;$E$17,0,Seguros_Oblig!$K$2*(LeasingHab!$C$12*90%))</f>
        <v>#VALUE!</v>
      </c>
      <c r="L154" s="7" t="e">
        <f>IF(B154&gt;LeasingHab!$C$18,0,PMT(LeasingHab!$E$17,LeasingHab!$C$18,-LeasingHab!$C$15,,)-PMT(LeasingHab!$E$17,LeasingHab!$C$18,-LeasingHab!$C$22)+LeasingHab!$C$22*LeasingHab!$E$17)</f>
        <v>#VALUE!</v>
      </c>
      <c r="M154" s="9" t="e">
        <f t="shared" si="16"/>
        <v>#VALUE!</v>
      </c>
      <c r="N154" s="7" t="e">
        <f>IF((C153-1)&lt;$E$17,0,LeasingHab!$C$39)</f>
        <v>#VALUE!</v>
      </c>
      <c r="O154" s="9" t="e">
        <f t="shared" si="17"/>
        <v>#VALUE!</v>
      </c>
    </row>
    <row r="155" spans="2:15" ht="15.5" x14ac:dyDescent="0.35">
      <c r="B155" s="6" t="e">
        <f t="shared" si="18"/>
        <v>#VALUE!</v>
      </c>
      <c r="C155" s="7" t="e">
        <f t="shared" si="13"/>
        <v>#VALUE!</v>
      </c>
      <c r="D155" s="7" t="e">
        <f t="shared" si="14"/>
        <v>#VALUE!</v>
      </c>
      <c r="E155" s="7" t="e">
        <f>IF((C154-1)&lt;$E$17,0,C154*LeasingHab!$E$17)</f>
        <v>#VALUE!</v>
      </c>
      <c r="F155" s="8" t="e">
        <f>IF((C154-1)&lt;$E$17,"0",IF(LeasingHab!$D$27="Si",($C$19*(VLOOKUP(LeasingHab!$C$23,Seguros_Oblig!$A$3:$F$55,6,FALSE))),IF(LeasingHab!$C$10="TARIFA 1",(C154*(VLOOKUP(LeasingHab!$C$23,Seguros_Oblig!$A$3:$B$55,2,FALSE))),(C154*(VLOOKUP(LeasingHab!$C$23,Seguros_Oblig!$A$3:$D$55,4,FALSE))))))</f>
        <v>#VALUE!</v>
      </c>
      <c r="G155" s="8" t="e">
        <f>IF(LeasingHab!$C$10="TARIFA 1",(C154*(VLOOKUP(LeasingHab!$C$24,Seguros_Oblig!$A$3:$B$55,2,FALSE))),(C154*(VLOOKUP(LeasingHab!$C$24,Seguros_Oblig!$A$3:$D$55,4,FALSE))))</f>
        <v>#VALUE!</v>
      </c>
      <c r="H155" s="8" t="e">
        <f>IF(LeasingHab!$C$10="TARIFA 1",(C154*(VLOOKUP(LeasingHab!$C$25,Seguros_Oblig!$A$3:$B$55,2,FALSE))),(C154*(VLOOKUP(LeasingHab!$C$25,Seguros_Oblig!$A$3:$D$55,4,FALSE))))</f>
        <v>#VALUE!</v>
      </c>
      <c r="I155" s="8" t="e">
        <f>IF(LeasingHab!$C$10="TARIFA 1",(C154*(VLOOKUP(LeasingHab!$C$26,Seguros_Oblig!$A$3:$B$55,2,FALSE))),(C154*(VLOOKUP(LeasingHab!$C$26,Seguros_Oblig!$A$3:$D$55,4,FALSE))))</f>
        <v>#VALUE!</v>
      </c>
      <c r="J155" s="10">
        <f t="shared" si="15"/>
        <v>0</v>
      </c>
      <c r="K155" s="7" t="e">
        <f>IF((C154-1)&lt;$E$17,0,Seguros_Oblig!$K$2*(LeasingHab!$C$12*90%))</f>
        <v>#VALUE!</v>
      </c>
      <c r="L155" s="7" t="e">
        <f>IF(B155&gt;LeasingHab!$C$18,0,PMT(LeasingHab!$E$17,LeasingHab!$C$18,-LeasingHab!$C$15,,)-PMT(LeasingHab!$E$17,LeasingHab!$C$18,-LeasingHab!$C$22)+LeasingHab!$C$22*LeasingHab!$E$17)</f>
        <v>#VALUE!</v>
      </c>
      <c r="M155" s="9" t="e">
        <f t="shared" si="16"/>
        <v>#VALUE!</v>
      </c>
      <c r="N155" s="7" t="e">
        <f>IF((C154-1)&lt;$E$17,0,LeasingHab!$C$39)</f>
        <v>#VALUE!</v>
      </c>
      <c r="O155" s="9" t="e">
        <f t="shared" si="17"/>
        <v>#VALUE!</v>
      </c>
    </row>
    <row r="156" spans="2:15" ht="15.5" x14ac:dyDescent="0.35">
      <c r="B156" s="6" t="e">
        <f t="shared" si="18"/>
        <v>#VALUE!</v>
      </c>
      <c r="C156" s="7" t="e">
        <f t="shared" si="13"/>
        <v>#VALUE!</v>
      </c>
      <c r="D156" s="7" t="e">
        <f t="shared" si="14"/>
        <v>#VALUE!</v>
      </c>
      <c r="E156" s="7" t="e">
        <f>IF((C155-1)&lt;$E$17,0,C155*LeasingHab!$E$17)</f>
        <v>#VALUE!</v>
      </c>
      <c r="F156" s="8" t="e">
        <f>IF((C155-1)&lt;$E$17,"0",IF(LeasingHab!$D$27="Si",($C$19*(VLOOKUP(LeasingHab!$C$23,Seguros_Oblig!$A$3:$F$55,6,FALSE))),IF(LeasingHab!$C$10="TARIFA 1",(C155*(VLOOKUP(LeasingHab!$C$23,Seguros_Oblig!$A$3:$B$55,2,FALSE))),(C155*(VLOOKUP(LeasingHab!$C$23,Seguros_Oblig!$A$3:$D$55,4,FALSE))))))</f>
        <v>#VALUE!</v>
      </c>
      <c r="G156" s="8" t="e">
        <f>IF(LeasingHab!$C$10="TARIFA 1",(C155*(VLOOKUP(LeasingHab!$C$24,Seguros_Oblig!$A$3:$B$55,2,FALSE))),(C155*(VLOOKUP(LeasingHab!$C$24,Seguros_Oblig!$A$3:$D$55,4,FALSE))))</f>
        <v>#VALUE!</v>
      </c>
      <c r="H156" s="8" t="e">
        <f>IF(LeasingHab!$C$10="TARIFA 1",(C155*(VLOOKUP(LeasingHab!$C$25,Seguros_Oblig!$A$3:$B$55,2,FALSE))),(C155*(VLOOKUP(LeasingHab!$C$25,Seguros_Oblig!$A$3:$D$55,4,FALSE))))</f>
        <v>#VALUE!</v>
      </c>
      <c r="I156" s="8" t="e">
        <f>IF(LeasingHab!$C$10="TARIFA 1",(C155*(VLOOKUP(LeasingHab!$C$26,Seguros_Oblig!$A$3:$B$55,2,FALSE))),(C155*(VLOOKUP(LeasingHab!$C$26,Seguros_Oblig!$A$3:$D$55,4,FALSE))))</f>
        <v>#VALUE!</v>
      </c>
      <c r="J156" s="10">
        <f t="shared" si="15"/>
        <v>0</v>
      </c>
      <c r="K156" s="7" t="e">
        <f>IF((C155-1)&lt;$E$17,0,Seguros_Oblig!$K$2*(LeasingHab!$C$12*90%))</f>
        <v>#VALUE!</v>
      </c>
      <c r="L156" s="7" t="e">
        <f>IF(B156&gt;LeasingHab!$C$18,0,PMT(LeasingHab!$E$17,LeasingHab!$C$18,-LeasingHab!$C$15,,)-PMT(LeasingHab!$E$17,LeasingHab!$C$18,-LeasingHab!$C$22)+LeasingHab!$C$22*LeasingHab!$E$17)</f>
        <v>#VALUE!</v>
      </c>
      <c r="M156" s="9" t="e">
        <f t="shared" si="16"/>
        <v>#VALUE!</v>
      </c>
      <c r="N156" s="7" t="e">
        <f>IF((C155-1)&lt;$E$17,0,LeasingHab!$C$39)</f>
        <v>#VALUE!</v>
      </c>
      <c r="O156" s="9" t="e">
        <f t="shared" si="17"/>
        <v>#VALUE!</v>
      </c>
    </row>
    <row r="157" spans="2:15" ht="15.5" x14ac:dyDescent="0.35">
      <c r="B157" s="6" t="e">
        <f t="shared" si="18"/>
        <v>#VALUE!</v>
      </c>
      <c r="C157" s="7" t="e">
        <f t="shared" si="13"/>
        <v>#VALUE!</v>
      </c>
      <c r="D157" s="7" t="e">
        <f t="shared" si="14"/>
        <v>#VALUE!</v>
      </c>
      <c r="E157" s="7" t="e">
        <f>IF((C156-1)&lt;$E$17,0,C156*LeasingHab!$E$17)</f>
        <v>#VALUE!</v>
      </c>
      <c r="F157" s="8" t="e">
        <f>IF((C156-1)&lt;$E$17,"0",IF(LeasingHab!$D$27="Si",($C$19*(VLOOKUP(LeasingHab!$C$23,Seguros_Oblig!$A$3:$F$55,6,FALSE))),IF(LeasingHab!$C$10="TARIFA 1",(C156*(VLOOKUP(LeasingHab!$C$23,Seguros_Oblig!$A$3:$B$55,2,FALSE))),(C156*(VLOOKUP(LeasingHab!$C$23,Seguros_Oblig!$A$3:$D$55,4,FALSE))))))</f>
        <v>#VALUE!</v>
      </c>
      <c r="G157" s="8" t="e">
        <f>IF(LeasingHab!$C$10="TARIFA 1",(C156*(VLOOKUP(LeasingHab!$C$24,Seguros_Oblig!$A$3:$B$55,2,FALSE))),(C156*(VLOOKUP(LeasingHab!$C$24,Seguros_Oblig!$A$3:$D$55,4,FALSE))))</f>
        <v>#VALUE!</v>
      </c>
      <c r="H157" s="8" t="e">
        <f>IF(LeasingHab!$C$10="TARIFA 1",(C156*(VLOOKUP(LeasingHab!$C$25,Seguros_Oblig!$A$3:$B$55,2,FALSE))),(C156*(VLOOKUP(LeasingHab!$C$25,Seguros_Oblig!$A$3:$D$55,4,FALSE))))</f>
        <v>#VALUE!</v>
      </c>
      <c r="I157" s="8" t="e">
        <f>IF(LeasingHab!$C$10="TARIFA 1",(C156*(VLOOKUP(LeasingHab!$C$26,Seguros_Oblig!$A$3:$B$55,2,FALSE))),(C156*(VLOOKUP(LeasingHab!$C$26,Seguros_Oblig!$A$3:$D$55,4,FALSE))))</f>
        <v>#VALUE!</v>
      </c>
      <c r="J157" s="10">
        <f t="shared" si="15"/>
        <v>0</v>
      </c>
      <c r="K157" s="7" t="e">
        <f>IF((C156-1)&lt;$E$17,0,Seguros_Oblig!$K$2*(LeasingHab!$C$12*90%))</f>
        <v>#VALUE!</v>
      </c>
      <c r="L157" s="7" t="e">
        <f>IF(B157&gt;LeasingHab!$C$18,0,PMT(LeasingHab!$E$17,LeasingHab!$C$18,-LeasingHab!$C$15,,)-PMT(LeasingHab!$E$17,LeasingHab!$C$18,-LeasingHab!$C$22)+LeasingHab!$C$22*LeasingHab!$E$17)</f>
        <v>#VALUE!</v>
      </c>
      <c r="M157" s="9" t="e">
        <f t="shared" si="16"/>
        <v>#VALUE!</v>
      </c>
      <c r="N157" s="7" t="e">
        <f>IF((C156-1)&lt;$E$17,0,LeasingHab!$C$39)</f>
        <v>#VALUE!</v>
      </c>
      <c r="O157" s="9" t="e">
        <f t="shared" si="17"/>
        <v>#VALUE!</v>
      </c>
    </row>
    <row r="158" spans="2:15" ht="15.5" x14ac:dyDescent="0.35">
      <c r="B158" s="6" t="e">
        <f t="shared" si="18"/>
        <v>#VALUE!</v>
      </c>
      <c r="C158" s="7" t="e">
        <f t="shared" si="13"/>
        <v>#VALUE!</v>
      </c>
      <c r="D158" s="7" t="e">
        <f t="shared" si="14"/>
        <v>#VALUE!</v>
      </c>
      <c r="E158" s="7" t="e">
        <f>IF((C157-1)&lt;$E$17,0,C157*LeasingHab!$E$17)</f>
        <v>#VALUE!</v>
      </c>
      <c r="F158" s="8" t="e">
        <f>IF((C157-1)&lt;$E$17,"0",IF(LeasingHab!$D$27="Si",($C$19*(VLOOKUP(LeasingHab!$C$23,Seguros_Oblig!$A$3:$F$55,6,FALSE))),IF(LeasingHab!$C$10="TARIFA 1",(C157*(VLOOKUP(LeasingHab!$C$23,Seguros_Oblig!$A$3:$B$55,2,FALSE))),(C157*(VLOOKUP(LeasingHab!$C$23,Seguros_Oblig!$A$3:$D$55,4,FALSE))))))</f>
        <v>#VALUE!</v>
      </c>
      <c r="G158" s="8" t="e">
        <f>IF(LeasingHab!$C$10="TARIFA 1",(C157*(VLOOKUP(LeasingHab!$C$24,Seguros_Oblig!$A$3:$B$55,2,FALSE))),(C157*(VLOOKUP(LeasingHab!$C$24,Seguros_Oblig!$A$3:$D$55,4,FALSE))))</f>
        <v>#VALUE!</v>
      </c>
      <c r="H158" s="8" t="e">
        <f>IF(LeasingHab!$C$10="TARIFA 1",(C157*(VLOOKUP(LeasingHab!$C$25,Seguros_Oblig!$A$3:$B$55,2,FALSE))),(C157*(VLOOKUP(LeasingHab!$C$25,Seguros_Oblig!$A$3:$D$55,4,FALSE))))</f>
        <v>#VALUE!</v>
      </c>
      <c r="I158" s="8" t="e">
        <f>IF(LeasingHab!$C$10="TARIFA 1",(C157*(VLOOKUP(LeasingHab!$C$26,Seguros_Oblig!$A$3:$B$55,2,FALSE))),(C157*(VLOOKUP(LeasingHab!$C$26,Seguros_Oblig!$A$3:$D$55,4,FALSE))))</f>
        <v>#VALUE!</v>
      </c>
      <c r="J158" s="10">
        <f t="shared" si="15"/>
        <v>0</v>
      </c>
      <c r="K158" s="7" t="e">
        <f>IF((C157-1)&lt;$E$17,0,Seguros_Oblig!$K$2*(LeasingHab!$C$12*90%))</f>
        <v>#VALUE!</v>
      </c>
      <c r="L158" s="7" t="e">
        <f>IF(B158&gt;LeasingHab!$C$18,0,PMT(LeasingHab!$E$17,LeasingHab!$C$18,-LeasingHab!$C$15,,)-PMT(LeasingHab!$E$17,LeasingHab!$C$18,-LeasingHab!$C$22)+LeasingHab!$C$22*LeasingHab!$E$17)</f>
        <v>#VALUE!</v>
      </c>
      <c r="M158" s="9" t="e">
        <f t="shared" si="16"/>
        <v>#VALUE!</v>
      </c>
      <c r="N158" s="7" t="e">
        <f>IF((C157-1)&lt;$E$17,0,LeasingHab!$C$39)</f>
        <v>#VALUE!</v>
      </c>
      <c r="O158" s="9" t="e">
        <f t="shared" si="17"/>
        <v>#VALUE!</v>
      </c>
    </row>
    <row r="159" spans="2:15" ht="15.5" x14ac:dyDescent="0.35">
      <c r="B159" s="6" t="e">
        <f t="shared" si="18"/>
        <v>#VALUE!</v>
      </c>
      <c r="C159" s="7" t="e">
        <f t="shared" si="13"/>
        <v>#VALUE!</v>
      </c>
      <c r="D159" s="7" t="e">
        <f t="shared" si="14"/>
        <v>#VALUE!</v>
      </c>
      <c r="E159" s="7" t="e">
        <f>IF((C158-1)&lt;$E$17,0,C158*LeasingHab!$E$17)</f>
        <v>#VALUE!</v>
      </c>
      <c r="F159" s="8" t="e">
        <f>IF((C158-1)&lt;$E$17,"0",IF(LeasingHab!$D$27="Si",($C$19*(VLOOKUP(LeasingHab!$C$23,Seguros_Oblig!$A$3:$F$55,6,FALSE))),IF(LeasingHab!$C$10="TARIFA 1",(C158*(VLOOKUP(LeasingHab!$C$23,Seguros_Oblig!$A$3:$B$55,2,FALSE))),(C158*(VLOOKUP(LeasingHab!$C$23,Seguros_Oblig!$A$3:$D$55,4,FALSE))))))</f>
        <v>#VALUE!</v>
      </c>
      <c r="G159" s="8" t="e">
        <f>IF(LeasingHab!$C$10="TARIFA 1",(C158*(VLOOKUP(LeasingHab!$C$24,Seguros_Oblig!$A$3:$B$55,2,FALSE))),(C158*(VLOOKUP(LeasingHab!$C$24,Seguros_Oblig!$A$3:$D$55,4,FALSE))))</f>
        <v>#VALUE!</v>
      </c>
      <c r="H159" s="8" t="e">
        <f>IF(LeasingHab!$C$10="TARIFA 1",(C158*(VLOOKUP(LeasingHab!$C$25,Seguros_Oblig!$A$3:$B$55,2,FALSE))),(C158*(VLOOKUP(LeasingHab!$C$25,Seguros_Oblig!$A$3:$D$55,4,FALSE))))</f>
        <v>#VALUE!</v>
      </c>
      <c r="I159" s="8" t="e">
        <f>IF(LeasingHab!$C$10="TARIFA 1",(C158*(VLOOKUP(LeasingHab!$C$26,Seguros_Oblig!$A$3:$B$55,2,FALSE))),(C158*(VLOOKUP(LeasingHab!$C$26,Seguros_Oblig!$A$3:$D$55,4,FALSE))))</f>
        <v>#VALUE!</v>
      </c>
      <c r="J159" s="10">
        <f t="shared" si="15"/>
        <v>0</v>
      </c>
      <c r="K159" s="7" t="e">
        <f>IF((C158-1)&lt;$E$17,0,Seguros_Oblig!$K$2*(LeasingHab!$C$12*90%))</f>
        <v>#VALUE!</v>
      </c>
      <c r="L159" s="7" t="e">
        <f>IF(B159&gt;LeasingHab!$C$18,0,PMT(LeasingHab!$E$17,LeasingHab!$C$18,-LeasingHab!$C$15,,)-PMT(LeasingHab!$E$17,LeasingHab!$C$18,-LeasingHab!$C$22)+LeasingHab!$C$22*LeasingHab!$E$17)</f>
        <v>#VALUE!</v>
      </c>
      <c r="M159" s="9" t="e">
        <f t="shared" si="16"/>
        <v>#VALUE!</v>
      </c>
      <c r="N159" s="7" t="e">
        <f>IF((C158-1)&lt;$E$17,0,LeasingHab!$C$39)</f>
        <v>#VALUE!</v>
      </c>
      <c r="O159" s="9" t="e">
        <f t="shared" si="17"/>
        <v>#VALUE!</v>
      </c>
    </row>
    <row r="160" spans="2:15" ht="15.5" x14ac:dyDescent="0.35">
      <c r="B160" s="6" t="e">
        <f t="shared" si="18"/>
        <v>#VALUE!</v>
      </c>
      <c r="C160" s="7" t="e">
        <f t="shared" si="13"/>
        <v>#VALUE!</v>
      </c>
      <c r="D160" s="7" t="e">
        <f t="shared" si="14"/>
        <v>#VALUE!</v>
      </c>
      <c r="E160" s="7" t="e">
        <f>IF((C159-1)&lt;$E$17,0,C159*LeasingHab!$E$17)</f>
        <v>#VALUE!</v>
      </c>
      <c r="F160" s="8" t="e">
        <f>IF((C159-1)&lt;$E$17,"0",IF(LeasingHab!$D$27="Si",($C$19*(VLOOKUP(LeasingHab!$C$23,Seguros_Oblig!$A$3:$F$55,6,FALSE))),IF(LeasingHab!$C$10="TARIFA 1",(C159*(VLOOKUP(LeasingHab!$C$23,Seguros_Oblig!$A$3:$B$55,2,FALSE))),(C159*(VLOOKUP(LeasingHab!$C$23,Seguros_Oblig!$A$3:$D$55,4,FALSE))))))</f>
        <v>#VALUE!</v>
      </c>
      <c r="G160" s="8" t="e">
        <f>IF(LeasingHab!$C$10="TARIFA 1",(C159*(VLOOKUP(LeasingHab!$C$24,Seguros_Oblig!$A$3:$B$55,2,FALSE))),(C159*(VLOOKUP(LeasingHab!$C$24,Seguros_Oblig!$A$3:$D$55,4,FALSE))))</f>
        <v>#VALUE!</v>
      </c>
      <c r="H160" s="8" t="e">
        <f>IF(LeasingHab!$C$10="TARIFA 1",(C159*(VLOOKUP(LeasingHab!$C$25,Seguros_Oblig!$A$3:$B$55,2,FALSE))),(C159*(VLOOKUP(LeasingHab!$C$25,Seguros_Oblig!$A$3:$D$55,4,FALSE))))</f>
        <v>#VALUE!</v>
      </c>
      <c r="I160" s="8" t="e">
        <f>IF(LeasingHab!$C$10="TARIFA 1",(C159*(VLOOKUP(LeasingHab!$C$26,Seguros_Oblig!$A$3:$B$55,2,FALSE))),(C159*(VLOOKUP(LeasingHab!$C$26,Seguros_Oblig!$A$3:$D$55,4,FALSE))))</f>
        <v>#VALUE!</v>
      </c>
      <c r="J160" s="10">
        <f t="shared" si="15"/>
        <v>0</v>
      </c>
      <c r="K160" s="7" t="e">
        <f>IF((C159-1)&lt;$E$17,0,Seguros_Oblig!$K$2*(LeasingHab!$C$12*90%))</f>
        <v>#VALUE!</v>
      </c>
      <c r="L160" s="7" t="e">
        <f>IF(B160&gt;LeasingHab!$C$18,0,PMT(LeasingHab!$E$17,LeasingHab!$C$18,-LeasingHab!$C$15,,)-PMT(LeasingHab!$E$17,LeasingHab!$C$18,-LeasingHab!$C$22)+LeasingHab!$C$22*LeasingHab!$E$17)</f>
        <v>#VALUE!</v>
      </c>
      <c r="M160" s="9" t="e">
        <f t="shared" si="16"/>
        <v>#VALUE!</v>
      </c>
      <c r="N160" s="7" t="e">
        <f>IF((C159-1)&lt;$E$17,0,LeasingHab!$C$39)</f>
        <v>#VALUE!</v>
      </c>
      <c r="O160" s="9" t="e">
        <f t="shared" si="17"/>
        <v>#VALUE!</v>
      </c>
    </row>
    <row r="161" spans="2:15" ht="15.5" x14ac:dyDescent="0.35">
      <c r="B161" s="6" t="e">
        <f t="shared" si="18"/>
        <v>#VALUE!</v>
      </c>
      <c r="C161" s="7" t="e">
        <f t="shared" si="13"/>
        <v>#VALUE!</v>
      </c>
      <c r="D161" s="7" t="e">
        <f t="shared" si="14"/>
        <v>#VALUE!</v>
      </c>
      <c r="E161" s="7" t="e">
        <f>IF((C160-1)&lt;$E$17,0,C160*LeasingHab!$E$17)</f>
        <v>#VALUE!</v>
      </c>
      <c r="F161" s="8" t="e">
        <f>IF((C160-1)&lt;$E$17,"0",IF(LeasingHab!$D$27="Si",($C$19*(VLOOKUP(LeasingHab!$C$23,Seguros_Oblig!$A$3:$F$55,6,FALSE))),IF(LeasingHab!$C$10="TARIFA 1",(C160*(VLOOKUP(LeasingHab!$C$23,Seguros_Oblig!$A$3:$B$55,2,FALSE))),(C160*(VLOOKUP(LeasingHab!$C$23,Seguros_Oblig!$A$3:$D$55,4,FALSE))))))</f>
        <v>#VALUE!</v>
      </c>
      <c r="G161" s="8" t="e">
        <f>IF(LeasingHab!$C$10="TARIFA 1",(C160*(VLOOKUP(LeasingHab!$C$24,Seguros_Oblig!$A$3:$B$55,2,FALSE))),(C160*(VLOOKUP(LeasingHab!$C$24,Seguros_Oblig!$A$3:$D$55,4,FALSE))))</f>
        <v>#VALUE!</v>
      </c>
      <c r="H161" s="8" t="e">
        <f>IF(LeasingHab!$C$10="TARIFA 1",(C160*(VLOOKUP(LeasingHab!$C$25,Seguros_Oblig!$A$3:$B$55,2,FALSE))),(C160*(VLOOKUP(LeasingHab!$C$25,Seguros_Oblig!$A$3:$D$55,4,FALSE))))</f>
        <v>#VALUE!</v>
      </c>
      <c r="I161" s="8" t="e">
        <f>IF(LeasingHab!$C$10="TARIFA 1",(C160*(VLOOKUP(LeasingHab!$C$26,Seguros_Oblig!$A$3:$B$55,2,FALSE))),(C160*(VLOOKUP(LeasingHab!$C$26,Seguros_Oblig!$A$3:$D$55,4,FALSE))))</f>
        <v>#VALUE!</v>
      </c>
      <c r="J161" s="10">
        <f t="shared" si="15"/>
        <v>0</v>
      </c>
      <c r="K161" s="7" t="e">
        <f>IF((C160-1)&lt;$E$17,0,Seguros_Oblig!$K$2*(LeasingHab!$C$12*90%))</f>
        <v>#VALUE!</v>
      </c>
      <c r="L161" s="7" t="e">
        <f>IF(B161&gt;LeasingHab!$C$18,0,PMT(LeasingHab!$E$17,LeasingHab!$C$18,-LeasingHab!$C$15,,)-PMT(LeasingHab!$E$17,LeasingHab!$C$18,-LeasingHab!$C$22)+LeasingHab!$C$22*LeasingHab!$E$17)</f>
        <v>#VALUE!</v>
      </c>
      <c r="M161" s="9" t="e">
        <f t="shared" si="16"/>
        <v>#VALUE!</v>
      </c>
      <c r="N161" s="7" t="e">
        <f>IF((C160-1)&lt;$E$17,0,LeasingHab!$C$39)</f>
        <v>#VALUE!</v>
      </c>
      <c r="O161" s="9" t="e">
        <f t="shared" si="17"/>
        <v>#VALUE!</v>
      </c>
    </row>
    <row r="162" spans="2:15" ht="15.5" x14ac:dyDescent="0.35">
      <c r="B162" s="6" t="e">
        <f t="shared" si="18"/>
        <v>#VALUE!</v>
      </c>
      <c r="C162" s="7" t="e">
        <f t="shared" si="13"/>
        <v>#VALUE!</v>
      </c>
      <c r="D162" s="7" t="e">
        <f t="shared" si="14"/>
        <v>#VALUE!</v>
      </c>
      <c r="E162" s="7" t="e">
        <f>IF((C161-1)&lt;$E$17,0,C161*LeasingHab!$E$17)</f>
        <v>#VALUE!</v>
      </c>
      <c r="F162" s="8" t="e">
        <f>IF((C161-1)&lt;$E$17,"0",IF(LeasingHab!$D$27="Si",($C$19*(VLOOKUP(LeasingHab!$C$23,Seguros_Oblig!$A$3:$F$55,6,FALSE))),IF(LeasingHab!$C$10="TARIFA 1",(C161*(VLOOKUP(LeasingHab!$C$23,Seguros_Oblig!$A$3:$B$55,2,FALSE))),(C161*(VLOOKUP(LeasingHab!$C$23,Seguros_Oblig!$A$3:$D$55,4,FALSE))))))</f>
        <v>#VALUE!</v>
      </c>
      <c r="G162" s="8" t="e">
        <f>IF(LeasingHab!$C$10="TARIFA 1",(C161*(VLOOKUP(LeasingHab!$C$24,Seguros_Oblig!$A$3:$B$55,2,FALSE))),(C161*(VLOOKUP(LeasingHab!$C$24,Seguros_Oblig!$A$3:$D$55,4,FALSE))))</f>
        <v>#VALUE!</v>
      </c>
      <c r="H162" s="8" t="e">
        <f>IF(LeasingHab!$C$10="TARIFA 1",(C161*(VLOOKUP(LeasingHab!$C$25,Seguros_Oblig!$A$3:$B$55,2,FALSE))),(C161*(VLOOKUP(LeasingHab!$C$25,Seguros_Oblig!$A$3:$D$55,4,FALSE))))</f>
        <v>#VALUE!</v>
      </c>
      <c r="I162" s="8" t="e">
        <f>IF(LeasingHab!$C$10="TARIFA 1",(C161*(VLOOKUP(LeasingHab!$C$26,Seguros_Oblig!$A$3:$B$55,2,FALSE))),(C161*(VLOOKUP(LeasingHab!$C$26,Seguros_Oblig!$A$3:$D$55,4,FALSE))))</f>
        <v>#VALUE!</v>
      </c>
      <c r="J162" s="10">
        <f t="shared" si="15"/>
        <v>0</v>
      </c>
      <c r="K162" s="7" t="e">
        <f>IF((C161-1)&lt;$E$17,0,Seguros_Oblig!$K$2*(LeasingHab!$C$12*90%))</f>
        <v>#VALUE!</v>
      </c>
      <c r="L162" s="7" t="e">
        <f>IF(B162&gt;LeasingHab!$C$18,0,PMT(LeasingHab!$E$17,LeasingHab!$C$18,-LeasingHab!$C$15,,)-PMT(LeasingHab!$E$17,LeasingHab!$C$18,-LeasingHab!$C$22)+LeasingHab!$C$22*LeasingHab!$E$17)</f>
        <v>#VALUE!</v>
      </c>
      <c r="M162" s="9" t="e">
        <f t="shared" si="16"/>
        <v>#VALUE!</v>
      </c>
      <c r="N162" s="7" t="e">
        <f>IF((C161-1)&lt;$E$17,0,LeasingHab!$C$39)</f>
        <v>#VALUE!</v>
      </c>
      <c r="O162" s="9" t="e">
        <f t="shared" si="17"/>
        <v>#VALUE!</v>
      </c>
    </row>
    <row r="163" spans="2:15" ht="15.5" x14ac:dyDescent="0.35">
      <c r="B163" s="6" t="e">
        <f t="shared" si="18"/>
        <v>#VALUE!</v>
      </c>
      <c r="C163" s="7" t="e">
        <f t="shared" si="13"/>
        <v>#VALUE!</v>
      </c>
      <c r="D163" s="7" t="e">
        <f t="shared" si="14"/>
        <v>#VALUE!</v>
      </c>
      <c r="E163" s="7" t="e">
        <f>IF((C162-1)&lt;$E$17,0,C162*LeasingHab!$E$17)</f>
        <v>#VALUE!</v>
      </c>
      <c r="F163" s="8" t="e">
        <f>IF((C162-1)&lt;$E$17,"0",IF(LeasingHab!$D$27="Si",($C$19*(VLOOKUP(LeasingHab!$C$23,Seguros_Oblig!$A$3:$F$55,6,FALSE))),IF(LeasingHab!$C$10="TARIFA 1",(C162*(VLOOKUP(LeasingHab!$C$23,Seguros_Oblig!$A$3:$B$55,2,FALSE))),(C162*(VLOOKUP(LeasingHab!$C$23,Seguros_Oblig!$A$3:$D$55,4,FALSE))))))</f>
        <v>#VALUE!</v>
      </c>
      <c r="G163" s="8" t="e">
        <f>IF(LeasingHab!$C$10="TARIFA 1",(C162*(VLOOKUP(LeasingHab!$C$24,Seguros_Oblig!$A$3:$B$55,2,FALSE))),(C162*(VLOOKUP(LeasingHab!$C$24,Seguros_Oblig!$A$3:$D$55,4,FALSE))))</f>
        <v>#VALUE!</v>
      </c>
      <c r="H163" s="8" t="e">
        <f>IF(LeasingHab!$C$10="TARIFA 1",(C162*(VLOOKUP(LeasingHab!$C$25,Seguros_Oblig!$A$3:$B$55,2,FALSE))),(C162*(VLOOKUP(LeasingHab!$C$25,Seguros_Oblig!$A$3:$D$55,4,FALSE))))</f>
        <v>#VALUE!</v>
      </c>
      <c r="I163" s="8" t="e">
        <f>IF(LeasingHab!$C$10="TARIFA 1",(C162*(VLOOKUP(LeasingHab!$C$26,Seguros_Oblig!$A$3:$B$55,2,FALSE))),(C162*(VLOOKUP(LeasingHab!$C$26,Seguros_Oblig!$A$3:$D$55,4,FALSE))))</f>
        <v>#VALUE!</v>
      </c>
      <c r="J163" s="10">
        <f t="shared" si="15"/>
        <v>0</v>
      </c>
      <c r="K163" s="7" t="e">
        <f>IF((C162-1)&lt;$E$17,0,Seguros_Oblig!$K$2*(LeasingHab!$C$12*90%))</f>
        <v>#VALUE!</v>
      </c>
      <c r="L163" s="7" t="e">
        <f>IF(B163&gt;LeasingHab!$C$18,0,PMT(LeasingHab!$E$17,LeasingHab!$C$18,-LeasingHab!$C$15,,)-PMT(LeasingHab!$E$17,LeasingHab!$C$18,-LeasingHab!$C$22)+LeasingHab!$C$22*LeasingHab!$E$17)</f>
        <v>#VALUE!</v>
      </c>
      <c r="M163" s="9" t="e">
        <f t="shared" si="16"/>
        <v>#VALUE!</v>
      </c>
      <c r="N163" s="7" t="e">
        <f>IF((C162-1)&lt;$E$17,0,LeasingHab!$C$39)</f>
        <v>#VALUE!</v>
      </c>
      <c r="O163" s="9" t="e">
        <f t="shared" si="17"/>
        <v>#VALUE!</v>
      </c>
    </row>
    <row r="164" spans="2:15" ht="15.5" x14ac:dyDescent="0.35">
      <c r="B164" s="6" t="e">
        <f t="shared" si="18"/>
        <v>#VALUE!</v>
      </c>
      <c r="C164" s="7" t="e">
        <f t="shared" si="13"/>
        <v>#VALUE!</v>
      </c>
      <c r="D164" s="7" t="e">
        <f t="shared" si="14"/>
        <v>#VALUE!</v>
      </c>
      <c r="E164" s="7" t="e">
        <f>IF((C163-1)&lt;$E$17,0,C163*LeasingHab!$E$17)</f>
        <v>#VALUE!</v>
      </c>
      <c r="F164" s="8" t="e">
        <f>IF((C163-1)&lt;$E$17,"0",IF(LeasingHab!$D$27="Si",($C$19*(VLOOKUP(LeasingHab!$C$23,Seguros_Oblig!$A$3:$F$55,6,FALSE))),IF(LeasingHab!$C$10="TARIFA 1",(C163*(VLOOKUP(LeasingHab!$C$23,Seguros_Oblig!$A$3:$B$55,2,FALSE))),(C163*(VLOOKUP(LeasingHab!$C$23,Seguros_Oblig!$A$3:$D$55,4,FALSE))))))</f>
        <v>#VALUE!</v>
      </c>
      <c r="G164" s="8" t="e">
        <f>IF(LeasingHab!$C$10="TARIFA 1",(C163*(VLOOKUP(LeasingHab!$C$24,Seguros_Oblig!$A$3:$B$55,2,FALSE))),(C163*(VLOOKUP(LeasingHab!$C$24,Seguros_Oblig!$A$3:$D$55,4,FALSE))))</f>
        <v>#VALUE!</v>
      </c>
      <c r="H164" s="8" t="e">
        <f>IF(LeasingHab!$C$10="TARIFA 1",(C163*(VLOOKUP(LeasingHab!$C$25,Seguros_Oblig!$A$3:$B$55,2,FALSE))),(C163*(VLOOKUP(LeasingHab!$C$25,Seguros_Oblig!$A$3:$D$55,4,FALSE))))</f>
        <v>#VALUE!</v>
      </c>
      <c r="I164" s="8" t="e">
        <f>IF(LeasingHab!$C$10="TARIFA 1",(C163*(VLOOKUP(LeasingHab!$C$26,Seguros_Oblig!$A$3:$B$55,2,FALSE))),(C163*(VLOOKUP(LeasingHab!$C$26,Seguros_Oblig!$A$3:$D$55,4,FALSE))))</f>
        <v>#VALUE!</v>
      </c>
      <c r="J164" s="10">
        <f t="shared" si="15"/>
        <v>0</v>
      </c>
      <c r="K164" s="7" t="e">
        <f>IF((C163-1)&lt;$E$17,0,Seguros_Oblig!$K$2*(LeasingHab!$C$12*90%))</f>
        <v>#VALUE!</v>
      </c>
      <c r="L164" s="7" t="e">
        <f>IF(B164&gt;LeasingHab!$C$18,0,PMT(LeasingHab!$E$17,LeasingHab!$C$18,-LeasingHab!$C$15,,)-PMT(LeasingHab!$E$17,LeasingHab!$C$18,-LeasingHab!$C$22)+LeasingHab!$C$22*LeasingHab!$E$17)</f>
        <v>#VALUE!</v>
      </c>
      <c r="M164" s="9" t="e">
        <f t="shared" si="16"/>
        <v>#VALUE!</v>
      </c>
      <c r="N164" s="7" t="e">
        <f>IF((C163-1)&lt;$E$17,0,LeasingHab!$C$39)</f>
        <v>#VALUE!</v>
      </c>
      <c r="O164" s="9" t="e">
        <f t="shared" si="17"/>
        <v>#VALUE!</v>
      </c>
    </row>
    <row r="165" spans="2:15" ht="15.5" x14ac:dyDescent="0.35">
      <c r="B165" s="6" t="e">
        <f t="shared" si="18"/>
        <v>#VALUE!</v>
      </c>
      <c r="C165" s="7" t="e">
        <f t="shared" si="13"/>
        <v>#VALUE!</v>
      </c>
      <c r="D165" s="7" t="e">
        <f t="shared" si="14"/>
        <v>#VALUE!</v>
      </c>
      <c r="E165" s="7" t="e">
        <f>IF((C164-1)&lt;$E$17,0,C164*LeasingHab!$E$17)</f>
        <v>#VALUE!</v>
      </c>
      <c r="F165" s="8" t="e">
        <f>IF((C164-1)&lt;$E$17,"0",IF(LeasingHab!$D$27="Si",($C$19*(VLOOKUP(LeasingHab!$C$23,Seguros_Oblig!$A$3:$F$55,6,FALSE))),IF(LeasingHab!$C$10="TARIFA 1",(C164*(VLOOKUP(LeasingHab!$C$23,Seguros_Oblig!$A$3:$B$55,2,FALSE))),(C164*(VLOOKUP(LeasingHab!$C$23,Seguros_Oblig!$A$3:$D$55,4,FALSE))))))</f>
        <v>#VALUE!</v>
      </c>
      <c r="G165" s="8" t="e">
        <f>IF(LeasingHab!$C$10="TARIFA 1",(C164*(VLOOKUP(LeasingHab!$C$24,Seguros_Oblig!$A$3:$B$55,2,FALSE))),(C164*(VLOOKUP(LeasingHab!$C$24,Seguros_Oblig!$A$3:$D$55,4,FALSE))))</f>
        <v>#VALUE!</v>
      </c>
      <c r="H165" s="8" t="e">
        <f>IF(LeasingHab!$C$10="TARIFA 1",(C164*(VLOOKUP(LeasingHab!$C$25,Seguros_Oblig!$A$3:$B$55,2,FALSE))),(C164*(VLOOKUP(LeasingHab!$C$25,Seguros_Oblig!$A$3:$D$55,4,FALSE))))</f>
        <v>#VALUE!</v>
      </c>
      <c r="I165" s="8" t="e">
        <f>IF(LeasingHab!$C$10="TARIFA 1",(C164*(VLOOKUP(LeasingHab!$C$26,Seguros_Oblig!$A$3:$B$55,2,FALSE))),(C164*(VLOOKUP(LeasingHab!$C$26,Seguros_Oblig!$A$3:$D$55,4,FALSE))))</f>
        <v>#VALUE!</v>
      </c>
      <c r="J165" s="10">
        <f t="shared" si="15"/>
        <v>0</v>
      </c>
      <c r="K165" s="7" t="e">
        <f>IF((C164-1)&lt;$E$17,0,Seguros_Oblig!$K$2*(LeasingHab!$C$12*90%))</f>
        <v>#VALUE!</v>
      </c>
      <c r="L165" s="7" t="e">
        <f>IF(B165&gt;LeasingHab!$C$18,0,PMT(LeasingHab!$E$17,LeasingHab!$C$18,-LeasingHab!$C$15,,)-PMT(LeasingHab!$E$17,LeasingHab!$C$18,-LeasingHab!$C$22)+LeasingHab!$C$22*LeasingHab!$E$17)</f>
        <v>#VALUE!</v>
      </c>
      <c r="M165" s="9" t="e">
        <f t="shared" si="16"/>
        <v>#VALUE!</v>
      </c>
      <c r="N165" s="7" t="e">
        <f>IF((C164-1)&lt;$E$17,0,LeasingHab!$C$39)</f>
        <v>#VALUE!</v>
      </c>
      <c r="O165" s="9" t="e">
        <f t="shared" si="17"/>
        <v>#VALUE!</v>
      </c>
    </row>
    <row r="166" spans="2:15" ht="15.5" x14ac:dyDescent="0.35">
      <c r="B166" s="6" t="e">
        <f t="shared" si="18"/>
        <v>#VALUE!</v>
      </c>
      <c r="C166" s="7" t="e">
        <f t="shared" si="13"/>
        <v>#VALUE!</v>
      </c>
      <c r="D166" s="7" t="e">
        <f t="shared" si="14"/>
        <v>#VALUE!</v>
      </c>
      <c r="E166" s="7" t="e">
        <f>IF((C165-1)&lt;$E$17,0,C165*LeasingHab!$E$17)</f>
        <v>#VALUE!</v>
      </c>
      <c r="F166" s="8" t="e">
        <f>IF((C165-1)&lt;$E$17,"0",IF(LeasingHab!$D$27="Si",($C$19*(VLOOKUP(LeasingHab!$C$23,Seguros_Oblig!$A$3:$F$55,6,FALSE))),IF(LeasingHab!$C$10="TARIFA 1",(C165*(VLOOKUP(LeasingHab!$C$23,Seguros_Oblig!$A$3:$B$55,2,FALSE))),(C165*(VLOOKUP(LeasingHab!$C$23,Seguros_Oblig!$A$3:$D$55,4,FALSE))))))</f>
        <v>#VALUE!</v>
      </c>
      <c r="G166" s="8" t="e">
        <f>IF(LeasingHab!$C$10="TARIFA 1",(C165*(VLOOKUP(LeasingHab!$C$24,Seguros_Oblig!$A$3:$B$55,2,FALSE))),(C165*(VLOOKUP(LeasingHab!$C$24,Seguros_Oblig!$A$3:$D$55,4,FALSE))))</f>
        <v>#VALUE!</v>
      </c>
      <c r="H166" s="8" t="e">
        <f>IF(LeasingHab!$C$10="TARIFA 1",(C165*(VLOOKUP(LeasingHab!$C$25,Seguros_Oblig!$A$3:$B$55,2,FALSE))),(C165*(VLOOKUP(LeasingHab!$C$25,Seguros_Oblig!$A$3:$D$55,4,FALSE))))</f>
        <v>#VALUE!</v>
      </c>
      <c r="I166" s="8" t="e">
        <f>IF(LeasingHab!$C$10="TARIFA 1",(C165*(VLOOKUP(LeasingHab!$C$26,Seguros_Oblig!$A$3:$B$55,2,FALSE))),(C165*(VLOOKUP(LeasingHab!$C$26,Seguros_Oblig!$A$3:$D$55,4,FALSE))))</f>
        <v>#VALUE!</v>
      </c>
      <c r="J166" s="10">
        <f t="shared" si="15"/>
        <v>0</v>
      </c>
      <c r="K166" s="7" t="e">
        <f>IF((C165-1)&lt;$E$17,0,Seguros_Oblig!$K$2*(LeasingHab!$C$12*90%))</f>
        <v>#VALUE!</v>
      </c>
      <c r="L166" s="7" t="e">
        <f>IF(B166&gt;LeasingHab!$C$18,0,PMT(LeasingHab!$E$17,LeasingHab!$C$18,-LeasingHab!$C$15,,)-PMT(LeasingHab!$E$17,LeasingHab!$C$18,-LeasingHab!$C$22)+LeasingHab!$C$22*LeasingHab!$E$17)</f>
        <v>#VALUE!</v>
      </c>
      <c r="M166" s="9" t="e">
        <f t="shared" si="16"/>
        <v>#VALUE!</v>
      </c>
      <c r="N166" s="7" t="e">
        <f>IF((C165-1)&lt;$E$17,0,LeasingHab!$C$39)</f>
        <v>#VALUE!</v>
      </c>
      <c r="O166" s="9" t="e">
        <f t="shared" si="17"/>
        <v>#VALUE!</v>
      </c>
    </row>
    <row r="167" spans="2:15" ht="15.5" x14ac:dyDescent="0.35">
      <c r="B167" s="6" t="e">
        <f t="shared" si="18"/>
        <v>#VALUE!</v>
      </c>
      <c r="C167" s="7" t="e">
        <f t="shared" si="13"/>
        <v>#VALUE!</v>
      </c>
      <c r="D167" s="7" t="e">
        <f t="shared" si="14"/>
        <v>#VALUE!</v>
      </c>
      <c r="E167" s="7" t="e">
        <f>IF((C166-1)&lt;$E$17,0,C166*LeasingHab!$E$17)</f>
        <v>#VALUE!</v>
      </c>
      <c r="F167" s="8" t="e">
        <f>IF((C166-1)&lt;$E$17,"0",IF(LeasingHab!$D$27="Si",($C$19*(VLOOKUP(LeasingHab!$C$23,Seguros_Oblig!$A$3:$F$55,6,FALSE))),IF(LeasingHab!$C$10="TARIFA 1",(C166*(VLOOKUP(LeasingHab!$C$23,Seguros_Oblig!$A$3:$B$55,2,FALSE))),(C166*(VLOOKUP(LeasingHab!$C$23,Seguros_Oblig!$A$3:$D$55,4,FALSE))))))</f>
        <v>#VALUE!</v>
      </c>
      <c r="G167" s="8" t="e">
        <f>IF(LeasingHab!$C$10="TARIFA 1",(C166*(VLOOKUP(LeasingHab!$C$24,Seguros_Oblig!$A$3:$B$55,2,FALSE))),(C166*(VLOOKUP(LeasingHab!$C$24,Seguros_Oblig!$A$3:$D$55,4,FALSE))))</f>
        <v>#VALUE!</v>
      </c>
      <c r="H167" s="8" t="e">
        <f>IF(LeasingHab!$C$10="TARIFA 1",(C166*(VLOOKUP(LeasingHab!$C$25,Seguros_Oblig!$A$3:$B$55,2,FALSE))),(C166*(VLOOKUP(LeasingHab!$C$25,Seguros_Oblig!$A$3:$D$55,4,FALSE))))</f>
        <v>#VALUE!</v>
      </c>
      <c r="I167" s="8" t="e">
        <f>IF(LeasingHab!$C$10="TARIFA 1",(C166*(VLOOKUP(LeasingHab!$C$26,Seguros_Oblig!$A$3:$B$55,2,FALSE))),(C166*(VLOOKUP(LeasingHab!$C$26,Seguros_Oblig!$A$3:$D$55,4,FALSE))))</f>
        <v>#VALUE!</v>
      </c>
      <c r="J167" s="10">
        <f t="shared" si="15"/>
        <v>0</v>
      </c>
      <c r="K167" s="7" t="e">
        <f>IF((C166-1)&lt;$E$17,0,Seguros_Oblig!$K$2*(LeasingHab!$C$12*90%))</f>
        <v>#VALUE!</v>
      </c>
      <c r="L167" s="7" t="e">
        <f>IF(B167&gt;LeasingHab!$C$18,0,PMT(LeasingHab!$E$17,LeasingHab!$C$18,-LeasingHab!$C$15,,)-PMT(LeasingHab!$E$17,LeasingHab!$C$18,-LeasingHab!$C$22)+LeasingHab!$C$22*LeasingHab!$E$17)</f>
        <v>#VALUE!</v>
      </c>
      <c r="M167" s="9" t="e">
        <f t="shared" si="16"/>
        <v>#VALUE!</v>
      </c>
      <c r="N167" s="7" t="e">
        <f>IF((C166-1)&lt;$E$17,0,LeasingHab!$C$39)</f>
        <v>#VALUE!</v>
      </c>
      <c r="O167" s="9" t="e">
        <f t="shared" si="17"/>
        <v>#VALUE!</v>
      </c>
    </row>
    <row r="168" spans="2:15" ht="15.5" x14ac:dyDescent="0.35">
      <c r="B168" s="6" t="e">
        <f t="shared" si="18"/>
        <v>#VALUE!</v>
      </c>
      <c r="C168" s="7" t="e">
        <f t="shared" si="13"/>
        <v>#VALUE!</v>
      </c>
      <c r="D168" s="7" t="e">
        <f t="shared" si="14"/>
        <v>#VALUE!</v>
      </c>
      <c r="E168" s="7" t="e">
        <f>IF((C167-1)&lt;$E$17,0,C167*LeasingHab!$E$17)</f>
        <v>#VALUE!</v>
      </c>
      <c r="F168" s="8" t="e">
        <f>IF((C167-1)&lt;$E$17,"0",IF(LeasingHab!$D$27="Si",($C$19*(VLOOKUP(LeasingHab!$C$23,Seguros_Oblig!$A$3:$F$55,6,FALSE))),IF(LeasingHab!$C$10="TARIFA 1",(C167*(VLOOKUP(LeasingHab!$C$23,Seguros_Oblig!$A$3:$B$55,2,FALSE))),(C167*(VLOOKUP(LeasingHab!$C$23,Seguros_Oblig!$A$3:$D$55,4,FALSE))))))</f>
        <v>#VALUE!</v>
      </c>
      <c r="G168" s="8" t="e">
        <f>IF(LeasingHab!$C$10="TARIFA 1",(C167*(VLOOKUP(LeasingHab!$C$24,Seguros_Oblig!$A$3:$B$55,2,FALSE))),(C167*(VLOOKUP(LeasingHab!$C$24,Seguros_Oblig!$A$3:$D$55,4,FALSE))))</f>
        <v>#VALUE!</v>
      </c>
      <c r="H168" s="8" t="e">
        <f>IF(LeasingHab!$C$10="TARIFA 1",(C167*(VLOOKUP(LeasingHab!$C$25,Seguros_Oblig!$A$3:$B$55,2,FALSE))),(C167*(VLOOKUP(LeasingHab!$C$25,Seguros_Oblig!$A$3:$D$55,4,FALSE))))</f>
        <v>#VALUE!</v>
      </c>
      <c r="I168" s="8" t="e">
        <f>IF(LeasingHab!$C$10="TARIFA 1",(C167*(VLOOKUP(LeasingHab!$C$26,Seguros_Oblig!$A$3:$B$55,2,FALSE))),(C167*(VLOOKUP(LeasingHab!$C$26,Seguros_Oblig!$A$3:$D$55,4,FALSE))))</f>
        <v>#VALUE!</v>
      </c>
      <c r="J168" s="10">
        <f t="shared" si="15"/>
        <v>0</v>
      </c>
      <c r="K168" s="7" t="e">
        <f>IF((C167-1)&lt;$E$17,0,Seguros_Oblig!$K$2*(LeasingHab!$C$12*90%))</f>
        <v>#VALUE!</v>
      </c>
      <c r="L168" s="7" t="e">
        <f>IF(B168&gt;LeasingHab!$C$18,0,PMT(LeasingHab!$E$17,LeasingHab!$C$18,-LeasingHab!$C$15,,)-PMT(LeasingHab!$E$17,LeasingHab!$C$18,-LeasingHab!$C$22)+LeasingHab!$C$22*LeasingHab!$E$17)</f>
        <v>#VALUE!</v>
      </c>
      <c r="M168" s="9" t="e">
        <f t="shared" si="16"/>
        <v>#VALUE!</v>
      </c>
      <c r="N168" s="7" t="e">
        <f>IF((C167-1)&lt;$E$17,0,LeasingHab!$C$39)</f>
        <v>#VALUE!</v>
      </c>
      <c r="O168" s="9" t="e">
        <f t="shared" si="17"/>
        <v>#VALUE!</v>
      </c>
    </row>
    <row r="169" spans="2:15" ht="15.5" x14ac:dyDescent="0.35">
      <c r="B169" s="6" t="e">
        <f t="shared" si="18"/>
        <v>#VALUE!</v>
      </c>
      <c r="C169" s="7" t="e">
        <f t="shared" si="13"/>
        <v>#VALUE!</v>
      </c>
      <c r="D169" s="7" t="e">
        <f t="shared" si="14"/>
        <v>#VALUE!</v>
      </c>
      <c r="E169" s="7" t="e">
        <f>IF((C168-1)&lt;$E$17,0,C168*LeasingHab!$E$17)</f>
        <v>#VALUE!</v>
      </c>
      <c r="F169" s="8" t="e">
        <f>IF((C168-1)&lt;$E$17,"0",IF(LeasingHab!$D$27="Si",($C$19*(VLOOKUP(LeasingHab!$C$23,Seguros_Oblig!$A$3:$F$55,6,FALSE))),IF(LeasingHab!$C$10="TARIFA 1",(C168*(VLOOKUP(LeasingHab!$C$23,Seguros_Oblig!$A$3:$B$55,2,FALSE))),(C168*(VLOOKUP(LeasingHab!$C$23,Seguros_Oblig!$A$3:$D$55,4,FALSE))))))</f>
        <v>#VALUE!</v>
      </c>
      <c r="G169" s="8" t="e">
        <f>IF(LeasingHab!$C$10="TARIFA 1",(C168*(VLOOKUP(LeasingHab!$C$24,Seguros_Oblig!$A$3:$B$55,2,FALSE))),(C168*(VLOOKUP(LeasingHab!$C$24,Seguros_Oblig!$A$3:$D$55,4,FALSE))))</f>
        <v>#VALUE!</v>
      </c>
      <c r="H169" s="8" t="e">
        <f>IF(LeasingHab!$C$10="TARIFA 1",(C168*(VLOOKUP(LeasingHab!$C$25,Seguros_Oblig!$A$3:$B$55,2,FALSE))),(C168*(VLOOKUP(LeasingHab!$C$25,Seguros_Oblig!$A$3:$D$55,4,FALSE))))</f>
        <v>#VALUE!</v>
      </c>
      <c r="I169" s="8" t="e">
        <f>IF(LeasingHab!$C$10="TARIFA 1",(C168*(VLOOKUP(LeasingHab!$C$26,Seguros_Oblig!$A$3:$B$55,2,FALSE))),(C168*(VLOOKUP(LeasingHab!$C$26,Seguros_Oblig!$A$3:$D$55,4,FALSE))))</f>
        <v>#VALUE!</v>
      </c>
      <c r="J169" s="10">
        <f t="shared" si="15"/>
        <v>0</v>
      </c>
      <c r="K169" s="7" t="e">
        <f>IF((C168-1)&lt;$E$17,0,Seguros_Oblig!$K$2*(LeasingHab!$C$12*90%))</f>
        <v>#VALUE!</v>
      </c>
      <c r="L169" s="7" t="e">
        <f>IF(B169&gt;LeasingHab!$C$18,0,PMT(LeasingHab!$E$17,LeasingHab!$C$18,-LeasingHab!$C$15,,)-PMT(LeasingHab!$E$17,LeasingHab!$C$18,-LeasingHab!$C$22)+LeasingHab!$C$22*LeasingHab!$E$17)</f>
        <v>#VALUE!</v>
      </c>
      <c r="M169" s="9" t="e">
        <f t="shared" si="16"/>
        <v>#VALUE!</v>
      </c>
      <c r="N169" s="7" t="e">
        <f>IF((C168-1)&lt;$E$17,0,LeasingHab!$C$39)</f>
        <v>#VALUE!</v>
      </c>
      <c r="O169" s="9" t="e">
        <f t="shared" si="17"/>
        <v>#VALUE!</v>
      </c>
    </row>
    <row r="170" spans="2:15" ht="15.5" x14ac:dyDescent="0.35">
      <c r="B170" s="6" t="e">
        <f t="shared" si="18"/>
        <v>#VALUE!</v>
      </c>
      <c r="C170" s="7" t="e">
        <f t="shared" si="13"/>
        <v>#VALUE!</v>
      </c>
      <c r="D170" s="7" t="e">
        <f t="shared" si="14"/>
        <v>#VALUE!</v>
      </c>
      <c r="E170" s="7" t="e">
        <f>IF((C169-1)&lt;$E$17,0,C169*LeasingHab!$E$17)</f>
        <v>#VALUE!</v>
      </c>
      <c r="F170" s="8" t="e">
        <f>IF((C169-1)&lt;$E$17,"0",IF(LeasingHab!$D$27="Si",($C$19*(VLOOKUP(LeasingHab!$C$23,Seguros_Oblig!$A$3:$F$55,6,FALSE))),IF(LeasingHab!$C$10="TARIFA 1",(C169*(VLOOKUP(LeasingHab!$C$23,Seguros_Oblig!$A$3:$B$55,2,FALSE))),(C169*(VLOOKUP(LeasingHab!$C$23,Seguros_Oblig!$A$3:$D$55,4,FALSE))))))</f>
        <v>#VALUE!</v>
      </c>
      <c r="G170" s="8" t="e">
        <f>IF(LeasingHab!$C$10="TARIFA 1",(C169*(VLOOKUP(LeasingHab!$C$24,Seguros_Oblig!$A$3:$B$55,2,FALSE))),(C169*(VLOOKUP(LeasingHab!$C$24,Seguros_Oblig!$A$3:$D$55,4,FALSE))))</f>
        <v>#VALUE!</v>
      </c>
      <c r="H170" s="8" t="e">
        <f>IF(LeasingHab!$C$10="TARIFA 1",(C169*(VLOOKUP(LeasingHab!$C$25,Seguros_Oblig!$A$3:$B$55,2,FALSE))),(C169*(VLOOKUP(LeasingHab!$C$25,Seguros_Oblig!$A$3:$D$55,4,FALSE))))</f>
        <v>#VALUE!</v>
      </c>
      <c r="I170" s="8" t="e">
        <f>IF(LeasingHab!$C$10="TARIFA 1",(C169*(VLOOKUP(LeasingHab!$C$26,Seguros_Oblig!$A$3:$B$55,2,FALSE))),(C169*(VLOOKUP(LeasingHab!$C$26,Seguros_Oblig!$A$3:$D$55,4,FALSE))))</f>
        <v>#VALUE!</v>
      </c>
      <c r="J170" s="10">
        <f t="shared" si="15"/>
        <v>0</v>
      </c>
      <c r="K170" s="7" t="e">
        <f>IF((C169-1)&lt;$E$17,0,Seguros_Oblig!$K$2*(LeasingHab!$C$12*90%))</f>
        <v>#VALUE!</v>
      </c>
      <c r="L170" s="7" t="e">
        <f>IF(B170&gt;LeasingHab!$C$18,0,PMT(LeasingHab!$E$17,LeasingHab!$C$18,-LeasingHab!$C$15,,)-PMT(LeasingHab!$E$17,LeasingHab!$C$18,-LeasingHab!$C$22)+LeasingHab!$C$22*LeasingHab!$E$17)</f>
        <v>#VALUE!</v>
      </c>
      <c r="M170" s="9" t="e">
        <f t="shared" si="16"/>
        <v>#VALUE!</v>
      </c>
      <c r="N170" s="7" t="e">
        <f>IF((C169-1)&lt;$E$17,0,LeasingHab!$C$39)</f>
        <v>#VALUE!</v>
      </c>
      <c r="O170" s="9" t="e">
        <f t="shared" si="17"/>
        <v>#VALUE!</v>
      </c>
    </row>
    <row r="171" spans="2:15" ht="15.5" x14ac:dyDescent="0.35">
      <c r="B171" s="6" t="e">
        <f t="shared" si="18"/>
        <v>#VALUE!</v>
      </c>
      <c r="C171" s="7" t="e">
        <f t="shared" si="13"/>
        <v>#VALUE!</v>
      </c>
      <c r="D171" s="7" t="e">
        <f t="shared" si="14"/>
        <v>#VALUE!</v>
      </c>
      <c r="E171" s="7" t="e">
        <f>IF((C170-1)&lt;$E$17,0,C170*LeasingHab!$E$17)</f>
        <v>#VALUE!</v>
      </c>
      <c r="F171" s="8" t="e">
        <f>IF((C170-1)&lt;$E$17,"0",IF(LeasingHab!$D$27="Si",($C$19*(VLOOKUP(LeasingHab!$C$23,Seguros_Oblig!$A$3:$F$55,6,FALSE))),IF(LeasingHab!$C$10="TARIFA 1",(C170*(VLOOKUP(LeasingHab!$C$23,Seguros_Oblig!$A$3:$B$55,2,FALSE))),(C170*(VLOOKUP(LeasingHab!$C$23,Seguros_Oblig!$A$3:$D$55,4,FALSE))))))</f>
        <v>#VALUE!</v>
      </c>
      <c r="G171" s="8" t="e">
        <f>IF(LeasingHab!$C$10="TARIFA 1",(C170*(VLOOKUP(LeasingHab!$C$24,Seguros_Oblig!$A$3:$B$55,2,FALSE))),(C170*(VLOOKUP(LeasingHab!$C$24,Seguros_Oblig!$A$3:$D$55,4,FALSE))))</f>
        <v>#VALUE!</v>
      </c>
      <c r="H171" s="8" t="e">
        <f>IF(LeasingHab!$C$10="TARIFA 1",(C170*(VLOOKUP(LeasingHab!$C$25,Seguros_Oblig!$A$3:$B$55,2,FALSE))),(C170*(VLOOKUP(LeasingHab!$C$25,Seguros_Oblig!$A$3:$D$55,4,FALSE))))</f>
        <v>#VALUE!</v>
      </c>
      <c r="I171" s="8" t="e">
        <f>IF(LeasingHab!$C$10="TARIFA 1",(C170*(VLOOKUP(LeasingHab!$C$26,Seguros_Oblig!$A$3:$B$55,2,FALSE))),(C170*(VLOOKUP(LeasingHab!$C$26,Seguros_Oblig!$A$3:$D$55,4,FALSE))))</f>
        <v>#VALUE!</v>
      </c>
      <c r="J171" s="10">
        <f t="shared" si="15"/>
        <v>0</v>
      </c>
      <c r="K171" s="7" t="e">
        <f>IF((C170-1)&lt;$E$17,0,Seguros_Oblig!$K$2*(LeasingHab!$C$12*90%))</f>
        <v>#VALUE!</v>
      </c>
      <c r="L171" s="7" t="e">
        <f>IF(B171&gt;LeasingHab!$C$18,0,PMT(LeasingHab!$E$17,LeasingHab!$C$18,-LeasingHab!$C$15,,)-PMT(LeasingHab!$E$17,LeasingHab!$C$18,-LeasingHab!$C$22)+LeasingHab!$C$22*LeasingHab!$E$17)</f>
        <v>#VALUE!</v>
      </c>
      <c r="M171" s="9" t="e">
        <f t="shared" si="16"/>
        <v>#VALUE!</v>
      </c>
      <c r="N171" s="7" t="e">
        <f>IF((C170-1)&lt;$E$17,0,LeasingHab!$C$39)</f>
        <v>#VALUE!</v>
      </c>
      <c r="O171" s="9" t="e">
        <f t="shared" si="17"/>
        <v>#VALUE!</v>
      </c>
    </row>
    <row r="172" spans="2:15" ht="15.5" x14ac:dyDescent="0.35">
      <c r="B172" s="6" t="e">
        <f t="shared" si="18"/>
        <v>#VALUE!</v>
      </c>
      <c r="C172" s="7" t="e">
        <f t="shared" si="13"/>
        <v>#VALUE!</v>
      </c>
      <c r="D172" s="7" t="e">
        <f t="shared" si="14"/>
        <v>#VALUE!</v>
      </c>
      <c r="E172" s="7" t="e">
        <f>IF((C171-1)&lt;$E$17,0,C171*LeasingHab!$E$17)</f>
        <v>#VALUE!</v>
      </c>
      <c r="F172" s="8" t="e">
        <f>IF((C171-1)&lt;$E$17,"0",IF(LeasingHab!$D$27="Si",($C$19*(VLOOKUP(LeasingHab!$C$23,Seguros_Oblig!$A$3:$F$55,6,FALSE))),IF(LeasingHab!$C$10="TARIFA 1",(C171*(VLOOKUP(LeasingHab!$C$23,Seguros_Oblig!$A$3:$B$55,2,FALSE))),(C171*(VLOOKUP(LeasingHab!$C$23,Seguros_Oblig!$A$3:$D$55,4,FALSE))))))</f>
        <v>#VALUE!</v>
      </c>
      <c r="G172" s="8" t="e">
        <f>IF(LeasingHab!$C$10="TARIFA 1",(C171*(VLOOKUP(LeasingHab!$C$24,Seguros_Oblig!$A$3:$B$55,2,FALSE))),(C171*(VLOOKUP(LeasingHab!$C$24,Seguros_Oblig!$A$3:$D$55,4,FALSE))))</f>
        <v>#VALUE!</v>
      </c>
      <c r="H172" s="8" t="e">
        <f>IF(LeasingHab!$C$10="TARIFA 1",(C171*(VLOOKUP(LeasingHab!$C$25,Seguros_Oblig!$A$3:$B$55,2,FALSE))),(C171*(VLOOKUP(LeasingHab!$C$25,Seguros_Oblig!$A$3:$D$55,4,FALSE))))</f>
        <v>#VALUE!</v>
      </c>
      <c r="I172" s="8" t="e">
        <f>IF(LeasingHab!$C$10="TARIFA 1",(C171*(VLOOKUP(LeasingHab!$C$26,Seguros_Oblig!$A$3:$B$55,2,FALSE))),(C171*(VLOOKUP(LeasingHab!$C$26,Seguros_Oblig!$A$3:$D$55,4,FALSE))))</f>
        <v>#VALUE!</v>
      </c>
      <c r="J172" s="10">
        <f t="shared" si="15"/>
        <v>0</v>
      </c>
      <c r="K172" s="7" t="e">
        <f>IF((C171-1)&lt;$E$17,0,Seguros_Oblig!$K$2*(LeasingHab!$C$12*90%))</f>
        <v>#VALUE!</v>
      </c>
      <c r="L172" s="7" t="e">
        <f>IF(B172&gt;LeasingHab!$C$18,0,PMT(LeasingHab!$E$17,LeasingHab!$C$18,-LeasingHab!$C$15,,)-PMT(LeasingHab!$E$17,LeasingHab!$C$18,-LeasingHab!$C$22)+LeasingHab!$C$22*LeasingHab!$E$17)</f>
        <v>#VALUE!</v>
      </c>
      <c r="M172" s="9" t="e">
        <f t="shared" si="16"/>
        <v>#VALUE!</v>
      </c>
      <c r="N172" s="7" t="e">
        <f>IF((C171-1)&lt;$E$17,0,LeasingHab!$C$39)</f>
        <v>#VALUE!</v>
      </c>
      <c r="O172" s="9" t="e">
        <f t="shared" si="17"/>
        <v>#VALUE!</v>
      </c>
    </row>
    <row r="173" spans="2:15" ht="15.5" x14ac:dyDescent="0.35">
      <c r="B173" s="6" t="e">
        <f t="shared" si="18"/>
        <v>#VALUE!</v>
      </c>
      <c r="C173" s="7" t="e">
        <f t="shared" si="13"/>
        <v>#VALUE!</v>
      </c>
      <c r="D173" s="7" t="e">
        <f t="shared" si="14"/>
        <v>#VALUE!</v>
      </c>
      <c r="E173" s="7" t="e">
        <f>IF((C172-1)&lt;$E$17,0,C172*LeasingHab!$E$17)</f>
        <v>#VALUE!</v>
      </c>
      <c r="F173" s="8" t="e">
        <f>IF((C172-1)&lt;$E$17,"0",IF(LeasingHab!$D$27="Si",($C$19*(VLOOKUP(LeasingHab!$C$23,Seguros_Oblig!$A$3:$F$55,6,FALSE))),IF(LeasingHab!$C$10="TARIFA 1",(C172*(VLOOKUP(LeasingHab!$C$23,Seguros_Oblig!$A$3:$B$55,2,FALSE))),(C172*(VLOOKUP(LeasingHab!$C$23,Seguros_Oblig!$A$3:$D$55,4,FALSE))))))</f>
        <v>#VALUE!</v>
      </c>
      <c r="G173" s="8" t="e">
        <f>IF(LeasingHab!$C$10="TARIFA 1",(C172*(VLOOKUP(LeasingHab!$C$24,Seguros_Oblig!$A$3:$B$55,2,FALSE))),(C172*(VLOOKUP(LeasingHab!$C$24,Seguros_Oblig!$A$3:$D$55,4,FALSE))))</f>
        <v>#VALUE!</v>
      </c>
      <c r="H173" s="8" t="e">
        <f>IF(LeasingHab!$C$10="TARIFA 1",(C172*(VLOOKUP(LeasingHab!$C$25,Seguros_Oblig!$A$3:$B$55,2,FALSE))),(C172*(VLOOKUP(LeasingHab!$C$25,Seguros_Oblig!$A$3:$D$55,4,FALSE))))</f>
        <v>#VALUE!</v>
      </c>
      <c r="I173" s="8" t="e">
        <f>IF(LeasingHab!$C$10="TARIFA 1",(C172*(VLOOKUP(LeasingHab!$C$26,Seguros_Oblig!$A$3:$B$55,2,FALSE))),(C172*(VLOOKUP(LeasingHab!$C$26,Seguros_Oblig!$A$3:$D$55,4,FALSE))))</f>
        <v>#VALUE!</v>
      </c>
      <c r="J173" s="10">
        <f t="shared" si="15"/>
        <v>0</v>
      </c>
      <c r="K173" s="7" t="e">
        <f>IF((C172-1)&lt;$E$17,0,Seguros_Oblig!$K$2*(LeasingHab!$C$12*90%))</f>
        <v>#VALUE!</v>
      </c>
      <c r="L173" s="7" t="e">
        <f>IF(B173&gt;LeasingHab!$C$18,0,PMT(LeasingHab!$E$17,LeasingHab!$C$18,-LeasingHab!$C$15,,)-PMT(LeasingHab!$E$17,LeasingHab!$C$18,-LeasingHab!$C$22)+LeasingHab!$C$22*LeasingHab!$E$17)</f>
        <v>#VALUE!</v>
      </c>
      <c r="M173" s="9" t="e">
        <f t="shared" si="16"/>
        <v>#VALUE!</v>
      </c>
      <c r="N173" s="7" t="e">
        <f>IF((C172-1)&lt;$E$17,0,LeasingHab!$C$39)</f>
        <v>#VALUE!</v>
      </c>
      <c r="O173" s="9" t="e">
        <f t="shared" si="17"/>
        <v>#VALUE!</v>
      </c>
    </row>
    <row r="174" spans="2:15" ht="15.5" x14ac:dyDescent="0.35">
      <c r="B174" s="6" t="e">
        <f t="shared" si="18"/>
        <v>#VALUE!</v>
      </c>
      <c r="C174" s="7" t="e">
        <f t="shared" si="13"/>
        <v>#VALUE!</v>
      </c>
      <c r="D174" s="7" t="e">
        <f t="shared" si="14"/>
        <v>#VALUE!</v>
      </c>
      <c r="E174" s="7" t="e">
        <f>IF((C173-1)&lt;$E$17,0,C173*LeasingHab!$E$17)</f>
        <v>#VALUE!</v>
      </c>
      <c r="F174" s="8" t="e">
        <f>IF((C173-1)&lt;$E$17,"0",IF(LeasingHab!$D$27="Si",($C$19*(VLOOKUP(LeasingHab!$C$23,Seguros_Oblig!$A$3:$F$55,6,FALSE))),IF(LeasingHab!$C$10="TARIFA 1",(C173*(VLOOKUP(LeasingHab!$C$23,Seguros_Oblig!$A$3:$B$55,2,FALSE))),(C173*(VLOOKUP(LeasingHab!$C$23,Seguros_Oblig!$A$3:$D$55,4,FALSE))))))</f>
        <v>#VALUE!</v>
      </c>
      <c r="G174" s="8" t="e">
        <f>IF(LeasingHab!$C$10="TARIFA 1",(C173*(VLOOKUP(LeasingHab!$C$24,Seguros_Oblig!$A$3:$B$55,2,FALSE))),(C173*(VLOOKUP(LeasingHab!$C$24,Seguros_Oblig!$A$3:$D$55,4,FALSE))))</f>
        <v>#VALUE!</v>
      </c>
      <c r="H174" s="8" t="e">
        <f>IF(LeasingHab!$C$10="TARIFA 1",(C173*(VLOOKUP(LeasingHab!$C$25,Seguros_Oblig!$A$3:$B$55,2,FALSE))),(C173*(VLOOKUP(LeasingHab!$C$25,Seguros_Oblig!$A$3:$D$55,4,FALSE))))</f>
        <v>#VALUE!</v>
      </c>
      <c r="I174" s="8" t="e">
        <f>IF(LeasingHab!$C$10="TARIFA 1",(C173*(VLOOKUP(LeasingHab!$C$26,Seguros_Oblig!$A$3:$B$55,2,FALSE))),(C173*(VLOOKUP(LeasingHab!$C$26,Seguros_Oblig!$A$3:$D$55,4,FALSE))))</f>
        <v>#VALUE!</v>
      </c>
      <c r="J174" s="10">
        <f t="shared" si="15"/>
        <v>0</v>
      </c>
      <c r="K174" s="7" t="e">
        <f>IF((C173-1)&lt;$E$17,0,Seguros_Oblig!$K$2*(LeasingHab!$C$12*90%))</f>
        <v>#VALUE!</v>
      </c>
      <c r="L174" s="7" t="e">
        <f>IF(B174&gt;LeasingHab!$C$18,0,PMT(LeasingHab!$E$17,LeasingHab!$C$18,-LeasingHab!$C$15,,)-PMT(LeasingHab!$E$17,LeasingHab!$C$18,-LeasingHab!$C$22)+LeasingHab!$C$22*LeasingHab!$E$17)</f>
        <v>#VALUE!</v>
      </c>
      <c r="M174" s="9" t="e">
        <f t="shared" si="16"/>
        <v>#VALUE!</v>
      </c>
      <c r="N174" s="7" t="e">
        <f>IF((C173-1)&lt;$E$17,0,LeasingHab!$C$39)</f>
        <v>#VALUE!</v>
      </c>
      <c r="O174" s="9" t="e">
        <f t="shared" si="17"/>
        <v>#VALUE!</v>
      </c>
    </row>
    <row r="175" spans="2:15" ht="15.5" x14ac:dyDescent="0.35">
      <c r="B175" s="6" t="e">
        <f t="shared" si="18"/>
        <v>#VALUE!</v>
      </c>
      <c r="C175" s="7" t="e">
        <f t="shared" si="13"/>
        <v>#VALUE!</v>
      </c>
      <c r="D175" s="7" t="e">
        <f t="shared" si="14"/>
        <v>#VALUE!</v>
      </c>
      <c r="E175" s="7" t="e">
        <f>IF((C174-1)&lt;$E$17,0,C174*LeasingHab!$E$17)</f>
        <v>#VALUE!</v>
      </c>
      <c r="F175" s="8" t="e">
        <f>IF((C174-1)&lt;$E$17,"0",IF(LeasingHab!$D$27="Si",($C$19*(VLOOKUP(LeasingHab!$C$23,Seguros_Oblig!$A$3:$F$55,6,FALSE))),IF(LeasingHab!$C$10="TARIFA 1",(C174*(VLOOKUP(LeasingHab!$C$23,Seguros_Oblig!$A$3:$B$55,2,FALSE))),(C174*(VLOOKUP(LeasingHab!$C$23,Seguros_Oblig!$A$3:$D$55,4,FALSE))))))</f>
        <v>#VALUE!</v>
      </c>
      <c r="G175" s="8" t="e">
        <f>IF(LeasingHab!$C$10="TARIFA 1",(C174*(VLOOKUP(LeasingHab!$C$24,Seguros_Oblig!$A$3:$B$55,2,FALSE))),(C174*(VLOOKUP(LeasingHab!$C$24,Seguros_Oblig!$A$3:$D$55,4,FALSE))))</f>
        <v>#VALUE!</v>
      </c>
      <c r="H175" s="8" t="e">
        <f>IF(LeasingHab!$C$10="TARIFA 1",(C174*(VLOOKUP(LeasingHab!$C$25,Seguros_Oblig!$A$3:$B$55,2,FALSE))),(C174*(VLOOKUP(LeasingHab!$C$25,Seguros_Oblig!$A$3:$D$55,4,FALSE))))</f>
        <v>#VALUE!</v>
      </c>
      <c r="I175" s="8" t="e">
        <f>IF(LeasingHab!$C$10="TARIFA 1",(C174*(VLOOKUP(LeasingHab!$C$26,Seguros_Oblig!$A$3:$B$55,2,FALSE))),(C174*(VLOOKUP(LeasingHab!$C$26,Seguros_Oblig!$A$3:$D$55,4,FALSE))))</f>
        <v>#VALUE!</v>
      </c>
      <c r="J175" s="10">
        <f t="shared" si="15"/>
        <v>0</v>
      </c>
      <c r="K175" s="7" t="e">
        <f>IF((C174-1)&lt;$E$17,0,Seguros_Oblig!$K$2*(LeasingHab!$C$12*90%))</f>
        <v>#VALUE!</v>
      </c>
      <c r="L175" s="7" t="e">
        <f>IF(B175&gt;LeasingHab!$C$18,0,PMT(LeasingHab!$E$17,LeasingHab!$C$18,-LeasingHab!$C$15,,)-PMT(LeasingHab!$E$17,LeasingHab!$C$18,-LeasingHab!$C$22)+LeasingHab!$C$22*LeasingHab!$E$17)</f>
        <v>#VALUE!</v>
      </c>
      <c r="M175" s="9" t="e">
        <f t="shared" si="16"/>
        <v>#VALUE!</v>
      </c>
      <c r="N175" s="7" t="e">
        <f>IF((C174-1)&lt;$E$17,0,LeasingHab!$C$39)</f>
        <v>#VALUE!</v>
      </c>
      <c r="O175" s="9" t="e">
        <f t="shared" si="17"/>
        <v>#VALUE!</v>
      </c>
    </row>
    <row r="176" spans="2:15" ht="15.5" x14ac:dyDescent="0.35">
      <c r="B176" s="6" t="e">
        <f t="shared" si="18"/>
        <v>#VALUE!</v>
      </c>
      <c r="C176" s="7" t="e">
        <f t="shared" si="13"/>
        <v>#VALUE!</v>
      </c>
      <c r="D176" s="7" t="e">
        <f t="shared" si="14"/>
        <v>#VALUE!</v>
      </c>
      <c r="E176" s="7" t="e">
        <f>IF((C175-1)&lt;$E$17,0,C175*LeasingHab!$E$17)</f>
        <v>#VALUE!</v>
      </c>
      <c r="F176" s="8" t="e">
        <f>IF((C175-1)&lt;$E$17,"0",IF(LeasingHab!$D$27="Si",($C$19*(VLOOKUP(LeasingHab!$C$23,Seguros_Oblig!$A$3:$F$55,6,FALSE))),IF(LeasingHab!$C$10="TARIFA 1",(C175*(VLOOKUP(LeasingHab!$C$23,Seguros_Oblig!$A$3:$B$55,2,FALSE))),(C175*(VLOOKUP(LeasingHab!$C$23,Seguros_Oblig!$A$3:$D$55,4,FALSE))))))</f>
        <v>#VALUE!</v>
      </c>
      <c r="G176" s="8" t="e">
        <f>IF(LeasingHab!$C$10="TARIFA 1",(C175*(VLOOKUP(LeasingHab!$C$24,Seguros_Oblig!$A$3:$B$55,2,FALSE))),(C175*(VLOOKUP(LeasingHab!$C$24,Seguros_Oblig!$A$3:$D$55,4,FALSE))))</f>
        <v>#VALUE!</v>
      </c>
      <c r="H176" s="8" t="e">
        <f>IF(LeasingHab!$C$10="TARIFA 1",(C175*(VLOOKUP(LeasingHab!$C$25,Seguros_Oblig!$A$3:$B$55,2,FALSE))),(C175*(VLOOKUP(LeasingHab!$C$25,Seguros_Oblig!$A$3:$D$55,4,FALSE))))</f>
        <v>#VALUE!</v>
      </c>
      <c r="I176" s="8" t="e">
        <f>IF(LeasingHab!$C$10="TARIFA 1",(C175*(VLOOKUP(LeasingHab!$C$26,Seguros_Oblig!$A$3:$B$55,2,FALSE))),(C175*(VLOOKUP(LeasingHab!$C$26,Seguros_Oblig!$A$3:$D$55,4,FALSE))))</f>
        <v>#VALUE!</v>
      </c>
      <c r="J176" s="10">
        <f t="shared" si="15"/>
        <v>0</v>
      </c>
      <c r="K176" s="7" t="e">
        <f>IF((C175-1)&lt;$E$17,0,Seguros_Oblig!$K$2*(LeasingHab!$C$12*90%))</f>
        <v>#VALUE!</v>
      </c>
      <c r="L176" s="7" t="e">
        <f>IF(B176&gt;LeasingHab!$C$18,0,PMT(LeasingHab!$E$17,LeasingHab!$C$18,-LeasingHab!$C$15,,)-PMT(LeasingHab!$E$17,LeasingHab!$C$18,-LeasingHab!$C$22)+LeasingHab!$C$22*LeasingHab!$E$17)</f>
        <v>#VALUE!</v>
      </c>
      <c r="M176" s="9" t="e">
        <f t="shared" si="16"/>
        <v>#VALUE!</v>
      </c>
      <c r="N176" s="7" t="e">
        <f>IF((C175-1)&lt;$E$17,0,LeasingHab!$C$39)</f>
        <v>#VALUE!</v>
      </c>
      <c r="O176" s="9" t="e">
        <f t="shared" si="17"/>
        <v>#VALUE!</v>
      </c>
    </row>
    <row r="177" spans="2:15" ht="15.5" x14ac:dyDescent="0.35">
      <c r="B177" s="6" t="e">
        <f t="shared" si="18"/>
        <v>#VALUE!</v>
      </c>
      <c r="C177" s="7" t="e">
        <f t="shared" si="13"/>
        <v>#VALUE!</v>
      </c>
      <c r="D177" s="7" t="e">
        <f t="shared" si="14"/>
        <v>#VALUE!</v>
      </c>
      <c r="E177" s="7" t="e">
        <f>IF((C176-1)&lt;$E$17,0,C176*LeasingHab!$E$17)</f>
        <v>#VALUE!</v>
      </c>
      <c r="F177" s="8" t="e">
        <f>IF((C176-1)&lt;$E$17,"0",IF(LeasingHab!$D$27="Si",($C$19*(VLOOKUP(LeasingHab!$C$23,Seguros_Oblig!$A$3:$F$55,6,FALSE))),IF(LeasingHab!$C$10="TARIFA 1",(C176*(VLOOKUP(LeasingHab!$C$23,Seguros_Oblig!$A$3:$B$55,2,FALSE))),(C176*(VLOOKUP(LeasingHab!$C$23,Seguros_Oblig!$A$3:$D$55,4,FALSE))))))</f>
        <v>#VALUE!</v>
      </c>
      <c r="G177" s="8" t="e">
        <f>IF(LeasingHab!$C$10="TARIFA 1",(C176*(VLOOKUP(LeasingHab!$C$24,Seguros_Oblig!$A$3:$B$55,2,FALSE))),(C176*(VLOOKUP(LeasingHab!$C$24,Seguros_Oblig!$A$3:$D$55,4,FALSE))))</f>
        <v>#VALUE!</v>
      </c>
      <c r="H177" s="8" t="e">
        <f>IF(LeasingHab!$C$10="TARIFA 1",(C176*(VLOOKUP(LeasingHab!$C$25,Seguros_Oblig!$A$3:$B$55,2,FALSE))),(C176*(VLOOKUP(LeasingHab!$C$25,Seguros_Oblig!$A$3:$D$55,4,FALSE))))</f>
        <v>#VALUE!</v>
      </c>
      <c r="I177" s="8" t="e">
        <f>IF(LeasingHab!$C$10="TARIFA 1",(C176*(VLOOKUP(LeasingHab!$C$26,Seguros_Oblig!$A$3:$B$55,2,FALSE))),(C176*(VLOOKUP(LeasingHab!$C$26,Seguros_Oblig!$A$3:$D$55,4,FALSE))))</f>
        <v>#VALUE!</v>
      </c>
      <c r="J177" s="10">
        <f t="shared" si="15"/>
        <v>0</v>
      </c>
      <c r="K177" s="7" t="e">
        <f>IF((C176-1)&lt;$E$17,0,Seguros_Oblig!$K$2*(LeasingHab!$C$12*90%))</f>
        <v>#VALUE!</v>
      </c>
      <c r="L177" s="7" t="e">
        <f>IF(B177&gt;LeasingHab!$C$18,0,PMT(LeasingHab!$E$17,LeasingHab!$C$18,-LeasingHab!$C$15,,)-PMT(LeasingHab!$E$17,LeasingHab!$C$18,-LeasingHab!$C$22)+LeasingHab!$C$22*LeasingHab!$E$17)</f>
        <v>#VALUE!</v>
      </c>
      <c r="M177" s="9" t="e">
        <f t="shared" si="16"/>
        <v>#VALUE!</v>
      </c>
      <c r="N177" s="7" t="e">
        <f>IF((C176-1)&lt;$E$17,0,LeasingHab!$C$39)</f>
        <v>#VALUE!</v>
      </c>
      <c r="O177" s="9" t="e">
        <f t="shared" si="17"/>
        <v>#VALUE!</v>
      </c>
    </row>
    <row r="178" spans="2:15" ht="15.5" x14ac:dyDescent="0.35">
      <c r="B178" s="6" t="e">
        <f t="shared" si="18"/>
        <v>#VALUE!</v>
      </c>
      <c r="C178" s="7" t="e">
        <f t="shared" si="13"/>
        <v>#VALUE!</v>
      </c>
      <c r="D178" s="7" t="e">
        <f t="shared" si="14"/>
        <v>#VALUE!</v>
      </c>
      <c r="E178" s="7" t="e">
        <f>IF((C177-1)&lt;$E$17,0,C177*LeasingHab!$E$17)</f>
        <v>#VALUE!</v>
      </c>
      <c r="F178" s="8" t="e">
        <f>IF((C177-1)&lt;$E$17,"0",IF(LeasingHab!$D$27="Si",($C$19*(VLOOKUP(LeasingHab!$C$23,Seguros_Oblig!$A$3:$F$55,6,FALSE))),IF(LeasingHab!$C$10="TARIFA 1",(C177*(VLOOKUP(LeasingHab!$C$23,Seguros_Oblig!$A$3:$B$55,2,FALSE))),(C177*(VLOOKUP(LeasingHab!$C$23,Seguros_Oblig!$A$3:$D$55,4,FALSE))))))</f>
        <v>#VALUE!</v>
      </c>
      <c r="G178" s="8" t="e">
        <f>IF(LeasingHab!$C$10="TARIFA 1",(C177*(VLOOKUP(LeasingHab!$C$24,Seguros_Oblig!$A$3:$B$55,2,FALSE))),(C177*(VLOOKUP(LeasingHab!$C$24,Seguros_Oblig!$A$3:$D$55,4,FALSE))))</f>
        <v>#VALUE!</v>
      </c>
      <c r="H178" s="8" t="e">
        <f>IF(LeasingHab!$C$10="TARIFA 1",(C177*(VLOOKUP(LeasingHab!$C$25,Seguros_Oblig!$A$3:$B$55,2,FALSE))),(C177*(VLOOKUP(LeasingHab!$C$25,Seguros_Oblig!$A$3:$D$55,4,FALSE))))</f>
        <v>#VALUE!</v>
      </c>
      <c r="I178" s="8" t="e">
        <f>IF(LeasingHab!$C$10="TARIFA 1",(C177*(VLOOKUP(LeasingHab!$C$26,Seguros_Oblig!$A$3:$B$55,2,FALSE))),(C177*(VLOOKUP(LeasingHab!$C$26,Seguros_Oblig!$A$3:$D$55,4,FALSE))))</f>
        <v>#VALUE!</v>
      </c>
      <c r="J178" s="10">
        <f t="shared" si="15"/>
        <v>0</v>
      </c>
      <c r="K178" s="7" t="e">
        <f>IF((C177-1)&lt;$E$17,0,Seguros_Oblig!$K$2*(LeasingHab!$C$12*90%))</f>
        <v>#VALUE!</v>
      </c>
      <c r="L178" s="7" t="e">
        <f>IF(B178&gt;LeasingHab!$C$18,0,PMT(LeasingHab!$E$17,LeasingHab!$C$18,-LeasingHab!$C$15,,)-PMT(LeasingHab!$E$17,LeasingHab!$C$18,-LeasingHab!$C$22)+LeasingHab!$C$22*LeasingHab!$E$17)</f>
        <v>#VALUE!</v>
      </c>
      <c r="M178" s="9" t="e">
        <f t="shared" si="16"/>
        <v>#VALUE!</v>
      </c>
      <c r="N178" s="7" t="e">
        <f>IF((C177-1)&lt;$E$17,0,LeasingHab!$C$39)</f>
        <v>#VALUE!</v>
      </c>
      <c r="O178" s="9" t="e">
        <f t="shared" si="17"/>
        <v>#VALUE!</v>
      </c>
    </row>
    <row r="179" spans="2:15" ht="15.5" x14ac:dyDescent="0.35">
      <c r="B179" s="6" t="e">
        <f t="shared" si="18"/>
        <v>#VALUE!</v>
      </c>
      <c r="C179" s="7" t="e">
        <f t="shared" si="13"/>
        <v>#VALUE!</v>
      </c>
      <c r="D179" s="7" t="e">
        <f t="shared" si="14"/>
        <v>#VALUE!</v>
      </c>
      <c r="E179" s="7" t="e">
        <f>IF((C178-1)&lt;$E$17,0,C178*LeasingHab!$E$17)</f>
        <v>#VALUE!</v>
      </c>
      <c r="F179" s="8" t="e">
        <f>IF((C178-1)&lt;$E$17,"0",IF(LeasingHab!$D$27="Si",($C$19*(VLOOKUP(LeasingHab!$C$23,Seguros_Oblig!$A$3:$F$55,6,FALSE))),IF(LeasingHab!$C$10="TARIFA 1",(C178*(VLOOKUP(LeasingHab!$C$23,Seguros_Oblig!$A$3:$B$55,2,FALSE))),(C178*(VLOOKUP(LeasingHab!$C$23,Seguros_Oblig!$A$3:$D$55,4,FALSE))))))</f>
        <v>#VALUE!</v>
      </c>
      <c r="G179" s="8" t="e">
        <f>IF(LeasingHab!$C$10="TARIFA 1",(C178*(VLOOKUP(LeasingHab!$C$24,Seguros_Oblig!$A$3:$B$55,2,FALSE))),(C178*(VLOOKUP(LeasingHab!$C$24,Seguros_Oblig!$A$3:$D$55,4,FALSE))))</f>
        <v>#VALUE!</v>
      </c>
      <c r="H179" s="8" t="e">
        <f>IF(LeasingHab!$C$10="TARIFA 1",(C178*(VLOOKUP(LeasingHab!$C$25,Seguros_Oblig!$A$3:$B$55,2,FALSE))),(C178*(VLOOKUP(LeasingHab!$C$25,Seguros_Oblig!$A$3:$D$55,4,FALSE))))</f>
        <v>#VALUE!</v>
      </c>
      <c r="I179" s="8" t="e">
        <f>IF(LeasingHab!$C$10="TARIFA 1",(C178*(VLOOKUP(LeasingHab!$C$26,Seguros_Oblig!$A$3:$B$55,2,FALSE))),(C178*(VLOOKUP(LeasingHab!$C$26,Seguros_Oblig!$A$3:$D$55,4,FALSE))))</f>
        <v>#VALUE!</v>
      </c>
      <c r="J179" s="10">
        <f t="shared" si="15"/>
        <v>0</v>
      </c>
      <c r="K179" s="7" t="e">
        <f>IF((C178-1)&lt;$E$17,0,Seguros_Oblig!$K$2*(LeasingHab!$C$12*90%))</f>
        <v>#VALUE!</v>
      </c>
      <c r="L179" s="7" t="e">
        <f>IF(B179&gt;LeasingHab!$C$18,0,PMT(LeasingHab!$E$17,LeasingHab!$C$18,-LeasingHab!$C$15,,)-PMT(LeasingHab!$E$17,LeasingHab!$C$18,-LeasingHab!$C$22)+LeasingHab!$C$22*LeasingHab!$E$17)</f>
        <v>#VALUE!</v>
      </c>
      <c r="M179" s="9" t="e">
        <f t="shared" si="16"/>
        <v>#VALUE!</v>
      </c>
      <c r="N179" s="7" t="e">
        <f>IF((C178-1)&lt;$E$17,0,LeasingHab!$C$39)</f>
        <v>#VALUE!</v>
      </c>
      <c r="O179" s="9" t="e">
        <f t="shared" si="17"/>
        <v>#VALUE!</v>
      </c>
    </row>
    <row r="180" spans="2:15" ht="15.5" x14ac:dyDescent="0.35">
      <c r="B180" s="6" t="e">
        <f t="shared" si="18"/>
        <v>#VALUE!</v>
      </c>
      <c r="C180" s="7" t="e">
        <f t="shared" si="13"/>
        <v>#VALUE!</v>
      </c>
      <c r="D180" s="7" t="e">
        <f t="shared" si="14"/>
        <v>#VALUE!</v>
      </c>
      <c r="E180" s="7" t="e">
        <f>IF((C179-1)&lt;$E$17,0,C179*LeasingHab!$E$17)</f>
        <v>#VALUE!</v>
      </c>
      <c r="F180" s="8" t="e">
        <f>IF((C179-1)&lt;$E$17,"0",IF(LeasingHab!$D$27="Si",($C$19*(VLOOKUP(LeasingHab!$C$23,Seguros_Oblig!$A$3:$F$55,6,FALSE))),IF(LeasingHab!$C$10="TARIFA 1",(C179*(VLOOKUP(LeasingHab!$C$23,Seguros_Oblig!$A$3:$B$55,2,FALSE))),(C179*(VLOOKUP(LeasingHab!$C$23,Seguros_Oblig!$A$3:$D$55,4,FALSE))))))</f>
        <v>#VALUE!</v>
      </c>
      <c r="G180" s="8" t="e">
        <f>IF(LeasingHab!$C$10="TARIFA 1",(C179*(VLOOKUP(LeasingHab!$C$24,Seguros_Oblig!$A$3:$B$55,2,FALSE))),(C179*(VLOOKUP(LeasingHab!$C$24,Seguros_Oblig!$A$3:$D$55,4,FALSE))))</f>
        <v>#VALUE!</v>
      </c>
      <c r="H180" s="8" t="e">
        <f>IF(LeasingHab!$C$10="TARIFA 1",(C179*(VLOOKUP(LeasingHab!$C$25,Seguros_Oblig!$A$3:$B$55,2,FALSE))),(C179*(VLOOKUP(LeasingHab!$C$25,Seguros_Oblig!$A$3:$D$55,4,FALSE))))</f>
        <v>#VALUE!</v>
      </c>
      <c r="I180" s="8" t="e">
        <f>IF(LeasingHab!$C$10="TARIFA 1",(C179*(VLOOKUP(LeasingHab!$C$26,Seguros_Oblig!$A$3:$B$55,2,FALSE))),(C179*(VLOOKUP(LeasingHab!$C$26,Seguros_Oblig!$A$3:$D$55,4,FALSE))))</f>
        <v>#VALUE!</v>
      </c>
      <c r="J180" s="10">
        <f t="shared" si="15"/>
        <v>0</v>
      </c>
      <c r="K180" s="7" t="e">
        <f>IF((C179-1)&lt;$E$17,0,Seguros_Oblig!$K$2*(LeasingHab!$C$12*90%))</f>
        <v>#VALUE!</v>
      </c>
      <c r="L180" s="7" t="e">
        <f>IF(B180&gt;LeasingHab!$C$18,0,PMT(LeasingHab!$E$17,LeasingHab!$C$18,-LeasingHab!$C$15,,)-PMT(LeasingHab!$E$17,LeasingHab!$C$18,-LeasingHab!$C$22)+LeasingHab!$C$22*LeasingHab!$E$17)</f>
        <v>#VALUE!</v>
      </c>
      <c r="M180" s="9" t="e">
        <f t="shared" si="16"/>
        <v>#VALUE!</v>
      </c>
      <c r="N180" s="7" t="e">
        <f>IF((C179-1)&lt;$E$17,0,LeasingHab!$C$39)</f>
        <v>#VALUE!</v>
      </c>
      <c r="O180" s="9" t="e">
        <f t="shared" si="17"/>
        <v>#VALUE!</v>
      </c>
    </row>
    <row r="181" spans="2:15" ht="15.5" x14ac:dyDescent="0.35">
      <c r="B181" s="6" t="e">
        <f t="shared" si="18"/>
        <v>#VALUE!</v>
      </c>
      <c r="C181" s="7" t="e">
        <f t="shared" si="13"/>
        <v>#VALUE!</v>
      </c>
      <c r="D181" s="7" t="e">
        <f t="shared" si="14"/>
        <v>#VALUE!</v>
      </c>
      <c r="E181" s="7" t="e">
        <f>IF((C180-1)&lt;$E$17,0,C180*LeasingHab!$E$17)</f>
        <v>#VALUE!</v>
      </c>
      <c r="F181" s="8" t="e">
        <f>IF((C180-1)&lt;$E$17,"0",IF(LeasingHab!$D$27="Si",($C$19*(VLOOKUP(LeasingHab!$C$23,Seguros_Oblig!$A$3:$F$55,6,FALSE))),IF(LeasingHab!$C$10="TARIFA 1",(C180*(VLOOKUP(LeasingHab!$C$23,Seguros_Oblig!$A$3:$B$55,2,FALSE))),(C180*(VLOOKUP(LeasingHab!$C$23,Seguros_Oblig!$A$3:$D$55,4,FALSE))))))</f>
        <v>#VALUE!</v>
      </c>
      <c r="G181" s="8" t="e">
        <f>IF(LeasingHab!$C$10="TARIFA 1",(C180*(VLOOKUP(LeasingHab!$C$24,Seguros_Oblig!$A$3:$B$55,2,FALSE))),(C180*(VLOOKUP(LeasingHab!$C$24,Seguros_Oblig!$A$3:$D$55,4,FALSE))))</f>
        <v>#VALUE!</v>
      </c>
      <c r="H181" s="8" t="e">
        <f>IF(LeasingHab!$C$10="TARIFA 1",(C180*(VLOOKUP(LeasingHab!$C$25,Seguros_Oblig!$A$3:$B$55,2,FALSE))),(C180*(VLOOKUP(LeasingHab!$C$25,Seguros_Oblig!$A$3:$D$55,4,FALSE))))</f>
        <v>#VALUE!</v>
      </c>
      <c r="I181" s="8" t="e">
        <f>IF(LeasingHab!$C$10="TARIFA 1",(C180*(VLOOKUP(LeasingHab!$C$26,Seguros_Oblig!$A$3:$B$55,2,FALSE))),(C180*(VLOOKUP(LeasingHab!$C$26,Seguros_Oblig!$A$3:$D$55,4,FALSE))))</f>
        <v>#VALUE!</v>
      </c>
      <c r="J181" s="10">
        <f t="shared" si="15"/>
        <v>0</v>
      </c>
      <c r="K181" s="7" t="e">
        <f>IF((C180-1)&lt;$E$17,0,Seguros_Oblig!$K$2*(LeasingHab!$C$12*90%))</f>
        <v>#VALUE!</v>
      </c>
      <c r="L181" s="7" t="e">
        <f>IF(B181&gt;LeasingHab!$C$18,0,PMT(LeasingHab!$E$17,LeasingHab!$C$18,-LeasingHab!$C$15,,)-PMT(LeasingHab!$E$17,LeasingHab!$C$18,-LeasingHab!$C$22)+LeasingHab!$C$22*LeasingHab!$E$17)</f>
        <v>#VALUE!</v>
      </c>
      <c r="M181" s="9" t="e">
        <f t="shared" si="16"/>
        <v>#VALUE!</v>
      </c>
      <c r="N181" s="7" t="e">
        <f>IF((C180-1)&lt;$E$17,0,LeasingHab!$C$39)</f>
        <v>#VALUE!</v>
      </c>
      <c r="O181" s="9" t="e">
        <f t="shared" si="17"/>
        <v>#VALUE!</v>
      </c>
    </row>
    <row r="182" spans="2:15" ht="15.5" x14ac:dyDescent="0.35">
      <c r="B182" s="6" t="e">
        <f t="shared" si="18"/>
        <v>#VALUE!</v>
      </c>
      <c r="C182" s="7" t="e">
        <f t="shared" si="13"/>
        <v>#VALUE!</v>
      </c>
      <c r="D182" s="7" t="e">
        <f t="shared" si="14"/>
        <v>#VALUE!</v>
      </c>
      <c r="E182" s="7" t="e">
        <f>IF((C181-1)&lt;$E$17,0,C181*LeasingHab!$E$17)</f>
        <v>#VALUE!</v>
      </c>
      <c r="F182" s="8" t="e">
        <f>IF((C181-1)&lt;$E$17,"0",IF(LeasingHab!$D$27="Si",($C$19*(VLOOKUP(LeasingHab!$C$23,Seguros_Oblig!$A$3:$F$55,6,FALSE))),IF(LeasingHab!$C$10="TARIFA 1",(C181*(VLOOKUP(LeasingHab!$C$23,Seguros_Oblig!$A$3:$B$55,2,FALSE))),(C181*(VLOOKUP(LeasingHab!$C$23,Seguros_Oblig!$A$3:$D$55,4,FALSE))))))</f>
        <v>#VALUE!</v>
      </c>
      <c r="G182" s="8" t="e">
        <f>IF(LeasingHab!$C$10="TARIFA 1",(C181*(VLOOKUP(LeasingHab!$C$24,Seguros_Oblig!$A$3:$B$55,2,FALSE))),(C181*(VLOOKUP(LeasingHab!$C$24,Seguros_Oblig!$A$3:$D$55,4,FALSE))))</f>
        <v>#VALUE!</v>
      </c>
      <c r="H182" s="8" t="e">
        <f>IF(LeasingHab!$C$10="TARIFA 1",(C181*(VLOOKUP(LeasingHab!$C$25,Seguros_Oblig!$A$3:$B$55,2,FALSE))),(C181*(VLOOKUP(LeasingHab!$C$25,Seguros_Oblig!$A$3:$D$55,4,FALSE))))</f>
        <v>#VALUE!</v>
      </c>
      <c r="I182" s="8" t="e">
        <f>IF(LeasingHab!$C$10="TARIFA 1",(C181*(VLOOKUP(LeasingHab!$C$26,Seguros_Oblig!$A$3:$B$55,2,FALSE))),(C181*(VLOOKUP(LeasingHab!$C$26,Seguros_Oblig!$A$3:$D$55,4,FALSE))))</f>
        <v>#VALUE!</v>
      </c>
      <c r="J182" s="10">
        <f t="shared" si="15"/>
        <v>0</v>
      </c>
      <c r="K182" s="7" t="e">
        <f>IF((C181-1)&lt;$E$17,0,Seguros_Oblig!$K$2*(LeasingHab!$C$12*90%))</f>
        <v>#VALUE!</v>
      </c>
      <c r="L182" s="7" t="e">
        <f>IF(B182&gt;LeasingHab!$C$18,0,PMT(LeasingHab!$E$17,LeasingHab!$C$18,-LeasingHab!$C$15,,)-PMT(LeasingHab!$E$17,LeasingHab!$C$18,-LeasingHab!$C$22)+LeasingHab!$C$22*LeasingHab!$E$17)</f>
        <v>#VALUE!</v>
      </c>
      <c r="M182" s="9" t="e">
        <f t="shared" si="16"/>
        <v>#VALUE!</v>
      </c>
      <c r="N182" s="7" t="e">
        <f>IF((C181-1)&lt;$E$17,0,LeasingHab!$C$39)</f>
        <v>#VALUE!</v>
      </c>
      <c r="O182" s="9" t="e">
        <f t="shared" si="17"/>
        <v>#VALUE!</v>
      </c>
    </row>
    <row r="183" spans="2:15" ht="15.5" x14ac:dyDescent="0.35">
      <c r="B183" s="6" t="e">
        <f t="shared" si="18"/>
        <v>#VALUE!</v>
      </c>
      <c r="C183" s="7" t="e">
        <f t="shared" si="13"/>
        <v>#VALUE!</v>
      </c>
      <c r="D183" s="7" t="e">
        <f t="shared" si="14"/>
        <v>#VALUE!</v>
      </c>
      <c r="E183" s="7" t="e">
        <f>IF((C182-1)&lt;$E$17,0,C182*LeasingHab!$E$17)</f>
        <v>#VALUE!</v>
      </c>
      <c r="F183" s="8" t="e">
        <f>IF((C182-1)&lt;$E$17,"0",IF(LeasingHab!$D$27="Si",($C$19*(VLOOKUP(LeasingHab!$C$23,Seguros_Oblig!$A$3:$F$55,6,FALSE))),IF(LeasingHab!$C$10="TARIFA 1",(C182*(VLOOKUP(LeasingHab!$C$23,Seguros_Oblig!$A$3:$B$55,2,FALSE))),(C182*(VLOOKUP(LeasingHab!$C$23,Seguros_Oblig!$A$3:$D$55,4,FALSE))))))</f>
        <v>#VALUE!</v>
      </c>
      <c r="G183" s="8" t="e">
        <f>IF(LeasingHab!$C$10="TARIFA 1",(C182*(VLOOKUP(LeasingHab!$C$24,Seguros_Oblig!$A$3:$B$55,2,FALSE))),(C182*(VLOOKUP(LeasingHab!$C$24,Seguros_Oblig!$A$3:$D$55,4,FALSE))))</f>
        <v>#VALUE!</v>
      </c>
      <c r="H183" s="8" t="e">
        <f>IF(LeasingHab!$C$10="TARIFA 1",(C182*(VLOOKUP(LeasingHab!$C$25,Seguros_Oblig!$A$3:$B$55,2,FALSE))),(C182*(VLOOKUP(LeasingHab!$C$25,Seguros_Oblig!$A$3:$D$55,4,FALSE))))</f>
        <v>#VALUE!</v>
      </c>
      <c r="I183" s="8" t="e">
        <f>IF(LeasingHab!$C$10="TARIFA 1",(C182*(VLOOKUP(LeasingHab!$C$26,Seguros_Oblig!$A$3:$B$55,2,FALSE))),(C182*(VLOOKUP(LeasingHab!$C$26,Seguros_Oblig!$A$3:$D$55,4,FALSE))))</f>
        <v>#VALUE!</v>
      </c>
      <c r="J183" s="10">
        <f t="shared" si="15"/>
        <v>0</v>
      </c>
      <c r="K183" s="7" t="e">
        <f>IF((C182-1)&lt;$E$17,0,Seguros_Oblig!$K$2*(LeasingHab!$C$12*90%))</f>
        <v>#VALUE!</v>
      </c>
      <c r="L183" s="7" t="e">
        <f>IF(B183&gt;LeasingHab!$C$18,0,PMT(LeasingHab!$E$17,LeasingHab!$C$18,-LeasingHab!$C$15,,)-PMT(LeasingHab!$E$17,LeasingHab!$C$18,-LeasingHab!$C$22)+LeasingHab!$C$22*LeasingHab!$E$17)</f>
        <v>#VALUE!</v>
      </c>
      <c r="M183" s="9" t="e">
        <f t="shared" si="16"/>
        <v>#VALUE!</v>
      </c>
      <c r="N183" s="7" t="e">
        <f>IF((C182-1)&lt;$E$17,0,LeasingHab!$C$39)</f>
        <v>#VALUE!</v>
      </c>
      <c r="O183" s="9" t="e">
        <f t="shared" si="17"/>
        <v>#VALUE!</v>
      </c>
    </row>
    <row r="184" spans="2:15" ht="15.5" x14ac:dyDescent="0.35">
      <c r="B184" s="6" t="e">
        <f t="shared" si="18"/>
        <v>#VALUE!</v>
      </c>
      <c r="C184" s="7" t="e">
        <f t="shared" si="13"/>
        <v>#VALUE!</v>
      </c>
      <c r="D184" s="7" t="e">
        <f t="shared" si="14"/>
        <v>#VALUE!</v>
      </c>
      <c r="E184" s="7" t="e">
        <f>IF((C183-1)&lt;$E$17,0,C183*LeasingHab!$E$17)</f>
        <v>#VALUE!</v>
      </c>
      <c r="F184" s="8" t="e">
        <f>IF((C183-1)&lt;$E$17,"0",IF(LeasingHab!$D$27="Si",($C$19*(VLOOKUP(LeasingHab!$C$23,Seguros_Oblig!$A$3:$F$55,6,FALSE))),IF(LeasingHab!$C$10="TARIFA 1",(C183*(VLOOKUP(LeasingHab!$C$23,Seguros_Oblig!$A$3:$B$55,2,FALSE))),(C183*(VLOOKUP(LeasingHab!$C$23,Seguros_Oblig!$A$3:$D$55,4,FALSE))))))</f>
        <v>#VALUE!</v>
      </c>
      <c r="G184" s="8" t="e">
        <f>IF(LeasingHab!$C$10="TARIFA 1",(C183*(VLOOKUP(LeasingHab!$C$24,Seguros_Oblig!$A$3:$B$55,2,FALSE))),(C183*(VLOOKUP(LeasingHab!$C$24,Seguros_Oblig!$A$3:$D$55,4,FALSE))))</f>
        <v>#VALUE!</v>
      </c>
      <c r="H184" s="8" t="e">
        <f>IF(LeasingHab!$C$10="TARIFA 1",(C183*(VLOOKUP(LeasingHab!$C$25,Seguros_Oblig!$A$3:$B$55,2,FALSE))),(C183*(VLOOKUP(LeasingHab!$C$25,Seguros_Oblig!$A$3:$D$55,4,FALSE))))</f>
        <v>#VALUE!</v>
      </c>
      <c r="I184" s="8" t="e">
        <f>IF(LeasingHab!$C$10="TARIFA 1",(C183*(VLOOKUP(LeasingHab!$C$26,Seguros_Oblig!$A$3:$B$55,2,FALSE))),(C183*(VLOOKUP(LeasingHab!$C$26,Seguros_Oblig!$A$3:$D$55,4,FALSE))))</f>
        <v>#VALUE!</v>
      </c>
      <c r="J184" s="10">
        <f t="shared" si="15"/>
        <v>0</v>
      </c>
      <c r="K184" s="7" t="e">
        <f>IF((C183-1)&lt;$E$17,0,Seguros_Oblig!$K$2*(LeasingHab!$C$12*90%))</f>
        <v>#VALUE!</v>
      </c>
      <c r="L184" s="7" t="e">
        <f>IF(B184&gt;LeasingHab!$C$18,0,PMT(LeasingHab!$E$17,LeasingHab!$C$18,-LeasingHab!$C$15,,)-PMT(LeasingHab!$E$17,LeasingHab!$C$18,-LeasingHab!$C$22)+LeasingHab!$C$22*LeasingHab!$E$17)</f>
        <v>#VALUE!</v>
      </c>
      <c r="M184" s="9" t="e">
        <f t="shared" si="16"/>
        <v>#VALUE!</v>
      </c>
      <c r="N184" s="7" t="e">
        <f>IF((C183-1)&lt;$E$17,0,LeasingHab!$C$39)</f>
        <v>#VALUE!</v>
      </c>
      <c r="O184" s="9" t="e">
        <f t="shared" si="17"/>
        <v>#VALUE!</v>
      </c>
    </row>
    <row r="185" spans="2:15" ht="15.5" x14ac:dyDescent="0.35">
      <c r="B185" s="6" t="e">
        <f t="shared" si="18"/>
        <v>#VALUE!</v>
      </c>
      <c r="C185" s="7" t="e">
        <f t="shared" si="13"/>
        <v>#VALUE!</v>
      </c>
      <c r="D185" s="7" t="e">
        <f t="shared" si="14"/>
        <v>#VALUE!</v>
      </c>
      <c r="E185" s="7" t="e">
        <f>IF((C184-1)&lt;$E$17,0,C184*LeasingHab!$E$17)</f>
        <v>#VALUE!</v>
      </c>
      <c r="F185" s="8" t="e">
        <f>IF((C184-1)&lt;$E$17,"0",IF(LeasingHab!$D$27="Si",($C$19*(VLOOKUP(LeasingHab!$C$23,Seguros_Oblig!$A$3:$F$55,6,FALSE))),IF(LeasingHab!$C$10="TARIFA 1",(C184*(VLOOKUP(LeasingHab!$C$23,Seguros_Oblig!$A$3:$B$55,2,FALSE))),(C184*(VLOOKUP(LeasingHab!$C$23,Seguros_Oblig!$A$3:$D$55,4,FALSE))))))</f>
        <v>#VALUE!</v>
      </c>
      <c r="G185" s="8" t="e">
        <f>IF(LeasingHab!$C$10="TARIFA 1",(C184*(VLOOKUP(LeasingHab!$C$24,Seguros_Oblig!$A$3:$B$55,2,FALSE))),(C184*(VLOOKUP(LeasingHab!$C$24,Seguros_Oblig!$A$3:$D$55,4,FALSE))))</f>
        <v>#VALUE!</v>
      </c>
      <c r="H185" s="8" t="e">
        <f>IF(LeasingHab!$C$10="TARIFA 1",(C184*(VLOOKUP(LeasingHab!$C$25,Seguros_Oblig!$A$3:$B$55,2,FALSE))),(C184*(VLOOKUP(LeasingHab!$C$25,Seguros_Oblig!$A$3:$D$55,4,FALSE))))</f>
        <v>#VALUE!</v>
      </c>
      <c r="I185" s="8" t="e">
        <f>IF(LeasingHab!$C$10="TARIFA 1",(C184*(VLOOKUP(LeasingHab!$C$26,Seguros_Oblig!$A$3:$B$55,2,FALSE))),(C184*(VLOOKUP(LeasingHab!$C$26,Seguros_Oblig!$A$3:$D$55,4,FALSE))))</f>
        <v>#VALUE!</v>
      </c>
      <c r="J185" s="10">
        <f t="shared" si="15"/>
        <v>0</v>
      </c>
      <c r="K185" s="7" t="e">
        <f>IF((C184-1)&lt;$E$17,0,Seguros_Oblig!$K$2*(LeasingHab!$C$12*90%))</f>
        <v>#VALUE!</v>
      </c>
      <c r="L185" s="7" t="e">
        <f>IF(B185&gt;LeasingHab!$C$18,0,PMT(LeasingHab!$E$17,LeasingHab!$C$18,-LeasingHab!$C$15,,)-PMT(LeasingHab!$E$17,LeasingHab!$C$18,-LeasingHab!$C$22)+LeasingHab!$C$22*LeasingHab!$E$17)</f>
        <v>#VALUE!</v>
      </c>
      <c r="M185" s="9" t="e">
        <f t="shared" si="16"/>
        <v>#VALUE!</v>
      </c>
      <c r="N185" s="7" t="e">
        <f>IF((C184-1)&lt;$E$17,0,LeasingHab!$C$39)</f>
        <v>#VALUE!</v>
      </c>
      <c r="O185" s="9" t="e">
        <f t="shared" si="17"/>
        <v>#VALUE!</v>
      </c>
    </row>
    <row r="186" spans="2:15" ht="15.5" x14ac:dyDescent="0.35">
      <c r="B186" s="6" t="e">
        <f t="shared" si="18"/>
        <v>#VALUE!</v>
      </c>
      <c r="C186" s="7" t="e">
        <f t="shared" si="13"/>
        <v>#VALUE!</v>
      </c>
      <c r="D186" s="7" t="e">
        <f t="shared" si="14"/>
        <v>#VALUE!</v>
      </c>
      <c r="E186" s="7" t="e">
        <f>IF((C185-1)&lt;$E$17,0,C185*LeasingHab!$E$17)</f>
        <v>#VALUE!</v>
      </c>
      <c r="F186" s="8" t="e">
        <f>IF((C185-1)&lt;$E$17,"0",IF(LeasingHab!$D$27="Si",($C$19*(VLOOKUP(LeasingHab!$C$23,Seguros_Oblig!$A$3:$F$55,6,FALSE))),IF(LeasingHab!$C$10="TARIFA 1",(C185*(VLOOKUP(LeasingHab!$C$23,Seguros_Oblig!$A$3:$B$55,2,FALSE))),(C185*(VLOOKUP(LeasingHab!$C$23,Seguros_Oblig!$A$3:$D$55,4,FALSE))))))</f>
        <v>#VALUE!</v>
      </c>
      <c r="G186" s="8" t="e">
        <f>IF(LeasingHab!$C$10="TARIFA 1",(C185*(VLOOKUP(LeasingHab!$C$24,Seguros_Oblig!$A$3:$B$55,2,FALSE))),(C185*(VLOOKUP(LeasingHab!$C$24,Seguros_Oblig!$A$3:$D$55,4,FALSE))))</f>
        <v>#VALUE!</v>
      </c>
      <c r="H186" s="8" t="e">
        <f>IF(LeasingHab!$C$10="TARIFA 1",(C185*(VLOOKUP(LeasingHab!$C$25,Seguros_Oblig!$A$3:$B$55,2,FALSE))),(C185*(VLOOKUP(LeasingHab!$C$25,Seguros_Oblig!$A$3:$D$55,4,FALSE))))</f>
        <v>#VALUE!</v>
      </c>
      <c r="I186" s="8" t="e">
        <f>IF(LeasingHab!$C$10="TARIFA 1",(C185*(VLOOKUP(LeasingHab!$C$26,Seguros_Oblig!$A$3:$B$55,2,FALSE))),(C185*(VLOOKUP(LeasingHab!$C$26,Seguros_Oblig!$A$3:$D$55,4,FALSE))))</f>
        <v>#VALUE!</v>
      </c>
      <c r="J186" s="10">
        <f t="shared" si="15"/>
        <v>0</v>
      </c>
      <c r="K186" s="7" t="e">
        <f>IF((C185-1)&lt;$E$17,0,Seguros_Oblig!$K$2*(LeasingHab!$C$12*90%))</f>
        <v>#VALUE!</v>
      </c>
      <c r="L186" s="7" t="e">
        <f>IF(B186&gt;LeasingHab!$C$18,0,PMT(LeasingHab!$E$17,LeasingHab!$C$18,-LeasingHab!$C$15,,)-PMT(LeasingHab!$E$17,LeasingHab!$C$18,-LeasingHab!$C$22)+LeasingHab!$C$22*LeasingHab!$E$17)</f>
        <v>#VALUE!</v>
      </c>
      <c r="M186" s="9" t="e">
        <f t="shared" si="16"/>
        <v>#VALUE!</v>
      </c>
      <c r="N186" s="7" t="e">
        <f>IF((C185-1)&lt;$E$17,0,LeasingHab!$C$39)</f>
        <v>#VALUE!</v>
      </c>
      <c r="O186" s="9" t="e">
        <f t="shared" si="17"/>
        <v>#VALUE!</v>
      </c>
    </row>
    <row r="187" spans="2:15" ht="15.5" x14ac:dyDescent="0.35">
      <c r="B187" s="6" t="e">
        <f t="shared" si="18"/>
        <v>#VALUE!</v>
      </c>
      <c r="C187" s="7" t="e">
        <f t="shared" si="13"/>
        <v>#VALUE!</v>
      </c>
      <c r="D187" s="7" t="e">
        <f t="shared" si="14"/>
        <v>#VALUE!</v>
      </c>
      <c r="E187" s="7" t="e">
        <f>IF((C186-1)&lt;$E$17,0,C186*LeasingHab!$E$17)</f>
        <v>#VALUE!</v>
      </c>
      <c r="F187" s="8" t="e">
        <f>IF((C186-1)&lt;$E$17,"0",IF(LeasingHab!$D$27="Si",($C$19*(VLOOKUP(LeasingHab!$C$23,Seguros_Oblig!$A$3:$F$55,6,FALSE))),IF(LeasingHab!$C$10="TARIFA 1",(C186*(VLOOKUP(LeasingHab!$C$23,Seguros_Oblig!$A$3:$B$55,2,FALSE))),(C186*(VLOOKUP(LeasingHab!$C$23,Seguros_Oblig!$A$3:$D$55,4,FALSE))))))</f>
        <v>#VALUE!</v>
      </c>
      <c r="G187" s="8" t="e">
        <f>IF(LeasingHab!$C$10="TARIFA 1",(C186*(VLOOKUP(LeasingHab!$C$24,Seguros_Oblig!$A$3:$B$55,2,FALSE))),(C186*(VLOOKUP(LeasingHab!$C$24,Seguros_Oblig!$A$3:$D$55,4,FALSE))))</f>
        <v>#VALUE!</v>
      </c>
      <c r="H187" s="8" t="e">
        <f>IF(LeasingHab!$C$10="TARIFA 1",(C186*(VLOOKUP(LeasingHab!$C$25,Seguros_Oblig!$A$3:$B$55,2,FALSE))),(C186*(VLOOKUP(LeasingHab!$C$25,Seguros_Oblig!$A$3:$D$55,4,FALSE))))</f>
        <v>#VALUE!</v>
      </c>
      <c r="I187" s="8" t="e">
        <f>IF(LeasingHab!$C$10="TARIFA 1",(C186*(VLOOKUP(LeasingHab!$C$26,Seguros_Oblig!$A$3:$B$55,2,FALSE))),(C186*(VLOOKUP(LeasingHab!$C$26,Seguros_Oblig!$A$3:$D$55,4,FALSE))))</f>
        <v>#VALUE!</v>
      </c>
      <c r="J187" s="10">
        <f t="shared" si="15"/>
        <v>0</v>
      </c>
      <c r="K187" s="7" t="e">
        <f>IF((C186-1)&lt;$E$17,0,Seguros_Oblig!$K$2*(LeasingHab!$C$12*90%))</f>
        <v>#VALUE!</v>
      </c>
      <c r="L187" s="7" t="e">
        <f>IF(B187&gt;LeasingHab!$C$18,0,PMT(LeasingHab!$E$17,LeasingHab!$C$18,-LeasingHab!$C$15,,)-PMT(LeasingHab!$E$17,LeasingHab!$C$18,-LeasingHab!$C$22)+LeasingHab!$C$22*LeasingHab!$E$17)</f>
        <v>#VALUE!</v>
      </c>
      <c r="M187" s="9" t="e">
        <f t="shared" si="16"/>
        <v>#VALUE!</v>
      </c>
      <c r="N187" s="7" t="e">
        <f>IF((C186-1)&lt;$E$17,0,LeasingHab!$C$39)</f>
        <v>#VALUE!</v>
      </c>
      <c r="O187" s="9" t="e">
        <f t="shared" si="17"/>
        <v>#VALUE!</v>
      </c>
    </row>
    <row r="188" spans="2:15" ht="15.5" x14ac:dyDescent="0.35">
      <c r="B188" s="6" t="e">
        <f t="shared" si="18"/>
        <v>#VALUE!</v>
      </c>
      <c r="C188" s="7" t="e">
        <f t="shared" si="13"/>
        <v>#VALUE!</v>
      </c>
      <c r="D188" s="7" t="e">
        <f t="shared" si="14"/>
        <v>#VALUE!</v>
      </c>
      <c r="E188" s="7" t="e">
        <f>IF((C187-1)&lt;$E$17,0,C187*LeasingHab!$E$17)</f>
        <v>#VALUE!</v>
      </c>
      <c r="F188" s="8" t="e">
        <f>IF((C187-1)&lt;$E$17,"0",IF(LeasingHab!$D$27="Si",($C$19*(VLOOKUP(LeasingHab!$C$23,Seguros_Oblig!$A$3:$F$55,6,FALSE))),IF(LeasingHab!$C$10="TARIFA 1",(C187*(VLOOKUP(LeasingHab!$C$23,Seguros_Oblig!$A$3:$B$55,2,FALSE))),(C187*(VLOOKUP(LeasingHab!$C$23,Seguros_Oblig!$A$3:$D$55,4,FALSE))))))</f>
        <v>#VALUE!</v>
      </c>
      <c r="G188" s="8" t="e">
        <f>IF(LeasingHab!$C$10="TARIFA 1",(C187*(VLOOKUP(LeasingHab!$C$24,Seguros_Oblig!$A$3:$B$55,2,FALSE))),(C187*(VLOOKUP(LeasingHab!$C$24,Seguros_Oblig!$A$3:$D$55,4,FALSE))))</f>
        <v>#VALUE!</v>
      </c>
      <c r="H188" s="8" t="e">
        <f>IF(LeasingHab!$C$10="TARIFA 1",(C187*(VLOOKUP(LeasingHab!$C$25,Seguros_Oblig!$A$3:$B$55,2,FALSE))),(C187*(VLOOKUP(LeasingHab!$C$25,Seguros_Oblig!$A$3:$D$55,4,FALSE))))</f>
        <v>#VALUE!</v>
      </c>
      <c r="I188" s="8" t="e">
        <f>IF(LeasingHab!$C$10="TARIFA 1",(C187*(VLOOKUP(LeasingHab!$C$26,Seguros_Oblig!$A$3:$B$55,2,FALSE))),(C187*(VLOOKUP(LeasingHab!$C$26,Seguros_Oblig!$A$3:$D$55,4,FALSE))))</f>
        <v>#VALUE!</v>
      </c>
      <c r="J188" s="10">
        <f t="shared" si="15"/>
        <v>0</v>
      </c>
      <c r="K188" s="7" t="e">
        <f>IF((C187-1)&lt;$E$17,0,Seguros_Oblig!$K$2*(LeasingHab!$C$12*90%))</f>
        <v>#VALUE!</v>
      </c>
      <c r="L188" s="7" t="e">
        <f>IF(B188&gt;LeasingHab!$C$18,0,PMT(LeasingHab!$E$17,LeasingHab!$C$18,-LeasingHab!$C$15,,)-PMT(LeasingHab!$E$17,LeasingHab!$C$18,-LeasingHab!$C$22)+LeasingHab!$C$22*LeasingHab!$E$17)</f>
        <v>#VALUE!</v>
      </c>
      <c r="M188" s="9" t="e">
        <f t="shared" si="16"/>
        <v>#VALUE!</v>
      </c>
      <c r="N188" s="7" t="e">
        <f>IF((C187-1)&lt;$E$17,0,LeasingHab!$C$39)</f>
        <v>#VALUE!</v>
      </c>
      <c r="O188" s="9" t="e">
        <f t="shared" si="17"/>
        <v>#VALUE!</v>
      </c>
    </row>
    <row r="189" spans="2:15" ht="15.5" x14ac:dyDescent="0.35">
      <c r="B189" s="6" t="e">
        <f t="shared" si="18"/>
        <v>#VALUE!</v>
      </c>
      <c r="C189" s="7" t="e">
        <f t="shared" si="13"/>
        <v>#VALUE!</v>
      </c>
      <c r="D189" s="7" t="e">
        <f t="shared" si="14"/>
        <v>#VALUE!</v>
      </c>
      <c r="E189" s="7" t="e">
        <f>IF((C188-1)&lt;$E$17,0,C188*LeasingHab!$E$17)</f>
        <v>#VALUE!</v>
      </c>
      <c r="F189" s="8" t="e">
        <f>IF((C188-1)&lt;$E$17,"0",IF(LeasingHab!$D$27="Si",($C$19*(VLOOKUP(LeasingHab!$C$23,Seguros_Oblig!$A$3:$F$55,6,FALSE))),IF(LeasingHab!$C$10="TARIFA 1",(C188*(VLOOKUP(LeasingHab!$C$23,Seguros_Oblig!$A$3:$B$55,2,FALSE))),(C188*(VLOOKUP(LeasingHab!$C$23,Seguros_Oblig!$A$3:$D$55,4,FALSE))))))</f>
        <v>#VALUE!</v>
      </c>
      <c r="G189" s="8" t="e">
        <f>IF(LeasingHab!$C$10="TARIFA 1",(C188*(VLOOKUP(LeasingHab!$C$24,Seguros_Oblig!$A$3:$B$55,2,FALSE))),(C188*(VLOOKUP(LeasingHab!$C$24,Seguros_Oblig!$A$3:$D$55,4,FALSE))))</f>
        <v>#VALUE!</v>
      </c>
      <c r="H189" s="8" t="e">
        <f>IF(LeasingHab!$C$10="TARIFA 1",(C188*(VLOOKUP(LeasingHab!$C$25,Seguros_Oblig!$A$3:$B$55,2,FALSE))),(C188*(VLOOKUP(LeasingHab!$C$25,Seguros_Oblig!$A$3:$D$55,4,FALSE))))</f>
        <v>#VALUE!</v>
      </c>
      <c r="I189" s="8" t="e">
        <f>IF(LeasingHab!$C$10="TARIFA 1",(C188*(VLOOKUP(LeasingHab!$C$26,Seguros_Oblig!$A$3:$B$55,2,FALSE))),(C188*(VLOOKUP(LeasingHab!$C$26,Seguros_Oblig!$A$3:$D$55,4,FALSE))))</f>
        <v>#VALUE!</v>
      </c>
      <c r="J189" s="10">
        <f t="shared" si="15"/>
        <v>0</v>
      </c>
      <c r="K189" s="7" t="e">
        <f>IF((C188-1)&lt;$E$17,0,Seguros_Oblig!$K$2*(LeasingHab!$C$12*90%))</f>
        <v>#VALUE!</v>
      </c>
      <c r="L189" s="7" t="e">
        <f>IF(B189&gt;LeasingHab!$C$18,0,PMT(LeasingHab!$E$17,LeasingHab!$C$18,-LeasingHab!$C$15,,)-PMT(LeasingHab!$E$17,LeasingHab!$C$18,-LeasingHab!$C$22)+LeasingHab!$C$22*LeasingHab!$E$17)</f>
        <v>#VALUE!</v>
      </c>
      <c r="M189" s="9" t="e">
        <f t="shared" si="16"/>
        <v>#VALUE!</v>
      </c>
      <c r="N189" s="7" t="e">
        <f>IF((C188-1)&lt;$E$17,0,LeasingHab!$C$39)</f>
        <v>#VALUE!</v>
      </c>
      <c r="O189" s="9" t="e">
        <f t="shared" si="17"/>
        <v>#VALUE!</v>
      </c>
    </row>
    <row r="190" spans="2:15" ht="15.5" x14ac:dyDescent="0.35">
      <c r="B190" s="6" t="e">
        <f t="shared" si="18"/>
        <v>#VALUE!</v>
      </c>
      <c r="C190" s="7" t="e">
        <f t="shared" si="13"/>
        <v>#VALUE!</v>
      </c>
      <c r="D190" s="7" t="e">
        <f t="shared" si="14"/>
        <v>#VALUE!</v>
      </c>
      <c r="E190" s="7" t="e">
        <f>IF((C189-1)&lt;$E$17,0,C189*LeasingHab!$E$17)</f>
        <v>#VALUE!</v>
      </c>
      <c r="F190" s="8" t="e">
        <f>IF((C189-1)&lt;$E$17,"0",IF(LeasingHab!$D$27="Si",($C$19*(VLOOKUP(LeasingHab!$C$23,Seguros_Oblig!$A$3:$F$55,6,FALSE))),IF(LeasingHab!$C$10="TARIFA 1",(C189*(VLOOKUP(LeasingHab!$C$23,Seguros_Oblig!$A$3:$B$55,2,FALSE))),(C189*(VLOOKUP(LeasingHab!$C$23,Seguros_Oblig!$A$3:$D$55,4,FALSE))))))</f>
        <v>#VALUE!</v>
      </c>
      <c r="G190" s="8" t="e">
        <f>IF(LeasingHab!$C$10="TARIFA 1",(C189*(VLOOKUP(LeasingHab!$C$24,Seguros_Oblig!$A$3:$B$55,2,FALSE))),(C189*(VLOOKUP(LeasingHab!$C$24,Seguros_Oblig!$A$3:$D$55,4,FALSE))))</f>
        <v>#VALUE!</v>
      </c>
      <c r="H190" s="8" t="e">
        <f>IF(LeasingHab!$C$10="TARIFA 1",(C189*(VLOOKUP(LeasingHab!$C$25,Seguros_Oblig!$A$3:$B$55,2,FALSE))),(C189*(VLOOKUP(LeasingHab!$C$25,Seguros_Oblig!$A$3:$D$55,4,FALSE))))</f>
        <v>#VALUE!</v>
      </c>
      <c r="I190" s="8" t="e">
        <f>IF(LeasingHab!$C$10="TARIFA 1",(C189*(VLOOKUP(LeasingHab!$C$26,Seguros_Oblig!$A$3:$B$55,2,FALSE))),(C189*(VLOOKUP(LeasingHab!$C$26,Seguros_Oblig!$A$3:$D$55,4,FALSE))))</f>
        <v>#VALUE!</v>
      </c>
      <c r="J190" s="10">
        <f t="shared" si="15"/>
        <v>0</v>
      </c>
      <c r="K190" s="7" t="e">
        <f>IF((C189-1)&lt;$E$17,0,Seguros_Oblig!$K$2*(LeasingHab!$C$12*90%))</f>
        <v>#VALUE!</v>
      </c>
      <c r="L190" s="7" t="e">
        <f>IF(B190&gt;LeasingHab!$C$18,0,PMT(LeasingHab!$E$17,LeasingHab!$C$18,-LeasingHab!$C$15,,)-PMT(LeasingHab!$E$17,LeasingHab!$C$18,-LeasingHab!$C$22)+LeasingHab!$C$22*LeasingHab!$E$17)</f>
        <v>#VALUE!</v>
      </c>
      <c r="M190" s="9" t="e">
        <f t="shared" si="16"/>
        <v>#VALUE!</v>
      </c>
      <c r="N190" s="7" t="e">
        <f>IF((C189-1)&lt;$E$17,0,LeasingHab!$C$39)</f>
        <v>#VALUE!</v>
      </c>
      <c r="O190" s="9" t="e">
        <f t="shared" si="17"/>
        <v>#VALUE!</v>
      </c>
    </row>
    <row r="191" spans="2:15" ht="15.5" x14ac:dyDescent="0.35">
      <c r="B191" s="6" t="e">
        <f t="shared" si="18"/>
        <v>#VALUE!</v>
      </c>
      <c r="C191" s="7" t="e">
        <f t="shared" si="13"/>
        <v>#VALUE!</v>
      </c>
      <c r="D191" s="7" t="e">
        <f t="shared" si="14"/>
        <v>#VALUE!</v>
      </c>
      <c r="E191" s="7" t="e">
        <f>IF((C190-1)&lt;$E$17,0,C190*LeasingHab!$E$17)</f>
        <v>#VALUE!</v>
      </c>
      <c r="F191" s="8" t="e">
        <f>IF((C190-1)&lt;$E$17,"0",IF(LeasingHab!$D$27="Si",($C$19*(VLOOKUP(LeasingHab!$C$23,Seguros_Oblig!$A$3:$F$55,6,FALSE))),IF(LeasingHab!$C$10="TARIFA 1",(C190*(VLOOKUP(LeasingHab!$C$23,Seguros_Oblig!$A$3:$B$55,2,FALSE))),(C190*(VLOOKUP(LeasingHab!$C$23,Seguros_Oblig!$A$3:$D$55,4,FALSE))))))</f>
        <v>#VALUE!</v>
      </c>
      <c r="G191" s="8" t="e">
        <f>IF(LeasingHab!$C$10="TARIFA 1",(C190*(VLOOKUP(LeasingHab!$C$24,Seguros_Oblig!$A$3:$B$55,2,FALSE))),(C190*(VLOOKUP(LeasingHab!$C$24,Seguros_Oblig!$A$3:$D$55,4,FALSE))))</f>
        <v>#VALUE!</v>
      </c>
      <c r="H191" s="8" t="e">
        <f>IF(LeasingHab!$C$10="TARIFA 1",(C190*(VLOOKUP(LeasingHab!$C$25,Seguros_Oblig!$A$3:$B$55,2,FALSE))),(C190*(VLOOKUP(LeasingHab!$C$25,Seguros_Oblig!$A$3:$D$55,4,FALSE))))</f>
        <v>#VALUE!</v>
      </c>
      <c r="I191" s="8" t="e">
        <f>IF(LeasingHab!$C$10="TARIFA 1",(C190*(VLOOKUP(LeasingHab!$C$26,Seguros_Oblig!$A$3:$B$55,2,FALSE))),(C190*(VLOOKUP(LeasingHab!$C$26,Seguros_Oblig!$A$3:$D$55,4,FALSE))))</f>
        <v>#VALUE!</v>
      </c>
      <c r="J191" s="10">
        <f t="shared" si="15"/>
        <v>0</v>
      </c>
      <c r="K191" s="7" t="e">
        <f>IF((C190-1)&lt;$E$17,0,Seguros_Oblig!$K$2*(LeasingHab!$C$12*90%))</f>
        <v>#VALUE!</v>
      </c>
      <c r="L191" s="7" t="e">
        <f>IF(B191&gt;LeasingHab!$C$18,0,PMT(LeasingHab!$E$17,LeasingHab!$C$18,-LeasingHab!$C$15,,)-PMT(LeasingHab!$E$17,LeasingHab!$C$18,-LeasingHab!$C$22)+LeasingHab!$C$22*LeasingHab!$E$17)</f>
        <v>#VALUE!</v>
      </c>
      <c r="M191" s="9" t="e">
        <f t="shared" si="16"/>
        <v>#VALUE!</v>
      </c>
      <c r="N191" s="7" t="e">
        <f>IF((C190-1)&lt;$E$17,0,LeasingHab!$C$39)</f>
        <v>#VALUE!</v>
      </c>
      <c r="O191" s="9" t="e">
        <f t="shared" si="17"/>
        <v>#VALUE!</v>
      </c>
    </row>
    <row r="192" spans="2:15" ht="15.5" x14ac:dyDescent="0.35">
      <c r="B192" s="6" t="e">
        <f t="shared" si="18"/>
        <v>#VALUE!</v>
      </c>
      <c r="C192" s="7" t="e">
        <f t="shared" si="13"/>
        <v>#VALUE!</v>
      </c>
      <c r="D192" s="7" t="e">
        <f t="shared" si="14"/>
        <v>#VALUE!</v>
      </c>
      <c r="E192" s="7" t="e">
        <f>IF((C191-1)&lt;$E$17,0,C191*LeasingHab!$E$17)</f>
        <v>#VALUE!</v>
      </c>
      <c r="F192" s="8" t="e">
        <f>IF((C191-1)&lt;$E$17,"0",IF(LeasingHab!$D$27="Si",($C$19*(VLOOKUP(LeasingHab!$C$23,Seguros_Oblig!$A$3:$F$55,6,FALSE))),IF(LeasingHab!$C$10="TARIFA 1",(C191*(VLOOKUP(LeasingHab!$C$23,Seguros_Oblig!$A$3:$B$55,2,FALSE))),(C191*(VLOOKUP(LeasingHab!$C$23,Seguros_Oblig!$A$3:$D$55,4,FALSE))))))</f>
        <v>#VALUE!</v>
      </c>
      <c r="G192" s="8" t="e">
        <f>IF(LeasingHab!$C$10="TARIFA 1",(C191*(VLOOKUP(LeasingHab!$C$24,Seguros_Oblig!$A$3:$B$55,2,FALSE))),(C191*(VLOOKUP(LeasingHab!$C$24,Seguros_Oblig!$A$3:$D$55,4,FALSE))))</f>
        <v>#VALUE!</v>
      </c>
      <c r="H192" s="8" t="e">
        <f>IF(LeasingHab!$C$10="TARIFA 1",(C191*(VLOOKUP(LeasingHab!$C$25,Seguros_Oblig!$A$3:$B$55,2,FALSE))),(C191*(VLOOKUP(LeasingHab!$C$25,Seguros_Oblig!$A$3:$D$55,4,FALSE))))</f>
        <v>#VALUE!</v>
      </c>
      <c r="I192" s="8" t="e">
        <f>IF(LeasingHab!$C$10="TARIFA 1",(C191*(VLOOKUP(LeasingHab!$C$26,Seguros_Oblig!$A$3:$B$55,2,FALSE))),(C191*(VLOOKUP(LeasingHab!$C$26,Seguros_Oblig!$A$3:$D$55,4,FALSE))))</f>
        <v>#VALUE!</v>
      </c>
      <c r="J192" s="10">
        <f t="shared" si="15"/>
        <v>0</v>
      </c>
      <c r="K192" s="7" t="e">
        <f>IF((C191-1)&lt;$E$17,0,Seguros_Oblig!$K$2*(LeasingHab!$C$12*90%))</f>
        <v>#VALUE!</v>
      </c>
      <c r="L192" s="7" t="e">
        <f>IF(B192&gt;LeasingHab!$C$18,0,PMT(LeasingHab!$E$17,LeasingHab!$C$18,-LeasingHab!$C$15,,)-PMT(LeasingHab!$E$17,LeasingHab!$C$18,-LeasingHab!$C$22)+LeasingHab!$C$22*LeasingHab!$E$17)</f>
        <v>#VALUE!</v>
      </c>
      <c r="M192" s="9" t="e">
        <f t="shared" si="16"/>
        <v>#VALUE!</v>
      </c>
      <c r="N192" s="7" t="e">
        <f>IF((C191-1)&lt;$E$17,0,LeasingHab!$C$39)</f>
        <v>#VALUE!</v>
      </c>
      <c r="O192" s="9" t="e">
        <f t="shared" si="17"/>
        <v>#VALUE!</v>
      </c>
    </row>
    <row r="193" spans="2:15" ht="15.5" x14ac:dyDescent="0.35">
      <c r="B193" s="6" t="e">
        <f t="shared" si="18"/>
        <v>#VALUE!</v>
      </c>
      <c r="C193" s="7" t="e">
        <f t="shared" si="13"/>
        <v>#VALUE!</v>
      </c>
      <c r="D193" s="7" t="e">
        <f t="shared" si="14"/>
        <v>#VALUE!</v>
      </c>
      <c r="E193" s="7" t="e">
        <f>IF((C192-1)&lt;$E$17,0,C192*LeasingHab!$E$17)</f>
        <v>#VALUE!</v>
      </c>
      <c r="F193" s="8" t="e">
        <f>IF((C192-1)&lt;$E$17,"0",IF(LeasingHab!$D$27="Si",($C$19*(VLOOKUP(LeasingHab!$C$23,Seguros_Oblig!$A$3:$F$55,6,FALSE))),IF(LeasingHab!$C$10="TARIFA 1",(C192*(VLOOKUP(LeasingHab!$C$23,Seguros_Oblig!$A$3:$B$55,2,FALSE))),(C192*(VLOOKUP(LeasingHab!$C$23,Seguros_Oblig!$A$3:$D$55,4,FALSE))))))</f>
        <v>#VALUE!</v>
      </c>
      <c r="G193" s="8" t="e">
        <f>IF(LeasingHab!$C$10="TARIFA 1",(C192*(VLOOKUP(LeasingHab!$C$24,Seguros_Oblig!$A$3:$B$55,2,FALSE))),(C192*(VLOOKUP(LeasingHab!$C$24,Seguros_Oblig!$A$3:$D$55,4,FALSE))))</f>
        <v>#VALUE!</v>
      </c>
      <c r="H193" s="8" t="e">
        <f>IF(LeasingHab!$C$10="TARIFA 1",(C192*(VLOOKUP(LeasingHab!$C$25,Seguros_Oblig!$A$3:$B$55,2,FALSE))),(C192*(VLOOKUP(LeasingHab!$C$25,Seguros_Oblig!$A$3:$D$55,4,FALSE))))</f>
        <v>#VALUE!</v>
      </c>
      <c r="I193" s="8" t="e">
        <f>IF(LeasingHab!$C$10="TARIFA 1",(C192*(VLOOKUP(LeasingHab!$C$26,Seguros_Oblig!$A$3:$B$55,2,FALSE))),(C192*(VLOOKUP(LeasingHab!$C$26,Seguros_Oblig!$A$3:$D$55,4,FALSE))))</f>
        <v>#VALUE!</v>
      </c>
      <c r="J193" s="10">
        <f t="shared" si="15"/>
        <v>0</v>
      </c>
      <c r="K193" s="7" t="e">
        <f>IF((C192-1)&lt;$E$17,0,Seguros_Oblig!$K$2*(LeasingHab!$C$12*90%))</f>
        <v>#VALUE!</v>
      </c>
      <c r="L193" s="7" t="e">
        <f>IF(B193&gt;LeasingHab!$C$18,0,PMT(LeasingHab!$E$17,LeasingHab!$C$18,-LeasingHab!$C$15,,)-PMT(LeasingHab!$E$17,LeasingHab!$C$18,-LeasingHab!$C$22)+LeasingHab!$C$22*LeasingHab!$E$17)</f>
        <v>#VALUE!</v>
      </c>
      <c r="M193" s="9" t="e">
        <f t="shared" si="16"/>
        <v>#VALUE!</v>
      </c>
      <c r="N193" s="7" t="e">
        <f>IF((C192-1)&lt;$E$17,0,LeasingHab!$C$39)</f>
        <v>#VALUE!</v>
      </c>
      <c r="O193" s="9" t="e">
        <f t="shared" si="17"/>
        <v>#VALUE!</v>
      </c>
    </row>
    <row r="194" spans="2:15" ht="15.5" x14ac:dyDescent="0.35">
      <c r="B194" s="6" t="e">
        <f t="shared" si="18"/>
        <v>#VALUE!</v>
      </c>
      <c r="C194" s="7" t="e">
        <f t="shared" si="13"/>
        <v>#VALUE!</v>
      </c>
      <c r="D194" s="7" t="e">
        <f t="shared" si="14"/>
        <v>#VALUE!</v>
      </c>
      <c r="E194" s="7" t="e">
        <f>IF((C193-1)&lt;$E$17,0,C193*LeasingHab!$E$17)</f>
        <v>#VALUE!</v>
      </c>
      <c r="F194" s="8" t="e">
        <f>IF((C193-1)&lt;$E$17,"0",IF(LeasingHab!$D$27="Si",($C$19*(VLOOKUP(LeasingHab!$C$23,Seguros_Oblig!$A$3:$F$55,6,FALSE))),IF(LeasingHab!$C$10="TARIFA 1",(C193*(VLOOKUP(LeasingHab!$C$23,Seguros_Oblig!$A$3:$B$55,2,FALSE))),(C193*(VLOOKUP(LeasingHab!$C$23,Seguros_Oblig!$A$3:$D$55,4,FALSE))))))</f>
        <v>#VALUE!</v>
      </c>
      <c r="G194" s="8" t="e">
        <f>IF(LeasingHab!$C$10="TARIFA 1",(C193*(VLOOKUP(LeasingHab!$C$24,Seguros_Oblig!$A$3:$B$55,2,FALSE))),(C193*(VLOOKUP(LeasingHab!$C$24,Seguros_Oblig!$A$3:$D$55,4,FALSE))))</f>
        <v>#VALUE!</v>
      </c>
      <c r="H194" s="8" t="e">
        <f>IF(LeasingHab!$C$10="TARIFA 1",(C193*(VLOOKUP(LeasingHab!$C$25,Seguros_Oblig!$A$3:$B$55,2,FALSE))),(C193*(VLOOKUP(LeasingHab!$C$25,Seguros_Oblig!$A$3:$D$55,4,FALSE))))</f>
        <v>#VALUE!</v>
      </c>
      <c r="I194" s="8" t="e">
        <f>IF(LeasingHab!$C$10="TARIFA 1",(C193*(VLOOKUP(LeasingHab!$C$26,Seguros_Oblig!$A$3:$B$55,2,FALSE))),(C193*(VLOOKUP(LeasingHab!$C$26,Seguros_Oblig!$A$3:$D$55,4,FALSE))))</f>
        <v>#VALUE!</v>
      </c>
      <c r="J194" s="10">
        <f t="shared" si="15"/>
        <v>0</v>
      </c>
      <c r="K194" s="7" t="e">
        <f>IF((C193-1)&lt;$E$17,0,Seguros_Oblig!$K$2*(LeasingHab!$C$12*90%))</f>
        <v>#VALUE!</v>
      </c>
      <c r="L194" s="7" t="e">
        <f>IF(B194&gt;LeasingHab!$C$18,0,PMT(LeasingHab!$E$17,LeasingHab!$C$18,-LeasingHab!$C$15,,)-PMT(LeasingHab!$E$17,LeasingHab!$C$18,-LeasingHab!$C$22)+LeasingHab!$C$22*LeasingHab!$E$17)</f>
        <v>#VALUE!</v>
      </c>
      <c r="M194" s="9" t="e">
        <f t="shared" si="16"/>
        <v>#VALUE!</v>
      </c>
      <c r="N194" s="7" t="e">
        <f>IF((C193-1)&lt;$E$17,0,LeasingHab!$C$39)</f>
        <v>#VALUE!</v>
      </c>
      <c r="O194" s="9" t="e">
        <f t="shared" si="17"/>
        <v>#VALUE!</v>
      </c>
    </row>
    <row r="195" spans="2:15" ht="15.5" x14ac:dyDescent="0.35">
      <c r="B195" s="6" t="e">
        <f t="shared" si="18"/>
        <v>#VALUE!</v>
      </c>
      <c r="C195" s="7" t="e">
        <f t="shared" si="13"/>
        <v>#VALUE!</v>
      </c>
      <c r="D195" s="7" t="e">
        <f t="shared" si="14"/>
        <v>#VALUE!</v>
      </c>
      <c r="E195" s="7" t="e">
        <f>IF((C194-1)&lt;$E$17,0,C194*LeasingHab!$E$17)</f>
        <v>#VALUE!</v>
      </c>
      <c r="F195" s="8" t="e">
        <f>IF((C194-1)&lt;$E$17,"0",IF(LeasingHab!$D$27="Si",($C$19*(VLOOKUP(LeasingHab!$C$23,Seguros_Oblig!$A$3:$F$55,6,FALSE))),IF(LeasingHab!$C$10="TARIFA 1",(C194*(VLOOKUP(LeasingHab!$C$23,Seguros_Oblig!$A$3:$B$55,2,FALSE))),(C194*(VLOOKUP(LeasingHab!$C$23,Seguros_Oblig!$A$3:$D$55,4,FALSE))))))</f>
        <v>#VALUE!</v>
      </c>
      <c r="G195" s="8" t="e">
        <f>IF(LeasingHab!$C$10="TARIFA 1",(C194*(VLOOKUP(LeasingHab!$C$24,Seguros_Oblig!$A$3:$B$55,2,FALSE))),(C194*(VLOOKUP(LeasingHab!$C$24,Seguros_Oblig!$A$3:$D$55,4,FALSE))))</f>
        <v>#VALUE!</v>
      </c>
      <c r="H195" s="8" t="e">
        <f>IF(LeasingHab!$C$10="TARIFA 1",(C194*(VLOOKUP(LeasingHab!$C$25,Seguros_Oblig!$A$3:$B$55,2,FALSE))),(C194*(VLOOKUP(LeasingHab!$C$25,Seguros_Oblig!$A$3:$D$55,4,FALSE))))</f>
        <v>#VALUE!</v>
      </c>
      <c r="I195" s="8" t="e">
        <f>IF(LeasingHab!$C$10="TARIFA 1",(C194*(VLOOKUP(LeasingHab!$C$26,Seguros_Oblig!$A$3:$B$55,2,FALSE))),(C194*(VLOOKUP(LeasingHab!$C$26,Seguros_Oblig!$A$3:$D$55,4,FALSE))))</f>
        <v>#VALUE!</v>
      </c>
      <c r="J195" s="10">
        <f t="shared" si="15"/>
        <v>0</v>
      </c>
      <c r="K195" s="7" t="e">
        <f>IF((C194-1)&lt;$E$17,0,Seguros_Oblig!$K$2*(LeasingHab!$C$12*90%))</f>
        <v>#VALUE!</v>
      </c>
      <c r="L195" s="7" t="e">
        <f>IF(B195&gt;LeasingHab!$C$18,0,PMT(LeasingHab!$E$17,LeasingHab!$C$18,-LeasingHab!$C$15,,)-PMT(LeasingHab!$E$17,LeasingHab!$C$18,-LeasingHab!$C$22)+LeasingHab!$C$22*LeasingHab!$E$17)</f>
        <v>#VALUE!</v>
      </c>
      <c r="M195" s="9" t="e">
        <f t="shared" si="16"/>
        <v>#VALUE!</v>
      </c>
      <c r="N195" s="7" t="e">
        <f>IF((C194-1)&lt;$E$17,0,LeasingHab!$C$39)</f>
        <v>#VALUE!</v>
      </c>
      <c r="O195" s="9" t="e">
        <f t="shared" si="17"/>
        <v>#VALUE!</v>
      </c>
    </row>
    <row r="196" spans="2:15" ht="15.5" x14ac:dyDescent="0.35">
      <c r="B196" s="6" t="e">
        <f t="shared" si="18"/>
        <v>#VALUE!</v>
      </c>
      <c r="C196" s="7" t="e">
        <f t="shared" si="13"/>
        <v>#VALUE!</v>
      </c>
      <c r="D196" s="7" t="e">
        <f t="shared" si="14"/>
        <v>#VALUE!</v>
      </c>
      <c r="E196" s="7" t="e">
        <f>IF((C195-1)&lt;$E$17,0,C195*LeasingHab!$E$17)</f>
        <v>#VALUE!</v>
      </c>
      <c r="F196" s="8" t="e">
        <f>IF((C195-1)&lt;$E$17,"0",IF(LeasingHab!$D$27="Si",($C$19*(VLOOKUP(LeasingHab!$C$23,Seguros_Oblig!$A$3:$F$55,6,FALSE))),IF(LeasingHab!$C$10="TARIFA 1",(C195*(VLOOKUP(LeasingHab!$C$23,Seguros_Oblig!$A$3:$B$55,2,FALSE))),(C195*(VLOOKUP(LeasingHab!$C$23,Seguros_Oblig!$A$3:$D$55,4,FALSE))))))</f>
        <v>#VALUE!</v>
      </c>
      <c r="G196" s="8" t="e">
        <f>IF(LeasingHab!$C$10="TARIFA 1",(C195*(VLOOKUP(LeasingHab!$C$24,Seguros_Oblig!$A$3:$B$55,2,FALSE))),(C195*(VLOOKUP(LeasingHab!$C$24,Seguros_Oblig!$A$3:$D$55,4,FALSE))))</f>
        <v>#VALUE!</v>
      </c>
      <c r="H196" s="8" t="e">
        <f>IF(LeasingHab!$C$10="TARIFA 1",(C195*(VLOOKUP(LeasingHab!$C$25,Seguros_Oblig!$A$3:$B$55,2,FALSE))),(C195*(VLOOKUP(LeasingHab!$C$25,Seguros_Oblig!$A$3:$D$55,4,FALSE))))</f>
        <v>#VALUE!</v>
      </c>
      <c r="I196" s="8" t="e">
        <f>IF(LeasingHab!$C$10="TARIFA 1",(C195*(VLOOKUP(LeasingHab!$C$26,Seguros_Oblig!$A$3:$B$55,2,FALSE))),(C195*(VLOOKUP(LeasingHab!$C$26,Seguros_Oblig!$A$3:$D$55,4,FALSE))))</f>
        <v>#VALUE!</v>
      </c>
      <c r="J196" s="10">
        <f t="shared" si="15"/>
        <v>0</v>
      </c>
      <c r="K196" s="7" t="e">
        <f>IF((C195-1)&lt;$E$17,0,Seguros_Oblig!$K$2*(LeasingHab!$C$12*90%))</f>
        <v>#VALUE!</v>
      </c>
      <c r="L196" s="7" t="e">
        <f>IF(B196&gt;LeasingHab!$C$18,0,PMT(LeasingHab!$E$17,LeasingHab!$C$18,-LeasingHab!$C$15,,)-PMT(LeasingHab!$E$17,LeasingHab!$C$18,-LeasingHab!$C$22)+LeasingHab!$C$22*LeasingHab!$E$17)</f>
        <v>#VALUE!</v>
      </c>
      <c r="M196" s="9" t="e">
        <f t="shared" si="16"/>
        <v>#VALUE!</v>
      </c>
      <c r="N196" s="7" t="e">
        <f>IF((C195-1)&lt;$E$17,0,LeasingHab!$C$39)</f>
        <v>#VALUE!</v>
      </c>
      <c r="O196" s="9" t="e">
        <f t="shared" si="17"/>
        <v>#VALUE!</v>
      </c>
    </row>
    <row r="197" spans="2:15" ht="15.5" x14ac:dyDescent="0.35">
      <c r="B197" s="6" t="e">
        <f t="shared" si="18"/>
        <v>#VALUE!</v>
      </c>
      <c r="C197" s="7" t="e">
        <f t="shared" si="13"/>
        <v>#VALUE!</v>
      </c>
      <c r="D197" s="7" t="e">
        <f t="shared" si="14"/>
        <v>#VALUE!</v>
      </c>
      <c r="E197" s="7" t="e">
        <f>IF((C196-1)&lt;$E$17,0,C196*LeasingHab!$E$17)</f>
        <v>#VALUE!</v>
      </c>
      <c r="F197" s="8" t="e">
        <f>IF((C196-1)&lt;$E$17,"0",IF(LeasingHab!$D$27="Si",($C$19*(VLOOKUP(LeasingHab!$C$23,Seguros_Oblig!$A$3:$F$55,6,FALSE))),IF(LeasingHab!$C$10="TARIFA 1",(C196*(VLOOKUP(LeasingHab!$C$23,Seguros_Oblig!$A$3:$B$55,2,FALSE))),(C196*(VLOOKUP(LeasingHab!$C$23,Seguros_Oblig!$A$3:$D$55,4,FALSE))))))</f>
        <v>#VALUE!</v>
      </c>
      <c r="G197" s="8" t="e">
        <f>IF(LeasingHab!$C$10="TARIFA 1",(C196*(VLOOKUP(LeasingHab!$C$24,Seguros_Oblig!$A$3:$B$55,2,FALSE))),(C196*(VLOOKUP(LeasingHab!$C$24,Seguros_Oblig!$A$3:$D$55,4,FALSE))))</f>
        <v>#VALUE!</v>
      </c>
      <c r="H197" s="8" t="e">
        <f>IF(LeasingHab!$C$10="TARIFA 1",(C196*(VLOOKUP(LeasingHab!$C$25,Seguros_Oblig!$A$3:$B$55,2,FALSE))),(C196*(VLOOKUP(LeasingHab!$C$25,Seguros_Oblig!$A$3:$D$55,4,FALSE))))</f>
        <v>#VALUE!</v>
      </c>
      <c r="I197" s="8" t="e">
        <f>IF(LeasingHab!$C$10="TARIFA 1",(C196*(VLOOKUP(LeasingHab!$C$26,Seguros_Oblig!$A$3:$B$55,2,FALSE))),(C196*(VLOOKUP(LeasingHab!$C$26,Seguros_Oblig!$A$3:$D$55,4,FALSE))))</f>
        <v>#VALUE!</v>
      </c>
      <c r="J197" s="10">
        <f t="shared" si="15"/>
        <v>0</v>
      </c>
      <c r="K197" s="7" t="e">
        <f>IF((C196-1)&lt;$E$17,0,Seguros_Oblig!$K$2*(LeasingHab!$C$12*90%))</f>
        <v>#VALUE!</v>
      </c>
      <c r="L197" s="7" t="e">
        <f>IF(B197&gt;LeasingHab!$C$18,0,PMT(LeasingHab!$E$17,LeasingHab!$C$18,-LeasingHab!$C$15,,)-PMT(LeasingHab!$E$17,LeasingHab!$C$18,-LeasingHab!$C$22)+LeasingHab!$C$22*LeasingHab!$E$17)</f>
        <v>#VALUE!</v>
      </c>
      <c r="M197" s="9" t="e">
        <f t="shared" si="16"/>
        <v>#VALUE!</v>
      </c>
      <c r="N197" s="7" t="e">
        <f>IF((C196-1)&lt;$E$17,0,LeasingHab!$C$39)</f>
        <v>#VALUE!</v>
      </c>
      <c r="O197" s="9" t="e">
        <f t="shared" si="17"/>
        <v>#VALUE!</v>
      </c>
    </row>
    <row r="198" spans="2:15" ht="15.5" x14ac:dyDescent="0.35">
      <c r="B198" s="6" t="e">
        <f t="shared" si="18"/>
        <v>#VALUE!</v>
      </c>
      <c r="C198" s="7" t="e">
        <f t="shared" si="13"/>
        <v>#VALUE!</v>
      </c>
      <c r="D198" s="7" t="e">
        <f t="shared" si="14"/>
        <v>#VALUE!</v>
      </c>
      <c r="E198" s="7" t="e">
        <f>IF((C197-1)&lt;$E$17,0,C197*LeasingHab!$E$17)</f>
        <v>#VALUE!</v>
      </c>
      <c r="F198" s="8" t="e">
        <f>IF((C197-1)&lt;$E$17,"0",IF(LeasingHab!$D$27="Si",($C$19*(VLOOKUP(LeasingHab!$C$23,Seguros_Oblig!$A$3:$F$55,6,FALSE))),IF(LeasingHab!$C$10="TARIFA 1",(C197*(VLOOKUP(LeasingHab!$C$23,Seguros_Oblig!$A$3:$B$55,2,FALSE))),(C197*(VLOOKUP(LeasingHab!$C$23,Seguros_Oblig!$A$3:$D$55,4,FALSE))))))</f>
        <v>#VALUE!</v>
      </c>
      <c r="G198" s="8" t="e">
        <f>IF(LeasingHab!$C$10="TARIFA 1",(C197*(VLOOKUP(LeasingHab!$C$24,Seguros_Oblig!$A$3:$B$55,2,FALSE))),(C197*(VLOOKUP(LeasingHab!$C$24,Seguros_Oblig!$A$3:$D$55,4,FALSE))))</f>
        <v>#VALUE!</v>
      </c>
      <c r="H198" s="8" t="e">
        <f>IF(LeasingHab!$C$10="TARIFA 1",(C197*(VLOOKUP(LeasingHab!$C$25,Seguros_Oblig!$A$3:$B$55,2,FALSE))),(C197*(VLOOKUP(LeasingHab!$C$25,Seguros_Oblig!$A$3:$D$55,4,FALSE))))</f>
        <v>#VALUE!</v>
      </c>
      <c r="I198" s="8" t="e">
        <f>IF(LeasingHab!$C$10="TARIFA 1",(C197*(VLOOKUP(LeasingHab!$C$26,Seguros_Oblig!$A$3:$B$55,2,FALSE))),(C197*(VLOOKUP(LeasingHab!$C$26,Seguros_Oblig!$A$3:$D$55,4,FALSE))))</f>
        <v>#VALUE!</v>
      </c>
      <c r="J198" s="10">
        <f t="shared" si="15"/>
        <v>0</v>
      </c>
      <c r="K198" s="7" t="e">
        <f>IF((C197-1)&lt;$E$17,0,Seguros_Oblig!$K$2*(LeasingHab!$C$12*90%))</f>
        <v>#VALUE!</v>
      </c>
      <c r="L198" s="7" t="e">
        <f>IF(B198&gt;LeasingHab!$C$18,0,PMT(LeasingHab!$E$17,LeasingHab!$C$18,-LeasingHab!$C$15,,)-PMT(LeasingHab!$E$17,LeasingHab!$C$18,-LeasingHab!$C$22)+LeasingHab!$C$22*LeasingHab!$E$17)</f>
        <v>#VALUE!</v>
      </c>
      <c r="M198" s="9" t="e">
        <f t="shared" si="16"/>
        <v>#VALUE!</v>
      </c>
      <c r="N198" s="7" t="e">
        <f>IF((C197-1)&lt;$E$17,0,LeasingHab!$C$39)</f>
        <v>#VALUE!</v>
      </c>
      <c r="O198" s="9" t="e">
        <f t="shared" si="17"/>
        <v>#VALUE!</v>
      </c>
    </row>
    <row r="199" spans="2:15" ht="15.5" x14ac:dyDescent="0.35">
      <c r="B199" s="6" t="e">
        <f t="shared" si="18"/>
        <v>#VALUE!</v>
      </c>
      <c r="C199" s="7" t="e">
        <f t="shared" si="13"/>
        <v>#VALUE!</v>
      </c>
      <c r="D199" s="7" t="e">
        <f t="shared" si="14"/>
        <v>#VALUE!</v>
      </c>
      <c r="E199" s="7" t="e">
        <f>IF((C198-1)&lt;$E$17,0,C198*LeasingHab!$E$17)</f>
        <v>#VALUE!</v>
      </c>
      <c r="F199" s="8" t="e">
        <f>IF((C198-1)&lt;$E$17,"0",IF(LeasingHab!$D$27="Si",($C$19*(VLOOKUP(LeasingHab!$C$23,Seguros_Oblig!$A$3:$F$55,6,FALSE))),IF(LeasingHab!$C$10="TARIFA 1",(C198*(VLOOKUP(LeasingHab!$C$23,Seguros_Oblig!$A$3:$B$55,2,FALSE))),(C198*(VLOOKUP(LeasingHab!$C$23,Seguros_Oblig!$A$3:$D$55,4,FALSE))))))</f>
        <v>#VALUE!</v>
      </c>
      <c r="G199" s="8" t="e">
        <f>IF(LeasingHab!$C$10="TARIFA 1",(C198*(VLOOKUP(LeasingHab!$C$24,Seguros_Oblig!$A$3:$B$55,2,FALSE))),(C198*(VLOOKUP(LeasingHab!$C$24,Seguros_Oblig!$A$3:$D$55,4,FALSE))))</f>
        <v>#VALUE!</v>
      </c>
      <c r="H199" s="8" t="e">
        <f>IF(LeasingHab!$C$10="TARIFA 1",(C198*(VLOOKUP(LeasingHab!$C$25,Seguros_Oblig!$A$3:$B$55,2,FALSE))),(C198*(VLOOKUP(LeasingHab!$C$25,Seguros_Oblig!$A$3:$D$55,4,FALSE))))</f>
        <v>#VALUE!</v>
      </c>
      <c r="I199" s="8" t="e">
        <f>IF(LeasingHab!$C$10="TARIFA 1",(C198*(VLOOKUP(LeasingHab!$C$26,Seguros_Oblig!$A$3:$B$55,2,FALSE))),(C198*(VLOOKUP(LeasingHab!$C$26,Seguros_Oblig!$A$3:$D$55,4,FALSE))))</f>
        <v>#VALUE!</v>
      </c>
      <c r="J199" s="10">
        <f t="shared" si="15"/>
        <v>0</v>
      </c>
      <c r="K199" s="7" t="e">
        <f>IF((C198-1)&lt;$E$17,0,Seguros_Oblig!$K$2*(LeasingHab!$C$12*90%))</f>
        <v>#VALUE!</v>
      </c>
      <c r="L199" s="7" t="e">
        <f>IF(B199&gt;LeasingHab!$C$18,0,PMT(LeasingHab!$E$17,LeasingHab!$C$18,-LeasingHab!$C$15,,)-PMT(LeasingHab!$E$17,LeasingHab!$C$18,-LeasingHab!$C$22)+LeasingHab!$C$22*LeasingHab!$E$17)</f>
        <v>#VALUE!</v>
      </c>
      <c r="M199" s="9" t="e">
        <f t="shared" si="16"/>
        <v>#VALUE!</v>
      </c>
      <c r="N199" s="7" t="e">
        <f>IF((C198-1)&lt;$E$17,0,LeasingHab!$C$39)</f>
        <v>#VALUE!</v>
      </c>
      <c r="O199" s="9" t="e">
        <f t="shared" si="17"/>
        <v>#VALUE!</v>
      </c>
    </row>
    <row r="200" spans="2:15" ht="15.5" x14ac:dyDescent="0.35">
      <c r="B200" s="6" t="e">
        <f t="shared" si="18"/>
        <v>#VALUE!</v>
      </c>
      <c r="C200" s="7" t="e">
        <f t="shared" si="13"/>
        <v>#VALUE!</v>
      </c>
      <c r="D200" s="7" t="e">
        <f t="shared" si="14"/>
        <v>#VALUE!</v>
      </c>
      <c r="E200" s="7" t="e">
        <f>IF((C199-1)&lt;$E$17,0,C199*LeasingHab!$E$17)</f>
        <v>#VALUE!</v>
      </c>
      <c r="F200" s="8" t="e">
        <f>IF((C199-1)&lt;$E$17,"0",IF(LeasingHab!$D$27="Si",($C$19*(VLOOKUP(LeasingHab!$C$23,Seguros_Oblig!$A$3:$F$55,6,FALSE))),IF(LeasingHab!$C$10="TARIFA 1",(C199*(VLOOKUP(LeasingHab!$C$23,Seguros_Oblig!$A$3:$B$55,2,FALSE))),(C199*(VLOOKUP(LeasingHab!$C$23,Seguros_Oblig!$A$3:$D$55,4,FALSE))))))</f>
        <v>#VALUE!</v>
      </c>
      <c r="G200" s="8" t="e">
        <f>IF(LeasingHab!$C$10="TARIFA 1",(C199*(VLOOKUP(LeasingHab!$C$24,Seguros_Oblig!$A$3:$B$55,2,FALSE))),(C199*(VLOOKUP(LeasingHab!$C$24,Seguros_Oblig!$A$3:$D$55,4,FALSE))))</f>
        <v>#VALUE!</v>
      </c>
      <c r="H200" s="8" t="e">
        <f>IF(LeasingHab!$C$10="TARIFA 1",(C199*(VLOOKUP(LeasingHab!$C$25,Seguros_Oblig!$A$3:$B$55,2,FALSE))),(C199*(VLOOKUP(LeasingHab!$C$25,Seguros_Oblig!$A$3:$D$55,4,FALSE))))</f>
        <v>#VALUE!</v>
      </c>
      <c r="I200" s="8" t="e">
        <f>IF(LeasingHab!$C$10="TARIFA 1",(C199*(VLOOKUP(LeasingHab!$C$26,Seguros_Oblig!$A$3:$B$55,2,FALSE))),(C199*(VLOOKUP(LeasingHab!$C$26,Seguros_Oblig!$A$3:$D$55,4,FALSE))))</f>
        <v>#VALUE!</v>
      </c>
      <c r="J200" s="10">
        <f t="shared" si="15"/>
        <v>0</v>
      </c>
      <c r="K200" s="7" t="e">
        <f>IF((C199-1)&lt;$E$17,0,Seguros_Oblig!$K$2*(LeasingHab!$C$12*90%))</f>
        <v>#VALUE!</v>
      </c>
      <c r="L200" s="7" t="e">
        <f>IF(B200&gt;LeasingHab!$C$18,0,PMT(LeasingHab!$E$17,LeasingHab!$C$18,-LeasingHab!$C$15,,)-PMT(LeasingHab!$E$17,LeasingHab!$C$18,-LeasingHab!$C$22)+LeasingHab!$C$22*LeasingHab!$E$17)</f>
        <v>#VALUE!</v>
      </c>
      <c r="M200" s="9" t="e">
        <f t="shared" si="16"/>
        <v>#VALUE!</v>
      </c>
      <c r="N200" s="7" t="e">
        <f>IF((C199-1)&lt;$E$17,0,LeasingHab!$C$39)</f>
        <v>#VALUE!</v>
      </c>
      <c r="O200" s="9" t="e">
        <f t="shared" si="17"/>
        <v>#VALUE!</v>
      </c>
    </row>
    <row r="201" spans="2:15" ht="15.5" x14ac:dyDescent="0.35">
      <c r="B201" s="6" t="e">
        <f t="shared" si="18"/>
        <v>#VALUE!</v>
      </c>
      <c r="C201" s="7" t="e">
        <f t="shared" si="13"/>
        <v>#VALUE!</v>
      </c>
      <c r="D201" s="7" t="e">
        <f t="shared" si="14"/>
        <v>#VALUE!</v>
      </c>
      <c r="E201" s="7" t="e">
        <f>IF((C200-1)&lt;$E$17,0,C200*LeasingHab!$E$17)</f>
        <v>#VALUE!</v>
      </c>
      <c r="F201" s="8" t="e">
        <f>IF((C200-1)&lt;$E$17,"0",IF(LeasingHab!$D$27="Si",($C$19*(VLOOKUP(LeasingHab!$C$23,Seguros_Oblig!$A$3:$F$55,6,FALSE))),IF(LeasingHab!$C$10="TARIFA 1",(C200*(VLOOKUP(LeasingHab!$C$23,Seguros_Oblig!$A$3:$B$55,2,FALSE))),(C200*(VLOOKUP(LeasingHab!$C$23,Seguros_Oblig!$A$3:$D$55,4,FALSE))))))</f>
        <v>#VALUE!</v>
      </c>
      <c r="G201" s="8" t="e">
        <f>IF(LeasingHab!$C$10="TARIFA 1",(C200*(VLOOKUP(LeasingHab!$C$24,Seguros_Oblig!$A$3:$B$55,2,FALSE))),(C200*(VLOOKUP(LeasingHab!$C$24,Seguros_Oblig!$A$3:$D$55,4,FALSE))))</f>
        <v>#VALUE!</v>
      </c>
      <c r="H201" s="8" t="e">
        <f>IF(LeasingHab!$C$10="TARIFA 1",(C200*(VLOOKUP(LeasingHab!$C$25,Seguros_Oblig!$A$3:$B$55,2,FALSE))),(C200*(VLOOKUP(LeasingHab!$C$25,Seguros_Oblig!$A$3:$D$55,4,FALSE))))</f>
        <v>#VALUE!</v>
      </c>
      <c r="I201" s="8" t="e">
        <f>IF(LeasingHab!$C$10="TARIFA 1",(C200*(VLOOKUP(LeasingHab!$C$26,Seguros_Oblig!$A$3:$B$55,2,FALSE))),(C200*(VLOOKUP(LeasingHab!$C$26,Seguros_Oblig!$A$3:$D$55,4,FALSE))))</f>
        <v>#VALUE!</v>
      </c>
      <c r="J201" s="10">
        <f t="shared" si="15"/>
        <v>0</v>
      </c>
      <c r="K201" s="7" t="e">
        <f>IF((C200-1)&lt;$E$17,0,Seguros_Oblig!$K$2*(LeasingHab!$C$12*90%))</f>
        <v>#VALUE!</v>
      </c>
      <c r="L201" s="7" t="e">
        <f>IF(B201&gt;LeasingHab!$C$18,0,PMT(LeasingHab!$E$17,LeasingHab!$C$18,-LeasingHab!$C$15,,)-PMT(LeasingHab!$E$17,LeasingHab!$C$18,-LeasingHab!$C$22)+LeasingHab!$C$22*LeasingHab!$E$17)</f>
        <v>#VALUE!</v>
      </c>
      <c r="M201" s="9" t="e">
        <f t="shared" si="16"/>
        <v>#VALUE!</v>
      </c>
      <c r="N201" s="7" t="e">
        <f>IF((C200-1)&lt;$E$17,0,LeasingHab!$C$39)</f>
        <v>#VALUE!</v>
      </c>
      <c r="O201" s="9" t="e">
        <f t="shared" si="17"/>
        <v>#VALUE!</v>
      </c>
    </row>
    <row r="202" spans="2:15" ht="15.5" x14ac:dyDescent="0.35">
      <c r="B202" s="6" t="e">
        <f t="shared" si="18"/>
        <v>#VALUE!</v>
      </c>
      <c r="C202" s="7" t="e">
        <f t="shared" si="13"/>
        <v>#VALUE!</v>
      </c>
      <c r="D202" s="7" t="e">
        <f t="shared" si="14"/>
        <v>#VALUE!</v>
      </c>
      <c r="E202" s="7" t="e">
        <f>IF((C201-1)&lt;$E$17,0,C201*LeasingHab!$E$17)</f>
        <v>#VALUE!</v>
      </c>
      <c r="F202" s="8" t="e">
        <f>IF((C201-1)&lt;$E$17,"0",IF(LeasingHab!$D$27="Si",($C$19*(VLOOKUP(LeasingHab!$C$23,Seguros_Oblig!$A$3:$F$55,6,FALSE))),IF(LeasingHab!$C$10="TARIFA 1",(C201*(VLOOKUP(LeasingHab!$C$23,Seguros_Oblig!$A$3:$B$55,2,FALSE))),(C201*(VLOOKUP(LeasingHab!$C$23,Seguros_Oblig!$A$3:$D$55,4,FALSE))))))</f>
        <v>#VALUE!</v>
      </c>
      <c r="G202" s="8" t="e">
        <f>IF(LeasingHab!$C$10="TARIFA 1",(C201*(VLOOKUP(LeasingHab!$C$24,Seguros_Oblig!$A$3:$B$55,2,FALSE))),(C201*(VLOOKUP(LeasingHab!$C$24,Seguros_Oblig!$A$3:$D$55,4,FALSE))))</f>
        <v>#VALUE!</v>
      </c>
      <c r="H202" s="8" t="e">
        <f>IF(LeasingHab!$C$10="TARIFA 1",(C201*(VLOOKUP(LeasingHab!$C$25,Seguros_Oblig!$A$3:$B$55,2,FALSE))),(C201*(VLOOKUP(LeasingHab!$C$25,Seguros_Oblig!$A$3:$D$55,4,FALSE))))</f>
        <v>#VALUE!</v>
      </c>
      <c r="I202" s="8" t="e">
        <f>IF(LeasingHab!$C$10="TARIFA 1",(C201*(VLOOKUP(LeasingHab!$C$26,Seguros_Oblig!$A$3:$B$55,2,FALSE))),(C201*(VLOOKUP(LeasingHab!$C$26,Seguros_Oblig!$A$3:$D$55,4,FALSE))))</f>
        <v>#VALUE!</v>
      </c>
      <c r="J202" s="10">
        <f t="shared" si="15"/>
        <v>0</v>
      </c>
      <c r="K202" s="7" t="e">
        <f>IF((C201-1)&lt;$E$17,0,Seguros_Oblig!$K$2*(LeasingHab!$C$12*90%))</f>
        <v>#VALUE!</v>
      </c>
      <c r="L202" s="7" t="e">
        <f>IF(B202&gt;LeasingHab!$C$18,0,PMT(LeasingHab!$E$17,LeasingHab!$C$18,-LeasingHab!$C$15,,)-PMT(LeasingHab!$E$17,LeasingHab!$C$18,-LeasingHab!$C$22)+LeasingHab!$C$22*LeasingHab!$E$17)</f>
        <v>#VALUE!</v>
      </c>
      <c r="M202" s="9" t="e">
        <f t="shared" si="16"/>
        <v>#VALUE!</v>
      </c>
      <c r="N202" s="7" t="e">
        <f>IF((C201-1)&lt;$E$17,0,LeasingHab!$C$39)</f>
        <v>#VALUE!</v>
      </c>
      <c r="O202" s="9" t="e">
        <f t="shared" si="17"/>
        <v>#VALUE!</v>
      </c>
    </row>
    <row r="203" spans="2:15" ht="15.5" x14ac:dyDescent="0.35">
      <c r="B203" s="6" t="e">
        <f t="shared" si="18"/>
        <v>#VALUE!</v>
      </c>
      <c r="C203" s="7" t="e">
        <f t="shared" si="13"/>
        <v>#VALUE!</v>
      </c>
      <c r="D203" s="7" t="e">
        <f t="shared" si="14"/>
        <v>#VALUE!</v>
      </c>
      <c r="E203" s="7" t="e">
        <f>IF((C202-1)&lt;$E$17,0,C202*LeasingHab!$E$17)</f>
        <v>#VALUE!</v>
      </c>
      <c r="F203" s="8" t="e">
        <f>IF((C202-1)&lt;$E$17,"0",IF(LeasingHab!$D$27="Si",($C$19*(VLOOKUP(LeasingHab!$C$23,Seguros_Oblig!$A$3:$F$55,6,FALSE))),IF(LeasingHab!$C$10="TARIFA 1",(C202*(VLOOKUP(LeasingHab!$C$23,Seguros_Oblig!$A$3:$B$55,2,FALSE))),(C202*(VLOOKUP(LeasingHab!$C$23,Seguros_Oblig!$A$3:$D$55,4,FALSE))))))</f>
        <v>#VALUE!</v>
      </c>
      <c r="G203" s="8" t="e">
        <f>IF(LeasingHab!$C$10="TARIFA 1",(C202*(VLOOKUP(LeasingHab!$C$24,Seguros_Oblig!$A$3:$B$55,2,FALSE))),(C202*(VLOOKUP(LeasingHab!$C$24,Seguros_Oblig!$A$3:$D$55,4,FALSE))))</f>
        <v>#VALUE!</v>
      </c>
      <c r="H203" s="8" t="e">
        <f>IF(LeasingHab!$C$10="TARIFA 1",(C202*(VLOOKUP(LeasingHab!$C$25,Seguros_Oblig!$A$3:$B$55,2,FALSE))),(C202*(VLOOKUP(LeasingHab!$C$25,Seguros_Oblig!$A$3:$D$55,4,FALSE))))</f>
        <v>#VALUE!</v>
      </c>
      <c r="I203" s="8" t="e">
        <f>IF(LeasingHab!$C$10="TARIFA 1",(C202*(VLOOKUP(LeasingHab!$C$26,Seguros_Oblig!$A$3:$B$55,2,FALSE))),(C202*(VLOOKUP(LeasingHab!$C$26,Seguros_Oblig!$A$3:$D$55,4,FALSE))))</f>
        <v>#VALUE!</v>
      </c>
      <c r="J203" s="10">
        <f t="shared" si="15"/>
        <v>0</v>
      </c>
      <c r="K203" s="7" t="e">
        <f>IF((C202-1)&lt;$E$17,0,Seguros_Oblig!$K$2*(LeasingHab!$C$12*90%))</f>
        <v>#VALUE!</v>
      </c>
      <c r="L203" s="7" t="e">
        <f>IF(B203&gt;LeasingHab!$C$18,0,PMT(LeasingHab!$E$17,LeasingHab!$C$18,-LeasingHab!$C$15,,)-PMT(LeasingHab!$E$17,LeasingHab!$C$18,-LeasingHab!$C$22)+LeasingHab!$C$22*LeasingHab!$E$17)</f>
        <v>#VALUE!</v>
      </c>
      <c r="M203" s="9" t="e">
        <f t="shared" si="16"/>
        <v>#VALUE!</v>
      </c>
      <c r="N203" s="7" t="e">
        <f>IF((C202-1)&lt;$E$17,0,LeasingHab!$C$39)</f>
        <v>#VALUE!</v>
      </c>
      <c r="O203" s="9" t="e">
        <f t="shared" si="17"/>
        <v>#VALUE!</v>
      </c>
    </row>
    <row r="204" spans="2:15" ht="15.5" x14ac:dyDescent="0.35">
      <c r="B204" s="6" t="e">
        <f t="shared" si="18"/>
        <v>#VALUE!</v>
      </c>
      <c r="C204" s="7" t="e">
        <f t="shared" si="13"/>
        <v>#VALUE!</v>
      </c>
      <c r="D204" s="7" t="e">
        <f t="shared" si="14"/>
        <v>#VALUE!</v>
      </c>
      <c r="E204" s="7" t="e">
        <f>IF((C203-1)&lt;$E$17,0,C203*LeasingHab!$E$17)</f>
        <v>#VALUE!</v>
      </c>
      <c r="F204" s="8" t="e">
        <f>IF((C203-1)&lt;$E$17,"0",IF(LeasingHab!$D$27="Si",($C$19*(VLOOKUP(LeasingHab!$C$23,Seguros_Oblig!$A$3:$F$55,6,FALSE))),IF(LeasingHab!$C$10="TARIFA 1",(C203*(VLOOKUP(LeasingHab!$C$23,Seguros_Oblig!$A$3:$B$55,2,FALSE))),(C203*(VLOOKUP(LeasingHab!$C$23,Seguros_Oblig!$A$3:$D$55,4,FALSE))))))</f>
        <v>#VALUE!</v>
      </c>
      <c r="G204" s="8" t="e">
        <f>IF(LeasingHab!$C$10="TARIFA 1",(C203*(VLOOKUP(LeasingHab!$C$24,Seguros_Oblig!$A$3:$B$55,2,FALSE))),(C203*(VLOOKUP(LeasingHab!$C$24,Seguros_Oblig!$A$3:$D$55,4,FALSE))))</f>
        <v>#VALUE!</v>
      </c>
      <c r="H204" s="8" t="e">
        <f>IF(LeasingHab!$C$10="TARIFA 1",(C203*(VLOOKUP(LeasingHab!$C$25,Seguros_Oblig!$A$3:$B$55,2,FALSE))),(C203*(VLOOKUP(LeasingHab!$C$25,Seguros_Oblig!$A$3:$D$55,4,FALSE))))</f>
        <v>#VALUE!</v>
      </c>
      <c r="I204" s="8" t="e">
        <f>IF(LeasingHab!$C$10="TARIFA 1",(C203*(VLOOKUP(LeasingHab!$C$26,Seguros_Oblig!$A$3:$B$55,2,FALSE))),(C203*(VLOOKUP(LeasingHab!$C$26,Seguros_Oblig!$A$3:$D$55,4,FALSE))))</f>
        <v>#VALUE!</v>
      </c>
      <c r="J204" s="10">
        <f t="shared" si="15"/>
        <v>0</v>
      </c>
      <c r="K204" s="7" t="e">
        <f>IF((C203-1)&lt;$E$17,0,Seguros_Oblig!$K$2*(LeasingHab!$C$12*90%))</f>
        <v>#VALUE!</v>
      </c>
      <c r="L204" s="7" t="e">
        <f>IF(B204&gt;LeasingHab!$C$18,0,PMT(LeasingHab!$E$17,LeasingHab!$C$18,-LeasingHab!$C$15,,)-PMT(LeasingHab!$E$17,LeasingHab!$C$18,-LeasingHab!$C$22)+LeasingHab!$C$22*LeasingHab!$E$17)</f>
        <v>#VALUE!</v>
      </c>
      <c r="M204" s="9" t="e">
        <f t="shared" si="16"/>
        <v>#VALUE!</v>
      </c>
      <c r="N204" s="7" t="e">
        <f>IF((C203-1)&lt;$E$17,0,LeasingHab!$C$39)</f>
        <v>#VALUE!</v>
      </c>
      <c r="O204" s="9" t="e">
        <f t="shared" si="17"/>
        <v>#VALUE!</v>
      </c>
    </row>
    <row r="205" spans="2:15" ht="15.5" x14ac:dyDescent="0.35">
      <c r="B205" s="6" t="e">
        <f t="shared" si="18"/>
        <v>#VALUE!</v>
      </c>
      <c r="C205" s="7" t="e">
        <f t="shared" si="13"/>
        <v>#VALUE!</v>
      </c>
      <c r="D205" s="7" t="e">
        <f t="shared" si="14"/>
        <v>#VALUE!</v>
      </c>
      <c r="E205" s="7" t="e">
        <f>IF((C204-1)&lt;$E$17,0,C204*LeasingHab!$E$17)</f>
        <v>#VALUE!</v>
      </c>
      <c r="F205" s="8" t="e">
        <f>IF((C204-1)&lt;$E$17,"0",IF(LeasingHab!$D$27="Si",($C$19*(VLOOKUP(LeasingHab!$C$23,Seguros_Oblig!$A$3:$F$55,6,FALSE))),IF(LeasingHab!$C$10="TARIFA 1",(C204*(VLOOKUP(LeasingHab!$C$23,Seguros_Oblig!$A$3:$B$55,2,FALSE))),(C204*(VLOOKUP(LeasingHab!$C$23,Seguros_Oblig!$A$3:$D$55,4,FALSE))))))</f>
        <v>#VALUE!</v>
      </c>
      <c r="G205" s="8" t="e">
        <f>IF(LeasingHab!$C$10="TARIFA 1",(C204*(VLOOKUP(LeasingHab!$C$24,Seguros_Oblig!$A$3:$B$55,2,FALSE))),(C204*(VLOOKUP(LeasingHab!$C$24,Seguros_Oblig!$A$3:$D$55,4,FALSE))))</f>
        <v>#VALUE!</v>
      </c>
      <c r="H205" s="8" t="e">
        <f>IF(LeasingHab!$C$10="TARIFA 1",(C204*(VLOOKUP(LeasingHab!$C$25,Seguros_Oblig!$A$3:$B$55,2,FALSE))),(C204*(VLOOKUP(LeasingHab!$C$25,Seguros_Oblig!$A$3:$D$55,4,FALSE))))</f>
        <v>#VALUE!</v>
      </c>
      <c r="I205" s="8" t="e">
        <f>IF(LeasingHab!$C$10="TARIFA 1",(C204*(VLOOKUP(LeasingHab!$C$26,Seguros_Oblig!$A$3:$B$55,2,FALSE))),(C204*(VLOOKUP(LeasingHab!$C$26,Seguros_Oblig!$A$3:$D$55,4,FALSE))))</f>
        <v>#VALUE!</v>
      </c>
      <c r="J205" s="10">
        <f t="shared" si="15"/>
        <v>0</v>
      </c>
      <c r="K205" s="7" t="e">
        <f>IF((C204-1)&lt;$E$17,0,Seguros_Oblig!$K$2*(LeasingHab!$C$12*90%))</f>
        <v>#VALUE!</v>
      </c>
      <c r="L205" s="7" t="e">
        <f>IF(B205&gt;LeasingHab!$C$18,0,PMT(LeasingHab!$E$17,LeasingHab!$C$18,-LeasingHab!$C$15,,)-PMT(LeasingHab!$E$17,LeasingHab!$C$18,-LeasingHab!$C$22)+LeasingHab!$C$22*LeasingHab!$E$17)</f>
        <v>#VALUE!</v>
      </c>
      <c r="M205" s="9" t="e">
        <f t="shared" si="16"/>
        <v>#VALUE!</v>
      </c>
      <c r="N205" s="7" t="e">
        <f>IF((C204-1)&lt;$E$17,0,LeasingHab!$C$39)</f>
        <v>#VALUE!</v>
      </c>
      <c r="O205" s="9" t="e">
        <f t="shared" si="17"/>
        <v>#VALUE!</v>
      </c>
    </row>
    <row r="206" spans="2:15" ht="15.5" x14ac:dyDescent="0.35">
      <c r="B206" s="6" t="e">
        <f t="shared" si="18"/>
        <v>#VALUE!</v>
      </c>
      <c r="C206" s="7" t="e">
        <f t="shared" si="13"/>
        <v>#VALUE!</v>
      </c>
      <c r="D206" s="7" t="e">
        <f t="shared" si="14"/>
        <v>#VALUE!</v>
      </c>
      <c r="E206" s="7" t="e">
        <f>IF((C205-1)&lt;$E$17,0,C205*LeasingHab!$E$17)</f>
        <v>#VALUE!</v>
      </c>
      <c r="F206" s="8" t="e">
        <f>IF((C205-1)&lt;$E$17,"0",IF(LeasingHab!$D$27="Si",($C$19*(VLOOKUP(LeasingHab!$C$23,Seguros_Oblig!$A$3:$F$55,6,FALSE))),IF(LeasingHab!$C$10="TARIFA 1",(C205*(VLOOKUP(LeasingHab!$C$23,Seguros_Oblig!$A$3:$B$55,2,FALSE))),(C205*(VLOOKUP(LeasingHab!$C$23,Seguros_Oblig!$A$3:$D$55,4,FALSE))))))</f>
        <v>#VALUE!</v>
      </c>
      <c r="G206" s="8" t="e">
        <f>IF(LeasingHab!$C$10="TARIFA 1",(C205*(VLOOKUP(LeasingHab!$C$24,Seguros_Oblig!$A$3:$B$55,2,FALSE))),(C205*(VLOOKUP(LeasingHab!$C$24,Seguros_Oblig!$A$3:$D$55,4,FALSE))))</f>
        <v>#VALUE!</v>
      </c>
      <c r="H206" s="8" t="e">
        <f>IF(LeasingHab!$C$10="TARIFA 1",(C205*(VLOOKUP(LeasingHab!$C$25,Seguros_Oblig!$A$3:$B$55,2,FALSE))),(C205*(VLOOKUP(LeasingHab!$C$25,Seguros_Oblig!$A$3:$D$55,4,FALSE))))</f>
        <v>#VALUE!</v>
      </c>
      <c r="I206" s="8" t="e">
        <f>IF(LeasingHab!$C$10="TARIFA 1",(C205*(VLOOKUP(LeasingHab!$C$26,Seguros_Oblig!$A$3:$B$55,2,FALSE))),(C205*(VLOOKUP(LeasingHab!$C$26,Seguros_Oblig!$A$3:$D$55,4,FALSE))))</f>
        <v>#VALUE!</v>
      </c>
      <c r="J206" s="10">
        <f t="shared" si="15"/>
        <v>0</v>
      </c>
      <c r="K206" s="7" t="e">
        <f>IF((C205-1)&lt;$E$17,0,Seguros_Oblig!$K$2*(LeasingHab!$C$12*90%))</f>
        <v>#VALUE!</v>
      </c>
      <c r="L206" s="7" t="e">
        <f>IF(B206&gt;LeasingHab!$C$18,0,PMT(LeasingHab!$E$17,LeasingHab!$C$18,-LeasingHab!$C$15,,)-PMT(LeasingHab!$E$17,LeasingHab!$C$18,-LeasingHab!$C$22)+LeasingHab!$C$22*LeasingHab!$E$17)</f>
        <v>#VALUE!</v>
      </c>
      <c r="M206" s="9" t="e">
        <f t="shared" si="16"/>
        <v>#VALUE!</v>
      </c>
      <c r="N206" s="7" t="e">
        <f>IF((C205-1)&lt;$E$17,0,LeasingHab!$C$39)</f>
        <v>#VALUE!</v>
      </c>
      <c r="O206" s="9" t="e">
        <f t="shared" si="17"/>
        <v>#VALUE!</v>
      </c>
    </row>
    <row r="207" spans="2:15" ht="15.5" x14ac:dyDescent="0.35">
      <c r="B207" s="6" t="e">
        <f t="shared" si="18"/>
        <v>#VALUE!</v>
      </c>
      <c r="C207" s="7" t="e">
        <f t="shared" si="13"/>
        <v>#VALUE!</v>
      </c>
      <c r="D207" s="7" t="e">
        <f t="shared" si="14"/>
        <v>#VALUE!</v>
      </c>
      <c r="E207" s="7" t="e">
        <f>IF((C206-1)&lt;$E$17,0,C206*LeasingHab!$E$17)</f>
        <v>#VALUE!</v>
      </c>
      <c r="F207" s="8" t="e">
        <f>IF((C206-1)&lt;$E$17,"0",IF(LeasingHab!$D$27="Si",($C$19*(VLOOKUP(LeasingHab!$C$23,Seguros_Oblig!$A$3:$F$55,6,FALSE))),IF(LeasingHab!$C$10="TARIFA 1",(C206*(VLOOKUP(LeasingHab!$C$23,Seguros_Oblig!$A$3:$B$55,2,FALSE))),(C206*(VLOOKUP(LeasingHab!$C$23,Seguros_Oblig!$A$3:$D$55,4,FALSE))))))</f>
        <v>#VALUE!</v>
      </c>
      <c r="G207" s="8" t="e">
        <f>IF(LeasingHab!$C$10="TARIFA 1",(C206*(VLOOKUP(LeasingHab!$C$24,Seguros_Oblig!$A$3:$B$55,2,FALSE))),(C206*(VLOOKUP(LeasingHab!$C$24,Seguros_Oblig!$A$3:$D$55,4,FALSE))))</f>
        <v>#VALUE!</v>
      </c>
      <c r="H207" s="8" t="e">
        <f>IF(LeasingHab!$C$10="TARIFA 1",(C206*(VLOOKUP(LeasingHab!$C$25,Seguros_Oblig!$A$3:$B$55,2,FALSE))),(C206*(VLOOKUP(LeasingHab!$C$25,Seguros_Oblig!$A$3:$D$55,4,FALSE))))</f>
        <v>#VALUE!</v>
      </c>
      <c r="I207" s="8" t="e">
        <f>IF(LeasingHab!$C$10="TARIFA 1",(C206*(VLOOKUP(LeasingHab!$C$26,Seguros_Oblig!$A$3:$B$55,2,FALSE))),(C206*(VLOOKUP(LeasingHab!$C$26,Seguros_Oblig!$A$3:$D$55,4,FALSE))))</f>
        <v>#VALUE!</v>
      </c>
      <c r="J207" s="10">
        <f t="shared" si="15"/>
        <v>0</v>
      </c>
      <c r="K207" s="7" t="e">
        <f>IF((C206-1)&lt;$E$17,0,Seguros_Oblig!$K$2*(LeasingHab!$C$12*90%))</f>
        <v>#VALUE!</v>
      </c>
      <c r="L207" s="7" t="e">
        <f>IF(B207&gt;LeasingHab!$C$18,0,PMT(LeasingHab!$E$17,LeasingHab!$C$18,-LeasingHab!$C$15,,)-PMT(LeasingHab!$E$17,LeasingHab!$C$18,-LeasingHab!$C$22)+LeasingHab!$C$22*LeasingHab!$E$17)</f>
        <v>#VALUE!</v>
      </c>
      <c r="M207" s="9" t="e">
        <f t="shared" si="16"/>
        <v>#VALUE!</v>
      </c>
      <c r="N207" s="7" t="e">
        <f>IF((C206-1)&lt;$E$17,0,LeasingHab!$C$39)</f>
        <v>#VALUE!</v>
      </c>
      <c r="O207" s="9" t="e">
        <f t="shared" si="17"/>
        <v>#VALUE!</v>
      </c>
    </row>
    <row r="208" spans="2:15" ht="15.5" x14ac:dyDescent="0.35">
      <c r="B208" s="6" t="e">
        <f t="shared" si="18"/>
        <v>#VALUE!</v>
      </c>
      <c r="C208" s="7" t="e">
        <f t="shared" si="13"/>
        <v>#VALUE!</v>
      </c>
      <c r="D208" s="7" t="e">
        <f t="shared" si="14"/>
        <v>#VALUE!</v>
      </c>
      <c r="E208" s="7" t="e">
        <f>IF((C207-1)&lt;$E$17,0,C207*LeasingHab!$E$17)</f>
        <v>#VALUE!</v>
      </c>
      <c r="F208" s="8" t="e">
        <f>IF((C207-1)&lt;$E$17,"0",IF(LeasingHab!$D$27="Si",($C$19*(VLOOKUP(LeasingHab!$C$23,Seguros_Oblig!$A$3:$F$55,6,FALSE))),IF(LeasingHab!$C$10="TARIFA 1",(C207*(VLOOKUP(LeasingHab!$C$23,Seguros_Oblig!$A$3:$B$55,2,FALSE))),(C207*(VLOOKUP(LeasingHab!$C$23,Seguros_Oblig!$A$3:$D$55,4,FALSE))))))</f>
        <v>#VALUE!</v>
      </c>
      <c r="G208" s="8" t="e">
        <f>IF(LeasingHab!$C$10="TARIFA 1",(C207*(VLOOKUP(LeasingHab!$C$24,Seguros_Oblig!$A$3:$B$55,2,FALSE))),(C207*(VLOOKUP(LeasingHab!$C$24,Seguros_Oblig!$A$3:$D$55,4,FALSE))))</f>
        <v>#VALUE!</v>
      </c>
      <c r="H208" s="8" t="e">
        <f>IF(LeasingHab!$C$10="TARIFA 1",(C207*(VLOOKUP(LeasingHab!$C$25,Seguros_Oblig!$A$3:$B$55,2,FALSE))),(C207*(VLOOKUP(LeasingHab!$C$25,Seguros_Oblig!$A$3:$D$55,4,FALSE))))</f>
        <v>#VALUE!</v>
      </c>
      <c r="I208" s="8" t="e">
        <f>IF(LeasingHab!$C$10="TARIFA 1",(C207*(VLOOKUP(LeasingHab!$C$26,Seguros_Oblig!$A$3:$B$55,2,FALSE))),(C207*(VLOOKUP(LeasingHab!$C$26,Seguros_Oblig!$A$3:$D$55,4,FALSE))))</f>
        <v>#VALUE!</v>
      </c>
      <c r="J208" s="10">
        <f t="shared" si="15"/>
        <v>0</v>
      </c>
      <c r="K208" s="7" t="e">
        <f>IF((C207-1)&lt;$E$17,0,Seguros_Oblig!$K$2*(LeasingHab!$C$12*90%))</f>
        <v>#VALUE!</v>
      </c>
      <c r="L208" s="7" t="e">
        <f>IF(B208&gt;LeasingHab!$C$18,0,PMT(LeasingHab!$E$17,LeasingHab!$C$18,-LeasingHab!$C$15,,)-PMT(LeasingHab!$E$17,LeasingHab!$C$18,-LeasingHab!$C$22)+LeasingHab!$C$22*LeasingHab!$E$17)</f>
        <v>#VALUE!</v>
      </c>
      <c r="M208" s="9" t="e">
        <f t="shared" si="16"/>
        <v>#VALUE!</v>
      </c>
      <c r="N208" s="7" t="e">
        <f>IF((C207-1)&lt;$E$17,0,LeasingHab!$C$39)</f>
        <v>#VALUE!</v>
      </c>
      <c r="O208" s="9" t="e">
        <f t="shared" si="17"/>
        <v>#VALUE!</v>
      </c>
    </row>
    <row r="209" spans="2:15" ht="15.5" x14ac:dyDescent="0.35">
      <c r="B209" s="6" t="e">
        <f t="shared" si="18"/>
        <v>#VALUE!</v>
      </c>
      <c r="C209" s="7" t="e">
        <f t="shared" ref="C209:C272" si="19">IF(D208=0,0,C208-D209)</f>
        <v>#VALUE!</v>
      </c>
      <c r="D209" s="7" t="e">
        <f t="shared" ref="D209:D272" si="20">IF((C208-1)&lt;$E$17,0,L209-E209)</f>
        <v>#VALUE!</v>
      </c>
      <c r="E209" s="7" t="e">
        <f>IF((C208-1)&lt;$E$17,0,C208*LeasingHab!$E$17)</f>
        <v>#VALUE!</v>
      </c>
      <c r="F209" s="8" t="e">
        <f>IF((C208-1)&lt;$E$17,"0",IF(LeasingHab!$D$27="Si",($C$19*(VLOOKUP(LeasingHab!$C$23,Seguros_Oblig!$A$3:$F$55,6,FALSE))),IF(LeasingHab!$C$10="TARIFA 1",(C208*(VLOOKUP(LeasingHab!$C$23,Seguros_Oblig!$A$3:$B$55,2,FALSE))),(C208*(VLOOKUP(LeasingHab!$C$23,Seguros_Oblig!$A$3:$D$55,4,FALSE))))))</f>
        <v>#VALUE!</v>
      </c>
      <c r="G209" s="8" t="e">
        <f>IF(LeasingHab!$C$10="TARIFA 1",(C208*(VLOOKUP(LeasingHab!$C$24,Seguros_Oblig!$A$3:$B$55,2,FALSE))),(C208*(VLOOKUP(LeasingHab!$C$24,Seguros_Oblig!$A$3:$D$55,4,FALSE))))</f>
        <v>#VALUE!</v>
      </c>
      <c r="H209" s="8" t="e">
        <f>IF(LeasingHab!$C$10="TARIFA 1",(C208*(VLOOKUP(LeasingHab!$C$25,Seguros_Oblig!$A$3:$B$55,2,FALSE))),(C208*(VLOOKUP(LeasingHab!$C$25,Seguros_Oblig!$A$3:$D$55,4,FALSE))))</f>
        <v>#VALUE!</v>
      </c>
      <c r="I209" s="8" t="e">
        <f>IF(LeasingHab!$C$10="TARIFA 1",(C208*(VLOOKUP(LeasingHab!$C$26,Seguros_Oblig!$A$3:$B$55,2,FALSE))),(C208*(VLOOKUP(LeasingHab!$C$26,Seguros_Oblig!$A$3:$D$55,4,FALSE))))</f>
        <v>#VALUE!</v>
      </c>
      <c r="J209" s="10">
        <f t="shared" si="15"/>
        <v>0</v>
      </c>
      <c r="K209" s="7" t="e">
        <f>IF((C208-1)&lt;$E$17,0,Seguros_Oblig!$K$2*(LeasingHab!$C$12*90%))</f>
        <v>#VALUE!</v>
      </c>
      <c r="L209" s="7" t="e">
        <f>IF(B209&gt;LeasingHab!$C$18,0,PMT(LeasingHab!$E$17,LeasingHab!$C$18,-LeasingHab!$C$15,,)-PMT(LeasingHab!$E$17,LeasingHab!$C$18,-LeasingHab!$C$22)+LeasingHab!$C$22*LeasingHab!$E$17)</f>
        <v>#VALUE!</v>
      </c>
      <c r="M209" s="9" t="e">
        <f t="shared" si="16"/>
        <v>#VALUE!</v>
      </c>
      <c r="N209" s="7" t="e">
        <f>IF((C208-1)&lt;$E$17,0,LeasingHab!$C$39)</f>
        <v>#VALUE!</v>
      </c>
      <c r="O209" s="9" t="e">
        <f t="shared" si="17"/>
        <v>#VALUE!</v>
      </c>
    </row>
    <row r="210" spans="2:15" ht="15.5" x14ac:dyDescent="0.35">
      <c r="B210" s="6" t="e">
        <f t="shared" si="18"/>
        <v>#VALUE!</v>
      </c>
      <c r="C210" s="7" t="e">
        <f t="shared" si="19"/>
        <v>#VALUE!</v>
      </c>
      <c r="D210" s="7" t="e">
        <f t="shared" si="20"/>
        <v>#VALUE!</v>
      </c>
      <c r="E210" s="7" t="e">
        <f>IF((C209-1)&lt;$E$17,0,C209*LeasingHab!$E$17)</f>
        <v>#VALUE!</v>
      </c>
      <c r="F210" s="8" t="e">
        <f>IF((C209-1)&lt;$E$17,"0",IF(LeasingHab!$D$27="Si",($C$19*(VLOOKUP(LeasingHab!$C$23,Seguros_Oblig!$A$3:$F$55,6,FALSE))),IF(LeasingHab!$C$10="TARIFA 1",(C209*(VLOOKUP(LeasingHab!$C$23,Seguros_Oblig!$A$3:$B$55,2,FALSE))),(C209*(VLOOKUP(LeasingHab!$C$23,Seguros_Oblig!$A$3:$D$55,4,FALSE))))))</f>
        <v>#VALUE!</v>
      </c>
      <c r="G210" s="8" t="e">
        <f>IF(LeasingHab!$C$10="TARIFA 1",(C209*(VLOOKUP(LeasingHab!$C$24,Seguros_Oblig!$A$3:$B$55,2,FALSE))),(C209*(VLOOKUP(LeasingHab!$C$24,Seguros_Oblig!$A$3:$D$55,4,FALSE))))</f>
        <v>#VALUE!</v>
      </c>
      <c r="H210" s="8" t="e">
        <f>IF(LeasingHab!$C$10="TARIFA 1",(C209*(VLOOKUP(LeasingHab!$C$25,Seguros_Oblig!$A$3:$B$55,2,FALSE))),(C209*(VLOOKUP(LeasingHab!$C$25,Seguros_Oblig!$A$3:$D$55,4,FALSE))))</f>
        <v>#VALUE!</v>
      </c>
      <c r="I210" s="8" t="e">
        <f>IF(LeasingHab!$C$10="TARIFA 1",(C209*(VLOOKUP(LeasingHab!$C$26,Seguros_Oblig!$A$3:$B$55,2,FALSE))),(C209*(VLOOKUP(LeasingHab!$C$26,Seguros_Oblig!$A$3:$D$55,4,FALSE))))</f>
        <v>#VALUE!</v>
      </c>
      <c r="J210" s="10">
        <f t="shared" si="15"/>
        <v>0</v>
      </c>
      <c r="K210" s="7" t="e">
        <f>IF((C209-1)&lt;$E$17,0,Seguros_Oblig!$K$2*(LeasingHab!$C$12*90%))</f>
        <v>#VALUE!</v>
      </c>
      <c r="L210" s="7" t="e">
        <f>IF(B210&gt;LeasingHab!$C$18,0,PMT(LeasingHab!$E$17,LeasingHab!$C$18,-LeasingHab!$C$15,,)-PMT(LeasingHab!$E$17,LeasingHab!$C$18,-LeasingHab!$C$22)+LeasingHab!$C$22*LeasingHab!$E$17)</f>
        <v>#VALUE!</v>
      </c>
      <c r="M210" s="9" t="e">
        <f t="shared" si="16"/>
        <v>#VALUE!</v>
      </c>
      <c r="N210" s="7" t="e">
        <f>IF((C209-1)&lt;$E$17,0,LeasingHab!$C$39)</f>
        <v>#VALUE!</v>
      </c>
      <c r="O210" s="9" t="e">
        <f t="shared" si="17"/>
        <v>#VALUE!</v>
      </c>
    </row>
    <row r="211" spans="2:15" ht="15.5" x14ac:dyDescent="0.35">
      <c r="B211" s="6" t="e">
        <f t="shared" si="18"/>
        <v>#VALUE!</v>
      </c>
      <c r="C211" s="7" t="e">
        <f t="shared" si="19"/>
        <v>#VALUE!</v>
      </c>
      <c r="D211" s="7" t="e">
        <f t="shared" si="20"/>
        <v>#VALUE!</v>
      </c>
      <c r="E211" s="7" t="e">
        <f>IF((C210-1)&lt;$E$17,0,C210*LeasingHab!$E$17)</f>
        <v>#VALUE!</v>
      </c>
      <c r="F211" s="8" t="e">
        <f>IF((C210-1)&lt;$E$17,"0",IF(LeasingHab!$D$27="Si",($C$19*(VLOOKUP(LeasingHab!$C$23,Seguros_Oblig!$A$3:$F$55,6,FALSE))),IF(LeasingHab!$C$10="TARIFA 1",(C210*(VLOOKUP(LeasingHab!$C$23,Seguros_Oblig!$A$3:$B$55,2,FALSE))),(C210*(VLOOKUP(LeasingHab!$C$23,Seguros_Oblig!$A$3:$D$55,4,FALSE))))))</f>
        <v>#VALUE!</v>
      </c>
      <c r="G211" s="8" t="e">
        <f>IF(LeasingHab!$C$10="TARIFA 1",(C210*(VLOOKUP(LeasingHab!$C$24,Seguros_Oblig!$A$3:$B$55,2,FALSE))),(C210*(VLOOKUP(LeasingHab!$C$24,Seguros_Oblig!$A$3:$D$55,4,FALSE))))</f>
        <v>#VALUE!</v>
      </c>
      <c r="H211" s="8" t="e">
        <f>IF(LeasingHab!$C$10="TARIFA 1",(C210*(VLOOKUP(LeasingHab!$C$25,Seguros_Oblig!$A$3:$B$55,2,FALSE))),(C210*(VLOOKUP(LeasingHab!$C$25,Seguros_Oblig!$A$3:$D$55,4,FALSE))))</f>
        <v>#VALUE!</v>
      </c>
      <c r="I211" s="8" t="e">
        <f>IF(LeasingHab!$C$10="TARIFA 1",(C210*(VLOOKUP(LeasingHab!$C$26,Seguros_Oblig!$A$3:$B$55,2,FALSE))),(C210*(VLOOKUP(LeasingHab!$C$26,Seguros_Oblig!$A$3:$D$55,4,FALSE))))</f>
        <v>#VALUE!</v>
      </c>
      <c r="J211" s="10">
        <f t="shared" si="15"/>
        <v>0</v>
      </c>
      <c r="K211" s="7" t="e">
        <f>IF((C210-1)&lt;$E$17,0,Seguros_Oblig!$K$2*(LeasingHab!$C$12*90%))</f>
        <v>#VALUE!</v>
      </c>
      <c r="L211" s="7" t="e">
        <f>IF(B211&gt;LeasingHab!$C$18,0,PMT(LeasingHab!$E$17,LeasingHab!$C$18,-LeasingHab!$C$15,,)-PMT(LeasingHab!$E$17,LeasingHab!$C$18,-LeasingHab!$C$22)+LeasingHab!$C$22*LeasingHab!$E$17)</f>
        <v>#VALUE!</v>
      </c>
      <c r="M211" s="9" t="e">
        <f t="shared" si="16"/>
        <v>#VALUE!</v>
      </c>
      <c r="N211" s="7" t="e">
        <f>IF((C210-1)&lt;$E$17,0,LeasingHab!$C$39)</f>
        <v>#VALUE!</v>
      </c>
      <c r="O211" s="9" t="e">
        <f t="shared" si="17"/>
        <v>#VALUE!</v>
      </c>
    </row>
    <row r="212" spans="2:15" ht="15.5" x14ac:dyDescent="0.35">
      <c r="B212" s="6" t="e">
        <f t="shared" si="18"/>
        <v>#VALUE!</v>
      </c>
      <c r="C212" s="7" t="e">
        <f t="shared" si="19"/>
        <v>#VALUE!</v>
      </c>
      <c r="D212" s="7" t="e">
        <f t="shared" si="20"/>
        <v>#VALUE!</v>
      </c>
      <c r="E212" s="7" t="e">
        <f>IF((C211-1)&lt;$E$17,0,C211*LeasingHab!$E$17)</f>
        <v>#VALUE!</v>
      </c>
      <c r="F212" s="8" t="e">
        <f>IF((C211-1)&lt;$E$17,"0",IF(LeasingHab!$D$27="Si",($C$19*(VLOOKUP(LeasingHab!$C$23,Seguros_Oblig!$A$3:$F$55,6,FALSE))),IF(LeasingHab!$C$10="TARIFA 1",(C211*(VLOOKUP(LeasingHab!$C$23,Seguros_Oblig!$A$3:$B$55,2,FALSE))),(C211*(VLOOKUP(LeasingHab!$C$23,Seguros_Oblig!$A$3:$D$55,4,FALSE))))))</f>
        <v>#VALUE!</v>
      </c>
      <c r="G212" s="8" t="e">
        <f>IF(LeasingHab!$C$10="TARIFA 1",(C211*(VLOOKUP(LeasingHab!$C$24,Seguros_Oblig!$A$3:$B$55,2,FALSE))),(C211*(VLOOKUP(LeasingHab!$C$24,Seguros_Oblig!$A$3:$D$55,4,FALSE))))</f>
        <v>#VALUE!</v>
      </c>
      <c r="H212" s="8" t="e">
        <f>IF(LeasingHab!$C$10="TARIFA 1",(C211*(VLOOKUP(LeasingHab!$C$25,Seguros_Oblig!$A$3:$B$55,2,FALSE))),(C211*(VLOOKUP(LeasingHab!$C$25,Seguros_Oblig!$A$3:$D$55,4,FALSE))))</f>
        <v>#VALUE!</v>
      </c>
      <c r="I212" s="8" t="e">
        <f>IF(LeasingHab!$C$10="TARIFA 1",(C211*(VLOOKUP(LeasingHab!$C$26,Seguros_Oblig!$A$3:$B$55,2,FALSE))),(C211*(VLOOKUP(LeasingHab!$C$26,Seguros_Oblig!$A$3:$D$55,4,FALSE))))</f>
        <v>#VALUE!</v>
      </c>
      <c r="J212" s="10">
        <f t="shared" si="15"/>
        <v>0</v>
      </c>
      <c r="K212" s="7" t="e">
        <f>IF((C211-1)&lt;$E$17,0,Seguros_Oblig!$K$2*(LeasingHab!$C$12*90%))</f>
        <v>#VALUE!</v>
      </c>
      <c r="L212" s="7" t="e">
        <f>IF(B212&gt;LeasingHab!$C$18,0,PMT(LeasingHab!$E$17,LeasingHab!$C$18,-LeasingHab!$C$15,,)-PMT(LeasingHab!$E$17,LeasingHab!$C$18,-LeasingHab!$C$22)+LeasingHab!$C$22*LeasingHab!$E$17)</f>
        <v>#VALUE!</v>
      </c>
      <c r="M212" s="9" t="e">
        <f t="shared" si="16"/>
        <v>#VALUE!</v>
      </c>
      <c r="N212" s="7" t="e">
        <f>IF((C211-1)&lt;$E$17,0,LeasingHab!$C$39)</f>
        <v>#VALUE!</v>
      </c>
      <c r="O212" s="9" t="e">
        <f t="shared" si="17"/>
        <v>#VALUE!</v>
      </c>
    </row>
    <row r="213" spans="2:15" ht="15.5" x14ac:dyDescent="0.35">
      <c r="B213" s="6" t="e">
        <f t="shared" si="18"/>
        <v>#VALUE!</v>
      </c>
      <c r="C213" s="7" t="e">
        <f t="shared" si="19"/>
        <v>#VALUE!</v>
      </c>
      <c r="D213" s="7" t="e">
        <f t="shared" si="20"/>
        <v>#VALUE!</v>
      </c>
      <c r="E213" s="7" t="e">
        <f>IF((C212-1)&lt;$E$17,0,C212*LeasingHab!$E$17)</f>
        <v>#VALUE!</v>
      </c>
      <c r="F213" s="8" t="e">
        <f>IF((C212-1)&lt;$E$17,"0",IF(LeasingHab!$D$27="Si",($C$19*(VLOOKUP(LeasingHab!$C$23,Seguros_Oblig!$A$3:$F$55,6,FALSE))),IF(LeasingHab!$C$10="TARIFA 1",(C212*(VLOOKUP(LeasingHab!$C$23,Seguros_Oblig!$A$3:$B$55,2,FALSE))),(C212*(VLOOKUP(LeasingHab!$C$23,Seguros_Oblig!$A$3:$D$55,4,FALSE))))))</f>
        <v>#VALUE!</v>
      </c>
      <c r="G213" s="8" t="e">
        <f>IF(LeasingHab!$C$10="TARIFA 1",(C212*(VLOOKUP(LeasingHab!$C$24,Seguros_Oblig!$A$3:$B$55,2,FALSE))),(C212*(VLOOKUP(LeasingHab!$C$24,Seguros_Oblig!$A$3:$D$55,4,FALSE))))</f>
        <v>#VALUE!</v>
      </c>
      <c r="H213" s="8" t="e">
        <f>IF(LeasingHab!$C$10="TARIFA 1",(C212*(VLOOKUP(LeasingHab!$C$25,Seguros_Oblig!$A$3:$B$55,2,FALSE))),(C212*(VLOOKUP(LeasingHab!$C$25,Seguros_Oblig!$A$3:$D$55,4,FALSE))))</f>
        <v>#VALUE!</v>
      </c>
      <c r="I213" s="8" t="e">
        <f>IF(LeasingHab!$C$10="TARIFA 1",(C212*(VLOOKUP(LeasingHab!$C$26,Seguros_Oblig!$A$3:$B$55,2,FALSE))),(C212*(VLOOKUP(LeasingHab!$C$26,Seguros_Oblig!$A$3:$D$55,4,FALSE))))</f>
        <v>#VALUE!</v>
      </c>
      <c r="J213" s="10">
        <f t="shared" ref="J213:J276" si="21">_xlfn.AGGREGATE(9,6,F213:I213)</f>
        <v>0</v>
      </c>
      <c r="K213" s="7" t="e">
        <f>IF((C212-1)&lt;$E$17,0,Seguros_Oblig!$K$2*(LeasingHab!$C$12*90%))</f>
        <v>#VALUE!</v>
      </c>
      <c r="L213" s="7" t="e">
        <f>IF(B213&gt;LeasingHab!$C$18,0,PMT(LeasingHab!$E$17,LeasingHab!$C$18,-LeasingHab!$C$15,,)-PMT(LeasingHab!$E$17,LeasingHab!$C$18,-LeasingHab!$C$22)+LeasingHab!$C$22*LeasingHab!$E$17)</f>
        <v>#VALUE!</v>
      </c>
      <c r="M213" s="9" t="e">
        <f t="shared" ref="M213:M276" si="22">K213+L213+J213</f>
        <v>#VALUE!</v>
      </c>
      <c r="N213" s="7" t="e">
        <f>IF((C212-1)&lt;$E$17,0,LeasingHab!$C$39)</f>
        <v>#VALUE!</v>
      </c>
      <c r="O213" s="9" t="e">
        <f t="shared" ref="O213:O276" si="23">M213+N213</f>
        <v>#VALUE!</v>
      </c>
    </row>
    <row r="214" spans="2:15" ht="15.5" x14ac:dyDescent="0.35">
      <c r="B214" s="6" t="e">
        <f t="shared" si="18"/>
        <v>#VALUE!</v>
      </c>
      <c r="C214" s="7" t="e">
        <f t="shared" si="19"/>
        <v>#VALUE!</v>
      </c>
      <c r="D214" s="7" t="e">
        <f t="shared" si="20"/>
        <v>#VALUE!</v>
      </c>
      <c r="E214" s="7" t="e">
        <f>IF((C213-1)&lt;$E$17,0,C213*LeasingHab!$E$17)</f>
        <v>#VALUE!</v>
      </c>
      <c r="F214" s="8" t="e">
        <f>IF((C213-1)&lt;$E$17,"0",IF(LeasingHab!$D$27="Si",($C$19*(VLOOKUP(LeasingHab!$C$23,Seguros_Oblig!$A$3:$F$55,6,FALSE))),IF(LeasingHab!$C$10="TARIFA 1",(C213*(VLOOKUP(LeasingHab!$C$23,Seguros_Oblig!$A$3:$B$55,2,FALSE))),(C213*(VLOOKUP(LeasingHab!$C$23,Seguros_Oblig!$A$3:$D$55,4,FALSE))))))</f>
        <v>#VALUE!</v>
      </c>
      <c r="G214" s="8" t="e">
        <f>IF(LeasingHab!$C$10="TARIFA 1",(C213*(VLOOKUP(LeasingHab!$C$24,Seguros_Oblig!$A$3:$B$55,2,FALSE))),(C213*(VLOOKUP(LeasingHab!$C$24,Seguros_Oblig!$A$3:$D$55,4,FALSE))))</f>
        <v>#VALUE!</v>
      </c>
      <c r="H214" s="8" t="e">
        <f>IF(LeasingHab!$C$10="TARIFA 1",(C213*(VLOOKUP(LeasingHab!$C$25,Seguros_Oblig!$A$3:$B$55,2,FALSE))),(C213*(VLOOKUP(LeasingHab!$C$25,Seguros_Oblig!$A$3:$D$55,4,FALSE))))</f>
        <v>#VALUE!</v>
      </c>
      <c r="I214" s="8" t="e">
        <f>IF(LeasingHab!$C$10="TARIFA 1",(C213*(VLOOKUP(LeasingHab!$C$26,Seguros_Oblig!$A$3:$B$55,2,FALSE))),(C213*(VLOOKUP(LeasingHab!$C$26,Seguros_Oblig!$A$3:$D$55,4,FALSE))))</f>
        <v>#VALUE!</v>
      </c>
      <c r="J214" s="10">
        <f t="shared" si="21"/>
        <v>0</v>
      </c>
      <c r="K214" s="7" t="e">
        <f>IF((C213-1)&lt;$E$17,0,Seguros_Oblig!$K$2*(LeasingHab!$C$12*90%))</f>
        <v>#VALUE!</v>
      </c>
      <c r="L214" s="7" t="e">
        <f>IF(B214&gt;LeasingHab!$C$18,0,PMT(LeasingHab!$E$17,LeasingHab!$C$18,-LeasingHab!$C$15,,)-PMT(LeasingHab!$E$17,LeasingHab!$C$18,-LeasingHab!$C$22)+LeasingHab!$C$22*LeasingHab!$E$17)</f>
        <v>#VALUE!</v>
      </c>
      <c r="M214" s="9" t="e">
        <f t="shared" si="22"/>
        <v>#VALUE!</v>
      </c>
      <c r="N214" s="7" t="e">
        <f>IF((C213-1)&lt;$E$17,0,LeasingHab!$C$39)</f>
        <v>#VALUE!</v>
      </c>
      <c r="O214" s="9" t="e">
        <f t="shared" si="23"/>
        <v>#VALUE!</v>
      </c>
    </row>
    <row r="215" spans="2:15" ht="15.5" x14ac:dyDescent="0.35">
      <c r="B215" s="6" t="e">
        <f t="shared" si="18"/>
        <v>#VALUE!</v>
      </c>
      <c r="C215" s="7" t="e">
        <f t="shared" si="19"/>
        <v>#VALUE!</v>
      </c>
      <c r="D215" s="7" t="e">
        <f t="shared" si="20"/>
        <v>#VALUE!</v>
      </c>
      <c r="E215" s="7" t="e">
        <f>IF((C214-1)&lt;$E$17,0,C214*LeasingHab!$E$17)</f>
        <v>#VALUE!</v>
      </c>
      <c r="F215" s="8" t="e">
        <f>IF((C214-1)&lt;$E$17,"0",IF(LeasingHab!$D$27="Si",($C$19*(VLOOKUP(LeasingHab!$C$23,Seguros_Oblig!$A$3:$F$55,6,FALSE))),IF(LeasingHab!$C$10="TARIFA 1",(C214*(VLOOKUP(LeasingHab!$C$23,Seguros_Oblig!$A$3:$B$55,2,FALSE))),(C214*(VLOOKUP(LeasingHab!$C$23,Seguros_Oblig!$A$3:$D$55,4,FALSE))))))</f>
        <v>#VALUE!</v>
      </c>
      <c r="G215" s="8" t="e">
        <f>IF(LeasingHab!$C$10="TARIFA 1",(C214*(VLOOKUP(LeasingHab!$C$24,Seguros_Oblig!$A$3:$B$55,2,FALSE))),(C214*(VLOOKUP(LeasingHab!$C$24,Seguros_Oblig!$A$3:$D$55,4,FALSE))))</f>
        <v>#VALUE!</v>
      </c>
      <c r="H215" s="8" t="e">
        <f>IF(LeasingHab!$C$10="TARIFA 1",(C214*(VLOOKUP(LeasingHab!$C$25,Seguros_Oblig!$A$3:$B$55,2,FALSE))),(C214*(VLOOKUP(LeasingHab!$C$25,Seguros_Oblig!$A$3:$D$55,4,FALSE))))</f>
        <v>#VALUE!</v>
      </c>
      <c r="I215" s="8" t="e">
        <f>IF(LeasingHab!$C$10="TARIFA 1",(C214*(VLOOKUP(LeasingHab!$C$26,Seguros_Oblig!$A$3:$B$55,2,FALSE))),(C214*(VLOOKUP(LeasingHab!$C$26,Seguros_Oblig!$A$3:$D$55,4,FALSE))))</f>
        <v>#VALUE!</v>
      </c>
      <c r="J215" s="10">
        <f t="shared" si="21"/>
        <v>0</v>
      </c>
      <c r="K215" s="7" t="e">
        <f>IF((C214-1)&lt;$E$17,0,Seguros_Oblig!$K$2*(LeasingHab!$C$12*90%))</f>
        <v>#VALUE!</v>
      </c>
      <c r="L215" s="7" t="e">
        <f>IF(B215&gt;LeasingHab!$C$18,0,PMT(LeasingHab!$E$17,LeasingHab!$C$18,-LeasingHab!$C$15,,)-PMT(LeasingHab!$E$17,LeasingHab!$C$18,-LeasingHab!$C$22)+LeasingHab!$C$22*LeasingHab!$E$17)</f>
        <v>#VALUE!</v>
      </c>
      <c r="M215" s="9" t="e">
        <f t="shared" si="22"/>
        <v>#VALUE!</v>
      </c>
      <c r="N215" s="7" t="e">
        <f>IF((C214-1)&lt;$E$17,0,LeasingHab!$C$39)</f>
        <v>#VALUE!</v>
      </c>
      <c r="O215" s="9" t="e">
        <f t="shared" si="23"/>
        <v>#VALUE!</v>
      </c>
    </row>
    <row r="216" spans="2:15" ht="15.5" x14ac:dyDescent="0.35">
      <c r="B216" s="6" t="e">
        <f t="shared" si="18"/>
        <v>#VALUE!</v>
      </c>
      <c r="C216" s="7" t="e">
        <f t="shared" si="19"/>
        <v>#VALUE!</v>
      </c>
      <c r="D216" s="7" t="e">
        <f t="shared" si="20"/>
        <v>#VALUE!</v>
      </c>
      <c r="E216" s="7" t="e">
        <f>IF((C215-1)&lt;$E$17,0,C215*LeasingHab!$E$17)</f>
        <v>#VALUE!</v>
      </c>
      <c r="F216" s="8" t="e">
        <f>IF((C215-1)&lt;$E$17,"0",IF(LeasingHab!$D$27="Si",($C$19*(VLOOKUP(LeasingHab!$C$23,Seguros_Oblig!$A$3:$F$55,6,FALSE))),IF(LeasingHab!$C$10="TARIFA 1",(C215*(VLOOKUP(LeasingHab!$C$23,Seguros_Oblig!$A$3:$B$55,2,FALSE))),(C215*(VLOOKUP(LeasingHab!$C$23,Seguros_Oblig!$A$3:$D$55,4,FALSE))))))</f>
        <v>#VALUE!</v>
      </c>
      <c r="G216" s="8" t="e">
        <f>IF(LeasingHab!$C$10="TARIFA 1",(C215*(VLOOKUP(LeasingHab!$C$24,Seguros_Oblig!$A$3:$B$55,2,FALSE))),(C215*(VLOOKUP(LeasingHab!$C$24,Seguros_Oblig!$A$3:$D$55,4,FALSE))))</f>
        <v>#VALUE!</v>
      </c>
      <c r="H216" s="8" t="e">
        <f>IF(LeasingHab!$C$10="TARIFA 1",(C215*(VLOOKUP(LeasingHab!$C$25,Seguros_Oblig!$A$3:$B$55,2,FALSE))),(C215*(VLOOKUP(LeasingHab!$C$25,Seguros_Oblig!$A$3:$D$55,4,FALSE))))</f>
        <v>#VALUE!</v>
      </c>
      <c r="I216" s="8" t="e">
        <f>IF(LeasingHab!$C$10="TARIFA 1",(C215*(VLOOKUP(LeasingHab!$C$26,Seguros_Oblig!$A$3:$B$55,2,FALSE))),(C215*(VLOOKUP(LeasingHab!$C$26,Seguros_Oblig!$A$3:$D$55,4,FALSE))))</f>
        <v>#VALUE!</v>
      </c>
      <c r="J216" s="10">
        <f t="shared" si="21"/>
        <v>0</v>
      </c>
      <c r="K216" s="7" t="e">
        <f>IF((C215-1)&lt;$E$17,0,Seguros_Oblig!$K$2*(LeasingHab!$C$12*90%))</f>
        <v>#VALUE!</v>
      </c>
      <c r="L216" s="7" t="e">
        <f>IF(B216&gt;LeasingHab!$C$18,0,PMT(LeasingHab!$E$17,LeasingHab!$C$18,-LeasingHab!$C$15,,)-PMT(LeasingHab!$E$17,LeasingHab!$C$18,-LeasingHab!$C$22)+LeasingHab!$C$22*LeasingHab!$E$17)</f>
        <v>#VALUE!</v>
      </c>
      <c r="M216" s="9" t="e">
        <f t="shared" si="22"/>
        <v>#VALUE!</v>
      </c>
      <c r="N216" s="7" t="e">
        <f>IF((C215-1)&lt;$E$17,0,LeasingHab!$C$39)</f>
        <v>#VALUE!</v>
      </c>
      <c r="O216" s="9" t="e">
        <f t="shared" si="23"/>
        <v>#VALUE!</v>
      </c>
    </row>
    <row r="217" spans="2:15" ht="15.5" x14ac:dyDescent="0.35">
      <c r="B217" s="6" t="e">
        <f t="shared" si="18"/>
        <v>#VALUE!</v>
      </c>
      <c r="C217" s="7" t="e">
        <f t="shared" si="19"/>
        <v>#VALUE!</v>
      </c>
      <c r="D217" s="7" t="e">
        <f t="shared" si="20"/>
        <v>#VALUE!</v>
      </c>
      <c r="E217" s="7" t="e">
        <f>IF((C216-1)&lt;$E$17,0,C216*LeasingHab!$E$17)</f>
        <v>#VALUE!</v>
      </c>
      <c r="F217" s="8" t="e">
        <f>IF((C216-1)&lt;$E$17,"0",IF(LeasingHab!$D$27="Si",($C$19*(VLOOKUP(LeasingHab!$C$23,Seguros_Oblig!$A$3:$F$55,6,FALSE))),IF(LeasingHab!$C$10="TARIFA 1",(C216*(VLOOKUP(LeasingHab!$C$23,Seguros_Oblig!$A$3:$B$55,2,FALSE))),(C216*(VLOOKUP(LeasingHab!$C$23,Seguros_Oblig!$A$3:$D$55,4,FALSE))))))</f>
        <v>#VALUE!</v>
      </c>
      <c r="G217" s="8" t="e">
        <f>IF(LeasingHab!$C$10="TARIFA 1",(C216*(VLOOKUP(LeasingHab!$C$24,Seguros_Oblig!$A$3:$B$55,2,FALSE))),(C216*(VLOOKUP(LeasingHab!$C$24,Seguros_Oblig!$A$3:$D$55,4,FALSE))))</f>
        <v>#VALUE!</v>
      </c>
      <c r="H217" s="8" t="e">
        <f>IF(LeasingHab!$C$10="TARIFA 1",(C216*(VLOOKUP(LeasingHab!$C$25,Seguros_Oblig!$A$3:$B$55,2,FALSE))),(C216*(VLOOKUP(LeasingHab!$C$25,Seguros_Oblig!$A$3:$D$55,4,FALSE))))</f>
        <v>#VALUE!</v>
      </c>
      <c r="I217" s="8" t="e">
        <f>IF(LeasingHab!$C$10="TARIFA 1",(C216*(VLOOKUP(LeasingHab!$C$26,Seguros_Oblig!$A$3:$B$55,2,FALSE))),(C216*(VLOOKUP(LeasingHab!$C$26,Seguros_Oblig!$A$3:$D$55,4,FALSE))))</f>
        <v>#VALUE!</v>
      </c>
      <c r="J217" s="10">
        <f t="shared" si="21"/>
        <v>0</v>
      </c>
      <c r="K217" s="7" t="e">
        <f>IF((C216-1)&lt;$E$17,0,Seguros_Oblig!$K$2*(LeasingHab!$C$12*90%))</f>
        <v>#VALUE!</v>
      </c>
      <c r="L217" s="7" t="e">
        <f>IF(B217&gt;LeasingHab!$C$18,0,PMT(LeasingHab!$E$17,LeasingHab!$C$18,-LeasingHab!$C$15,,)-PMT(LeasingHab!$E$17,LeasingHab!$C$18,-LeasingHab!$C$22)+LeasingHab!$C$22*LeasingHab!$E$17)</f>
        <v>#VALUE!</v>
      </c>
      <c r="M217" s="9" t="e">
        <f t="shared" si="22"/>
        <v>#VALUE!</v>
      </c>
      <c r="N217" s="7" t="e">
        <f>IF((C216-1)&lt;$E$17,0,LeasingHab!$C$39)</f>
        <v>#VALUE!</v>
      </c>
      <c r="O217" s="9" t="e">
        <f t="shared" si="23"/>
        <v>#VALUE!</v>
      </c>
    </row>
    <row r="218" spans="2:15" ht="15.5" x14ac:dyDescent="0.35">
      <c r="B218" s="6" t="e">
        <f t="shared" ref="B218:B281" si="24">IF(C217&gt;1,B217+1," ")</f>
        <v>#VALUE!</v>
      </c>
      <c r="C218" s="7" t="e">
        <f t="shared" si="19"/>
        <v>#VALUE!</v>
      </c>
      <c r="D218" s="7" t="e">
        <f t="shared" si="20"/>
        <v>#VALUE!</v>
      </c>
      <c r="E218" s="7" t="e">
        <f>IF((C217-1)&lt;$E$17,0,C217*LeasingHab!$E$17)</f>
        <v>#VALUE!</v>
      </c>
      <c r="F218" s="8" t="e">
        <f>IF((C217-1)&lt;$E$17,"0",IF(LeasingHab!$D$27="Si",($C$19*(VLOOKUP(LeasingHab!$C$23,Seguros_Oblig!$A$3:$F$55,6,FALSE))),IF(LeasingHab!$C$10="TARIFA 1",(C217*(VLOOKUP(LeasingHab!$C$23,Seguros_Oblig!$A$3:$B$55,2,FALSE))),(C217*(VLOOKUP(LeasingHab!$C$23,Seguros_Oblig!$A$3:$D$55,4,FALSE))))))</f>
        <v>#VALUE!</v>
      </c>
      <c r="G218" s="8" t="e">
        <f>IF(LeasingHab!$C$10="TARIFA 1",(C217*(VLOOKUP(LeasingHab!$C$24,Seguros_Oblig!$A$3:$B$55,2,FALSE))),(C217*(VLOOKUP(LeasingHab!$C$24,Seguros_Oblig!$A$3:$D$55,4,FALSE))))</f>
        <v>#VALUE!</v>
      </c>
      <c r="H218" s="8" t="e">
        <f>IF(LeasingHab!$C$10="TARIFA 1",(C217*(VLOOKUP(LeasingHab!$C$25,Seguros_Oblig!$A$3:$B$55,2,FALSE))),(C217*(VLOOKUP(LeasingHab!$C$25,Seguros_Oblig!$A$3:$D$55,4,FALSE))))</f>
        <v>#VALUE!</v>
      </c>
      <c r="I218" s="8" t="e">
        <f>IF(LeasingHab!$C$10="TARIFA 1",(C217*(VLOOKUP(LeasingHab!$C$26,Seguros_Oblig!$A$3:$B$55,2,FALSE))),(C217*(VLOOKUP(LeasingHab!$C$26,Seguros_Oblig!$A$3:$D$55,4,FALSE))))</f>
        <v>#VALUE!</v>
      </c>
      <c r="J218" s="10">
        <f t="shared" si="21"/>
        <v>0</v>
      </c>
      <c r="K218" s="7" t="e">
        <f>IF((C217-1)&lt;$E$17,0,Seguros_Oblig!$K$2*(LeasingHab!$C$12*90%))</f>
        <v>#VALUE!</v>
      </c>
      <c r="L218" s="7" t="e">
        <f>IF(B218&gt;LeasingHab!$C$18,0,PMT(LeasingHab!$E$17,LeasingHab!$C$18,-LeasingHab!$C$15,,)-PMT(LeasingHab!$E$17,LeasingHab!$C$18,-LeasingHab!$C$22)+LeasingHab!$C$22*LeasingHab!$E$17)</f>
        <v>#VALUE!</v>
      </c>
      <c r="M218" s="9" t="e">
        <f t="shared" si="22"/>
        <v>#VALUE!</v>
      </c>
      <c r="N218" s="7" t="e">
        <f>IF((C217-1)&lt;$E$17,0,LeasingHab!$C$39)</f>
        <v>#VALUE!</v>
      </c>
      <c r="O218" s="9" t="e">
        <f t="shared" si="23"/>
        <v>#VALUE!</v>
      </c>
    </row>
    <row r="219" spans="2:15" ht="15.5" x14ac:dyDescent="0.35">
      <c r="B219" s="6" t="e">
        <f t="shared" si="24"/>
        <v>#VALUE!</v>
      </c>
      <c r="C219" s="7" t="e">
        <f t="shared" si="19"/>
        <v>#VALUE!</v>
      </c>
      <c r="D219" s="7" t="e">
        <f t="shared" si="20"/>
        <v>#VALUE!</v>
      </c>
      <c r="E219" s="7" t="e">
        <f>IF((C218-1)&lt;$E$17,0,C218*LeasingHab!$E$17)</f>
        <v>#VALUE!</v>
      </c>
      <c r="F219" s="8" t="e">
        <f>IF((C218-1)&lt;$E$17,"0",IF(LeasingHab!$D$27="Si",($C$19*(VLOOKUP(LeasingHab!$C$23,Seguros_Oblig!$A$3:$F$55,6,FALSE))),IF(LeasingHab!$C$10="TARIFA 1",(C218*(VLOOKUP(LeasingHab!$C$23,Seguros_Oblig!$A$3:$B$55,2,FALSE))),(C218*(VLOOKUP(LeasingHab!$C$23,Seguros_Oblig!$A$3:$D$55,4,FALSE))))))</f>
        <v>#VALUE!</v>
      </c>
      <c r="G219" s="8" t="e">
        <f>IF(LeasingHab!$C$10="TARIFA 1",(C218*(VLOOKUP(LeasingHab!$C$24,Seguros_Oblig!$A$3:$B$55,2,FALSE))),(C218*(VLOOKUP(LeasingHab!$C$24,Seguros_Oblig!$A$3:$D$55,4,FALSE))))</f>
        <v>#VALUE!</v>
      </c>
      <c r="H219" s="8" t="e">
        <f>IF(LeasingHab!$C$10="TARIFA 1",(C218*(VLOOKUP(LeasingHab!$C$25,Seguros_Oblig!$A$3:$B$55,2,FALSE))),(C218*(VLOOKUP(LeasingHab!$C$25,Seguros_Oblig!$A$3:$D$55,4,FALSE))))</f>
        <v>#VALUE!</v>
      </c>
      <c r="I219" s="8" t="e">
        <f>IF(LeasingHab!$C$10="TARIFA 1",(C218*(VLOOKUP(LeasingHab!$C$26,Seguros_Oblig!$A$3:$B$55,2,FALSE))),(C218*(VLOOKUP(LeasingHab!$C$26,Seguros_Oblig!$A$3:$D$55,4,FALSE))))</f>
        <v>#VALUE!</v>
      </c>
      <c r="J219" s="10">
        <f t="shared" si="21"/>
        <v>0</v>
      </c>
      <c r="K219" s="7" t="e">
        <f>IF((C218-1)&lt;$E$17,0,Seguros_Oblig!$K$2*(LeasingHab!$C$12*90%))</f>
        <v>#VALUE!</v>
      </c>
      <c r="L219" s="7" t="e">
        <f>IF(B219&gt;LeasingHab!$C$18,0,PMT(LeasingHab!$E$17,LeasingHab!$C$18,-LeasingHab!$C$15,,)-PMT(LeasingHab!$E$17,LeasingHab!$C$18,-LeasingHab!$C$22)+LeasingHab!$C$22*LeasingHab!$E$17)</f>
        <v>#VALUE!</v>
      </c>
      <c r="M219" s="9" t="e">
        <f t="shared" si="22"/>
        <v>#VALUE!</v>
      </c>
      <c r="N219" s="7" t="e">
        <f>IF((C218-1)&lt;$E$17,0,LeasingHab!$C$39)</f>
        <v>#VALUE!</v>
      </c>
      <c r="O219" s="9" t="e">
        <f t="shared" si="23"/>
        <v>#VALUE!</v>
      </c>
    </row>
    <row r="220" spans="2:15" ht="15.5" x14ac:dyDescent="0.35">
      <c r="B220" s="6" t="e">
        <f t="shared" si="24"/>
        <v>#VALUE!</v>
      </c>
      <c r="C220" s="7" t="e">
        <f t="shared" si="19"/>
        <v>#VALUE!</v>
      </c>
      <c r="D220" s="7" t="e">
        <f t="shared" si="20"/>
        <v>#VALUE!</v>
      </c>
      <c r="E220" s="7" t="e">
        <f>IF((C219-1)&lt;$E$17,0,C219*LeasingHab!$E$17)</f>
        <v>#VALUE!</v>
      </c>
      <c r="F220" s="8" t="e">
        <f>IF((C219-1)&lt;$E$17,"0",IF(LeasingHab!$D$27="Si",($C$19*(VLOOKUP(LeasingHab!$C$23,Seguros_Oblig!$A$3:$F$55,6,FALSE))),IF(LeasingHab!$C$10="TARIFA 1",(C219*(VLOOKUP(LeasingHab!$C$23,Seguros_Oblig!$A$3:$B$55,2,FALSE))),(C219*(VLOOKUP(LeasingHab!$C$23,Seguros_Oblig!$A$3:$D$55,4,FALSE))))))</f>
        <v>#VALUE!</v>
      </c>
      <c r="G220" s="8" t="e">
        <f>IF(LeasingHab!$C$10="TARIFA 1",(C219*(VLOOKUP(LeasingHab!$C$24,Seguros_Oblig!$A$3:$B$55,2,FALSE))),(C219*(VLOOKUP(LeasingHab!$C$24,Seguros_Oblig!$A$3:$D$55,4,FALSE))))</f>
        <v>#VALUE!</v>
      </c>
      <c r="H220" s="8" t="e">
        <f>IF(LeasingHab!$C$10="TARIFA 1",(C219*(VLOOKUP(LeasingHab!$C$25,Seguros_Oblig!$A$3:$B$55,2,FALSE))),(C219*(VLOOKUP(LeasingHab!$C$25,Seguros_Oblig!$A$3:$D$55,4,FALSE))))</f>
        <v>#VALUE!</v>
      </c>
      <c r="I220" s="8" t="e">
        <f>IF(LeasingHab!$C$10="TARIFA 1",(C219*(VLOOKUP(LeasingHab!$C$26,Seguros_Oblig!$A$3:$B$55,2,FALSE))),(C219*(VLOOKUP(LeasingHab!$C$26,Seguros_Oblig!$A$3:$D$55,4,FALSE))))</f>
        <v>#VALUE!</v>
      </c>
      <c r="J220" s="10">
        <f t="shared" si="21"/>
        <v>0</v>
      </c>
      <c r="K220" s="7" t="e">
        <f>IF((C219-1)&lt;$E$17,0,Seguros_Oblig!$K$2*(LeasingHab!$C$12*90%))</f>
        <v>#VALUE!</v>
      </c>
      <c r="L220" s="7" t="e">
        <f>IF(B220&gt;LeasingHab!$C$18,0,PMT(LeasingHab!$E$17,LeasingHab!$C$18,-LeasingHab!$C$15,,)-PMT(LeasingHab!$E$17,LeasingHab!$C$18,-LeasingHab!$C$22)+LeasingHab!$C$22*LeasingHab!$E$17)</f>
        <v>#VALUE!</v>
      </c>
      <c r="M220" s="9" t="e">
        <f t="shared" si="22"/>
        <v>#VALUE!</v>
      </c>
      <c r="N220" s="7" t="e">
        <f>IF((C219-1)&lt;$E$17,0,LeasingHab!$C$39)</f>
        <v>#VALUE!</v>
      </c>
      <c r="O220" s="9" t="e">
        <f t="shared" si="23"/>
        <v>#VALUE!</v>
      </c>
    </row>
    <row r="221" spans="2:15" ht="15.5" x14ac:dyDescent="0.35">
      <c r="B221" s="6" t="e">
        <f t="shared" si="24"/>
        <v>#VALUE!</v>
      </c>
      <c r="C221" s="7" t="e">
        <f t="shared" si="19"/>
        <v>#VALUE!</v>
      </c>
      <c r="D221" s="7" t="e">
        <f t="shared" si="20"/>
        <v>#VALUE!</v>
      </c>
      <c r="E221" s="7" t="e">
        <f>IF((C220-1)&lt;$E$17,0,C220*LeasingHab!$E$17)</f>
        <v>#VALUE!</v>
      </c>
      <c r="F221" s="8" t="e">
        <f>IF((C220-1)&lt;$E$17,"0",IF(LeasingHab!$D$27="Si",($C$19*(VLOOKUP(LeasingHab!$C$23,Seguros_Oblig!$A$3:$F$55,6,FALSE))),IF(LeasingHab!$C$10="TARIFA 1",(C220*(VLOOKUP(LeasingHab!$C$23,Seguros_Oblig!$A$3:$B$55,2,FALSE))),(C220*(VLOOKUP(LeasingHab!$C$23,Seguros_Oblig!$A$3:$D$55,4,FALSE))))))</f>
        <v>#VALUE!</v>
      </c>
      <c r="G221" s="8" t="e">
        <f>IF(LeasingHab!$C$10="TARIFA 1",(C220*(VLOOKUP(LeasingHab!$C$24,Seguros_Oblig!$A$3:$B$55,2,FALSE))),(C220*(VLOOKUP(LeasingHab!$C$24,Seguros_Oblig!$A$3:$D$55,4,FALSE))))</f>
        <v>#VALUE!</v>
      </c>
      <c r="H221" s="8" t="e">
        <f>IF(LeasingHab!$C$10="TARIFA 1",(C220*(VLOOKUP(LeasingHab!$C$25,Seguros_Oblig!$A$3:$B$55,2,FALSE))),(C220*(VLOOKUP(LeasingHab!$C$25,Seguros_Oblig!$A$3:$D$55,4,FALSE))))</f>
        <v>#VALUE!</v>
      </c>
      <c r="I221" s="8" t="e">
        <f>IF(LeasingHab!$C$10="TARIFA 1",(C220*(VLOOKUP(LeasingHab!$C$26,Seguros_Oblig!$A$3:$B$55,2,FALSE))),(C220*(VLOOKUP(LeasingHab!$C$26,Seguros_Oblig!$A$3:$D$55,4,FALSE))))</f>
        <v>#VALUE!</v>
      </c>
      <c r="J221" s="10">
        <f t="shared" si="21"/>
        <v>0</v>
      </c>
      <c r="K221" s="7" t="e">
        <f>IF((C220-1)&lt;$E$17,0,Seguros_Oblig!$K$2*(LeasingHab!$C$12*90%))</f>
        <v>#VALUE!</v>
      </c>
      <c r="L221" s="7" t="e">
        <f>IF(B221&gt;LeasingHab!$C$18,0,PMT(LeasingHab!$E$17,LeasingHab!$C$18,-LeasingHab!$C$15,,)-PMT(LeasingHab!$E$17,LeasingHab!$C$18,-LeasingHab!$C$22)+LeasingHab!$C$22*LeasingHab!$E$17)</f>
        <v>#VALUE!</v>
      </c>
      <c r="M221" s="9" t="e">
        <f t="shared" si="22"/>
        <v>#VALUE!</v>
      </c>
      <c r="N221" s="7" t="e">
        <f>IF((C220-1)&lt;$E$17,0,LeasingHab!$C$39)</f>
        <v>#VALUE!</v>
      </c>
      <c r="O221" s="9" t="e">
        <f t="shared" si="23"/>
        <v>#VALUE!</v>
      </c>
    </row>
    <row r="222" spans="2:15" ht="15.5" x14ac:dyDescent="0.35">
      <c r="B222" s="6" t="e">
        <f t="shared" si="24"/>
        <v>#VALUE!</v>
      </c>
      <c r="C222" s="7" t="e">
        <f t="shared" si="19"/>
        <v>#VALUE!</v>
      </c>
      <c r="D222" s="7" t="e">
        <f t="shared" si="20"/>
        <v>#VALUE!</v>
      </c>
      <c r="E222" s="7" t="e">
        <f>IF((C221-1)&lt;$E$17,0,C221*LeasingHab!$E$17)</f>
        <v>#VALUE!</v>
      </c>
      <c r="F222" s="8" t="e">
        <f>IF((C221-1)&lt;$E$17,"0",IF(LeasingHab!$D$27="Si",($C$19*(VLOOKUP(LeasingHab!$C$23,Seguros_Oblig!$A$3:$F$55,6,FALSE))),IF(LeasingHab!$C$10="TARIFA 1",(C221*(VLOOKUP(LeasingHab!$C$23,Seguros_Oblig!$A$3:$B$55,2,FALSE))),(C221*(VLOOKUP(LeasingHab!$C$23,Seguros_Oblig!$A$3:$D$55,4,FALSE))))))</f>
        <v>#VALUE!</v>
      </c>
      <c r="G222" s="8" t="e">
        <f>IF(LeasingHab!$C$10="TARIFA 1",(C221*(VLOOKUP(LeasingHab!$C$24,Seguros_Oblig!$A$3:$B$55,2,FALSE))),(C221*(VLOOKUP(LeasingHab!$C$24,Seguros_Oblig!$A$3:$D$55,4,FALSE))))</f>
        <v>#VALUE!</v>
      </c>
      <c r="H222" s="8" t="e">
        <f>IF(LeasingHab!$C$10="TARIFA 1",(C221*(VLOOKUP(LeasingHab!$C$25,Seguros_Oblig!$A$3:$B$55,2,FALSE))),(C221*(VLOOKUP(LeasingHab!$C$25,Seguros_Oblig!$A$3:$D$55,4,FALSE))))</f>
        <v>#VALUE!</v>
      </c>
      <c r="I222" s="8" t="e">
        <f>IF(LeasingHab!$C$10="TARIFA 1",(C221*(VLOOKUP(LeasingHab!$C$26,Seguros_Oblig!$A$3:$B$55,2,FALSE))),(C221*(VLOOKUP(LeasingHab!$C$26,Seguros_Oblig!$A$3:$D$55,4,FALSE))))</f>
        <v>#VALUE!</v>
      </c>
      <c r="J222" s="10">
        <f t="shared" si="21"/>
        <v>0</v>
      </c>
      <c r="K222" s="7" t="e">
        <f>IF((C221-1)&lt;$E$17,0,Seguros_Oblig!$K$2*(LeasingHab!$C$12*90%))</f>
        <v>#VALUE!</v>
      </c>
      <c r="L222" s="7" t="e">
        <f>IF(B222&gt;LeasingHab!$C$18,0,PMT(LeasingHab!$E$17,LeasingHab!$C$18,-LeasingHab!$C$15,,)-PMT(LeasingHab!$E$17,LeasingHab!$C$18,-LeasingHab!$C$22)+LeasingHab!$C$22*LeasingHab!$E$17)</f>
        <v>#VALUE!</v>
      </c>
      <c r="M222" s="9" t="e">
        <f t="shared" si="22"/>
        <v>#VALUE!</v>
      </c>
      <c r="N222" s="7" t="e">
        <f>IF((C221-1)&lt;$E$17,0,LeasingHab!$C$39)</f>
        <v>#VALUE!</v>
      </c>
      <c r="O222" s="9" t="e">
        <f t="shared" si="23"/>
        <v>#VALUE!</v>
      </c>
    </row>
    <row r="223" spans="2:15" ht="15.5" x14ac:dyDescent="0.35">
      <c r="B223" s="6" t="e">
        <f t="shared" si="24"/>
        <v>#VALUE!</v>
      </c>
      <c r="C223" s="7" t="e">
        <f t="shared" si="19"/>
        <v>#VALUE!</v>
      </c>
      <c r="D223" s="7" t="e">
        <f t="shared" si="20"/>
        <v>#VALUE!</v>
      </c>
      <c r="E223" s="7" t="e">
        <f>IF((C222-1)&lt;$E$17,0,C222*LeasingHab!$E$17)</f>
        <v>#VALUE!</v>
      </c>
      <c r="F223" s="8" t="e">
        <f>IF((C222-1)&lt;$E$17,"0",IF(LeasingHab!$D$27="Si",($C$19*(VLOOKUP(LeasingHab!$C$23,Seguros_Oblig!$A$3:$F$55,6,FALSE))),IF(LeasingHab!$C$10="TARIFA 1",(C222*(VLOOKUP(LeasingHab!$C$23,Seguros_Oblig!$A$3:$B$55,2,FALSE))),(C222*(VLOOKUP(LeasingHab!$C$23,Seguros_Oblig!$A$3:$D$55,4,FALSE))))))</f>
        <v>#VALUE!</v>
      </c>
      <c r="G223" s="8" t="e">
        <f>IF(LeasingHab!$C$10="TARIFA 1",(C222*(VLOOKUP(LeasingHab!$C$24,Seguros_Oblig!$A$3:$B$55,2,FALSE))),(C222*(VLOOKUP(LeasingHab!$C$24,Seguros_Oblig!$A$3:$D$55,4,FALSE))))</f>
        <v>#VALUE!</v>
      </c>
      <c r="H223" s="8" t="e">
        <f>IF(LeasingHab!$C$10="TARIFA 1",(C222*(VLOOKUP(LeasingHab!$C$25,Seguros_Oblig!$A$3:$B$55,2,FALSE))),(C222*(VLOOKUP(LeasingHab!$C$25,Seguros_Oblig!$A$3:$D$55,4,FALSE))))</f>
        <v>#VALUE!</v>
      </c>
      <c r="I223" s="8" t="e">
        <f>IF(LeasingHab!$C$10="TARIFA 1",(C222*(VLOOKUP(LeasingHab!$C$26,Seguros_Oblig!$A$3:$B$55,2,FALSE))),(C222*(VLOOKUP(LeasingHab!$C$26,Seguros_Oblig!$A$3:$D$55,4,FALSE))))</f>
        <v>#VALUE!</v>
      </c>
      <c r="J223" s="10">
        <f t="shared" si="21"/>
        <v>0</v>
      </c>
      <c r="K223" s="7" t="e">
        <f>IF((C222-1)&lt;$E$17,0,Seguros_Oblig!$K$2*(LeasingHab!$C$12*90%))</f>
        <v>#VALUE!</v>
      </c>
      <c r="L223" s="7" t="e">
        <f>IF(B223&gt;LeasingHab!$C$18,0,PMT(LeasingHab!$E$17,LeasingHab!$C$18,-LeasingHab!$C$15,,)-PMT(LeasingHab!$E$17,LeasingHab!$C$18,-LeasingHab!$C$22)+LeasingHab!$C$22*LeasingHab!$E$17)</f>
        <v>#VALUE!</v>
      </c>
      <c r="M223" s="9" t="e">
        <f t="shared" si="22"/>
        <v>#VALUE!</v>
      </c>
      <c r="N223" s="7" t="e">
        <f>IF((C222-1)&lt;$E$17,0,LeasingHab!$C$39)</f>
        <v>#VALUE!</v>
      </c>
      <c r="O223" s="9" t="e">
        <f t="shared" si="23"/>
        <v>#VALUE!</v>
      </c>
    </row>
    <row r="224" spans="2:15" ht="15.5" x14ac:dyDescent="0.35">
      <c r="B224" s="6" t="e">
        <f t="shared" si="24"/>
        <v>#VALUE!</v>
      </c>
      <c r="C224" s="7" t="e">
        <f t="shared" si="19"/>
        <v>#VALUE!</v>
      </c>
      <c r="D224" s="7" t="e">
        <f t="shared" si="20"/>
        <v>#VALUE!</v>
      </c>
      <c r="E224" s="7" t="e">
        <f>IF((C223-1)&lt;$E$17,0,C223*LeasingHab!$E$17)</f>
        <v>#VALUE!</v>
      </c>
      <c r="F224" s="8" t="e">
        <f>IF((C223-1)&lt;$E$17,"0",IF(LeasingHab!$D$27="Si",($C$19*(VLOOKUP(LeasingHab!$C$23,Seguros_Oblig!$A$3:$F$55,6,FALSE))),IF(LeasingHab!$C$10="TARIFA 1",(C223*(VLOOKUP(LeasingHab!$C$23,Seguros_Oblig!$A$3:$B$55,2,FALSE))),(C223*(VLOOKUP(LeasingHab!$C$23,Seguros_Oblig!$A$3:$D$55,4,FALSE))))))</f>
        <v>#VALUE!</v>
      </c>
      <c r="G224" s="8" t="e">
        <f>IF(LeasingHab!$C$10="TARIFA 1",(C223*(VLOOKUP(LeasingHab!$C$24,Seguros_Oblig!$A$3:$B$55,2,FALSE))),(C223*(VLOOKUP(LeasingHab!$C$24,Seguros_Oblig!$A$3:$D$55,4,FALSE))))</f>
        <v>#VALUE!</v>
      </c>
      <c r="H224" s="8" t="e">
        <f>IF(LeasingHab!$C$10="TARIFA 1",(C223*(VLOOKUP(LeasingHab!$C$25,Seguros_Oblig!$A$3:$B$55,2,FALSE))),(C223*(VLOOKUP(LeasingHab!$C$25,Seguros_Oblig!$A$3:$D$55,4,FALSE))))</f>
        <v>#VALUE!</v>
      </c>
      <c r="I224" s="8" t="e">
        <f>IF(LeasingHab!$C$10="TARIFA 1",(C223*(VLOOKUP(LeasingHab!$C$26,Seguros_Oblig!$A$3:$B$55,2,FALSE))),(C223*(VLOOKUP(LeasingHab!$C$26,Seguros_Oblig!$A$3:$D$55,4,FALSE))))</f>
        <v>#VALUE!</v>
      </c>
      <c r="J224" s="10">
        <f t="shared" si="21"/>
        <v>0</v>
      </c>
      <c r="K224" s="7" t="e">
        <f>IF((C223-1)&lt;$E$17,0,Seguros_Oblig!$K$2*(LeasingHab!$C$12*90%))</f>
        <v>#VALUE!</v>
      </c>
      <c r="L224" s="7" t="e">
        <f>IF(B224&gt;LeasingHab!$C$18,0,PMT(LeasingHab!$E$17,LeasingHab!$C$18,-LeasingHab!$C$15,,)-PMT(LeasingHab!$E$17,LeasingHab!$C$18,-LeasingHab!$C$22)+LeasingHab!$C$22*LeasingHab!$E$17)</f>
        <v>#VALUE!</v>
      </c>
      <c r="M224" s="9" t="e">
        <f t="shared" si="22"/>
        <v>#VALUE!</v>
      </c>
      <c r="N224" s="7" t="e">
        <f>IF((C223-1)&lt;$E$17,0,LeasingHab!$C$39)</f>
        <v>#VALUE!</v>
      </c>
      <c r="O224" s="9" t="e">
        <f t="shared" si="23"/>
        <v>#VALUE!</v>
      </c>
    </row>
    <row r="225" spans="2:15" ht="15.5" x14ac:dyDescent="0.35">
      <c r="B225" s="6" t="e">
        <f t="shared" si="24"/>
        <v>#VALUE!</v>
      </c>
      <c r="C225" s="7" t="e">
        <f t="shared" si="19"/>
        <v>#VALUE!</v>
      </c>
      <c r="D225" s="7" t="e">
        <f t="shared" si="20"/>
        <v>#VALUE!</v>
      </c>
      <c r="E225" s="7" t="e">
        <f>IF((C224-1)&lt;$E$17,0,C224*LeasingHab!$E$17)</f>
        <v>#VALUE!</v>
      </c>
      <c r="F225" s="8" t="e">
        <f>IF((C224-1)&lt;$E$17,"0",IF(LeasingHab!$D$27="Si",($C$19*(VLOOKUP(LeasingHab!$C$23,Seguros_Oblig!$A$3:$F$55,6,FALSE))),IF(LeasingHab!$C$10="TARIFA 1",(C224*(VLOOKUP(LeasingHab!$C$23,Seguros_Oblig!$A$3:$B$55,2,FALSE))),(C224*(VLOOKUP(LeasingHab!$C$23,Seguros_Oblig!$A$3:$D$55,4,FALSE))))))</f>
        <v>#VALUE!</v>
      </c>
      <c r="G225" s="8" t="e">
        <f>IF(LeasingHab!$C$10="TARIFA 1",(C224*(VLOOKUP(LeasingHab!$C$24,Seguros_Oblig!$A$3:$B$55,2,FALSE))),(C224*(VLOOKUP(LeasingHab!$C$24,Seguros_Oblig!$A$3:$D$55,4,FALSE))))</f>
        <v>#VALUE!</v>
      </c>
      <c r="H225" s="8" t="e">
        <f>IF(LeasingHab!$C$10="TARIFA 1",(C224*(VLOOKUP(LeasingHab!$C$25,Seguros_Oblig!$A$3:$B$55,2,FALSE))),(C224*(VLOOKUP(LeasingHab!$C$25,Seguros_Oblig!$A$3:$D$55,4,FALSE))))</f>
        <v>#VALUE!</v>
      </c>
      <c r="I225" s="8" t="e">
        <f>IF(LeasingHab!$C$10="TARIFA 1",(C224*(VLOOKUP(LeasingHab!$C$26,Seguros_Oblig!$A$3:$B$55,2,FALSE))),(C224*(VLOOKUP(LeasingHab!$C$26,Seguros_Oblig!$A$3:$D$55,4,FALSE))))</f>
        <v>#VALUE!</v>
      </c>
      <c r="J225" s="10">
        <f t="shared" si="21"/>
        <v>0</v>
      </c>
      <c r="K225" s="7" t="e">
        <f>IF((C224-1)&lt;$E$17,0,Seguros_Oblig!$K$2*(LeasingHab!$C$12*90%))</f>
        <v>#VALUE!</v>
      </c>
      <c r="L225" s="7" t="e">
        <f>IF(B225&gt;LeasingHab!$C$18,0,PMT(LeasingHab!$E$17,LeasingHab!$C$18,-LeasingHab!$C$15,,)-PMT(LeasingHab!$E$17,LeasingHab!$C$18,-LeasingHab!$C$22)+LeasingHab!$C$22*LeasingHab!$E$17)</f>
        <v>#VALUE!</v>
      </c>
      <c r="M225" s="9" t="e">
        <f t="shared" si="22"/>
        <v>#VALUE!</v>
      </c>
      <c r="N225" s="7" t="e">
        <f>IF((C224-1)&lt;$E$17,0,LeasingHab!$C$39)</f>
        <v>#VALUE!</v>
      </c>
      <c r="O225" s="9" t="e">
        <f t="shared" si="23"/>
        <v>#VALUE!</v>
      </c>
    </row>
    <row r="226" spans="2:15" ht="15.5" x14ac:dyDescent="0.35">
      <c r="B226" s="6" t="e">
        <f t="shared" si="24"/>
        <v>#VALUE!</v>
      </c>
      <c r="C226" s="7" t="e">
        <f t="shared" si="19"/>
        <v>#VALUE!</v>
      </c>
      <c r="D226" s="7" t="e">
        <f t="shared" si="20"/>
        <v>#VALUE!</v>
      </c>
      <c r="E226" s="7" t="e">
        <f>IF((C225-1)&lt;$E$17,0,C225*LeasingHab!$E$17)</f>
        <v>#VALUE!</v>
      </c>
      <c r="F226" s="8" t="e">
        <f>IF((C225-1)&lt;$E$17,"0",IF(LeasingHab!$D$27="Si",($C$19*(VLOOKUP(LeasingHab!$C$23,Seguros_Oblig!$A$3:$F$55,6,FALSE))),IF(LeasingHab!$C$10="TARIFA 1",(C225*(VLOOKUP(LeasingHab!$C$23,Seguros_Oblig!$A$3:$B$55,2,FALSE))),(C225*(VLOOKUP(LeasingHab!$C$23,Seguros_Oblig!$A$3:$D$55,4,FALSE))))))</f>
        <v>#VALUE!</v>
      </c>
      <c r="G226" s="8" t="e">
        <f>IF(LeasingHab!$C$10="TARIFA 1",(C225*(VLOOKUP(LeasingHab!$C$24,Seguros_Oblig!$A$3:$B$55,2,FALSE))),(C225*(VLOOKUP(LeasingHab!$C$24,Seguros_Oblig!$A$3:$D$55,4,FALSE))))</f>
        <v>#VALUE!</v>
      </c>
      <c r="H226" s="8" t="e">
        <f>IF(LeasingHab!$C$10="TARIFA 1",(C225*(VLOOKUP(LeasingHab!$C$25,Seguros_Oblig!$A$3:$B$55,2,FALSE))),(C225*(VLOOKUP(LeasingHab!$C$25,Seguros_Oblig!$A$3:$D$55,4,FALSE))))</f>
        <v>#VALUE!</v>
      </c>
      <c r="I226" s="8" t="e">
        <f>IF(LeasingHab!$C$10="TARIFA 1",(C225*(VLOOKUP(LeasingHab!$C$26,Seguros_Oblig!$A$3:$B$55,2,FALSE))),(C225*(VLOOKUP(LeasingHab!$C$26,Seguros_Oblig!$A$3:$D$55,4,FALSE))))</f>
        <v>#VALUE!</v>
      </c>
      <c r="J226" s="10">
        <f t="shared" si="21"/>
        <v>0</v>
      </c>
      <c r="K226" s="7" t="e">
        <f>IF((C225-1)&lt;$E$17,0,Seguros_Oblig!$K$2*(LeasingHab!$C$12*90%))</f>
        <v>#VALUE!</v>
      </c>
      <c r="L226" s="7" t="e">
        <f>IF(B226&gt;LeasingHab!$C$18,0,PMT(LeasingHab!$E$17,LeasingHab!$C$18,-LeasingHab!$C$15,,)-PMT(LeasingHab!$E$17,LeasingHab!$C$18,-LeasingHab!$C$22)+LeasingHab!$C$22*LeasingHab!$E$17)</f>
        <v>#VALUE!</v>
      </c>
      <c r="M226" s="9" t="e">
        <f t="shared" si="22"/>
        <v>#VALUE!</v>
      </c>
      <c r="N226" s="7" t="e">
        <f>IF((C225-1)&lt;$E$17,0,LeasingHab!$C$39)</f>
        <v>#VALUE!</v>
      </c>
      <c r="O226" s="9" t="e">
        <f t="shared" si="23"/>
        <v>#VALUE!</v>
      </c>
    </row>
    <row r="227" spans="2:15" ht="15.5" x14ac:dyDescent="0.35">
      <c r="B227" s="6" t="e">
        <f t="shared" si="24"/>
        <v>#VALUE!</v>
      </c>
      <c r="C227" s="7" t="e">
        <f t="shared" si="19"/>
        <v>#VALUE!</v>
      </c>
      <c r="D227" s="7" t="e">
        <f t="shared" si="20"/>
        <v>#VALUE!</v>
      </c>
      <c r="E227" s="7" t="e">
        <f>IF((C226-1)&lt;$E$17,0,C226*LeasingHab!$E$17)</f>
        <v>#VALUE!</v>
      </c>
      <c r="F227" s="8" t="e">
        <f>IF((C226-1)&lt;$E$17,"0",IF(LeasingHab!$D$27="Si",($C$19*(VLOOKUP(LeasingHab!$C$23,Seguros_Oblig!$A$3:$F$55,6,FALSE))),IF(LeasingHab!$C$10="TARIFA 1",(C226*(VLOOKUP(LeasingHab!$C$23,Seguros_Oblig!$A$3:$B$55,2,FALSE))),(C226*(VLOOKUP(LeasingHab!$C$23,Seguros_Oblig!$A$3:$D$55,4,FALSE))))))</f>
        <v>#VALUE!</v>
      </c>
      <c r="G227" s="8" t="e">
        <f>IF(LeasingHab!$C$10="TARIFA 1",(C226*(VLOOKUP(LeasingHab!$C$24,Seguros_Oblig!$A$3:$B$55,2,FALSE))),(C226*(VLOOKUP(LeasingHab!$C$24,Seguros_Oblig!$A$3:$D$55,4,FALSE))))</f>
        <v>#VALUE!</v>
      </c>
      <c r="H227" s="8" t="e">
        <f>IF(LeasingHab!$C$10="TARIFA 1",(C226*(VLOOKUP(LeasingHab!$C$25,Seguros_Oblig!$A$3:$B$55,2,FALSE))),(C226*(VLOOKUP(LeasingHab!$C$25,Seguros_Oblig!$A$3:$D$55,4,FALSE))))</f>
        <v>#VALUE!</v>
      </c>
      <c r="I227" s="8" t="e">
        <f>IF(LeasingHab!$C$10="TARIFA 1",(C226*(VLOOKUP(LeasingHab!$C$26,Seguros_Oblig!$A$3:$B$55,2,FALSE))),(C226*(VLOOKUP(LeasingHab!$C$26,Seguros_Oblig!$A$3:$D$55,4,FALSE))))</f>
        <v>#VALUE!</v>
      </c>
      <c r="J227" s="10">
        <f t="shared" si="21"/>
        <v>0</v>
      </c>
      <c r="K227" s="7" t="e">
        <f>IF((C226-1)&lt;$E$17,0,Seguros_Oblig!$K$2*(LeasingHab!$C$12*90%))</f>
        <v>#VALUE!</v>
      </c>
      <c r="L227" s="7" t="e">
        <f>IF(B227&gt;LeasingHab!$C$18,0,PMT(LeasingHab!$E$17,LeasingHab!$C$18,-LeasingHab!$C$15,,)-PMT(LeasingHab!$E$17,LeasingHab!$C$18,-LeasingHab!$C$22)+LeasingHab!$C$22*LeasingHab!$E$17)</f>
        <v>#VALUE!</v>
      </c>
      <c r="M227" s="9" t="e">
        <f t="shared" si="22"/>
        <v>#VALUE!</v>
      </c>
      <c r="N227" s="7" t="e">
        <f>IF((C226-1)&lt;$E$17,0,LeasingHab!$C$39)</f>
        <v>#VALUE!</v>
      </c>
      <c r="O227" s="9" t="e">
        <f t="shared" si="23"/>
        <v>#VALUE!</v>
      </c>
    </row>
    <row r="228" spans="2:15" ht="15.5" x14ac:dyDescent="0.35">
      <c r="B228" s="6" t="e">
        <f t="shared" si="24"/>
        <v>#VALUE!</v>
      </c>
      <c r="C228" s="7" t="e">
        <f t="shared" si="19"/>
        <v>#VALUE!</v>
      </c>
      <c r="D228" s="7" t="e">
        <f t="shared" si="20"/>
        <v>#VALUE!</v>
      </c>
      <c r="E228" s="7" t="e">
        <f>IF((C227-1)&lt;$E$17,0,C227*LeasingHab!$E$17)</f>
        <v>#VALUE!</v>
      </c>
      <c r="F228" s="8" t="e">
        <f>IF((C227-1)&lt;$E$17,"0",IF(LeasingHab!$D$27="Si",($C$19*(VLOOKUP(LeasingHab!$C$23,Seguros_Oblig!$A$3:$F$55,6,FALSE))),IF(LeasingHab!$C$10="TARIFA 1",(C227*(VLOOKUP(LeasingHab!$C$23,Seguros_Oblig!$A$3:$B$55,2,FALSE))),(C227*(VLOOKUP(LeasingHab!$C$23,Seguros_Oblig!$A$3:$D$55,4,FALSE))))))</f>
        <v>#VALUE!</v>
      </c>
      <c r="G228" s="8" t="e">
        <f>IF(LeasingHab!$C$10="TARIFA 1",(C227*(VLOOKUP(LeasingHab!$C$24,Seguros_Oblig!$A$3:$B$55,2,FALSE))),(C227*(VLOOKUP(LeasingHab!$C$24,Seguros_Oblig!$A$3:$D$55,4,FALSE))))</f>
        <v>#VALUE!</v>
      </c>
      <c r="H228" s="8" t="e">
        <f>IF(LeasingHab!$C$10="TARIFA 1",(C227*(VLOOKUP(LeasingHab!$C$25,Seguros_Oblig!$A$3:$B$55,2,FALSE))),(C227*(VLOOKUP(LeasingHab!$C$25,Seguros_Oblig!$A$3:$D$55,4,FALSE))))</f>
        <v>#VALUE!</v>
      </c>
      <c r="I228" s="8" t="e">
        <f>IF(LeasingHab!$C$10="TARIFA 1",(C227*(VLOOKUP(LeasingHab!$C$26,Seguros_Oblig!$A$3:$B$55,2,FALSE))),(C227*(VLOOKUP(LeasingHab!$C$26,Seguros_Oblig!$A$3:$D$55,4,FALSE))))</f>
        <v>#VALUE!</v>
      </c>
      <c r="J228" s="10">
        <f t="shared" si="21"/>
        <v>0</v>
      </c>
      <c r="K228" s="7" t="e">
        <f>IF((C227-1)&lt;$E$17,0,Seguros_Oblig!$K$2*(LeasingHab!$C$12*90%))</f>
        <v>#VALUE!</v>
      </c>
      <c r="L228" s="7" t="e">
        <f>IF(B228&gt;LeasingHab!$C$18,0,PMT(LeasingHab!$E$17,LeasingHab!$C$18,-LeasingHab!$C$15,,)-PMT(LeasingHab!$E$17,LeasingHab!$C$18,-LeasingHab!$C$22)+LeasingHab!$C$22*LeasingHab!$E$17)</f>
        <v>#VALUE!</v>
      </c>
      <c r="M228" s="9" t="e">
        <f t="shared" si="22"/>
        <v>#VALUE!</v>
      </c>
      <c r="N228" s="7" t="e">
        <f>IF((C227-1)&lt;$E$17,0,LeasingHab!$C$39)</f>
        <v>#VALUE!</v>
      </c>
      <c r="O228" s="9" t="e">
        <f t="shared" si="23"/>
        <v>#VALUE!</v>
      </c>
    </row>
    <row r="229" spans="2:15" ht="15.5" x14ac:dyDescent="0.35">
      <c r="B229" s="6" t="e">
        <f t="shared" si="24"/>
        <v>#VALUE!</v>
      </c>
      <c r="C229" s="7" t="e">
        <f t="shared" si="19"/>
        <v>#VALUE!</v>
      </c>
      <c r="D229" s="7" t="e">
        <f t="shared" si="20"/>
        <v>#VALUE!</v>
      </c>
      <c r="E229" s="7" t="e">
        <f>IF((C228-1)&lt;$E$17,0,C228*LeasingHab!$E$17)</f>
        <v>#VALUE!</v>
      </c>
      <c r="F229" s="8" t="e">
        <f>IF((C228-1)&lt;$E$17,"0",IF(LeasingHab!$D$27="Si",($C$19*(VLOOKUP(LeasingHab!$C$23,Seguros_Oblig!$A$3:$F$55,6,FALSE))),IF(LeasingHab!$C$10="TARIFA 1",(C228*(VLOOKUP(LeasingHab!$C$23,Seguros_Oblig!$A$3:$B$55,2,FALSE))),(C228*(VLOOKUP(LeasingHab!$C$23,Seguros_Oblig!$A$3:$D$55,4,FALSE))))))</f>
        <v>#VALUE!</v>
      </c>
      <c r="G229" s="8" t="e">
        <f>IF(LeasingHab!$C$10="TARIFA 1",(C228*(VLOOKUP(LeasingHab!$C$24,Seguros_Oblig!$A$3:$B$55,2,FALSE))),(C228*(VLOOKUP(LeasingHab!$C$24,Seguros_Oblig!$A$3:$D$55,4,FALSE))))</f>
        <v>#VALUE!</v>
      </c>
      <c r="H229" s="8" t="e">
        <f>IF(LeasingHab!$C$10="TARIFA 1",(C228*(VLOOKUP(LeasingHab!$C$25,Seguros_Oblig!$A$3:$B$55,2,FALSE))),(C228*(VLOOKUP(LeasingHab!$C$25,Seguros_Oblig!$A$3:$D$55,4,FALSE))))</f>
        <v>#VALUE!</v>
      </c>
      <c r="I229" s="8" t="e">
        <f>IF(LeasingHab!$C$10="TARIFA 1",(C228*(VLOOKUP(LeasingHab!$C$26,Seguros_Oblig!$A$3:$B$55,2,FALSE))),(C228*(VLOOKUP(LeasingHab!$C$26,Seguros_Oblig!$A$3:$D$55,4,FALSE))))</f>
        <v>#VALUE!</v>
      </c>
      <c r="J229" s="10">
        <f t="shared" si="21"/>
        <v>0</v>
      </c>
      <c r="K229" s="7" t="e">
        <f>IF((C228-1)&lt;$E$17,0,Seguros_Oblig!$K$2*(LeasingHab!$C$12*90%))</f>
        <v>#VALUE!</v>
      </c>
      <c r="L229" s="7" t="e">
        <f>IF(B229&gt;LeasingHab!$C$18,0,PMT(LeasingHab!$E$17,LeasingHab!$C$18,-LeasingHab!$C$15,,)-PMT(LeasingHab!$E$17,LeasingHab!$C$18,-LeasingHab!$C$22)+LeasingHab!$C$22*LeasingHab!$E$17)</f>
        <v>#VALUE!</v>
      </c>
      <c r="M229" s="9" t="e">
        <f t="shared" si="22"/>
        <v>#VALUE!</v>
      </c>
      <c r="N229" s="7" t="e">
        <f>IF((C228-1)&lt;$E$17,0,LeasingHab!$C$39)</f>
        <v>#VALUE!</v>
      </c>
      <c r="O229" s="9" t="e">
        <f t="shared" si="23"/>
        <v>#VALUE!</v>
      </c>
    </row>
    <row r="230" spans="2:15" ht="15.5" x14ac:dyDescent="0.35">
      <c r="B230" s="6" t="e">
        <f t="shared" si="24"/>
        <v>#VALUE!</v>
      </c>
      <c r="C230" s="7" t="e">
        <f t="shared" si="19"/>
        <v>#VALUE!</v>
      </c>
      <c r="D230" s="7" t="e">
        <f t="shared" si="20"/>
        <v>#VALUE!</v>
      </c>
      <c r="E230" s="7" t="e">
        <f>IF((C229-1)&lt;$E$17,0,C229*LeasingHab!$E$17)</f>
        <v>#VALUE!</v>
      </c>
      <c r="F230" s="8" t="e">
        <f>IF((C229-1)&lt;$E$17,"0",IF(LeasingHab!$D$27="Si",($C$19*(VLOOKUP(LeasingHab!$C$23,Seguros_Oblig!$A$3:$F$55,6,FALSE))),IF(LeasingHab!$C$10="TARIFA 1",(C229*(VLOOKUP(LeasingHab!$C$23,Seguros_Oblig!$A$3:$B$55,2,FALSE))),(C229*(VLOOKUP(LeasingHab!$C$23,Seguros_Oblig!$A$3:$D$55,4,FALSE))))))</f>
        <v>#VALUE!</v>
      </c>
      <c r="G230" s="8" t="e">
        <f>IF(LeasingHab!$C$10="TARIFA 1",(C229*(VLOOKUP(LeasingHab!$C$24,Seguros_Oblig!$A$3:$B$55,2,FALSE))),(C229*(VLOOKUP(LeasingHab!$C$24,Seguros_Oblig!$A$3:$D$55,4,FALSE))))</f>
        <v>#VALUE!</v>
      </c>
      <c r="H230" s="8" t="e">
        <f>IF(LeasingHab!$C$10="TARIFA 1",(C229*(VLOOKUP(LeasingHab!$C$25,Seguros_Oblig!$A$3:$B$55,2,FALSE))),(C229*(VLOOKUP(LeasingHab!$C$25,Seguros_Oblig!$A$3:$D$55,4,FALSE))))</f>
        <v>#VALUE!</v>
      </c>
      <c r="I230" s="8" t="e">
        <f>IF(LeasingHab!$C$10="TARIFA 1",(C229*(VLOOKUP(LeasingHab!$C$26,Seguros_Oblig!$A$3:$B$55,2,FALSE))),(C229*(VLOOKUP(LeasingHab!$C$26,Seguros_Oblig!$A$3:$D$55,4,FALSE))))</f>
        <v>#VALUE!</v>
      </c>
      <c r="J230" s="10">
        <f t="shared" si="21"/>
        <v>0</v>
      </c>
      <c r="K230" s="7" t="e">
        <f>IF((C229-1)&lt;$E$17,0,Seguros_Oblig!$K$2*(LeasingHab!$C$12*90%))</f>
        <v>#VALUE!</v>
      </c>
      <c r="L230" s="7" t="e">
        <f>IF(B230&gt;LeasingHab!$C$18,0,PMT(LeasingHab!$E$17,LeasingHab!$C$18,-LeasingHab!$C$15,,)-PMT(LeasingHab!$E$17,LeasingHab!$C$18,-LeasingHab!$C$22)+LeasingHab!$C$22*LeasingHab!$E$17)</f>
        <v>#VALUE!</v>
      </c>
      <c r="M230" s="9" t="e">
        <f t="shared" si="22"/>
        <v>#VALUE!</v>
      </c>
      <c r="N230" s="7" t="e">
        <f>IF((C229-1)&lt;$E$17,0,LeasingHab!$C$39)</f>
        <v>#VALUE!</v>
      </c>
      <c r="O230" s="9" t="e">
        <f t="shared" si="23"/>
        <v>#VALUE!</v>
      </c>
    </row>
    <row r="231" spans="2:15" ht="15.5" x14ac:dyDescent="0.35">
      <c r="B231" s="6" t="e">
        <f t="shared" si="24"/>
        <v>#VALUE!</v>
      </c>
      <c r="C231" s="7" t="e">
        <f t="shared" si="19"/>
        <v>#VALUE!</v>
      </c>
      <c r="D231" s="7" t="e">
        <f t="shared" si="20"/>
        <v>#VALUE!</v>
      </c>
      <c r="E231" s="7" t="e">
        <f>IF((C230-1)&lt;$E$17,0,C230*LeasingHab!$E$17)</f>
        <v>#VALUE!</v>
      </c>
      <c r="F231" s="8" t="e">
        <f>IF((C230-1)&lt;$E$17,"0",IF(LeasingHab!$D$27="Si",($C$19*(VLOOKUP(LeasingHab!$C$23,Seguros_Oblig!$A$3:$F$55,6,FALSE))),IF(LeasingHab!$C$10="TARIFA 1",(C230*(VLOOKUP(LeasingHab!$C$23,Seguros_Oblig!$A$3:$B$55,2,FALSE))),(C230*(VLOOKUP(LeasingHab!$C$23,Seguros_Oblig!$A$3:$D$55,4,FALSE))))))</f>
        <v>#VALUE!</v>
      </c>
      <c r="G231" s="8" t="e">
        <f>IF(LeasingHab!$C$10="TARIFA 1",(C230*(VLOOKUP(LeasingHab!$C$24,Seguros_Oblig!$A$3:$B$55,2,FALSE))),(C230*(VLOOKUP(LeasingHab!$C$24,Seguros_Oblig!$A$3:$D$55,4,FALSE))))</f>
        <v>#VALUE!</v>
      </c>
      <c r="H231" s="8" t="e">
        <f>IF(LeasingHab!$C$10="TARIFA 1",(C230*(VLOOKUP(LeasingHab!$C$25,Seguros_Oblig!$A$3:$B$55,2,FALSE))),(C230*(VLOOKUP(LeasingHab!$C$25,Seguros_Oblig!$A$3:$D$55,4,FALSE))))</f>
        <v>#VALUE!</v>
      </c>
      <c r="I231" s="8" t="e">
        <f>IF(LeasingHab!$C$10="TARIFA 1",(C230*(VLOOKUP(LeasingHab!$C$26,Seguros_Oblig!$A$3:$B$55,2,FALSE))),(C230*(VLOOKUP(LeasingHab!$C$26,Seguros_Oblig!$A$3:$D$55,4,FALSE))))</f>
        <v>#VALUE!</v>
      </c>
      <c r="J231" s="10">
        <f t="shared" si="21"/>
        <v>0</v>
      </c>
      <c r="K231" s="7" t="e">
        <f>IF((C230-1)&lt;$E$17,0,Seguros_Oblig!$K$2*(LeasingHab!$C$12*90%))</f>
        <v>#VALUE!</v>
      </c>
      <c r="L231" s="7" t="e">
        <f>IF(B231&gt;LeasingHab!$C$18,0,PMT(LeasingHab!$E$17,LeasingHab!$C$18,-LeasingHab!$C$15,,)-PMT(LeasingHab!$E$17,LeasingHab!$C$18,-LeasingHab!$C$22)+LeasingHab!$C$22*LeasingHab!$E$17)</f>
        <v>#VALUE!</v>
      </c>
      <c r="M231" s="9" t="e">
        <f t="shared" si="22"/>
        <v>#VALUE!</v>
      </c>
      <c r="N231" s="7" t="e">
        <f>IF((C230-1)&lt;$E$17,0,LeasingHab!$C$39)</f>
        <v>#VALUE!</v>
      </c>
      <c r="O231" s="9" t="e">
        <f t="shared" si="23"/>
        <v>#VALUE!</v>
      </c>
    </row>
    <row r="232" spans="2:15" ht="15.5" x14ac:dyDescent="0.35">
      <c r="B232" s="6" t="e">
        <f t="shared" si="24"/>
        <v>#VALUE!</v>
      </c>
      <c r="C232" s="7" t="e">
        <f t="shared" si="19"/>
        <v>#VALUE!</v>
      </c>
      <c r="D232" s="7" t="e">
        <f t="shared" si="20"/>
        <v>#VALUE!</v>
      </c>
      <c r="E232" s="7" t="e">
        <f>IF((C231-1)&lt;$E$17,0,C231*LeasingHab!$E$17)</f>
        <v>#VALUE!</v>
      </c>
      <c r="F232" s="8" t="e">
        <f>IF((C231-1)&lt;$E$17,"0",IF(LeasingHab!$D$27="Si",($C$19*(VLOOKUP(LeasingHab!$C$23,Seguros_Oblig!$A$3:$F$55,6,FALSE))),IF(LeasingHab!$C$10="TARIFA 1",(C231*(VLOOKUP(LeasingHab!$C$23,Seguros_Oblig!$A$3:$B$55,2,FALSE))),(C231*(VLOOKUP(LeasingHab!$C$23,Seguros_Oblig!$A$3:$D$55,4,FALSE))))))</f>
        <v>#VALUE!</v>
      </c>
      <c r="G232" s="8" t="e">
        <f>IF(LeasingHab!$C$10="TARIFA 1",(C231*(VLOOKUP(LeasingHab!$C$24,Seguros_Oblig!$A$3:$B$55,2,FALSE))),(C231*(VLOOKUP(LeasingHab!$C$24,Seguros_Oblig!$A$3:$D$55,4,FALSE))))</f>
        <v>#VALUE!</v>
      </c>
      <c r="H232" s="8" t="e">
        <f>IF(LeasingHab!$C$10="TARIFA 1",(C231*(VLOOKUP(LeasingHab!$C$25,Seguros_Oblig!$A$3:$B$55,2,FALSE))),(C231*(VLOOKUP(LeasingHab!$C$25,Seguros_Oblig!$A$3:$D$55,4,FALSE))))</f>
        <v>#VALUE!</v>
      </c>
      <c r="I232" s="8" t="e">
        <f>IF(LeasingHab!$C$10="TARIFA 1",(C231*(VLOOKUP(LeasingHab!$C$26,Seguros_Oblig!$A$3:$B$55,2,FALSE))),(C231*(VLOOKUP(LeasingHab!$C$26,Seguros_Oblig!$A$3:$D$55,4,FALSE))))</f>
        <v>#VALUE!</v>
      </c>
      <c r="J232" s="10">
        <f t="shared" si="21"/>
        <v>0</v>
      </c>
      <c r="K232" s="7" t="e">
        <f>IF((C231-1)&lt;$E$17,0,Seguros_Oblig!$K$2*(LeasingHab!$C$12*90%))</f>
        <v>#VALUE!</v>
      </c>
      <c r="L232" s="7" t="e">
        <f>IF(B232&gt;LeasingHab!$C$18,0,PMT(LeasingHab!$E$17,LeasingHab!$C$18,-LeasingHab!$C$15,,)-PMT(LeasingHab!$E$17,LeasingHab!$C$18,-LeasingHab!$C$22)+LeasingHab!$C$22*LeasingHab!$E$17)</f>
        <v>#VALUE!</v>
      </c>
      <c r="M232" s="9" t="e">
        <f t="shared" si="22"/>
        <v>#VALUE!</v>
      </c>
      <c r="N232" s="7" t="e">
        <f>IF((C231-1)&lt;$E$17,0,LeasingHab!$C$39)</f>
        <v>#VALUE!</v>
      </c>
      <c r="O232" s="9" t="e">
        <f t="shared" si="23"/>
        <v>#VALUE!</v>
      </c>
    </row>
    <row r="233" spans="2:15" ht="15.5" x14ac:dyDescent="0.35">
      <c r="B233" s="6" t="e">
        <f t="shared" si="24"/>
        <v>#VALUE!</v>
      </c>
      <c r="C233" s="7" t="e">
        <f t="shared" si="19"/>
        <v>#VALUE!</v>
      </c>
      <c r="D233" s="7" t="e">
        <f t="shared" si="20"/>
        <v>#VALUE!</v>
      </c>
      <c r="E233" s="7" t="e">
        <f>IF((C232-1)&lt;$E$17,0,C232*LeasingHab!$E$17)</f>
        <v>#VALUE!</v>
      </c>
      <c r="F233" s="8" t="e">
        <f>IF((C232-1)&lt;$E$17,"0",IF(LeasingHab!$D$27="Si",($C$19*(VLOOKUP(LeasingHab!$C$23,Seguros_Oblig!$A$3:$F$55,6,FALSE))),IF(LeasingHab!$C$10="TARIFA 1",(C232*(VLOOKUP(LeasingHab!$C$23,Seguros_Oblig!$A$3:$B$55,2,FALSE))),(C232*(VLOOKUP(LeasingHab!$C$23,Seguros_Oblig!$A$3:$D$55,4,FALSE))))))</f>
        <v>#VALUE!</v>
      </c>
      <c r="G233" s="8" t="e">
        <f>IF(LeasingHab!$C$10="TARIFA 1",(C232*(VLOOKUP(LeasingHab!$C$24,Seguros_Oblig!$A$3:$B$55,2,FALSE))),(C232*(VLOOKUP(LeasingHab!$C$24,Seguros_Oblig!$A$3:$D$55,4,FALSE))))</f>
        <v>#VALUE!</v>
      </c>
      <c r="H233" s="8" t="e">
        <f>IF(LeasingHab!$C$10="TARIFA 1",(C232*(VLOOKUP(LeasingHab!$C$25,Seguros_Oblig!$A$3:$B$55,2,FALSE))),(C232*(VLOOKUP(LeasingHab!$C$25,Seguros_Oblig!$A$3:$D$55,4,FALSE))))</f>
        <v>#VALUE!</v>
      </c>
      <c r="I233" s="8" t="e">
        <f>IF(LeasingHab!$C$10="TARIFA 1",(C232*(VLOOKUP(LeasingHab!$C$26,Seguros_Oblig!$A$3:$B$55,2,FALSE))),(C232*(VLOOKUP(LeasingHab!$C$26,Seguros_Oblig!$A$3:$D$55,4,FALSE))))</f>
        <v>#VALUE!</v>
      </c>
      <c r="J233" s="10">
        <f t="shared" si="21"/>
        <v>0</v>
      </c>
      <c r="K233" s="7" t="e">
        <f>IF((C232-1)&lt;$E$17,0,Seguros_Oblig!$K$2*(LeasingHab!$C$12*90%))</f>
        <v>#VALUE!</v>
      </c>
      <c r="L233" s="7" t="e">
        <f>IF(B233&gt;LeasingHab!$C$18,0,PMT(LeasingHab!$E$17,LeasingHab!$C$18,-LeasingHab!$C$15,,)-PMT(LeasingHab!$E$17,LeasingHab!$C$18,-LeasingHab!$C$22)+LeasingHab!$C$22*LeasingHab!$E$17)</f>
        <v>#VALUE!</v>
      </c>
      <c r="M233" s="9" t="e">
        <f t="shared" si="22"/>
        <v>#VALUE!</v>
      </c>
      <c r="N233" s="7" t="e">
        <f>IF((C232-1)&lt;$E$17,0,LeasingHab!$C$39)</f>
        <v>#VALUE!</v>
      </c>
      <c r="O233" s="9" t="e">
        <f t="shared" si="23"/>
        <v>#VALUE!</v>
      </c>
    </row>
    <row r="234" spans="2:15" ht="15.5" x14ac:dyDescent="0.35">
      <c r="B234" s="6" t="e">
        <f t="shared" si="24"/>
        <v>#VALUE!</v>
      </c>
      <c r="C234" s="7" t="e">
        <f t="shared" si="19"/>
        <v>#VALUE!</v>
      </c>
      <c r="D234" s="7" t="e">
        <f t="shared" si="20"/>
        <v>#VALUE!</v>
      </c>
      <c r="E234" s="7" t="e">
        <f>IF((C233-1)&lt;$E$17,0,C233*LeasingHab!$E$17)</f>
        <v>#VALUE!</v>
      </c>
      <c r="F234" s="8" t="e">
        <f>IF((C233-1)&lt;$E$17,"0",IF(LeasingHab!$D$27="Si",($C$19*(VLOOKUP(LeasingHab!$C$23,Seguros_Oblig!$A$3:$F$55,6,FALSE))),IF(LeasingHab!$C$10="TARIFA 1",(C233*(VLOOKUP(LeasingHab!$C$23,Seguros_Oblig!$A$3:$B$55,2,FALSE))),(C233*(VLOOKUP(LeasingHab!$C$23,Seguros_Oblig!$A$3:$D$55,4,FALSE))))))</f>
        <v>#VALUE!</v>
      </c>
      <c r="G234" s="8" t="e">
        <f>IF(LeasingHab!$C$10="TARIFA 1",(C233*(VLOOKUP(LeasingHab!$C$24,Seguros_Oblig!$A$3:$B$55,2,FALSE))),(C233*(VLOOKUP(LeasingHab!$C$24,Seguros_Oblig!$A$3:$D$55,4,FALSE))))</f>
        <v>#VALUE!</v>
      </c>
      <c r="H234" s="8" t="e">
        <f>IF(LeasingHab!$C$10="TARIFA 1",(C233*(VLOOKUP(LeasingHab!$C$25,Seguros_Oblig!$A$3:$B$55,2,FALSE))),(C233*(VLOOKUP(LeasingHab!$C$25,Seguros_Oblig!$A$3:$D$55,4,FALSE))))</f>
        <v>#VALUE!</v>
      </c>
      <c r="I234" s="8" t="e">
        <f>IF(LeasingHab!$C$10="TARIFA 1",(C233*(VLOOKUP(LeasingHab!$C$26,Seguros_Oblig!$A$3:$B$55,2,FALSE))),(C233*(VLOOKUP(LeasingHab!$C$26,Seguros_Oblig!$A$3:$D$55,4,FALSE))))</f>
        <v>#VALUE!</v>
      </c>
      <c r="J234" s="10">
        <f t="shared" si="21"/>
        <v>0</v>
      </c>
      <c r="K234" s="7" t="e">
        <f>IF((C233-1)&lt;$E$17,0,Seguros_Oblig!$K$2*(LeasingHab!$C$12*90%))</f>
        <v>#VALUE!</v>
      </c>
      <c r="L234" s="7" t="e">
        <f>IF(B234&gt;LeasingHab!$C$18,0,PMT(LeasingHab!$E$17,LeasingHab!$C$18,-LeasingHab!$C$15,,)-PMT(LeasingHab!$E$17,LeasingHab!$C$18,-LeasingHab!$C$22)+LeasingHab!$C$22*LeasingHab!$E$17)</f>
        <v>#VALUE!</v>
      </c>
      <c r="M234" s="9" t="e">
        <f t="shared" si="22"/>
        <v>#VALUE!</v>
      </c>
      <c r="N234" s="7" t="e">
        <f>IF((C233-1)&lt;$E$17,0,LeasingHab!$C$39)</f>
        <v>#VALUE!</v>
      </c>
      <c r="O234" s="9" t="e">
        <f t="shared" si="23"/>
        <v>#VALUE!</v>
      </c>
    </row>
    <row r="235" spans="2:15" ht="15.5" x14ac:dyDescent="0.35">
      <c r="B235" s="6" t="e">
        <f t="shared" si="24"/>
        <v>#VALUE!</v>
      </c>
      <c r="C235" s="7" t="e">
        <f t="shared" si="19"/>
        <v>#VALUE!</v>
      </c>
      <c r="D235" s="7" t="e">
        <f t="shared" si="20"/>
        <v>#VALUE!</v>
      </c>
      <c r="E235" s="7" t="e">
        <f>IF((C234-1)&lt;$E$17,0,C234*LeasingHab!$E$17)</f>
        <v>#VALUE!</v>
      </c>
      <c r="F235" s="8" t="e">
        <f>IF((C234-1)&lt;$E$17,"0",IF(LeasingHab!$D$27="Si",($C$19*(VLOOKUP(LeasingHab!$C$23,Seguros_Oblig!$A$3:$F$55,6,FALSE))),IF(LeasingHab!$C$10="TARIFA 1",(C234*(VLOOKUP(LeasingHab!$C$23,Seguros_Oblig!$A$3:$B$55,2,FALSE))),(C234*(VLOOKUP(LeasingHab!$C$23,Seguros_Oblig!$A$3:$D$55,4,FALSE))))))</f>
        <v>#VALUE!</v>
      </c>
      <c r="G235" s="8" t="e">
        <f>IF(LeasingHab!$C$10="TARIFA 1",(C234*(VLOOKUP(LeasingHab!$C$24,Seguros_Oblig!$A$3:$B$55,2,FALSE))),(C234*(VLOOKUP(LeasingHab!$C$24,Seguros_Oblig!$A$3:$D$55,4,FALSE))))</f>
        <v>#VALUE!</v>
      </c>
      <c r="H235" s="8" t="e">
        <f>IF(LeasingHab!$C$10="TARIFA 1",(C234*(VLOOKUP(LeasingHab!$C$25,Seguros_Oblig!$A$3:$B$55,2,FALSE))),(C234*(VLOOKUP(LeasingHab!$C$25,Seguros_Oblig!$A$3:$D$55,4,FALSE))))</f>
        <v>#VALUE!</v>
      </c>
      <c r="I235" s="8" t="e">
        <f>IF(LeasingHab!$C$10="TARIFA 1",(C234*(VLOOKUP(LeasingHab!$C$26,Seguros_Oblig!$A$3:$B$55,2,FALSE))),(C234*(VLOOKUP(LeasingHab!$C$26,Seguros_Oblig!$A$3:$D$55,4,FALSE))))</f>
        <v>#VALUE!</v>
      </c>
      <c r="J235" s="10">
        <f t="shared" si="21"/>
        <v>0</v>
      </c>
      <c r="K235" s="7" t="e">
        <f>IF((C234-1)&lt;$E$17,0,Seguros_Oblig!$K$2*(LeasingHab!$C$12*90%))</f>
        <v>#VALUE!</v>
      </c>
      <c r="L235" s="7" t="e">
        <f>IF(B235&gt;LeasingHab!$C$18,0,PMT(LeasingHab!$E$17,LeasingHab!$C$18,-LeasingHab!$C$15,,)-PMT(LeasingHab!$E$17,LeasingHab!$C$18,-LeasingHab!$C$22)+LeasingHab!$C$22*LeasingHab!$E$17)</f>
        <v>#VALUE!</v>
      </c>
      <c r="M235" s="9" t="e">
        <f t="shared" si="22"/>
        <v>#VALUE!</v>
      </c>
      <c r="N235" s="7" t="e">
        <f>IF((C234-1)&lt;$E$17,0,LeasingHab!$C$39)</f>
        <v>#VALUE!</v>
      </c>
      <c r="O235" s="9" t="e">
        <f t="shared" si="23"/>
        <v>#VALUE!</v>
      </c>
    </row>
    <row r="236" spans="2:15" ht="15.5" x14ac:dyDescent="0.35">
      <c r="B236" s="6" t="e">
        <f t="shared" si="24"/>
        <v>#VALUE!</v>
      </c>
      <c r="C236" s="7" t="e">
        <f t="shared" si="19"/>
        <v>#VALUE!</v>
      </c>
      <c r="D236" s="7" t="e">
        <f t="shared" si="20"/>
        <v>#VALUE!</v>
      </c>
      <c r="E236" s="7" t="e">
        <f>IF((C235-1)&lt;$E$17,0,C235*LeasingHab!$E$17)</f>
        <v>#VALUE!</v>
      </c>
      <c r="F236" s="8" t="e">
        <f>IF((C235-1)&lt;$E$17,"0",IF(LeasingHab!$D$27="Si",($C$19*(VLOOKUP(LeasingHab!$C$23,Seguros_Oblig!$A$3:$F$55,6,FALSE))),IF(LeasingHab!$C$10="TARIFA 1",(C235*(VLOOKUP(LeasingHab!$C$23,Seguros_Oblig!$A$3:$B$55,2,FALSE))),(C235*(VLOOKUP(LeasingHab!$C$23,Seguros_Oblig!$A$3:$D$55,4,FALSE))))))</f>
        <v>#VALUE!</v>
      </c>
      <c r="G236" s="8" t="e">
        <f>IF(LeasingHab!$C$10="TARIFA 1",(C235*(VLOOKUP(LeasingHab!$C$24,Seguros_Oblig!$A$3:$B$55,2,FALSE))),(C235*(VLOOKUP(LeasingHab!$C$24,Seguros_Oblig!$A$3:$D$55,4,FALSE))))</f>
        <v>#VALUE!</v>
      </c>
      <c r="H236" s="8" t="e">
        <f>IF(LeasingHab!$C$10="TARIFA 1",(C235*(VLOOKUP(LeasingHab!$C$25,Seguros_Oblig!$A$3:$B$55,2,FALSE))),(C235*(VLOOKUP(LeasingHab!$C$25,Seguros_Oblig!$A$3:$D$55,4,FALSE))))</f>
        <v>#VALUE!</v>
      </c>
      <c r="I236" s="8" t="e">
        <f>IF(LeasingHab!$C$10="TARIFA 1",(C235*(VLOOKUP(LeasingHab!$C$26,Seguros_Oblig!$A$3:$B$55,2,FALSE))),(C235*(VLOOKUP(LeasingHab!$C$26,Seguros_Oblig!$A$3:$D$55,4,FALSE))))</f>
        <v>#VALUE!</v>
      </c>
      <c r="J236" s="10">
        <f t="shared" si="21"/>
        <v>0</v>
      </c>
      <c r="K236" s="7" t="e">
        <f>IF((C235-1)&lt;$E$17,0,Seguros_Oblig!$K$2*(LeasingHab!$C$12*90%))</f>
        <v>#VALUE!</v>
      </c>
      <c r="L236" s="7" t="e">
        <f>IF(B236&gt;LeasingHab!$C$18,0,PMT(LeasingHab!$E$17,LeasingHab!$C$18,-LeasingHab!$C$15,,)-PMT(LeasingHab!$E$17,LeasingHab!$C$18,-LeasingHab!$C$22)+LeasingHab!$C$22*LeasingHab!$E$17)</f>
        <v>#VALUE!</v>
      </c>
      <c r="M236" s="9" t="e">
        <f t="shared" si="22"/>
        <v>#VALUE!</v>
      </c>
      <c r="N236" s="7" t="e">
        <f>IF((C235-1)&lt;$E$17,0,LeasingHab!$C$39)</f>
        <v>#VALUE!</v>
      </c>
      <c r="O236" s="9" t="e">
        <f t="shared" si="23"/>
        <v>#VALUE!</v>
      </c>
    </row>
    <row r="237" spans="2:15" ht="15.5" x14ac:dyDescent="0.35">
      <c r="B237" s="6" t="e">
        <f t="shared" si="24"/>
        <v>#VALUE!</v>
      </c>
      <c r="C237" s="7" t="e">
        <f t="shared" si="19"/>
        <v>#VALUE!</v>
      </c>
      <c r="D237" s="7" t="e">
        <f t="shared" si="20"/>
        <v>#VALUE!</v>
      </c>
      <c r="E237" s="7" t="e">
        <f>IF((C236-1)&lt;$E$17,0,C236*LeasingHab!$E$17)</f>
        <v>#VALUE!</v>
      </c>
      <c r="F237" s="8" t="e">
        <f>IF((C236-1)&lt;$E$17,"0",IF(LeasingHab!$D$27="Si",($C$19*(VLOOKUP(LeasingHab!$C$23,Seguros_Oblig!$A$3:$F$55,6,FALSE))),IF(LeasingHab!$C$10="TARIFA 1",(C236*(VLOOKUP(LeasingHab!$C$23,Seguros_Oblig!$A$3:$B$55,2,FALSE))),(C236*(VLOOKUP(LeasingHab!$C$23,Seguros_Oblig!$A$3:$D$55,4,FALSE))))))</f>
        <v>#VALUE!</v>
      </c>
      <c r="G237" s="8" t="e">
        <f>IF(LeasingHab!$C$10="TARIFA 1",(C236*(VLOOKUP(LeasingHab!$C$24,Seguros_Oblig!$A$3:$B$55,2,FALSE))),(C236*(VLOOKUP(LeasingHab!$C$24,Seguros_Oblig!$A$3:$D$55,4,FALSE))))</f>
        <v>#VALUE!</v>
      </c>
      <c r="H237" s="8" t="e">
        <f>IF(LeasingHab!$C$10="TARIFA 1",(C236*(VLOOKUP(LeasingHab!$C$25,Seguros_Oblig!$A$3:$B$55,2,FALSE))),(C236*(VLOOKUP(LeasingHab!$C$25,Seguros_Oblig!$A$3:$D$55,4,FALSE))))</f>
        <v>#VALUE!</v>
      </c>
      <c r="I237" s="8" t="e">
        <f>IF(LeasingHab!$C$10="TARIFA 1",(C236*(VLOOKUP(LeasingHab!$C$26,Seguros_Oblig!$A$3:$B$55,2,FALSE))),(C236*(VLOOKUP(LeasingHab!$C$26,Seguros_Oblig!$A$3:$D$55,4,FALSE))))</f>
        <v>#VALUE!</v>
      </c>
      <c r="J237" s="10">
        <f t="shared" si="21"/>
        <v>0</v>
      </c>
      <c r="K237" s="7" t="e">
        <f>IF((C236-1)&lt;$E$17,0,Seguros_Oblig!$K$2*(LeasingHab!$C$12*90%))</f>
        <v>#VALUE!</v>
      </c>
      <c r="L237" s="7" t="e">
        <f>IF(B237&gt;LeasingHab!$C$18,0,PMT(LeasingHab!$E$17,LeasingHab!$C$18,-LeasingHab!$C$15,,)-PMT(LeasingHab!$E$17,LeasingHab!$C$18,-LeasingHab!$C$22)+LeasingHab!$C$22*LeasingHab!$E$17)</f>
        <v>#VALUE!</v>
      </c>
      <c r="M237" s="9" t="e">
        <f t="shared" si="22"/>
        <v>#VALUE!</v>
      </c>
      <c r="N237" s="7" t="e">
        <f>IF((C236-1)&lt;$E$17,0,LeasingHab!$C$39)</f>
        <v>#VALUE!</v>
      </c>
      <c r="O237" s="9" t="e">
        <f t="shared" si="23"/>
        <v>#VALUE!</v>
      </c>
    </row>
    <row r="238" spans="2:15" ht="15.5" x14ac:dyDescent="0.35">
      <c r="B238" s="6" t="e">
        <f t="shared" si="24"/>
        <v>#VALUE!</v>
      </c>
      <c r="C238" s="7" t="e">
        <f t="shared" si="19"/>
        <v>#VALUE!</v>
      </c>
      <c r="D238" s="7" t="e">
        <f t="shared" si="20"/>
        <v>#VALUE!</v>
      </c>
      <c r="E238" s="7" t="e">
        <f>IF((C237-1)&lt;$E$17,0,C237*LeasingHab!$E$17)</f>
        <v>#VALUE!</v>
      </c>
      <c r="F238" s="8" t="e">
        <f>IF((C237-1)&lt;$E$17,"0",IF(LeasingHab!$D$27="Si",($C$19*(VLOOKUP(LeasingHab!$C$23,Seguros_Oblig!$A$3:$F$55,6,FALSE))),IF(LeasingHab!$C$10="TARIFA 1",(C237*(VLOOKUP(LeasingHab!$C$23,Seguros_Oblig!$A$3:$B$55,2,FALSE))),(C237*(VLOOKUP(LeasingHab!$C$23,Seguros_Oblig!$A$3:$D$55,4,FALSE))))))</f>
        <v>#VALUE!</v>
      </c>
      <c r="G238" s="8" t="e">
        <f>IF(LeasingHab!$C$10="TARIFA 1",(C237*(VLOOKUP(LeasingHab!$C$24,Seguros_Oblig!$A$3:$B$55,2,FALSE))),(C237*(VLOOKUP(LeasingHab!$C$24,Seguros_Oblig!$A$3:$D$55,4,FALSE))))</f>
        <v>#VALUE!</v>
      </c>
      <c r="H238" s="8" t="e">
        <f>IF(LeasingHab!$C$10="TARIFA 1",(C237*(VLOOKUP(LeasingHab!$C$25,Seguros_Oblig!$A$3:$B$55,2,FALSE))),(C237*(VLOOKUP(LeasingHab!$C$25,Seguros_Oblig!$A$3:$D$55,4,FALSE))))</f>
        <v>#VALUE!</v>
      </c>
      <c r="I238" s="8" t="e">
        <f>IF(LeasingHab!$C$10="TARIFA 1",(C237*(VLOOKUP(LeasingHab!$C$26,Seguros_Oblig!$A$3:$B$55,2,FALSE))),(C237*(VLOOKUP(LeasingHab!$C$26,Seguros_Oblig!$A$3:$D$55,4,FALSE))))</f>
        <v>#VALUE!</v>
      </c>
      <c r="J238" s="10">
        <f t="shared" si="21"/>
        <v>0</v>
      </c>
      <c r="K238" s="7" t="e">
        <f>IF((C237-1)&lt;$E$17,0,Seguros_Oblig!$K$2*(LeasingHab!$C$12*90%))</f>
        <v>#VALUE!</v>
      </c>
      <c r="L238" s="7" t="e">
        <f>IF(B238&gt;LeasingHab!$C$18,0,PMT(LeasingHab!$E$17,LeasingHab!$C$18,-LeasingHab!$C$15,,)-PMT(LeasingHab!$E$17,LeasingHab!$C$18,-LeasingHab!$C$22)+LeasingHab!$C$22*LeasingHab!$E$17)</f>
        <v>#VALUE!</v>
      </c>
      <c r="M238" s="9" t="e">
        <f t="shared" si="22"/>
        <v>#VALUE!</v>
      </c>
      <c r="N238" s="7" t="e">
        <f>IF((C237-1)&lt;$E$17,0,LeasingHab!$C$39)</f>
        <v>#VALUE!</v>
      </c>
      <c r="O238" s="9" t="e">
        <f t="shared" si="23"/>
        <v>#VALUE!</v>
      </c>
    </row>
    <row r="239" spans="2:15" ht="15.5" x14ac:dyDescent="0.35">
      <c r="B239" s="6" t="e">
        <f t="shared" si="24"/>
        <v>#VALUE!</v>
      </c>
      <c r="C239" s="7" t="e">
        <f t="shared" si="19"/>
        <v>#VALUE!</v>
      </c>
      <c r="D239" s="7" t="e">
        <f t="shared" si="20"/>
        <v>#VALUE!</v>
      </c>
      <c r="E239" s="7" t="e">
        <f>IF((C238-1)&lt;$E$17,0,C238*LeasingHab!$E$17)</f>
        <v>#VALUE!</v>
      </c>
      <c r="F239" s="8" t="e">
        <f>IF((C238-1)&lt;$E$17,"0",IF(LeasingHab!$D$27="Si",($C$19*(VLOOKUP(LeasingHab!$C$23,Seguros_Oblig!$A$3:$F$55,6,FALSE))),IF(LeasingHab!$C$10="TARIFA 1",(C238*(VLOOKUP(LeasingHab!$C$23,Seguros_Oblig!$A$3:$B$55,2,FALSE))),(C238*(VLOOKUP(LeasingHab!$C$23,Seguros_Oblig!$A$3:$D$55,4,FALSE))))))</f>
        <v>#VALUE!</v>
      </c>
      <c r="G239" s="8" t="e">
        <f>IF(LeasingHab!$C$10="TARIFA 1",(C238*(VLOOKUP(LeasingHab!$C$24,Seguros_Oblig!$A$3:$B$55,2,FALSE))),(C238*(VLOOKUP(LeasingHab!$C$24,Seguros_Oblig!$A$3:$D$55,4,FALSE))))</f>
        <v>#VALUE!</v>
      </c>
      <c r="H239" s="8" t="e">
        <f>IF(LeasingHab!$C$10="TARIFA 1",(C238*(VLOOKUP(LeasingHab!$C$25,Seguros_Oblig!$A$3:$B$55,2,FALSE))),(C238*(VLOOKUP(LeasingHab!$C$25,Seguros_Oblig!$A$3:$D$55,4,FALSE))))</f>
        <v>#VALUE!</v>
      </c>
      <c r="I239" s="8" t="e">
        <f>IF(LeasingHab!$C$10="TARIFA 1",(C238*(VLOOKUP(LeasingHab!$C$26,Seguros_Oblig!$A$3:$B$55,2,FALSE))),(C238*(VLOOKUP(LeasingHab!$C$26,Seguros_Oblig!$A$3:$D$55,4,FALSE))))</f>
        <v>#VALUE!</v>
      </c>
      <c r="J239" s="10">
        <f t="shared" si="21"/>
        <v>0</v>
      </c>
      <c r="K239" s="7" t="e">
        <f>IF((C238-1)&lt;$E$17,0,Seguros_Oblig!$K$2*(LeasingHab!$C$12*90%))</f>
        <v>#VALUE!</v>
      </c>
      <c r="L239" s="7" t="e">
        <f>IF(B239&gt;LeasingHab!$C$18,0,PMT(LeasingHab!$E$17,LeasingHab!$C$18,-LeasingHab!$C$15,,)-PMT(LeasingHab!$E$17,LeasingHab!$C$18,-LeasingHab!$C$22)+LeasingHab!$C$22*LeasingHab!$E$17)</f>
        <v>#VALUE!</v>
      </c>
      <c r="M239" s="9" t="e">
        <f t="shared" si="22"/>
        <v>#VALUE!</v>
      </c>
      <c r="N239" s="7" t="e">
        <f>IF((C238-1)&lt;$E$17,0,LeasingHab!$C$39)</f>
        <v>#VALUE!</v>
      </c>
      <c r="O239" s="9" t="e">
        <f t="shared" si="23"/>
        <v>#VALUE!</v>
      </c>
    </row>
    <row r="240" spans="2:15" ht="15.5" x14ac:dyDescent="0.35">
      <c r="B240" s="6" t="e">
        <f t="shared" si="24"/>
        <v>#VALUE!</v>
      </c>
      <c r="C240" s="7" t="e">
        <f t="shared" si="19"/>
        <v>#VALUE!</v>
      </c>
      <c r="D240" s="7" t="e">
        <f t="shared" si="20"/>
        <v>#VALUE!</v>
      </c>
      <c r="E240" s="7" t="e">
        <f>IF((C239-1)&lt;$E$17,0,C239*LeasingHab!$E$17)</f>
        <v>#VALUE!</v>
      </c>
      <c r="F240" s="8" t="e">
        <f>IF((C239-1)&lt;$E$17,"0",IF(LeasingHab!$D$27="Si",($C$19*(VLOOKUP(LeasingHab!$C$23,Seguros_Oblig!$A$3:$F$55,6,FALSE))),IF(LeasingHab!$C$10="TARIFA 1",(C239*(VLOOKUP(LeasingHab!$C$23,Seguros_Oblig!$A$3:$B$55,2,FALSE))),(C239*(VLOOKUP(LeasingHab!$C$23,Seguros_Oblig!$A$3:$D$55,4,FALSE))))))</f>
        <v>#VALUE!</v>
      </c>
      <c r="G240" s="8" t="e">
        <f>IF(LeasingHab!$C$10="TARIFA 1",(C239*(VLOOKUP(LeasingHab!$C$24,Seguros_Oblig!$A$3:$B$55,2,FALSE))),(C239*(VLOOKUP(LeasingHab!$C$24,Seguros_Oblig!$A$3:$D$55,4,FALSE))))</f>
        <v>#VALUE!</v>
      </c>
      <c r="H240" s="8" t="e">
        <f>IF(LeasingHab!$C$10="TARIFA 1",(C239*(VLOOKUP(LeasingHab!$C$25,Seguros_Oblig!$A$3:$B$55,2,FALSE))),(C239*(VLOOKUP(LeasingHab!$C$25,Seguros_Oblig!$A$3:$D$55,4,FALSE))))</f>
        <v>#VALUE!</v>
      </c>
      <c r="I240" s="8" t="e">
        <f>IF(LeasingHab!$C$10="TARIFA 1",(C239*(VLOOKUP(LeasingHab!$C$26,Seguros_Oblig!$A$3:$B$55,2,FALSE))),(C239*(VLOOKUP(LeasingHab!$C$26,Seguros_Oblig!$A$3:$D$55,4,FALSE))))</f>
        <v>#VALUE!</v>
      </c>
      <c r="J240" s="10">
        <f t="shared" si="21"/>
        <v>0</v>
      </c>
      <c r="K240" s="7" t="e">
        <f>IF((C239-1)&lt;$E$17,0,Seguros_Oblig!$K$2*(LeasingHab!$C$12*90%))</f>
        <v>#VALUE!</v>
      </c>
      <c r="L240" s="7" t="e">
        <f>IF(B240&gt;LeasingHab!$C$18,0,PMT(LeasingHab!$E$17,LeasingHab!$C$18,-LeasingHab!$C$15,,)-PMT(LeasingHab!$E$17,LeasingHab!$C$18,-LeasingHab!$C$22)+LeasingHab!$C$22*LeasingHab!$E$17)</f>
        <v>#VALUE!</v>
      </c>
      <c r="M240" s="9" t="e">
        <f t="shared" si="22"/>
        <v>#VALUE!</v>
      </c>
      <c r="N240" s="7" t="e">
        <f>IF((C239-1)&lt;$E$17,0,LeasingHab!$C$39)</f>
        <v>#VALUE!</v>
      </c>
      <c r="O240" s="9" t="e">
        <f t="shared" si="23"/>
        <v>#VALUE!</v>
      </c>
    </row>
    <row r="241" spans="2:15" ht="15.5" x14ac:dyDescent="0.35">
      <c r="B241" s="6" t="e">
        <f t="shared" si="24"/>
        <v>#VALUE!</v>
      </c>
      <c r="C241" s="7" t="e">
        <f t="shared" si="19"/>
        <v>#VALUE!</v>
      </c>
      <c r="D241" s="7" t="e">
        <f t="shared" si="20"/>
        <v>#VALUE!</v>
      </c>
      <c r="E241" s="7" t="e">
        <f>IF((C240-1)&lt;$E$17,0,C240*LeasingHab!$E$17)</f>
        <v>#VALUE!</v>
      </c>
      <c r="F241" s="8" t="e">
        <f>IF((C240-1)&lt;$E$17,"0",IF(LeasingHab!$D$27="Si",($C$19*(VLOOKUP(LeasingHab!$C$23,Seguros_Oblig!$A$3:$F$55,6,FALSE))),IF(LeasingHab!$C$10="TARIFA 1",(C240*(VLOOKUP(LeasingHab!$C$23,Seguros_Oblig!$A$3:$B$55,2,FALSE))),(C240*(VLOOKUP(LeasingHab!$C$23,Seguros_Oblig!$A$3:$D$55,4,FALSE))))))</f>
        <v>#VALUE!</v>
      </c>
      <c r="G241" s="8" t="e">
        <f>IF(LeasingHab!$C$10="TARIFA 1",(C240*(VLOOKUP(LeasingHab!$C$24,Seguros_Oblig!$A$3:$B$55,2,FALSE))),(C240*(VLOOKUP(LeasingHab!$C$24,Seguros_Oblig!$A$3:$D$55,4,FALSE))))</f>
        <v>#VALUE!</v>
      </c>
      <c r="H241" s="8" t="e">
        <f>IF(LeasingHab!$C$10="TARIFA 1",(C240*(VLOOKUP(LeasingHab!$C$25,Seguros_Oblig!$A$3:$B$55,2,FALSE))),(C240*(VLOOKUP(LeasingHab!$C$25,Seguros_Oblig!$A$3:$D$55,4,FALSE))))</f>
        <v>#VALUE!</v>
      </c>
      <c r="I241" s="8" t="e">
        <f>IF(LeasingHab!$C$10="TARIFA 1",(C240*(VLOOKUP(LeasingHab!$C$26,Seguros_Oblig!$A$3:$B$55,2,FALSE))),(C240*(VLOOKUP(LeasingHab!$C$26,Seguros_Oblig!$A$3:$D$55,4,FALSE))))</f>
        <v>#VALUE!</v>
      </c>
      <c r="J241" s="10">
        <f t="shared" si="21"/>
        <v>0</v>
      </c>
      <c r="K241" s="7" t="e">
        <f>IF((C240-1)&lt;$E$17,0,Seguros_Oblig!$K$2*(LeasingHab!$C$12*90%))</f>
        <v>#VALUE!</v>
      </c>
      <c r="L241" s="7" t="e">
        <f>IF(B241&gt;LeasingHab!$C$18,0,PMT(LeasingHab!$E$17,LeasingHab!$C$18,-LeasingHab!$C$15,,)-PMT(LeasingHab!$E$17,LeasingHab!$C$18,-LeasingHab!$C$22)+LeasingHab!$C$22*LeasingHab!$E$17)</f>
        <v>#VALUE!</v>
      </c>
      <c r="M241" s="9" t="e">
        <f t="shared" si="22"/>
        <v>#VALUE!</v>
      </c>
      <c r="N241" s="7" t="e">
        <f>IF((C240-1)&lt;$E$17,0,LeasingHab!$C$39)</f>
        <v>#VALUE!</v>
      </c>
      <c r="O241" s="9" t="e">
        <f t="shared" si="23"/>
        <v>#VALUE!</v>
      </c>
    </row>
    <row r="242" spans="2:15" ht="15.5" x14ac:dyDescent="0.35">
      <c r="B242" s="6" t="e">
        <f t="shared" si="24"/>
        <v>#VALUE!</v>
      </c>
      <c r="C242" s="7" t="e">
        <f t="shared" si="19"/>
        <v>#VALUE!</v>
      </c>
      <c r="D242" s="7" t="e">
        <f t="shared" si="20"/>
        <v>#VALUE!</v>
      </c>
      <c r="E242" s="7" t="e">
        <f>IF((C241-1)&lt;$E$17,0,C241*LeasingHab!$E$17)</f>
        <v>#VALUE!</v>
      </c>
      <c r="F242" s="8" t="e">
        <f>IF((C241-1)&lt;$E$17,"0",IF(LeasingHab!$D$27="Si",($C$19*(VLOOKUP(LeasingHab!$C$23,Seguros_Oblig!$A$3:$F$55,6,FALSE))),IF(LeasingHab!$C$10="TARIFA 1",(C241*(VLOOKUP(LeasingHab!$C$23,Seguros_Oblig!$A$3:$B$55,2,FALSE))),(C241*(VLOOKUP(LeasingHab!$C$23,Seguros_Oblig!$A$3:$D$55,4,FALSE))))))</f>
        <v>#VALUE!</v>
      </c>
      <c r="G242" s="8" t="e">
        <f>IF(LeasingHab!$C$10="TARIFA 1",(C241*(VLOOKUP(LeasingHab!$C$24,Seguros_Oblig!$A$3:$B$55,2,FALSE))),(C241*(VLOOKUP(LeasingHab!$C$24,Seguros_Oblig!$A$3:$D$55,4,FALSE))))</f>
        <v>#VALUE!</v>
      </c>
      <c r="H242" s="8" t="e">
        <f>IF(LeasingHab!$C$10="TARIFA 1",(C241*(VLOOKUP(LeasingHab!$C$25,Seguros_Oblig!$A$3:$B$55,2,FALSE))),(C241*(VLOOKUP(LeasingHab!$C$25,Seguros_Oblig!$A$3:$D$55,4,FALSE))))</f>
        <v>#VALUE!</v>
      </c>
      <c r="I242" s="8" t="e">
        <f>IF(LeasingHab!$C$10="TARIFA 1",(C241*(VLOOKUP(LeasingHab!$C$26,Seguros_Oblig!$A$3:$B$55,2,FALSE))),(C241*(VLOOKUP(LeasingHab!$C$26,Seguros_Oblig!$A$3:$D$55,4,FALSE))))</f>
        <v>#VALUE!</v>
      </c>
      <c r="J242" s="10">
        <f t="shared" si="21"/>
        <v>0</v>
      </c>
      <c r="K242" s="7" t="e">
        <f>IF((C241-1)&lt;$E$17,0,Seguros_Oblig!$K$2*(LeasingHab!$C$12*90%))</f>
        <v>#VALUE!</v>
      </c>
      <c r="L242" s="7" t="e">
        <f>IF(B242&gt;LeasingHab!$C$18,0,PMT(LeasingHab!$E$17,LeasingHab!$C$18,-LeasingHab!$C$15,,)-PMT(LeasingHab!$E$17,LeasingHab!$C$18,-LeasingHab!$C$22)+LeasingHab!$C$22*LeasingHab!$E$17)</f>
        <v>#VALUE!</v>
      </c>
      <c r="M242" s="9" t="e">
        <f t="shared" si="22"/>
        <v>#VALUE!</v>
      </c>
      <c r="N242" s="7" t="e">
        <f>IF((C241-1)&lt;$E$17,0,LeasingHab!$C$39)</f>
        <v>#VALUE!</v>
      </c>
      <c r="O242" s="9" t="e">
        <f t="shared" si="23"/>
        <v>#VALUE!</v>
      </c>
    </row>
    <row r="243" spans="2:15" ht="15.5" x14ac:dyDescent="0.35">
      <c r="B243" s="6" t="e">
        <f t="shared" si="24"/>
        <v>#VALUE!</v>
      </c>
      <c r="C243" s="7" t="e">
        <f t="shared" si="19"/>
        <v>#VALUE!</v>
      </c>
      <c r="D243" s="7" t="e">
        <f t="shared" si="20"/>
        <v>#VALUE!</v>
      </c>
      <c r="E243" s="7" t="e">
        <f>IF((C242-1)&lt;$E$17,0,C242*LeasingHab!$E$17)</f>
        <v>#VALUE!</v>
      </c>
      <c r="F243" s="8" t="e">
        <f>IF((C242-1)&lt;$E$17,"0",IF(LeasingHab!$D$27="Si",($C$19*(VLOOKUP(LeasingHab!$C$23,Seguros_Oblig!$A$3:$F$55,6,FALSE))),IF(LeasingHab!$C$10="TARIFA 1",(C242*(VLOOKUP(LeasingHab!$C$23,Seguros_Oblig!$A$3:$B$55,2,FALSE))),(C242*(VLOOKUP(LeasingHab!$C$23,Seguros_Oblig!$A$3:$D$55,4,FALSE))))))</f>
        <v>#VALUE!</v>
      </c>
      <c r="G243" s="8" t="e">
        <f>IF(LeasingHab!$C$10="TARIFA 1",(C242*(VLOOKUP(LeasingHab!$C$24,Seguros_Oblig!$A$3:$B$55,2,FALSE))),(C242*(VLOOKUP(LeasingHab!$C$24,Seguros_Oblig!$A$3:$D$55,4,FALSE))))</f>
        <v>#VALUE!</v>
      </c>
      <c r="H243" s="8" t="e">
        <f>IF(LeasingHab!$C$10="TARIFA 1",(C242*(VLOOKUP(LeasingHab!$C$25,Seguros_Oblig!$A$3:$B$55,2,FALSE))),(C242*(VLOOKUP(LeasingHab!$C$25,Seguros_Oblig!$A$3:$D$55,4,FALSE))))</f>
        <v>#VALUE!</v>
      </c>
      <c r="I243" s="8" t="e">
        <f>IF(LeasingHab!$C$10="TARIFA 1",(C242*(VLOOKUP(LeasingHab!$C$26,Seguros_Oblig!$A$3:$B$55,2,FALSE))),(C242*(VLOOKUP(LeasingHab!$C$26,Seguros_Oblig!$A$3:$D$55,4,FALSE))))</f>
        <v>#VALUE!</v>
      </c>
      <c r="J243" s="10">
        <f t="shared" si="21"/>
        <v>0</v>
      </c>
      <c r="K243" s="7" t="e">
        <f>IF((C242-1)&lt;$E$17,0,Seguros_Oblig!$K$2*(LeasingHab!$C$12*90%))</f>
        <v>#VALUE!</v>
      </c>
      <c r="L243" s="7" t="e">
        <f>IF(B243&gt;LeasingHab!$C$18,0,PMT(LeasingHab!$E$17,LeasingHab!$C$18,-LeasingHab!$C$15,,)-PMT(LeasingHab!$E$17,LeasingHab!$C$18,-LeasingHab!$C$22)+LeasingHab!$C$22*LeasingHab!$E$17)</f>
        <v>#VALUE!</v>
      </c>
      <c r="M243" s="9" t="e">
        <f t="shared" si="22"/>
        <v>#VALUE!</v>
      </c>
      <c r="N243" s="7" t="e">
        <f>IF((C242-1)&lt;$E$17,0,LeasingHab!$C$39)</f>
        <v>#VALUE!</v>
      </c>
      <c r="O243" s="9" t="e">
        <f t="shared" si="23"/>
        <v>#VALUE!</v>
      </c>
    </row>
    <row r="244" spans="2:15" ht="15.5" x14ac:dyDescent="0.35">
      <c r="B244" s="6" t="e">
        <f t="shared" si="24"/>
        <v>#VALUE!</v>
      </c>
      <c r="C244" s="7" t="e">
        <f t="shared" si="19"/>
        <v>#VALUE!</v>
      </c>
      <c r="D244" s="7" t="e">
        <f t="shared" si="20"/>
        <v>#VALUE!</v>
      </c>
      <c r="E244" s="7" t="e">
        <f>IF((C243-1)&lt;$E$17,0,C243*LeasingHab!$E$17)</f>
        <v>#VALUE!</v>
      </c>
      <c r="F244" s="8" t="e">
        <f>IF((C243-1)&lt;$E$17,"0",IF(LeasingHab!$D$27="Si",($C$19*(VLOOKUP(LeasingHab!$C$23,Seguros_Oblig!$A$3:$F$55,6,FALSE))),IF(LeasingHab!$C$10="TARIFA 1",(C243*(VLOOKUP(LeasingHab!$C$23,Seguros_Oblig!$A$3:$B$55,2,FALSE))),(C243*(VLOOKUP(LeasingHab!$C$23,Seguros_Oblig!$A$3:$D$55,4,FALSE))))))</f>
        <v>#VALUE!</v>
      </c>
      <c r="G244" s="8" t="e">
        <f>IF(LeasingHab!$C$10="TARIFA 1",(C243*(VLOOKUP(LeasingHab!$C$24,Seguros_Oblig!$A$3:$B$55,2,FALSE))),(C243*(VLOOKUP(LeasingHab!$C$24,Seguros_Oblig!$A$3:$D$55,4,FALSE))))</f>
        <v>#VALUE!</v>
      </c>
      <c r="H244" s="8" t="e">
        <f>IF(LeasingHab!$C$10="TARIFA 1",(C243*(VLOOKUP(LeasingHab!$C$25,Seguros_Oblig!$A$3:$B$55,2,FALSE))),(C243*(VLOOKUP(LeasingHab!$C$25,Seguros_Oblig!$A$3:$D$55,4,FALSE))))</f>
        <v>#VALUE!</v>
      </c>
      <c r="I244" s="8" t="e">
        <f>IF(LeasingHab!$C$10="TARIFA 1",(C243*(VLOOKUP(LeasingHab!$C$26,Seguros_Oblig!$A$3:$B$55,2,FALSE))),(C243*(VLOOKUP(LeasingHab!$C$26,Seguros_Oblig!$A$3:$D$55,4,FALSE))))</f>
        <v>#VALUE!</v>
      </c>
      <c r="J244" s="10">
        <f t="shared" si="21"/>
        <v>0</v>
      </c>
      <c r="K244" s="7" t="e">
        <f>IF((C243-1)&lt;$E$17,0,Seguros_Oblig!$K$2*(LeasingHab!$C$12*90%))</f>
        <v>#VALUE!</v>
      </c>
      <c r="L244" s="7" t="e">
        <f>IF(B244&gt;LeasingHab!$C$18,0,PMT(LeasingHab!$E$17,LeasingHab!$C$18,-LeasingHab!$C$15,,)-PMT(LeasingHab!$E$17,LeasingHab!$C$18,-LeasingHab!$C$22)+LeasingHab!$C$22*LeasingHab!$E$17)</f>
        <v>#VALUE!</v>
      </c>
      <c r="M244" s="9" t="e">
        <f t="shared" si="22"/>
        <v>#VALUE!</v>
      </c>
      <c r="N244" s="7" t="e">
        <f>IF((C243-1)&lt;$E$17,0,LeasingHab!$C$39)</f>
        <v>#VALUE!</v>
      </c>
      <c r="O244" s="9" t="e">
        <f t="shared" si="23"/>
        <v>#VALUE!</v>
      </c>
    </row>
    <row r="245" spans="2:15" ht="15.5" x14ac:dyDescent="0.35">
      <c r="B245" s="6" t="e">
        <f t="shared" si="24"/>
        <v>#VALUE!</v>
      </c>
      <c r="C245" s="7" t="e">
        <f t="shared" si="19"/>
        <v>#VALUE!</v>
      </c>
      <c r="D245" s="7" t="e">
        <f t="shared" si="20"/>
        <v>#VALUE!</v>
      </c>
      <c r="E245" s="7" t="e">
        <f>IF((C244-1)&lt;$E$17,0,C244*LeasingHab!$E$17)</f>
        <v>#VALUE!</v>
      </c>
      <c r="F245" s="8" t="e">
        <f>IF((C244-1)&lt;$E$17,"0",IF(LeasingHab!$D$27="Si",($C$19*(VLOOKUP(LeasingHab!$C$23,Seguros_Oblig!$A$3:$F$55,6,FALSE))),IF(LeasingHab!$C$10="TARIFA 1",(C244*(VLOOKUP(LeasingHab!$C$23,Seguros_Oblig!$A$3:$B$55,2,FALSE))),(C244*(VLOOKUP(LeasingHab!$C$23,Seguros_Oblig!$A$3:$D$55,4,FALSE))))))</f>
        <v>#VALUE!</v>
      </c>
      <c r="G245" s="8" t="e">
        <f>IF(LeasingHab!$C$10="TARIFA 1",(C244*(VLOOKUP(LeasingHab!$C$24,Seguros_Oblig!$A$3:$B$55,2,FALSE))),(C244*(VLOOKUP(LeasingHab!$C$24,Seguros_Oblig!$A$3:$D$55,4,FALSE))))</f>
        <v>#VALUE!</v>
      </c>
      <c r="H245" s="8" t="e">
        <f>IF(LeasingHab!$C$10="TARIFA 1",(C244*(VLOOKUP(LeasingHab!$C$25,Seguros_Oblig!$A$3:$B$55,2,FALSE))),(C244*(VLOOKUP(LeasingHab!$C$25,Seguros_Oblig!$A$3:$D$55,4,FALSE))))</f>
        <v>#VALUE!</v>
      </c>
      <c r="I245" s="8" t="e">
        <f>IF(LeasingHab!$C$10="TARIFA 1",(C244*(VLOOKUP(LeasingHab!$C$26,Seguros_Oblig!$A$3:$B$55,2,FALSE))),(C244*(VLOOKUP(LeasingHab!$C$26,Seguros_Oblig!$A$3:$D$55,4,FALSE))))</f>
        <v>#VALUE!</v>
      </c>
      <c r="J245" s="10">
        <f t="shared" si="21"/>
        <v>0</v>
      </c>
      <c r="K245" s="7" t="e">
        <f>IF((C244-1)&lt;$E$17,0,Seguros_Oblig!$K$2*(LeasingHab!$C$12*90%))</f>
        <v>#VALUE!</v>
      </c>
      <c r="L245" s="7" t="e">
        <f>IF(B245&gt;LeasingHab!$C$18,0,PMT(LeasingHab!$E$17,LeasingHab!$C$18,-LeasingHab!$C$15,,)-PMT(LeasingHab!$E$17,LeasingHab!$C$18,-LeasingHab!$C$22)+LeasingHab!$C$22*LeasingHab!$E$17)</f>
        <v>#VALUE!</v>
      </c>
      <c r="M245" s="9" t="e">
        <f t="shared" si="22"/>
        <v>#VALUE!</v>
      </c>
      <c r="N245" s="7" t="e">
        <f>IF((C244-1)&lt;$E$17,0,LeasingHab!$C$39)</f>
        <v>#VALUE!</v>
      </c>
      <c r="O245" s="9" t="e">
        <f t="shared" si="23"/>
        <v>#VALUE!</v>
      </c>
    </row>
    <row r="246" spans="2:15" ht="15.5" x14ac:dyDescent="0.35">
      <c r="B246" s="6" t="e">
        <f t="shared" si="24"/>
        <v>#VALUE!</v>
      </c>
      <c r="C246" s="7" t="e">
        <f t="shared" si="19"/>
        <v>#VALUE!</v>
      </c>
      <c r="D246" s="7" t="e">
        <f t="shared" si="20"/>
        <v>#VALUE!</v>
      </c>
      <c r="E246" s="7" t="e">
        <f>IF((C245-1)&lt;$E$17,0,C245*LeasingHab!$E$17)</f>
        <v>#VALUE!</v>
      </c>
      <c r="F246" s="8" t="e">
        <f>IF((C245-1)&lt;$E$17,"0",IF(LeasingHab!$D$27="Si",($C$19*(VLOOKUP(LeasingHab!$C$23,Seguros_Oblig!$A$3:$F$55,6,FALSE))),IF(LeasingHab!$C$10="TARIFA 1",(C245*(VLOOKUP(LeasingHab!$C$23,Seguros_Oblig!$A$3:$B$55,2,FALSE))),(C245*(VLOOKUP(LeasingHab!$C$23,Seguros_Oblig!$A$3:$D$55,4,FALSE))))))</f>
        <v>#VALUE!</v>
      </c>
      <c r="G246" s="8" t="e">
        <f>IF(LeasingHab!$C$10="TARIFA 1",(C245*(VLOOKUP(LeasingHab!$C$24,Seguros_Oblig!$A$3:$B$55,2,FALSE))),(C245*(VLOOKUP(LeasingHab!$C$24,Seguros_Oblig!$A$3:$D$55,4,FALSE))))</f>
        <v>#VALUE!</v>
      </c>
      <c r="H246" s="8" t="e">
        <f>IF(LeasingHab!$C$10="TARIFA 1",(C245*(VLOOKUP(LeasingHab!$C$25,Seguros_Oblig!$A$3:$B$55,2,FALSE))),(C245*(VLOOKUP(LeasingHab!$C$25,Seguros_Oblig!$A$3:$D$55,4,FALSE))))</f>
        <v>#VALUE!</v>
      </c>
      <c r="I246" s="8" t="e">
        <f>IF(LeasingHab!$C$10="TARIFA 1",(C245*(VLOOKUP(LeasingHab!$C$26,Seguros_Oblig!$A$3:$B$55,2,FALSE))),(C245*(VLOOKUP(LeasingHab!$C$26,Seguros_Oblig!$A$3:$D$55,4,FALSE))))</f>
        <v>#VALUE!</v>
      </c>
      <c r="J246" s="10">
        <f t="shared" si="21"/>
        <v>0</v>
      </c>
      <c r="K246" s="7" t="e">
        <f>IF((C245-1)&lt;$E$17,0,Seguros_Oblig!$K$2*(LeasingHab!$C$12*90%))</f>
        <v>#VALUE!</v>
      </c>
      <c r="L246" s="7" t="e">
        <f>IF(B246&gt;LeasingHab!$C$18,0,PMT(LeasingHab!$E$17,LeasingHab!$C$18,-LeasingHab!$C$15,,)-PMT(LeasingHab!$E$17,LeasingHab!$C$18,-LeasingHab!$C$22)+LeasingHab!$C$22*LeasingHab!$E$17)</f>
        <v>#VALUE!</v>
      </c>
      <c r="M246" s="9" t="e">
        <f t="shared" si="22"/>
        <v>#VALUE!</v>
      </c>
      <c r="N246" s="7" t="e">
        <f>IF((C245-1)&lt;$E$17,0,LeasingHab!$C$39)</f>
        <v>#VALUE!</v>
      </c>
      <c r="O246" s="9" t="e">
        <f t="shared" si="23"/>
        <v>#VALUE!</v>
      </c>
    </row>
    <row r="247" spans="2:15" ht="15.5" x14ac:dyDescent="0.35">
      <c r="B247" s="6" t="e">
        <f t="shared" si="24"/>
        <v>#VALUE!</v>
      </c>
      <c r="C247" s="7" t="e">
        <f t="shared" si="19"/>
        <v>#VALUE!</v>
      </c>
      <c r="D247" s="7" t="e">
        <f t="shared" si="20"/>
        <v>#VALUE!</v>
      </c>
      <c r="E247" s="7" t="e">
        <f>IF((C246-1)&lt;$E$17,0,C246*LeasingHab!$E$17)</f>
        <v>#VALUE!</v>
      </c>
      <c r="F247" s="8" t="e">
        <f>IF((C246-1)&lt;$E$17,"0",IF(LeasingHab!$D$27="Si",($C$19*(VLOOKUP(LeasingHab!$C$23,Seguros_Oblig!$A$3:$F$55,6,FALSE))),IF(LeasingHab!$C$10="TARIFA 1",(C246*(VLOOKUP(LeasingHab!$C$23,Seguros_Oblig!$A$3:$B$55,2,FALSE))),(C246*(VLOOKUP(LeasingHab!$C$23,Seguros_Oblig!$A$3:$D$55,4,FALSE))))))</f>
        <v>#VALUE!</v>
      </c>
      <c r="G247" s="8" t="e">
        <f>IF(LeasingHab!$C$10="TARIFA 1",(C246*(VLOOKUP(LeasingHab!$C$24,Seguros_Oblig!$A$3:$B$55,2,FALSE))),(C246*(VLOOKUP(LeasingHab!$C$24,Seguros_Oblig!$A$3:$D$55,4,FALSE))))</f>
        <v>#VALUE!</v>
      </c>
      <c r="H247" s="8" t="e">
        <f>IF(LeasingHab!$C$10="TARIFA 1",(C246*(VLOOKUP(LeasingHab!$C$25,Seguros_Oblig!$A$3:$B$55,2,FALSE))),(C246*(VLOOKUP(LeasingHab!$C$25,Seguros_Oblig!$A$3:$D$55,4,FALSE))))</f>
        <v>#VALUE!</v>
      </c>
      <c r="I247" s="8" t="e">
        <f>IF(LeasingHab!$C$10="TARIFA 1",(C246*(VLOOKUP(LeasingHab!$C$26,Seguros_Oblig!$A$3:$B$55,2,FALSE))),(C246*(VLOOKUP(LeasingHab!$C$26,Seguros_Oblig!$A$3:$D$55,4,FALSE))))</f>
        <v>#VALUE!</v>
      </c>
      <c r="J247" s="10">
        <f t="shared" si="21"/>
        <v>0</v>
      </c>
      <c r="K247" s="7" t="e">
        <f>IF((C246-1)&lt;$E$17,0,Seguros_Oblig!$K$2*(LeasingHab!$C$12*90%))</f>
        <v>#VALUE!</v>
      </c>
      <c r="L247" s="7" t="e">
        <f>IF(B247&gt;LeasingHab!$C$18,0,PMT(LeasingHab!$E$17,LeasingHab!$C$18,-LeasingHab!$C$15,,)-PMT(LeasingHab!$E$17,LeasingHab!$C$18,-LeasingHab!$C$22)+LeasingHab!$C$22*LeasingHab!$E$17)</f>
        <v>#VALUE!</v>
      </c>
      <c r="M247" s="9" t="e">
        <f t="shared" si="22"/>
        <v>#VALUE!</v>
      </c>
      <c r="N247" s="7" t="e">
        <f>IF((C246-1)&lt;$E$17,0,LeasingHab!$C$39)</f>
        <v>#VALUE!</v>
      </c>
      <c r="O247" s="9" t="e">
        <f t="shared" si="23"/>
        <v>#VALUE!</v>
      </c>
    </row>
    <row r="248" spans="2:15" ht="15.5" x14ac:dyDescent="0.35">
      <c r="B248" s="6" t="e">
        <f t="shared" si="24"/>
        <v>#VALUE!</v>
      </c>
      <c r="C248" s="7" t="e">
        <f t="shared" si="19"/>
        <v>#VALUE!</v>
      </c>
      <c r="D248" s="7" t="e">
        <f t="shared" si="20"/>
        <v>#VALUE!</v>
      </c>
      <c r="E248" s="7" t="e">
        <f>IF((C247-1)&lt;$E$17,0,C247*LeasingHab!$E$17)</f>
        <v>#VALUE!</v>
      </c>
      <c r="F248" s="8" t="e">
        <f>IF((C247-1)&lt;$E$17,"0",IF(LeasingHab!$D$27="Si",($C$19*(VLOOKUP(LeasingHab!$C$23,Seguros_Oblig!$A$3:$F$55,6,FALSE))),IF(LeasingHab!$C$10="TARIFA 1",(C247*(VLOOKUP(LeasingHab!$C$23,Seguros_Oblig!$A$3:$B$55,2,FALSE))),(C247*(VLOOKUP(LeasingHab!$C$23,Seguros_Oblig!$A$3:$D$55,4,FALSE))))))</f>
        <v>#VALUE!</v>
      </c>
      <c r="G248" s="8" t="e">
        <f>IF(LeasingHab!$C$10="TARIFA 1",(C247*(VLOOKUP(LeasingHab!$C$24,Seguros_Oblig!$A$3:$B$55,2,FALSE))),(C247*(VLOOKUP(LeasingHab!$C$24,Seguros_Oblig!$A$3:$D$55,4,FALSE))))</f>
        <v>#VALUE!</v>
      </c>
      <c r="H248" s="8" t="e">
        <f>IF(LeasingHab!$C$10="TARIFA 1",(C247*(VLOOKUP(LeasingHab!$C$25,Seguros_Oblig!$A$3:$B$55,2,FALSE))),(C247*(VLOOKUP(LeasingHab!$C$25,Seguros_Oblig!$A$3:$D$55,4,FALSE))))</f>
        <v>#VALUE!</v>
      </c>
      <c r="I248" s="8" t="e">
        <f>IF(LeasingHab!$C$10="TARIFA 1",(C247*(VLOOKUP(LeasingHab!$C$26,Seguros_Oblig!$A$3:$B$55,2,FALSE))),(C247*(VLOOKUP(LeasingHab!$C$26,Seguros_Oblig!$A$3:$D$55,4,FALSE))))</f>
        <v>#VALUE!</v>
      </c>
      <c r="J248" s="10">
        <f t="shared" si="21"/>
        <v>0</v>
      </c>
      <c r="K248" s="7" t="e">
        <f>IF((C247-1)&lt;$E$17,0,Seguros_Oblig!$K$2*(LeasingHab!$C$12*90%))</f>
        <v>#VALUE!</v>
      </c>
      <c r="L248" s="7" t="e">
        <f>IF(B248&gt;LeasingHab!$C$18,0,PMT(LeasingHab!$E$17,LeasingHab!$C$18,-LeasingHab!$C$15,,)-PMT(LeasingHab!$E$17,LeasingHab!$C$18,-LeasingHab!$C$22)+LeasingHab!$C$22*LeasingHab!$E$17)</f>
        <v>#VALUE!</v>
      </c>
      <c r="M248" s="9" t="e">
        <f t="shared" si="22"/>
        <v>#VALUE!</v>
      </c>
      <c r="N248" s="7" t="e">
        <f>IF((C247-1)&lt;$E$17,0,LeasingHab!$C$39)</f>
        <v>#VALUE!</v>
      </c>
      <c r="O248" s="9" t="e">
        <f t="shared" si="23"/>
        <v>#VALUE!</v>
      </c>
    </row>
    <row r="249" spans="2:15" ht="15.5" x14ac:dyDescent="0.35">
      <c r="B249" s="6" t="e">
        <f t="shared" si="24"/>
        <v>#VALUE!</v>
      </c>
      <c r="C249" s="7" t="e">
        <f t="shared" si="19"/>
        <v>#VALUE!</v>
      </c>
      <c r="D249" s="7" t="e">
        <f t="shared" si="20"/>
        <v>#VALUE!</v>
      </c>
      <c r="E249" s="7" t="e">
        <f>IF((C248-1)&lt;$E$17,0,C248*LeasingHab!$E$17)</f>
        <v>#VALUE!</v>
      </c>
      <c r="F249" s="8" t="e">
        <f>IF((C248-1)&lt;$E$17,"0",IF(LeasingHab!$D$27="Si",($C$19*(VLOOKUP(LeasingHab!$C$23,Seguros_Oblig!$A$3:$F$55,6,FALSE))),IF(LeasingHab!$C$10="TARIFA 1",(C248*(VLOOKUP(LeasingHab!$C$23,Seguros_Oblig!$A$3:$B$55,2,FALSE))),(C248*(VLOOKUP(LeasingHab!$C$23,Seguros_Oblig!$A$3:$D$55,4,FALSE))))))</f>
        <v>#VALUE!</v>
      </c>
      <c r="G249" s="8" t="e">
        <f>IF(LeasingHab!$C$10="TARIFA 1",(C248*(VLOOKUP(LeasingHab!$C$24,Seguros_Oblig!$A$3:$B$55,2,FALSE))),(C248*(VLOOKUP(LeasingHab!$C$24,Seguros_Oblig!$A$3:$D$55,4,FALSE))))</f>
        <v>#VALUE!</v>
      </c>
      <c r="H249" s="8" t="e">
        <f>IF(LeasingHab!$C$10="TARIFA 1",(C248*(VLOOKUP(LeasingHab!$C$25,Seguros_Oblig!$A$3:$B$55,2,FALSE))),(C248*(VLOOKUP(LeasingHab!$C$25,Seguros_Oblig!$A$3:$D$55,4,FALSE))))</f>
        <v>#VALUE!</v>
      </c>
      <c r="I249" s="8" t="e">
        <f>IF(LeasingHab!$C$10="TARIFA 1",(C248*(VLOOKUP(LeasingHab!$C$26,Seguros_Oblig!$A$3:$B$55,2,FALSE))),(C248*(VLOOKUP(LeasingHab!$C$26,Seguros_Oblig!$A$3:$D$55,4,FALSE))))</f>
        <v>#VALUE!</v>
      </c>
      <c r="J249" s="10">
        <f t="shared" si="21"/>
        <v>0</v>
      </c>
      <c r="K249" s="7" t="e">
        <f>IF((C248-1)&lt;$E$17,0,Seguros_Oblig!$K$2*(LeasingHab!$C$12*90%))</f>
        <v>#VALUE!</v>
      </c>
      <c r="L249" s="7" t="e">
        <f>IF(B249&gt;LeasingHab!$C$18,0,PMT(LeasingHab!$E$17,LeasingHab!$C$18,-LeasingHab!$C$15,,)-PMT(LeasingHab!$E$17,LeasingHab!$C$18,-LeasingHab!$C$22)+LeasingHab!$C$22*LeasingHab!$E$17)</f>
        <v>#VALUE!</v>
      </c>
      <c r="M249" s="9" t="e">
        <f t="shared" si="22"/>
        <v>#VALUE!</v>
      </c>
      <c r="N249" s="7" t="e">
        <f>IF((C248-1)&lt;$E$17,0,LeasingHab!$C$39)</f>
        <v>#VALUE!</v>
      </c>
      <c r="O249" s="9" t="e">
        <f t="shared" si="23"/>
        <v>#VALUE!</v>
      </c>
    </row>
    <row r="250" spans="2:15" ht="15.5" x14ac:dyDescent="0.35">
      <c r="B250" s="6" t="e">
        <f t="shared" si="24"/>
        <v>#VALUE!</v>
      </c>
      <c r="C250" s="7" t="e">
        <f t="shared" si="19"/>
        <v>#VALUE!</v>
      </c>
      <c r="D250" s="7" t="e">
        <f t="shared" si="20"/>
        <v>#VALUE!</v>
      </c>
      <c r="E250" s="7" t="e">
        <f>IF((C249-1)&lt;$E$17,0,C249*LeasingHab!$E$17)</f>
        <v>#VALUE!</v>
      </c>
      <c r="F250" s="8" t="e">
        <f>IF((C249-1)&lt;$E$17,"0",IF(LeasingHab!$D$27="Si",($C$19*(VLOOKUP(LeasingHab!$C$23,Seguros_Oblig!$A$3:$F$55,6,FALSE))),IF(LeasingHab!$C$10="TARIFA 1",(C249*(VLOOKUP(LeasingHab!$C$23,Seguros_Oblig!$A$3:$B$55,2,FALSE))),(C249*(VLOOKUP(LeasingHab!$C$23,Seguros_Oblig!$A$3:$D$55,4,FALSE))))))</f>
        <v>#VALUE!</v>
      </c>
      <c r="G250" s="8" t="e">
        <f>IF(LeasingHab!$C$10="TARIFA 1",(C249*(VLOOKUP(LeasingHab!$C$24,Seguros_Oblig!$A$3:$B$55,2,FALSE))),(C249*(VLOOKUP(LeasingHab!$C$24,Seguros_Oblig!$A$3:$D$55,4,FALSE))))</f>
        <v>#VALUE!</v>
      </c>
      <c r="H250" s="8" t="e">
        <f>IF(LeasingHab!$C$10="TARIFA 1",(C249*(VLOOKUP(LeasingHab!$C$25,Seguros_Oblig!$A$3:$B$55,2,FALSE))),(C249*(VLOOKUP(LeasingHab!$C$25,Seguros_Oblig!$A$3:$D$55,4,FALSE))))</f>
        <v>#VALUE!</v>
      </c>
      <c r="I250" s="8" t="e">
        <f>IF(LeasingHab!$C$10="TARIFA 1",(C249*(VLOOKUP(LeasingHab!$C$26,Seguros_Oblig!$A$3:$B$55,2,FALSE))),(C249*(VLOOKUP(LeasingHab!$C$26,Seguros_Oblig!$A$3:$D$55,4,FALSE))))</f>
        <v>#VALUE!</v>
      </c>
      <c r="J250" s="10">
        <f t="shared" si="21"/>
        <v>0</v>
      </c>
      <c r="K250" s="7" t="e">
        <f>IF((C249-1)&lt;$E$17,0,Seguros_Oblig!$K$2*(LeasingHab!$C$12*90%))</f>
        <v>#VALUE!</v>
      </c>
      <c r="L250" s="7" t="e">
        <f>IF(B250&gt;LeasingHab!$C$18,0,PMT(LeasingHab!$E$17,LeasingHab!$C$18,-LeasingHab!$C$15,,)-PMT(LeasingHab!$E$17,LeasingHab!$C$18,-LeasingHab!$C$22)+LeasingHab!$C$22*LeasingHab!$E$17)</f>
        <v>#VALUE!</v>
      </c>
      <c r="M250" s="9" t="e">
        <f t="shared" si="22"/>
        <v>#VALUE!</v>
      </c>
      <c r="N250" s="7" t="e">
        <f>IF((C249-1)&lt;$E$17,0,LeasingHab!$C$39)</f>
        <v>#VALUE!</v>
      </c>
      <c r="O250" s="9" t="e">
        <f t="shared" si="23"/>
        <v>#VALUE!</v>
      </c>
    </row>
    <row r="251" spans="2:15" ht="15.5" x14ac:dyDescent="0.35">
      <c r="B251" s="6" t="e">
        <f t="shared" si="24"/>
        <v>#VALUE!</v>
      </c>
      <c r="C251" s="7" t="e">
        <f t="shared" si="19"/>
        <v>#VALUE!</v>
      </c>
      <c r="D251" s="7" t="e">
        <f t="shared" si="20"/>
        <v>#VALUE!</v>
      </c>
      <c r="E251" s="7" t="e">
        <f>IF((C250-1)&lt;$E$17,0,C250*LeasingHab!$E$17)</f>
        <v>#VALUE!</v>
      </c>
      <c r="F251" s="8" t="e">
        <f>IF((C250-1)&lt;$E$17,"0",IF(LeasingHab!$D$27="Si",($C$19*(VLOOKUP(LeasingHab!$C$23,Seguros_Oblig!$A$3:$F$55,6,FALSE))),IF(LeasingHab!$C$10="TARIFA 1",(C250*(VLOOKUP(LeasingHab!$C$23,Seguros_Oblig!$A$3:$B$55,2,FALSE))),(C250*(VLOOKUP(LeasingHab!$C$23,Seguros_Oblig!$A$3:$D$55,4,FALSE))))))</f>
        <v>#VALUE!</v>
      </c>
      <c r="G251" s="8" t="e">
        <f>IF(LeasingHab!$C$10="TARIFA 1",(C250*(VLOOKUP(LeasingHab!$C$24,Seguros_Oblig!$A$3:$B$55,2,FALSE))),(C250*(VLOOKUP(LeasingHab!$C$24,Seguros_Oblig!$A$3:$D$55,4,FALSE))))</f>
        <v>#VALUE!</v>
      </c>
      <c r="H251" s="8" t="e">
        <f>IF(LeasingHab!$C$10="TARIFA 1",(C250*(VLOOKUP(LeasingHab!$C$25,Seguros_Oblig!$A$3:$B$55,2,FALSE))),(C250*(VLOOKUP(LeasingHab!$C$25,Seguros_Oblig!$A$3:$D$55,4,FALSE))))</f>
        <v>#VALUE!</v>
      </c>
      <c r="I251" s="8" t="e">
        <f>IF(LeasingHab!$C$10="TARIFA 1",(C250*(VLOOKUP(LeasingHab!$C$26,Seguros_Oblig!$A$3:$B$55,2,FALSE))),(C250*(VLOOKUP(LeasingHab!$C$26,Seguros_Oblig!$A$3:$D$55,4,FALSE))))</f>
        <v>#VALUE!</v>
      </c>
      <c r="J251" s="10">
        <f t="shared" si="21"/>
        <v>0</v>
      </c>
      <c r="K251" s="7" t="e">
        <f>IF((C250-1)&lt;$E$17,0,Seguros_Oblig!$K$2*(LeasingHab!$C$12*90%))</f>
        <v>#VALUE!</v>
      </c>
      <c r="L251" s="7" t="e">
        <f>IF(B251&gt;LeasingHab!$C$18,0,PMT(LeasingHab!$E$17,LeasingHab!$C$18,-LeasingHab!$C$15,,)-PMT(LeasingHab!$E$17,LeasingHab!$C$18,-LeasingHab!$C$22)+LeasingHab!$C$22*LeasingHab!$E$17)</f>
        <v>#VALUE!</v>
      </c>
      <c r="M251" s="9" t="e">
        <f t="shared" si="22"/>
        <v>#VALUE!</v>
      </c>
      <c r="N251" s="7" t="e">
        <f>IF((C250-1)&lt;$E$17,0,LeasingHab!$C$39)</f>
        <v>#VALUE!</v>
      </c>
      <c r="O251" s="9" t="e">
        <f t="shared" si="23"/>
        <v>#VALUE!</v>
      </c>
    </row>
    <row r="252" spans="2:15" ht="15.5" x14ac:dyDescent="0.35">
      <c r="B252" s="6" t="e">
        <f t="shared" si="24"/>
        <v>#VALUE!</v>
      </c>
      <c r="C252" s="7" t="e">
        <f t="shared" si="19"/>
        <v>#VALUE!</v>
      </c>
      <c r="D252" s="7" t="e">
        <f t="shared" si="20"/>
        <v>#VALUE!</v>
      </c>
      <c r="E252" s="7" t="e">
        <f>IF((C251-1)&lt;$E$17,0,C251*LeasingHab!$E$17)</f>
        <v>#VALUE!</v>
      </c>
      <c r="F252" s="8" t="e">
        <f>IF((C251-1)&lt;$E$17,"0",IF(LeasingHab!$D$27="Si",($C$19*(VLOOKUP(LeasingHab!$C$23,Seguros_Oblig!$A$3:$F$55,6,FALSE))),IF(LeasingHab!$C$10="TARIFA 1",(C251*(VLOOKUP(LeasingHab!$C$23,Seguros_Oblig!$A$3:$B$55,2,FALSE))),(C251*(VLOOKUP(LeasingHab!$C$23,Seguros_Oblig!$A$3:$D$55,4,FALSE))))))</f>
        <v>#VALUE!</v>
      </c>
      <c r="G252" s="8" t="e">
        <f>IF(LeasingHab!$C$10="TARIFA 1",(C251*(VLOOKUP(LeasingHab!$C$24,Seguros_Oblig!$A$3:$B$55,2,FALSE))),(C251*(VLOOKUP(LeasingHab!$C$24,Seguros_Oblig!$A$3:$D$55,4,FALSE))))</f>
        <v>#VALUE!</v>
      </c>
      <c r="H252" s="8" t="e">
        <f>IF(LeasingHab!$C$10="TARIFA 1",(C251*(VLOOKUP(LeasingHab!$C$25,Seguros_Oblig!$A$3:$B$55,2,FALSE))),(C251*(VLOOKUP(LeasingHab!$C$25,Seguros_Oblig!$A$3:$D$55,4,FALSE))))</f>
        <v>#VALUE!</v>
      </c>
      <c r="I252" s="8" t="e">
        <f>IF(LeasingHab!$C$10="TARIFA 1",(C251*(VLOOKUP(LeasingHab!$C$26,Seguros_Oblig!$A$3:$B$55,2,FALSE))),(C251*(VLOOKUP(LeasingHab!$C$26,Seguros_Oblig!$A$3:$D$55,4,FALSE))))</f>
        <v>#VALUE!</v>
      </c>
      <c r="J252" s="10">
        <f t="shared" si="21"/>
        <v>0</v>
      </c>
      <c r="K252" s="7" t="e">
        <f>IF((C251-1)&lt;$E$17,0,Seguros_Oblig!$K$2*(LeasingHab!$C$12*90%))</f>
        <v>#VALUE!</v>
      </c>
      <c r="L252" s="7" t="e">
        <f>IF(B252&gt;LeasingHab!$C$18,0,PMT(LeasingHab!$E$17,LeasingHab!$C$18,-LeasingHab!$C$15,,)-PMT(LeasingHab!$E$17,LeasingHab!$C$18,-LeasingHab!$C$22)+LeasingHab!$C$22*LeasingHab!$E$17)</f>
        <v>#VALUE!</v>
      </c>
      <c r="M252" s="9" t="e">
        <f t="shared" si="22"/>
        <v>#VALUE!</v>
      </c>
      <c r="N252" s="7" t="e">
        <f>IF((C251-1)&lt;$E$17,0,LeasingHab!$C$39)</f>
        <v>#VALUE!</v>
      </c>
      <c r="O252" s="9" t="e">
        <f t="shared" si="23"/>
        <v>#VALUE!</v>
      </c>
    </row>
    <row r="253" spans="2:15" ht="15.5" x14ac:dyDescent="0.35">
      <c r="B253" s="6" t="e">
        <f t="shared" si="24"/>
        <v>#VALUE!</v>
      </c>
      <c r="C253" s="7" t="e">
        <f t="shared" si="19"/>
        <v>#VALUE!</v>
      </c>
      <c r="D253" s="7" t="e">
        <f t="shared" si="20"/>
        <v>#VALUE!</v>
      </c>
      <c r="E253" s="7" t="e">
        <f>IF((C252-1)&lt;$E$17,0,C252*LeasingHab!$E$17)</f>
        <v>#VALUE!</v>
      </c>
      <c r="F253" s="8" t="e">
        <f>IF((C252-1)&lt;$E$17,"0",IF(LeasingHab!$D$27="Si",($C$19*(VLOOKUP(LeasingHab!$C$23,Seguros_Oblig!$A$3:$F$55,6,FALSE))),IF(LeasingHab!$C$10="TARIFA 1",(C252*(VLOOKUP(LeasingHab!$C$23,Seguros_Oblig!$A$3:$B$55,2,FALSE))),(C252*(VLOOKUP(LeasingHab!$C$23,Seguros_Oblig!$A$3:$D$55,4,FALSE))))))</f>
        <v>#VALUE!</v>
      </c>
      <c r="G253" s="8" t="e">
        <f>IF(LeasingHab!$C$10="TARIFA 1",(C252*(VLOOKUP(LeasingHab!$C$24,Seguros_Oblig!$A$3:$B$55,2,FALSE))),(C252*(VLOOKUP(LeasingHab!$C$24,Seguros_Oblig!$A$3:$D$55,4,FALSE))))</f>
        <v>#VALUE!</v>
      </c>
      <c r="H253" s="8" t="e">
        <f>IF(LeasingHab!$C$10="TARIFA 1",(C252*(VLOOKUP(LeasingHab!$C$25,Seguros_Oblig!$A$3:$B$55,2,FALSE))),(C252*(VLOOKUP(LeasingHab!$C$25,Seguros_Oblig!$A$3:$D$55,4,FALSE))))</f>
        <v>#VALUE!</v>
      </c>
      <c r="I253" s="8" t="e">
        <f>IF(LeasingHab!$C$10="TARIFA 1",(C252*(VLOOKUP(LeasingHab!$C$26,Seguros_Oblig!$A$3:$B$55,2,FALSE))),(C252*(VLOOKUP(LeasingHab!$C$26,Seguros_Oblig!$A$3:$D$55,4,FALSE))))</f>
        <v>#VALUE!</v>
      </c>
      <c r="J253" s="10">
        <f t="shared" si="21"/>
        <v>0</v>
      </c>
      <c r="K253" s="7" t="e">
        <f>IF((C252-1)&lt;$E$17,0,Seguros_Oblig!$K$2*(LeasingHab!$C$12*90%))</f>
        <v>#VALUE!</v>
      </c>
      <c r="L253" s="7" t="e">
        <f>IF(B253&gt;LeasingHab!$C$18,0,PMT(LeasingHab!$E$17,LeasingHab!$C$18,-LeasingHab!$C$15,,)-PMT(LeasingHab!$E$17,LeasingHab!$C$18,-LeasingHab!$C$22)+LeasingHab!$C$22*LeasingHab!$E$17)</f>
        <v>#VALUE!</v>
      </c>
      <c r="M253" s="9" t="e">
        <f t="shared" si="22"/>
        <v>#VALUE!</v>
      </c>
      <c r="N253" s="7" t="e">
        <f>IF((C252-1)&lt;$E$17,0,LeasingHab!$C$39)</f>
        <v>#VALUE!</v>
      </c>
      <c r="O253" s="9" t="e">
        <f t="shared" si="23"/>
        <v>#VALUE!</v>
      </c>
    </row>
    <row r="254" spans="2:15" ht="15.5" x14ac:dyDescent="0.35">
      <c r="B254" s="6" t="e">
        <f t="shared" si="24"/>
        <v>#VALUE!</v>
      </c>
      <c r="C254" s="7" t="e">
        <f t="shared" si="19"/>
        <v>#VALUE!</v>
      </c>
      <c r="D254" s="7" t="e">
        <f t="shared" si="20"/>
        <v>#VALUE!</v>
      </c>
      <c r="E254" s="7" t="e">
        <f>IF((C253-1)&lt;$E$17,0,C253*LeasingHab!$E$17)</f>
        <v>#VALUE!</v>
      </c>
      <c r="F254" s="8" t="e">
        <f>IF((C253-1)&lt;$E$17,"0",IF(LeasingHab!$D$27="Si",($C$19*(VLOOKUP(LeasingHab!$C$23,Seguros_Oblig!$A$3:$F$55,6,FALSE))),IF(LeasingHab!$C$10="TARIFA 1",(C253*(VLOOKUP(LeasingHab!$C$23,Seguros_Oblig!$A$3:$B$55,2,FALSE))),(C253*(VLOOKUP(LeasingHab!$C$23,Seguros_Oblig!$A$3:$D$55,4,FALSE))))))</f>
        <v>#VALUE!</v>
      </c>
      <c r="G254" s="8" t="e">
        <f>IF(LeasingHab!$C$10="TARIFA 1",(C253*(VLOOKUP(LeasingHab!$C$24,Seguros_Oblig!$A$3:$B$55,2,FALSE))),(C253*(VLOOKUP(LeasingHab!$C$24,Seguros_Oblig!$A$3:$D$55,4,FALSE))))</f>
        <v>#VALUE!</v>
      </c>
      <c r="H254" s="8" t="e">
        <f>IF(LeasingHab!$C$10="TARIFA 1",(C253*(VLOOKUP(LeasingHab!$C$25,Seguros_Oblig!$A$3:$B$55,2,FALSE))),(C253*(VLOOKUP(LeasingHab!$C$25,Seguros_Oblig!$A$3:$D$55,4,FALSE))))</f>
        <v>#VALUE!</v>
      </c>
      <c r="I254" s="8" t="e">
        <f>IF(LeasingHab!$C$10="TARIFA 1",(C253*(VLOOKUP(LeasingHab!$C$26,Seguros_Oblig!$A$3:$B$55,2,FALSE))),(C253*(VLOOKUP(LeasingHab!$C$26,Seguros_Oblig!$A$3:$D$55,4,FALSE))))</f>
        <v>#VALUE!</v>
      </c>
      <c r="J254" s="10">
        <f t="shared" si="21"/>
        <v>0</v>
      </c>
      <c r="K254" s="7" t="e">
        <f>IF((C253-1)&lt;$E$17,0,Seguros_Oblig!$K$2*(LeasingHab!$C$12*90%))</f>
        <v>#VALUE!</v>
      </c>
      <c r="L254" s="7" t="e">
        <f>IF(B254&gt;LeasingHab!$C$18,0,PMT(LeasingHab!$E$17,LeasingHab!$C$18,-LeasingHab!$C$15,,)-PMT(LeasingHab!$E$17,LeasingHab!$C$18,-LeasingHab!$C$22)+LeasingHab!$C$22*LeasingHab!$E$17)</f>
        <v>#VALUE!</v>
      </c>
      <c r="M254" s="9" t="e">
        <f t="shared" si="22"/>
        <v>#VALUE!</v>
      </c>
      <c r="N254" s="7" t="e">
        <f>IF((C253-1)&lt;$E$17,0,LeasingHab!$C$39)</f>
        <v>#VALUE!</v>
      </c>
      <c r="O254" s="9" t="e">
        <f t="shared" si="23"/>
        <v>#VALUE!</v>
      </c>
    </row>
    <row r="255" spans="2:15" ht="15.5" x14ac:dyDescent="0.35">
      <c r="B255" s="6" t="e">
        <f t="shared" si="24"/>
        <v>#VALUE!</v>
      </c>
      <c r="C255" s="7" t="e">
        <f t="shared" si="19"/>
        <v>#VALUE!</v>
      </c>
      <c r="D255" s="7" t="e">
        <f t="shared" si="20"/>
        <v>#VALUE!</v>
      </c>
      <c r="E255" s="7" t="e">
        <f>IF((C254-1)&lt;$E$17,0,C254*LeasingHab!$E$17)</f>
        <v>#VALUE!</v>
      </c>
      <c r="F255" s="8" t="e">
        <f>IF((C254-1)&lt;$E$17,"0",IF(LeasingHab!$D$27="Si",($C$19*(VLOOKUP(LeasingHab!$C$23,Seguros_Oblig!$A$3:$F$55,6,FALSE))),IF(LeasingHab!$C$10="TARIFA 1",(C254*(VLOOKUP(LeasingHab!$C$23,Seguros_Oblig!$A$3:$B$55,2,FALSE))),(C254*(VLOOKUP(LeasingHab!$C$23,Seguros_Oblig!$A$3:$D$55,4,FALSE))))))</f>
        <v>#VALUE!</v>
      </c>
      <c r="G255" s="8" t="e">
        <f>IF(LeasingHab!$C$10="TARIFA 1",(C254*(VLOOKUP(LeasingHab!$C$24,Seguros_Oblig!$A$3:$B$55,2,FALSE))),(C254*(VLOOKUP(LeasingHab!$C$24,Seguros_Oblig!$A$3:$D$55,4,FALSE))))</f>
        <v>#VALUE!</v>
      </c>
      <c r="H255" s="8" t="e">
        <f>IF(LeasingHab!$C$10="TARIFA 1",(C254*(VLOOKUP(LeasingHab!$C$25,Seguros_Oblig!$A$3:$B$55,2,FALSE))),(C254*(VLOOKUP(LeasingHab!$C$25,Seguros_Oblig!$A$3:$D$55,4,FALSE))))</f>
        <v>#VALUE!</v>
      </c>
      <c r="I255" s="8" t="e">
        <f>IF(LeasingHab!$C$10="TARIFA 1",(C254*(VLOOKUP(LeasingHab!$C$26,Seguros_Oblig!$A$3:$B$55,2,FALSE))),(C254*(VLOOKUP(LeasingHab!$C$26,Seguros_Oblig!$A$3:$D$55,4,FALSE))))</f>
        <v>#VALUE!</v>
      </c>
      <c r="J255" s="10">
        <f t="shared" si="21"/>
        <v>0</v>
      </c>
      <c r="K255" s="7" t="e">
        <f>IF((C254-1)&lt;$E$17,0,Seguros_Oblig!$K$2*(LeasingHab!$C$12*90%))</f>
        <v>#VALUE!</v>
      </c>
      <c r="L255" s="7" t="e">
        <f>IF(B255&gt;LeasingHab!$C$18,0,PMT(LeasingHab!$E$17,LeasingHab!$C$18,-LeasingHab!$C$15,,)-PMT(LeasingHab!$E$17,LeasingHab!$C$18,-LeasingHab!$C$22)+LeasingHab!$C$22*LeasingHab!$E$17)</f>
        <v>#VALUE!</v>
      </c>
      <c r="M255" s="9" t="e">
        <f t="shared" si="22"/>
        <v>#VALUE!</v>
      </c>
      <c r="N255" s="7" t="e">
        <f>IF((C254-1)&lt;$E$17,0,LeasingHab!$C$39)</f>
        <v>#VALUE!</v>
      </c>
      <c r="O255" s="9" t="e">
        <f t="shared" si="23"/>
        <v>#VALUE!</v>
      </c>
    </row>
    <row r="256" spans="2:15" ht="15.5" x14ac:dyDescent="0.35">
      <c r="B256" s="6" t="e">
        <f>IF(C255&gt;1,B255+1," ")</f>
        <v>#VALUE!</v>
      </c>
      <c r="C256" s="7" t="e">
        <f t="shared" si="19"/>
        <v>#VALUE!</v>
      </c>
      <c r="D256" s="7" t="e">
        <f t="shared" si="20"/>
        <v>#VALUE!</v>
      </c>
      <c r="E256" s="7" t="e">
        <f>IF((C255-1)&lt;$E$17,0,C255*LeasingHab!$E$17)</f>
        <v>#VALUE!</v>
      </c>
      <c r="F256" s="8" t="e">
        <f>IF((C255-1)&lt;$E$17,"0",IF(LeasingHab!$D$27="Si",($C$19*(VLOOKUP(LeasingHab!$C$23,Seguros_Oblig!$A$3:$F$55,6,FALSE))),IF(LeasingHab!$C$10="TARIFA 1",(C255*(VLOOKUP(LeasingHab!$C$23,Seguros_Oblig!$A$3:$B$55,2,FALSE))),(C255*(VLOOKUP(LeasingHab!$C$23,Seguros_Oblig!$A$3:$D$55,4,FALSE))))))</f>
        <v>#VALUE!</v>
      </c>
      <c r="G256" s="8" t="e">
        <f>IF(LeasingHab!$C$10="TARIFA 1",(C255*(VLOOKUP(LeasingHab!$C$24,Seguros_Oblig!$A$3:$B$55,2,FALSE))),(C255*(VLOOKUP(LeasingHab!$C$24,Seguros_Oblig!$A$3:$D$55,4,FALSE))))</f>
        <v>#VALUE!</v>
      </c>
      <c r="H256" s="8" t="e">
        <f>IF(LeasingHab!$C$10="TARIFA 1",(C255*(VLOOKUP(LeasingHab!$C$25,Seguros_Oblig!$A$3:$B$55,2,FALSE))),(C255*(VLOOKUP(LeasingHab!$C$25,Seguros_Oblig!$A$3:$D$55,4,FALSE))))</f>
        <v>#VALUE!</v>
      </c>
      <c r="I256" s="8" t="e">
        <f>IF(LeasingHab!$C$10="TARIFA 1",(C255*(VLOOKUP(LeasingHab!$C$26,Seguros_Oblig!$A$3:$B$55,2,FALSE))),(C255*(VLOOKUP(LeasingHab!$C$26,Seguros_Oblig!$A$3:$D$55,4,FALSE))))</f>
        <v>#VALUE!</v>
      </c>
      <c r="J256" s="10">
        <f t="shared" si="21"/>
        <v>0</v>
      </c>
      <c r="K256" s="7" t="e">
        <f>IF((C255-1)&lt;$E$17,0,Seguros_Oblig!$K$2*(LeasingHab!$C$12*90%))</f>
        <v>#VALUE!</v>
      </c>
      <c r="L256" s="7" t="e">
        <f>IF(B256&gt;LeasingHab!$C$18,0,PMT(LeasingHab!$E$17,LeasingHab!$C$18,-LeasingHab!$C$15,,)-PMT(LeasingHab!$E$17,LeasingHab!$C$18,-LeasingHab!$C$22)+LeasingHab!$C$22*LeasingHab!$E$17)</f>
        <v>#VALUE!</v>
      </c>
      <c r="M256" s="9" t="e">
        <f t="shared" si="22"/>
        <v>#VALUE!</v>
      </c>
      <c r="N256" s="7" t="e">
        <f>IF((C255-1)&lt;$E$17,0,LeasingHab!$C$39)</f>
        <v>#VALUE!</v>
      </c>
      <c r="O256" s="9" t="e">
        <f t="shared" si="23"/>
        <v>#VALUE!</v>
      </c>
    </row>
    <row r="257" spans="2:15" ht="15.5" x14ac:dyDescent="0.35">
      <c r="B257" s="6" t="e">
        <f t="shared" si="24"/>
        <v>#VALUE!</v>
      </c>
      <c r="C257" s="7" t="e">
        <f t="shared" si="19"/>
        <v>#VALUE!</v>
      </c>
      <c r="D257" s="7" t="e">
        <f t="shared" si="20"/>
        <v>#VALUE!</v>
      </c>
      <c r="E257" s="7" t="e">
        <f>IF((C256-1)&lt;$E$17,0,C256*LeasingHab!$E$17)</f>
        <v>#VALUE!</v>
      </c>
      <c r="F257" s="8" t="e">
        <f>IF((C256-1)&lt;$E$17,"0",IF(LeasingHab!$D$27="Si",($C$19*(VLOOKUP(LeasingHab!$C$23,Seguros_Oblig!$A$3:$F$55,6,FALSE))),IF(LeasingHab!$C$10="TARIFA 1",(C256*(VLOOKUP(LeasingHab!$C$23,Seguros_Oblig!$A$3:$B$55,2,FALSE))),(C256*(VLOOKUP(LeasingHab!$C$23,Seguros_Oblig!$A$3:$D$55,4,FALSE))))))</f>
        <v>#VALUE!</v>
      </c>
      <c r="G257" s="8" t="e">
        <f>IF(LeasingHab!$C$10="TARIFA 1",(C256*(VLOOKUP(LeasingHab!$C$24,Seguros_Oblig!$A$3:$B$55,2,FALSE))),(C256*(VLOOKUP(LeasingHab!$C$24,Seguros_Oblig!$A$3:$D$55,4,FALSE))))</f>
        <v>#VALUE!</v>
      </c>
      <c r="H257" s="8" t="e">
        <f>IF(LeasingHab!$C$10="TARIFA 1",(C256*(VLOOKUP(LeasingHab!$C$25,Seguros_Oblig!$A$3:$B$55,2,FALSE))),(C256*(VLOOKUP(LeasingHab!$C$25,Seguros_Oblig!$A$3:$D$55,4,FALSE))))</f>
        <v>#VALUE!</v>
      </c>
      <c r="I257" s="8" t="e">
        <f>IF(LeasingHab!$C$10="TARIFA 1",(C256*(VLOOKUP(LeasingHab!$C$26,Seguros_Oblig!$A$3:$B$55,2,FALSE))),(C256*(VLOOKUP(LeasingHab!$C$26,Seguros_Oblig!$A$3:$D$55,4,FALSE))))</f>
        <v>#VALUE!</v>
      </c>
      <c r="J257" s="10">
        <f t="shared" si="21"/>
        <v>0</v>
      </c>
      <c r="K257" s="7" t="e">
        <f>IF((C256-1)&lt;$E$17,0,Seguros_Oblig!$K$2*(LeasingHab!$C$12*90%))</f>
        <v>#VALUE!</v>
      </c>
      <c r="L257" s="7" t="e">
        <f>IF(B257&gt;LeasingHab!$C$18,0,PMT(LeasingHab!$E$17,LeasingHab!$C$18,-LeasingHab!$C$15,,)-PMT(LeasingHab!$E$17,LeasingHab!$C$18,-LeasingHab!$C$22)+LeasingHab!$C$22*LeasingHab!$E$17)</f>
        <v>#VALUE!</v>
      </c>
      <c r="M257" s="9" t="e">
        <f t="shared" si="22"/>
        <v>#VALUE!</v>
      </c>
      <c r="N257" s="7" t="e">
        <f>IF((C256-1)&lt;$E$17,0,LeasingHab!$C$39)</f>
        <v>#VALUE!</v>
      </c>
      <c r="O257" s="9" t="e">
        <f t="shared" si="23"/>
        <v>#VALUE!</v>
      </c>
    </row>
    <row r="258" spans="2:15" ht="15.5" x14ac:dyDescent="0.35">
      <c r="B258" s="6" t="e">
        <f t="shared" si="24"/>
        <v>#VALUE!</v>
      </c>
      <c r="C258" s="7" t="e">
        <f t="shared" si="19"/>
        <v>#VALUE!</v>
      </c>
      <c r="D258" s="7" t="e">
        <f t="shared" si="20"/>
        <v>#VALUE!</v>
      </c>
      <c r="E258" s="7" t="e">
        <f>IF((C257-1)&lt;$E$17,0,C257*LeasingHab!$E$17)</f>
        <v>#VALUE!</v>
      </c>
      <c r="F258" s="8" t="e">
        <f>IF((C257-1)&lt;$E$17,"0",IF(LeasingHab!$D$27="Si",($C$19*(VLOOKUP(LeasingHab!$C$23,Seguros_Oblig!$A$3:$F$55,6,FALSE))),IF(LeasingHab!$C$10="TARIFA 1",(C257*(VLOOKUP(LeasingHab!$C$23,Seguros_Oblig!$A$3:$B$55,2,FALSE))),(C257*(VLOOKUP(LeasingHab!$C$23,Seguros_Oblig!$A$3:$D$55,4,FALSE))))))</f>
        <v>#VALUE!</v>
      </c>
      <c r="G258" s="8" t="e">
        <f>IF(LeasingHab!$C$10="TARIFA 1",(C257*(VLOOKUP(LeasingHab!$C$24,Seguros_Oblig!$A$3:$B$55,2,FALSE))),(C257*(VLOOKUP(LeasingHab!$C$24,Seguros_Oblig!$A$3:$D$55,4,FALSE))))</f>
        <v>#VALUE!</v>
      </c>
      <c r="H258" s="8" t="e">
        <f>IF(LeasingHab!$C$10="TARIFA 1",(C257*(VLOOKUP(LeasingHab!$C$25,Seguros_Oblig!$A$3:$B$55,2,FALSE))),(C257*(VLOOKUP(LeasingHab!$C$25,Seguros_Oblig!$A$3:$D$55,4,FALSE))))</f>
        <v>#VALUE!</v>
      </c>
      <c r="I258" s="8" t="e">
        <f>IF(LeasingHab!$C$10="TARIFA 1",(C257*(VLOOKUP(LeasingHab!$C$26,Seguros_Oblig!$A$3:$B$55,2,FALSE))),(C257*(VLOOKUP(LeasingHab!$C$26,Seguros_Oblig!$A$3:$D$55,4,FALSE))))</f>
        <v>#VALUE!</v>
      </c>
      <c r="J258" s="10">
        <f t="shared" si="21"/>
        <v>0</v>
      </c>
      <c r="K258" s="7" t="e">
        <f>IF((C257-1)&lt;$E$17,0,Seguros_Oblig!$K$2*(LeasingHab!$C$12*90%))</f>
        <v>#VALUE!</v>
      </c>
      <c r="L258" s="7" t="e">
        <f>IF(B258&gt;LeasingHab!$C$18,0,PMT(LeasingHab!$E$17,LeasingHab!$C$18,-LeasingHab!$C$15,,)-PMT(LeasingHab!$E$17,LeasingHab!$C$18,-LeasingHab!$C$22)+LeasingHab!$C$22*LeasingHab!$E$17)</f>
        <v>#VALUE!</v>
      </c>
      <c r="M258" s="9" t="e">
        <f t="shared" si="22"/>
        <v>#VALUE!</v>
      </c>
      <c r="N258" s="7" t="e">
        <f>IF((C257-1)&lt;$E$17,0,LeasingHab!$C$39)</f>
        <v>#VALUE!</v>
      </c>
      <c r="O258" s="9" t="e">
        <f t="shared" si="23"/>
        <v>#VALUE!</v>
      </c>
    </row>
    <row r="259" spans="2:15" ht="15.5" x14ac:dyDescent="0.35">
      <c r="B259" s="6" t="e">
        <f t="shared" si="24"/>
        <v>#VALUE!</v>
      </c>
      <c r="C259" s="7" t="e">
        <f t="shared" si="19"/>
        <v>#VALUE!</v>
      </c>
      <c r="D259" s="7" t="e">
        <f t="shared" si="20"/>
        <v>#VALUE!</v>
      </c>
      <c r="E259" s="7" t="e">
        <f>IF((C258-1)&lt;$E$17,0,C258*LeasingHab!$E$17)</f>
        <v>#VALUE!</v>
      </c>
      <c r="F259" s="8" t="e">
        <f>IF((C258-1)&lt;$E$17,"0",IF(LeasingHab!$D$27="Si",($C$19*(VLOOKUP(LeasingHab!$C$23,Seguros_Oblig!$A$3:$F$55,6,FALSE))),IF(LeasingHab!$C$10="TARIFA 1",(C258*(VLOOKUP(LeasingHab!$C$23,Seguros_Oblig!$A$3:$B$55,2,FALSE))),(C258*(VLOOKUP(LeasingHab!$C$23,Seguros_Oblig!$A$3:$D$55,4,FALSE))))))</f>
        <v>#VALUE!</v>
      </c>
      <c r="G259" s="8" t="e">
        <f>IF(LeasingHab!$C$10="TARIFA 1",(C258*(VLOOKUP(LeasingHab!$C$24,Seguros_Oblig!$A$3:$B$55,2,FALSE))),(C258*(VLOOKUP(LeasingHab!$C$24,Seguros_Oblig!$A$3:$D$55,4,FALSE))))</f>
        <v>#VALUE!</v>
      </c>
      <c r="H259" s="8" t="e">
        <f>IF(LeasingHab!$C$10="TARIFA 1",(C258*(VLOOKUP(LeasingHab!$C$25,Seguros_Oblig!$A$3:$B$55,2,FALSE))),(C258*(VLOOKUP(LeasingHab!$C$25,Seguros_Oblig!$A$3:$D$55,4,FALSE))))</f>
        <v>#VALUE!</v>
      </c>
      <c r="I259" s="8" t="e">
        <f>IF(LeasingHab!$C$10="TARIFA 1",(C258*(VLOOKUP(LeasingHab!$C$26,Seguros_Oblig!$A$3:$B$55,2,FALSE))),(C258*(VLOOKUP(LeasingHab!$C$26,Seguros_Oblig!$A$3:$D$55,4,FALSE))))</f>
        <v>#VALUE!</v>
      </c>
      <c r="J259" s="10">
        <f t="shared" si="21"/>
        <v>0</v>
      </c>
      <c r="K259" s="7" t="e">
        <f>IF((C258-1)&lt;$E$17,0,Seguros_Oblig!$K$2*(LeasingHab!$C$12*90%))</f>
        <v>#VALUE!</v>
      </c>
      <c r="L259" s="7" t="e">
        <f>IF(B259&gt;LeasingHab!$C$18,0,PMT(LeasingHab!$E$17,LeasingHab!$C$18,-LeasingHab!$C$15,,)-PMT(LeasingHab!$E$17,LeasingHab!$C$18,-LeasingHab!$C$22)+LeasingHab!$C$22*LeasingHab!$E$17)</f>
        <v>#VALUE!</v>
      </c>
      <c r="M259" s="9" t="e">
        <f t="shared" si="22"/>
        <v>#VALUE!</v>
      </c>
      <c r="N259" s="7" t="e">
        <f>IF((C258-1)&lt;$E$17,0,LeasingHab!$C$39)</f>
        <v>#VALUE!</v>
      </c>
      <c r="O259" s="9" t="e">
        <f t="shared" si="23"/>
        <v>#VALUE!</v>
      </c>
    </row>
    <row r="260" spans="2:15" ht="15.5" x14ac:dyDescent="0.35">
      <c r="B260" s="6" t="e">
        <f t="shared" si="24"/>
        <v>#VALUE!</v>
      </c>
      <c r="C260" s="7" t="e">
        <f t="shared" si="19"/>
        <v>#VALUE!</v>
      </c>
      <c r="D260" s="7" t="e">
        <f t="shared" si="20"/>
        <v>#VALUE!</v>
      </c>
      <c r="E260" s="7" t="e">
        <f>IF((C259-1)&lt;$E$17,0,C259*LeasingHab!$E$17)</f>
        <v>#VALUE!</v>
      </c>
      <c r="F260" s="8" t="e">
        <f>IF((C259-1)&lt;$E$17,"0",IF(LeasingHab!$D$27="Si",($C$19*(VLOOKUP(LeasingHab!$C$23,Seguros_Oblig!$A$3:$F$55,6,FALSE))),IF(LeasingHab!$C$10="TARIFA 1",(C259*(VLOOKUP(LeasingHab!$C$23,Seguros_Oblig!$A$3:$B$55,2,FALSE))),(C259*(VLOOKUP(LeasingHab!$C$23,Seguros_Oblig!$A$3:$D$55,4,FALSE))))))</f>
        <v>#VALUE!</v>
      </c>
      <c r="G260" s="8" t="e">
        <f>IF(LeasingHab!$C$10="TARIFA 1",(C259*(VLOOKUP(LeasingHab!$C$24,Seguros_Oblig!$A$3:$B$55,2,FALSE))),(C259*(VLOOKUP(LeasingHab!$C$24,Seguros_Oblig!$A$3:$D$55,4,FALSE))))</f>
        <v>#VALUE!</v>
      </c>
      <c r="H260" s="8" t="e">
        <f>IF(LeasingHab!$C$10="TARIFA 1",(C259*(VLOOKUP(LeasingHab!$C$25,Seguros_Oblig!$A$3:$B$55,2,FALSE))),(C259*(VLOOKUP(LeasingHab!$C$25,Seguros_Oblig!$A$3:$D$55,4,FALSE))))</f>
        <v>#VALUE!</v>
      </c>
      <c r="I260" s="8" t="e">
        <f>IF(LeasingHab!$C$10="TARIFA 1",(C259*(VLOOKUP(LeasingHab!$C$26,Seguros_Oblig!$A$3:$B$55,2,FALSE))),(C259*(VLOOKUP(LeasingHab!$C$26,Seguros_Oblig!$A$3:$D$55,4,FALSE))))</f>
        <v>#VALUE!</v>
      </c>
      <c r="J260" s="10">
        <f t="shared" si="21"/>
        <v>0</v>
      </c>
      <c r="K260" s="7" t="e">
        <f>IF((C259-1)&lt;$E$17,0,Seguros_Oblig!$K$2*(LeasingHab!$C$12*90%))</f>
        <v>#VALUE!</v>
      </c>
      <c r="L260" s="7" t="e">
        <f>IF(B260&gt;LeasingHab!$C$18,0,PMT(LeasingHab!$E$17,LeasingHab!$C$18,-LeasingHab!$C$15,,)-PMT(LeasingHab!$E$17,LeasingHab!$C$18,-LeasingHab!$C$22)+LeasingHab!$C$22*LeasingHab!$E$17)</f>
        <v>#VALUE!</v>
      </c>
      <c r="M260" s="9" t="e">
        <f t="shared" si="22"/>
        <v>#VALUE!</v>
      </c>
      <c r="N260" s="7" t="e">
        <f>IF((C259-1)&lt;$E$17,0,LeasingHab!$C$39)</f>
        <v>#VALUE!</v>
      </c>
      <c r="O260" s="9" t="e">
        <f t="shared" si="23"/>
        <v>#VALUE!</v>
      </c>
    </row>
    <row r="261" spans="2:15" ht="15.5" hidden="1" x14ac:dyDescent="0.35">
      <c r="B261" s="6" t="e">
        <f t="shared" si="24"/>
        <v>#VALUE!</v>
      </c>
      <c r="C261" s="7" t="e">
        <f t="shared" si="19"/>
        <v>#VALUE!</v>
      </c>
      <c r="D261" s="7" t="e">
        <f t="shared" si="20"/>
        <v>#VALUE!</v>
      </c>
      <c r="E261" s="7" t="e">
        <f>IF((C260-1)&lt;$E$17,0,C260*LeasingHab!$E$17)</f>
        <v>#VALUE!</v>
      </c>
      <c r="F261" s="8" t="e">
        <f>IF((C260-1)&lt;$E$17,"0",IF(LeasingHab!$D$27="Si",($C$19*(VLOOKUP(LeasingHab!$C$23,Seguros_Oblig!$A$3:$F$55,6,FALSE))),IF(LeasingHab!$C$10="TARIFA 1",(C260*(VLOOKUP(LeasingHab!$C$23,Seguros_Oblig!$A$3:$B$55,2,FALSE))),(C260*(VLOOKUP(LeasingHab!$C$23,Seguros_Oblig!$A$3:$D$55,4,FALSE))))))</f>
        <v>#VALUE!</v>
      </c>
      <c r="G261" s="8" t="e">
        <f>IF(LeasingHab!$C$10="TARIFA 1",(C260*(VLOOKUP(LeasingHab!$C$24,Seguros_Oblig!$A$3:$B$55,2,FALSE))),(C260*(VLOOKUP(LeasingHab!$C$24,Seguros_Oblig!$A$3:$D$55,4,FALSE))))</f>
        <v>#VALUE!</v>
      </c>
      <c r="H261" s="8" t="e">
        <f>IF(LeasingHab!$C$10="TARIFA 1",(C260*(VLOOKUP(LeasingHab!$C$25,Seguros_Oblig!$A$3:$B$55,2,FALSE))),(C260*(VLOOKUP(LeasingHab!$C$25,Seguros_Oblig!$A$3:$D$55,4,FALSE))))</f>
        <v>#VALUE!</v>
      </c>
      <c r="I261" s="8" t="e">
        <f>IF(LeasingHab!$C$10="TARIFA 1",(C260*(VLOOKUP(LeasingHab!$C$26,Seguros_Oblig!$A$3:$B$55,2,FALSE))),(C260*(VLOOKUP(LeasingHab!$C$26,Seguros_Oblig!$A$3:$D$55,4,FALSE))))</f>
        <v>#VALUE!</v>
      </c>
      <c r="J261" s="10">
        <f t="shared" si="21"/>
        <v>0</v>
      </c>
      <c r="K261" s="7" t="e">
        <f>IF((C260-1)&lt;$E$17,0,Seguros_Oblig!$K$2*(LeasingHab!$C$12*90%))</f>
        <v>#VALUE!</v>
      </c>
      <c r="L261" s="7" t="e">
        <f>IF(B261&gt;LeasingHab!$C$18,0,PMT(LeasingHab!$E$17,LeasingHab!$C$18,-LeasingHab!$C$15,,)-PMT(LeasingHab!$E$17,LeasingHab!$C$18,-LeasingHab!$C$22)+LeasingHab!$C$22*LeasingHab!$E$17)</f>
        <v>#VALUE!</v>
      </c>
      <c r="M261" s="9" t="e">
        <f t="shared" si="22"/>
        <v>#VALUE!</v>
      </c>
      <c r="N261" s="7" t="e">
        <f>IF((C260-1)&lt;$E$17,0,LeasingHab!$C$39)</f>
        <v>#VALUE!</v>
      </c>
      <c r="O261" s="9" t="e">
        <f t="shared" si="23"/>
        <v>#VALUE!</v>
      </c>
    </row>
    <row r="262" spans="2:15" ht="15.5" hidden="1" x14ac:dyDescent="0.35">
      <c r="B262" s="6" t="e">
        <f t="shared" si="24"/>
        <v>#VALUE!</v>
      </c>
      <c r="C262" s="7" t="e">
        <f t="shared" si="19"/>
        <v>#VALUE!</v>
      </c>
      <c r="D262" s="7" t="e">
        <f t="shared" si="20"/>
        <v>#VALUE!</v>
      </c>
      <c r="E262" s="7" t="e">
        <f>IF((C261-1)&lt;$E$17,0,C261*LeasingHab!$E$17)</f>
        <v>#VALUE!</v>
      </c>
      <c r="F262" s="8" t="e">
        <f>IF((C261-1)&lt;$E$17,"0",IF(LeasingHab!$D$27="Si",($C$19*(VLOOKUP(LeasingHab!$C$23,Seguros_Oblig!$A$3:$F$55,6,FALSE))),IF(LeasingHab!$C$10="TARIFA 1",(C261*(VLOOKUP(LeasingHab!$C$23,Seguros_Oblig!$A$3:$B$55,2,FALSE))),(C261*(VLOOKUP(LeasingHab!$C$23,Seguros_Oblig!$A$3:$D$55,4,FALSE))))))</f>
        <v>#VALUE!</v>
      </c>
      <c r="G262" s="8" t="e">
        <f>IF(LeasingHab!$C$10="TARIFA 1",(C261*(VLOOKUP(LeasingHab!$C$24,Seguros_Oblig!$A$3:$B$55,2,FALSE))),(C261*(VLOOKUP(LeasingHab!$C$24,Seguros_Oblig!$A$3:$D$55,4,FALSE))))</f>
        <v>#VALUE!</v>
      </c>
      <c r="H262" s="8" t="e">
        <f>IF(LeasingHab!$C$10="TARIFA 1",(C261*(VLOOKUP(LeasingHab!$C$25,Seguros_Oblig!$A$3:$B$55,2,FALSE))),(C261*(VLOOKUP(LeasingHab!$C$25,Seguros_Oblig!$A$3:$D$55,4,FALSE))))</f>
        <v>#VALUE!</v>
      </c>
      <c r="I262" s="8" t="e">
        <f>IF(LeasingHab!$C$10="TARIFA 1",(C261*(VLOOKUP(LeasingHab!$C$26,Seguros_Oblig!$A$3:$B$55,2,FALSE))),(C261*(VLOOKUP(LeasingHab!$C$26,Seguros_Oblig!$A$3:$D$55,4,FALSE))))</f>
        <v>#VALUE!</v>
      </c>
      <c r="J262" s="10">
        <f t="shared" si="21"/>
        <v>0</v>
      </c>
      <c r="K262" s="7" t="e">
        <f>IF((C261-1)&lt;$E$17,0,Seguros_Oblig!$K$2*(LeasingHab!$C$12*90%))</f>
        <v>#VALUE!</v>
      </c>
      <c r="L262" s="7" t="e">
        <f>IF(B262&gt;LeasingHab!$C$18,0,PMT(LeasingHab!$E$17,LeasingHab!$C$18,-LeasingHab!$C$15,,)-PMT(LeasingHab!$E$17,LeasingHab!$C$18,-LeasingHab!$C$22)+LeasingHab!$C$22*LeasingHab!$E$17)</f>
        <v>#VALUE!</v>
      </c>
      <c r="M262" s="9" t="e">
        <f t="shared" si="22"/>
        <v>#VALUE!</v>
      </c>
      <c r="N262" s="7" t="e">
        <f>IF((C261-1)&lt;$E$17,0,LeasingHab!$C$39)</f>
        <v>#VALUE!</v>
      </c>
      <c r="O262" s="9" t="e">
        <f t="shared" si="23"/>
        <v>#VALUE!</v>
      </c>
    </row>
    <row r="263" spans="2:15" ht="15.5" hidden="1" x14ac:dyDescent="0.35">
      <c r="B263" s="6" t="e">
        <f t="shared" si="24"/>
        <v>#VALUE!</v>
      </c>
      <c r="C263" s="7" t="e">
        <f t="shared" si="19"/>
        <v>#VALUE!</v>
      </c>
      <c r="D263" s="7" t="e">
        <f t="shared" si="20"/>
        <v>#VALUE!</v>
      </c>
      <c r="E263" s="7" t="e">
        <f>IF((C262-1)&lt;$E$17,0,C262*LeasingHab!$E$17)</f>
        <v>#VALUE!</v>
      </c>
      <c r="F263" s="8" t="e">
        <f>IF((C262-1)&lt;$E$17,"0",IF(LeasingHab!$D$27="Si",($C$19*(VLOOKUP(LeasingHab!$C$23,Seguros_Oblig!$A$3:$F$55,6,FALSE))),IF(LeasingHab!$C$10="TARIFA 1",(C262*(VLOOKUP(LeasingHab!$C$23,Seguros_Oblig!$A$3:$B$55,2,FALSE))),(C262*(VLOOKUP(LeasingHab!$C$23,Seguros_Oblig!$A$3:$D$55,4,FALSE))))))</f>
        <v>#VALUE!</v>
      </c>
      <c r="G263" s="8" t="e">
        <f>IF(LeasingHab!$C$10="TARIFA 1",(C262*(VLOOKUP(LeasingHab!$C$24,Seguros_Oblig!$A$3:$B$55,2,FALSE))),(C262*(VLOOKUP(LeasingHab!$C$24,Seguros_Oblig!$A$3:$D$55,4,FALSE))))</f>
        <v>#VALUE!</v>
      </c>
      <c r="H263" s="8" t="e">
        <f>IF(LeasingHab!$C$10="TARIFA 1",(C262*(VLOOKUP(LeasingHab!$C$25,Seguros_Oblig!$A$3:$B$55,2,FALSE))),(C262*(VLOOKUP(LeasingHab!$C$25,Seguros_Oblig!$A$3:$D$55,4,FALSE))))</f>
        <v>#VALUE!</v>
      </c>
      <c r="I263" s="8" t="e">
        <f>IF(LeasingHab!$C$10="TARIFA 1",(C262*(VLOOKUP(LeasingHab!$C$26,Seguros_Oblig!$A$3:$B$55,2,FALSE))),(C262*(VLOOKUP(LeasingHab!$C$26,Seguros_Oblig!$A$3:$D$55,4,FALSE))))</f>
        <v>#VALUE!</v>
      </c>
      <c r="J263" s="10">
        <f t="shared" si="21"/>
        <v>0</v>
      </c>
      <c r="K263" s="7" t="e">
        <f>IF((C262-1)&lt;$E$17,0,Seguros_Oblig!$K$2*(LeasingHab!$C$12*90%))</f>
        <v>#VALUE!</v>
      </c>
      <c r="L263" s="7" t="e">
        <f>IF(B263&gt;LeasingHab!$C$18,0,PMT(LeasingHab!$E$17,LeasingHab!$C$18,-LeasingHab!$C$15,,)-PMT(LeasingHab!$E$17,LeasingHab!$C$18,-LeasingHab!$C$22)+LeasingHab!$C$22*LeasingHab!$E$17)</f>
        <v>#VALUE!</v>
      </c>
      <c r="M263" s="9" t="e">
        <f t="shared" si="22"/>
        <v>#VALUE!</v>
      </c>
      <c r="N263" s="7" t="e">
        <f>IF((C262-1)&lt;$E$17,0,LeasingHab!$C$39)</f>
        <v>#VALUE!</v>
      </c>
      <c r="O263" s="9" t="e">
        <f t="shared" si="23"/>
        <v>#VALUE!</v>
      </c>
    </row>
    <row r="264" spans="2:15" ht="15.5" hidden="1" x14ac:dyDescent="0.35">
      <c r="B264" s="6" t="e">
        <f t="shared" si="24"/>
        <v>#VALUE!</v>
      </c>
      <c r="C264" s="7" t="e">
        <f t="shared" si="19"/>
        <v>#VALUE!</v>
      </c>
      <c r="D264" s="7" t="e">
        <f t="shared" si="20"/>
        <v>#VALUE!</v>
      </c>
      <c r="E264" s="7" t="e">
        <f>IF((C263-1)&lt;$E$17,0,C263*LeasingHab!$E$17)</f>
        <v>#VALUE!</v>
      </c>
      <c r="F264" s="8" t="e">
        <f>IF((C263-1)&lt;$E$17,"0",IF(LeasingHab!$D$27="Si",($C$19*(VLOOKUP(LeasingHab!$C$23,Seguros_Oblig!$A$3:$F$55,6,FALSE))),IF(LeasingHab!$C$10="TARIFA 1",(C263*(VLOOKUP(LeasingHab!$C$23,Seguros_Oblig!$A$3:$B$55,2,FALSE))),(C263*(VLOOKUP(LeasingHab!$C$23,Seguros_Oblig!$A$3:$D$55,4,FALSE))))))</f>
        <v>#VALUE!</v>
      </c>
      <c r="G264" s="8" t="e">
        <f>IF(LeasingHab!$C$10="TARIFA 1",(C263*(VLOOKUP(LeasingHab!$C$24,Seguros_Oblig!$A$3:$B$55,2,FALSE))),(C263*(VLOOKUP(LeasingHab!$C$24,Seguros_Oblig!$A$3:$D$55,4,FALSE))))</f>
        <v>#VALUE!</v>
      </c>
      <c r="H264" s="8" t="e">
        <f>IF(LeasingHab!$C$10="TARIFA 1",(C263*(VLOOKUP(LeasingHab!$C$25,Seguros_Oblig!$A$3:$B$55,2,FALSE))),(C263*(VLOOKUP(LeasingHab!$C$25,Seguros_Oblig!$A$3:$D$55,4,FALSE))))</f>
        <v>#VALUE!</v>
      </c>
      <c r="I264" s="8" t="e">
        <f>IF(LeasingHab!$C$10="TARIFA 1",(C263*(VLOOKUP(LeasingHab!$C$26,Seguros_Oblig!$A$3:$B$55,2,FALSE))),(C263*(VLOOKUP(LeasingHab!$C$26,Seguros_Oblig!$A$3:$D$55,4,FALSE))))</f>
        <v>#VALUE!</v>
      </c>
      <c r="J264" s="10">
        <f t="shared" si="21"/>
        <v>0</v>
      </c>
      <c r="K264" s="7" t="e">
        <f>IF((C263-1)&lt;$E$17,0,Seguros_Oblig!$K$2*(LeasingHab!$C$12*90%))</f>
        <v>#VALUE!</v>
      </c>
      <c r="L264" s="7" t="e">
        <f>IF(B264&gt;LeasingHab!$C$18,0,PMT(LeasingHab!$E$17,LeasingHab!$C$18,-LeasingHab!$C$15,,)-PMT(LeasingHab!$E$17,LeasingHab!$C$18,-LeasingHab!$C$22)+LeasingHab!$C$22*LeasingHab!$E$17)</f>
        <v>#VALUE!</v>
      </c>
      <c r="M264" s="9" t="e">
        <f t="shared" si="22"/>
        <v>#VALUE!</v>
      </c>
      <c r="N264" s="7" t="e">
        <f>IF((C263-1)&lt;$E$17,0,LeasingHab!$C$39)</f>
        <v>#VALUE!</v>
      </c>
      <c r="O264" s="9" t="e">
        <f t="shared" si="23"/>
        <v>#VALUE!</v>
      </c>
    </row>
    <row r="265" spans="2:15" ht="15.5" hidden="1" x14ac:dyDescent="0.35">
      <c r="B265" s="6" t="e">
        <f t="shared" si="24"/>
        <v>#VALUE!</v>
      </c>
      <c r="C265" s="7" t="e">
        <f t="shared" si="19"/>
        <v>#VALUE!</v>
      </c>
      <c r="D265" s="7" t="e">
        <f t="shared" si="20"/>
        <v>#VALUE!</v>
      </c>
      <c r="E265" s="7" t="e">
        <f>IF((C264-1)&lt;$E$17,0,C264*LeasingHab!$E$17)</f>
        <v>#VALUE!</v>
      </c>
      <c r="F265" s="8" t="e">
        <f>IF((C264-1)&lt;$E$17,"0",IF(LeasingHab!$D$27="Si",($C$19*(VLOOKUP(LeasingHab!$C$23,Seguros_Oblig!$A$3:$F$55,6,FALSE))),IF(LeasingHab!$C$10="TARIFA 1",(C264*(VLOOKUP(LeasingHab!$C$23,Seguros_Oblig!$A$3:$B$55,2,FALSE))),(C264*(VLOOKUP(LeasingHab!$C$23,Seguros_Oblig!$A$3:$D$55,4,FALSE))))))</f>
        <v>#VALUE!</v>
      </c>
      <c r="G265" s="8" t="e">
        <f>IF(LeasingHab!$C$10="TARIFA 1",(C264*(VLOOKUP(LeasingHab!$C$24,Seguros_Oblig!$A$3:$B$55,2,FALSE))),(C264*(VLOOKUP(LeasingHab!$C$24,Seguros_Oblig!$A$3:$D$55,4,FALSE))))</f>
        <v>#VALUE!</v>
      </c>
      <c r="H265" s="8" t="e">
        <f>IF(LeasingHab!$C$10="TARIFA 1",(C264*(VLOOKUP(LeasingHab!$C$25,Seguros_Oblig!$A$3:$B$55,2,FALSE))),(C264*(VLOOKUP(LeasingHab!$C$25,Seguros_Oblig!$A$3:$D$55,4,FALSE))))</f>
        <v>#VALUE!</v>
      </c>
      <c r="I265" s="8" t="e">
        <f>IF(LeasingHab!$C$10="TARIFA 1",(C264*(VLOOKUP(LeasingHab!$C$26,Seguros_Oblig!$A$3:$B$55,2,FALSE))),(C264*(VLOOKUP(LeasingHab!$C$26,Seguros_Oblig!$A$3:$D$55,4,FALSE))))</f>
        <v>#VALUE!</v>
      </c>
      <c r="J265" s="10">
        <f t="shared" si="21"/>
        <v>0</v>
      </c>
      <c r="K265" s="7" t="e">
        <f>IF((C264-1)&lt;$E$17,0,Seguros_Oblig!$K$2*(LeasingHab!$C$12*90%))</f>
        <v>#VALUE!</v>
      </c>
      <c r="L265" s="7" t="e">
        <f>IF(B265&gt;LeasingHab!$C$18,0,PMT(LeasingHab!$E$17,LeasingHab!$C$18,-LeasingHab!$C$15,,)-PMT(LeasingHab!$E$17,LeasingHab!$C$18,-LeasingHab!$C$22)+LeasingHab!$C$22*LeasingHab!$E$17)</f>
        <v>#VALUE!</v>
      </c>
      <c r="M265" s="9" t="e">
        <f t="shared" si="22"/>
        <v>#VALUE!</v>
      </c>
      <c r="N265" s="7" t="e">
        <f>IF((C264-1)&lt;$E$17,0,LeasingHab!$C$39)</f>
        <v>#VALUE!</v>
      </c>
      <c r="O265" s="9" t="e">
        <f t="shared" si="23"/>
        <v>#VALUE!</v>
      </c>
    </row>
    <row r="266" spans="2:15" ht="15.5" hidden="1" x14ac:dyDescent="0.35">
      <c r="B266" s="6" t="e">
        <f t="shared" si="24"/>
        <v>#VALUE!</v>
      </c>
      <c r="C266" s="7" t="e">
        <f t="shared" si="19"/>
        <v>#VALUE!</v>
      </c>
      <c r="D266" s="7" t="e">
        <f t="shared" si="20"/>
        <v>#VALUE!</v>
      </c>
      <c r="E266" s="7" t="e">
        <f>IF((C265-1)&lt;$E$17,0,C265*LeasingHab!$E$17)</f>
        <v>#VALUE!</v>
      </c>
      <c r="F266" s="8" t="e">
        <f>IF((C265-1)&lt;$E$17,"0",IF(LeasingHab!$D$27="Si",($C$19*(VLOOKUP(LeasingHab!$C$23,Seguros_Oblig!$A$3:$F$55,6,FALSE))),IF(LeasingHab!$C$10="TARIFA 1",(C265*(VLOOKUP(LeasingHab!$C$23,Seguros_Oblig!$A$3:$B$55,2,FALSE))),(C265*(VLOOKUP(LeasingHab!$C$23,Seguros_Oblig!$A$3:$D$55,4,FALSE))))))</f>
        <v>#VALUE!</v>
      </c>
      <c r="G266" s="8" t="e">
        <f>IF(LeasingHab!$C$10="TARIFA 1",(C265*(VLOOKUP(LeasingHab!$C$24,Seguros_Oblig!$A$3:$B$55,2,FALSE))),(C265*(VLOOKUP(LeasingHab!$C$24,Seguros_Oblig!$A$3:$D$55,4,FALSE))))</f>
        <v>#VALUE!</v>
      </c>
      <c r="H266" s="8" t="e">
        <f>IF(LeasingHab!$C$10="TARIFA 1",(C265*(VLOOKUP(LeasingHab!$C$25,Seguros_Oblig!$A$3:$B$55,2,FALSE))),(C265*(VLOOKUP(LeasingHab!$C$25,Seguros_Oblig!$A$3:$D$55,4,FALSE))))</f>
        <v>#VALUE!</v>
      </c>
      <c r="I266" s="8" t="e">
        <f>IF(LeasingHab!$C$10="TARIFA 1",(C265*(VLOOKUP(LeasingHab!$C$26,Seguros_Oblig!$A$3:$B$55,2,FALSE))),(C265*(VLOOKUP(LeasingHab!$C$26,Seguros_Oblig!$A$3:$D$55,4,FALSE))))</f>
        <v>#VALUE!</v>
      </c>
      <c r="J266" s="10">
        <f t="shared" si="21"/>
        <v>0</v>
      </c>
      <c r="K266" s="7" t="e">
        <f>IF((C265-1)&lt;$E$17,0,Seguros_Oblig!$K$2*(LeasingHab!$C$12*90%))</f>
        <v>#VALUE!</v>
      </c>
      <c r="L266" s="7" t="e">
        <f>IF(B266&gt;LeasingHab!$C$18,0,PMT(LeasingHab!$E$17,LeasingHab!$C$18,-LeasingHab!$C$15,,)-PMT(LeasingHab!$E$17,LeasingHab!$C$18,-LeasingHab!$C$22)+LeasingHab!$C$22*LeasingHab!$E$17)</f>
        <v>#VALUE!</v>
      </c>
      <c r="M266" s="9" t="e">
        <f t="shared" si="22"/>
        <v>#VALUE!</v>
      </c>
      <c r="N266" s="7" t="e">
        <f>IF((C265-1)&lt;$E$17,0,LeasingHab!$C$39)</f>
        <v>#VALUE!</v>
      </c>
      <c r="O266" s="9" t="e">
        <f t="shared" si="23"/>
        <v>#VALUE!</v>
      </c>
    </row>
    <row r="267" spans="2:15" ht="15.5" hidden="1" x14ac:dyDescent="0.35">
      <c r="B267" s="6" t="e">
        <f t="shared" si="24"/>
        <v>#VALUE!</v>
      </c>
      <c r="C267" s="7" t="e">
        <f t="shared" si="19"/>
        <v>#VALUE!</v>
      </c>
      <c r="D267" s="7" t="e">
        <f t="shared" si="20"/>
        <v>#VALUE!</v>
      </c>
      <c r="E267" s="7" t="e">
        <f>IF((C266-1)&lt;$E$17,0,C266*LeasingHab!$E$17)</f>
        <v>#VALUE!</v>
      </c>
      <c r="F267" s="8" t="e">
        <f>IF((C266-1)&lt;$E$17,"0",IF(LeasingHab!$D$27="Si",($C$19*(VLOOKUP(LeasingHab!$C$23,Seguros_Oblig!$A$3:$F$55,6,FALSE))),IF(LeasingHab!$C$10="TARIFA 1",(C266*(VLOOKUP(LeasingHab!$C$23,Seguros_Oblig!$A$3:$B$55,2,FALSE))),(C266*(VLOOKUP(LeasingHab!$C$23,Seguros_Oblig!$A$3:$D$55,4,FALSE))))))</f>
        <v>#VALUE!</v>
      </c>
      <c r="G267" s="8" t="e">
        <f>IF(LeasingHab!$C$10="TARIFA 1",(C266*(VLOOKUP(LeasingHab!$C$24,Seguros_Oblig!$A$3:$B$55,2,FALSE))),(C266*(VLOOKUP(LeasingHab!$C$24,Seguros_Oblig!$A$3:$D$55,4,FALSE))))</f>
        <v>#VALUE!</v>
      </c>
      <c r="H267" s="8" t="e">
        <f>IF(LeasingHab!$C$10="TARIFA 1",(C266*(VLOOKUP(LeasingHab!$C$25,Seguros_Oblig!$A$3:$B$55,2,FALSE))),(C266*(VLOOKUP(LeasingHab!$C$25,Seguros_Oblig!$A$3:$D$55,4,FALSE))))</f>
        <v>#VALUE!</v>
      </c>
      <c r="I267" s="8" t="e">
        <f>IF(LeasingHab!$C$10="TARIFA 1",(C266*(VLOOKUP(LeasingHab!$C$26,Seguros_Oblig!$A$3:$B$55,2,FALSE))),(C266*(VLOOKUP(LeasingHab!$C$26,Seguros_Oblig!$A$3:$D$55,4,FALSE))))</f>
        <v>#VALUE!</v>
      </c>
      <c r="J267" s="10">
        <f t="shared" si="21"/>
        <v>0</v>
      </c>
      <c r="K267" s="7" t="e">
        <f>IF((C266-1)&lt;$E$17,0,Seguros_Oblig!$K$2*(LeasingHab!$C$12*90%))</f>
        <v>#VALUE!</v>
      </c>
      <c r="L267" s="7" t="e">
        <f>IF(B267&gt;LeasingHab!$C$18,0,PMT(LeasingHab!$E$17,LeasingHab!$C$18,-LeasingHab!$C$15,,)-PMT(LeasingHab!$E$17,LeasingHab!$C$18,-LeasingHab!$C$22)+LeasingHab!$C$22*LeasingHab!$E$17)</f>
        <v>#VALUE!</v>
      </c>
      <c r="M267" s="9" t="e">
        <f t="shared" si="22"/>
        <v>#VALUE!</v>
      </c>
      <c r="N267" s="7" t="e">
        <f>IF((C266-1)&lt;$E$17,0,LeasingHab!$C$39)</f>
        <v>#VALUE!</v>
      </c>
      <c r="O267" s="9" t="e">
        <f t="shared" si="23"/>
        <v>#VALUE!</v>
      </c>
    </row>
    <row r="268" spans="2:15" ht="15.5" hidden="1" x14ac:dyDescent="0.35">
      <c r="B268" s="6" t="e">
        <f t="shared" si="24"/>
        <v>#VALUE!</v>
      </c>
      <c r="C268" s="7" t="e">
        <f t="shared" si="19"/>
        <v>#VALUE!</v>
      </c>
      <c r="D268" s="7" t="e">
        <f t="shared" si="20"/>
        <v>#VALUE!</v>
      </c>
      <c r="E268" s="7" t="e">
        <f>IF((C267-1)&lt;$E$17,0,C267*LeasingHab!$E$17)</f>
        <v>#VALUE!</v>
      </c>
      <c r="F268" s="8" t="e">
        <f>IF((C267-1)&lt;$E$17,"0",IF(LeasingHab!$D$27="Si",($C$19*(VLOOKUP(LeasingHab!$C$23,Seguros_Oblig!$A$3:$F$55,6,FALSE))),IF(LeasingHab!$C$10="TARIFA 1",(C267*(VLOOKUP(LeasingHab!$C$23,Seguros_Oblig!$A$3:$B$55,2,FALSE))),(C267*(VLOOKUP(LeasingHab!$C$23,Seguros_Oblig!$A$3:$D$55,4,FALSE))))))</f>
        <v>#VALUE!</v>
      </c>
      <c r="G268" s="8" t="e">
        <f>IF(LeasingHab!$C$10="TARIFA 1",(C267*(VLOOKUP(LeasingHab!$C$24,Seguros_Oblig!$A$3:$B$55,2,FALSE))),(C267*(VLOOKUP(LeasingHab!$C$24,Seguros_Oblig!$A$3:$D$55,4,FALSE))))</f>
        <v>#VALUE!</v>
      </c>
      <c r="H268" s="8" t="e">
        <f>IF(LeasingHab!$C$10="TARIFA 1",(C267*(VLOOKUP(LeasingHab!$C$25,Seguros_Oblig!$A$3:$B$55,2,FALSE))),(C267*(VLOOKUP(LeasingHab!$C$25,Seguros_Oblig!$A$3:$D$55,4,FALSE))))</f>
        <v>#VALUE!</v>
      </c>
      <c r="I268" s="8" t="e">
        <f>IF(LeasingHab!$C$10="TARIFA 1",(C267*(VLOOKUP(LeasingHab!$C$26,Seguros_Oblig!$A$3:$B$55,2,FALSE))),(C267*(VLOOKUP(LeasingHab!$C$26,Seguros_Oblig!$A$3:$D$55,4,FALSE))))</f>
        <v>#VALUE!</v>
      </c>
      <c r="J268" s="10">
        <f t="shared" si="21"/>
        <v>0</v>
      </c>
      <c r="K268" s="7" t="e">
        <f>IF((C267-1)&lt;$E$17,0,Seguros_Oblig!$K$2*(LeasingHab!$C$12*90%))</f>
        <v>#VALUE!</v>
      </c>
      <c r="L268" s="7" t="e">
        <f>IF(B268&gt;LeasingHab!$C$18,0,PMT(LeasingHab!$E$17,LeasingHab!$C$18,-LeasingHab!$C$15,,)-PMT(LeasingHab!$E$17,LeasingHab!$C$18,-LeasingHab!$C$22)+LeasingHab!$C$22*LeasingHab!$E$17)</f>
        <v>#VALUE!</v>
      </c>
      <c r="M268" s="9" t="e">
        <f t="shared" si="22"/>
        <v>#VALUE!</v>
      </c>
      <c r="N268" s="7" t="e">
        <f>IF((C267-1)&lt;$E$17,0,LeasingHab!$C$39)</f>
        <v>#VALUE!</v>
      </c>
      <c r="O268" s="9" t="e">
        <f t="shared" si="23"/>
        <v>#VALUE!</v>
      </c>
    </row>
    <row r="269" spans="2:15" ht="15.5" hidden="1" x14ac:dyDescent="0.35">
      <c r="B269" s="6" t="e">
        <f t="shared" si="24"/>
        <v>#VALUE!</v>
      </c>
      <c r="C269" s="7" t="e">
        <f t="shared" si="19"/>
        <v>#VALUE!</v>
      </c>
      <c r="D269" s="7" t="e">
        <f t="shared" si="20"/>
        <v>#VALUE!</v>
      </c>
      <c r="E269" s="7" t="e">
        <f>IF((C268-1)&lt;$E$17,0,C268*LeasingHab!$E$17)</f>
        <v>#VALUE!</v>
      </c>
      <c r="F269" s="8" t="e">
        <f>IF((C268-1)&lt;$E$17,"0",IF(LeasingHab!$D$27="Si",($C$19*(VLOOKUP(LeasingHab!$C$23,Seguros_Oblig!$A$3:$F$55,6,FALSE))),IF(LeasingHab!$C$10="TARIFA 1",(C268*(VLOOKUP(LeasingHab!$C$23,Seguros_Oblig!$A$3:$B$55,2,FALSE))),(C268*(VLOOKUP(LeasingHab!$C$23,Seguros_Oblig!$A$3:$D$55,4,FALSE))))))</f>
        <v>#VALUE!</v>
      </c>
      <c r="G269" s="8" t="e">
        <f>IF(LeasingHab!$C$10="TARIFA 1",(C268*(VLOOKUP(LeasingHab!$C$24,Seguros_Oblig!$A$3:$B$55,2,FALSE))),(C268*(VLOOKUP(LeasingHab!$C$24,Seguros_Oblig!$A$3:$D$55,4,FALSE))))</f>
        <v>#VALUE!</v>
      </c>
      <c r="H269" s="8" t="e">
        <f>IF(LeasingHab!$C$10="TARIFA 1",(C268*(VLOOKUP(LeasingHab!$C$25,Seguros_Oblig!$A$3:$B$55,2,FALSE))),(C268*(VLOOKUP(LeasingHab!$C$25,Seguros_Oblig!$A$3:$D$55,4,FALSE))))</f>
        <v>#VALUE!</v>
      </c>
      <c r="I269" s="8" t="e">
        <f>IF(LeasingHab!$C$10="TARIFA 1",(C268*(VLOOKUP(LeasingHab!$C$26,Seguros_Oblig!$A$3:$B$55,2,FALSE))),(C268*(VLOOKUP(LeasingHab!$C$26,Seguros_Oblig!$A$3:$D$55,4,FALSE))))</f>
        <v>#VALUE!</v>
      </c>
      <c r="J269" s="10">
        <f t="shared" si="21"/>
        <v>0</v>
      </c>
      <c r="K269" s="7" t="e">
        <f>IF((C268-1)&lt;$E$17,0,Seguros_Oblig!$K$2*(LeasingHab!$C$12*90%))</f>
        <v>#VALUE!</v>
      </c>
      <c r="L269" s="7" t="e">
        <f>IF(B269&gt;LeasingHab!$C$18,0,PMT(LeasingHab!$E$17,LeasingHab!$C$18,-LeasingHab!$C$15,,)-PMT(LeasingHab!$E$17,LeasingHab!$C$18,-LeasingHab!$C$22)+LeasingHab!$C$22*LeasingHab!$E$17)</f>
        <v>#VALUE!</v>
      </c>
      <c r="M269" s="9" t="e">
        <f t="shared" si="22"/>
        <v>#VALUE!</v>
      </c>
      <c r="N269" s="7" t="e">
        <f>IF((C268-1)&lt;$E$17,0,LeasingHab!$C$39)</f>
        <v>#VALUE!</v>
      </c>
      <c r="O269" s="9" t="e">
        <f t="shared" si="23"/>
        <v>#VALUE!</v>
      </c>
    </row>
    <row r="270" spans="2:15" ht="15.5" hidden="1" x14ac:dyDescent="0.35">
      <c r="B270" s="6" t="e">
        <f t="shared" si="24"/>
        <v>#VALUE!</v>
      </c>
      <c r="C270" s="7" t="e">
        <f t="shared" si="19"/>
        <v>#VALUE!</v>
      </c>
      <c r="D270" s="7" t="e">
        <f t="shared" si="20"/>
        <v>#VALUE!</v>
      </c>
      <c r="E270" s="7" t="e">
        <f>IF((C269-1)&lt;$E$17,0,C269*LeasingHab!$E$17)</f>
        <v>#VALUE!</v>
      </c>
      <c r="F270" s="8" t="e">
        <f>IF((C269-1)&lt;$E$17,"0",IF(LeasingHab!$D$27="Si",($C$19*(VLOOKUP(LeasingHab!$C$23,Seguros_Oblig!$A$3:$F$55,6,FALSE))),IF(LeasingHab!$C$10="TARIFA 1",(C269*(VLOOKUP(LeasingHab!$C$23,Seguros_Oblig!$A$3:$B$55,2,FALSE))),(C269*(VLOOKUP(LeasingHab!$C$23,Seguros_Oblig!$A$3:$D$55,4,FALSE))))))</f>
        <v>#VALUE!</v>
      </c>
      <c r="G270" s="8" t="e">
        <f>IF(LeasingHab!$C$10="TARIFA 1",(C269*(VLOOKUP(LeasingHab!$C$24,Seguros_Oblig!$A$3:$B$55,2,FALSE))),(C269*(VLOOKUP(LeasingHab!$C$24,Seguros_Oblig!$A$3:$D$55,4,FALSE))))</f>
        <v>#VALUE!</v>
      </c>
      <c r="H270" s="8" t="e">
        <f>IF(LeasingHab!$C$10="TARIFA 1",(C269*(VLOOKUP(LeasingHab!$C$25,Seguros_Oblig!$A$3:$B$55,2,FALSE))),(C269*(VLOOKUP(LeasingHab!$C$25,Seguros_Oblig!$A$3:$D$55,4,FALSE))))</f>
        <v>#VALUE!</v>
      </c>
      <c r="I270" s="8" t="e">
        <f>IF(LeasingHab!$C$10="TARIFA 1",(C269*(VLOOKUP(LeasingHab!$C$26,Seguros_Oblig!$A$3:$B$55,2,FALSE))),(C269*(VLOOKUP(LeasingHab!$C$26,Seguros_Oblig!$A$3:$D$55,4,FALSE))))</f>
        <v>#VALUE!</v>
      </c>
      <c r="J270" s="10">
        <f t="shared" si="21"/>
        <v>0</v>
      </c>
      <c r="K270" s="7" t="e">
        <f>IF((C269-1)&lt;$E$17,0,Seguros_Oblig!$K$2*(LeasingHab!$C$12*90%))</f>
        <v>#VALUE!</v>
      </c>
      <c r="L270" s="7" t="e">
        <f>IF(B270&gt;LeasingHab!$C$18,0,PMT(LeasingHab!$E$17,LeasingHab!$C$18,-LeasingHab!$C$15,,)-PMT(LeasingHab!$E$17,LeasingHab!$C$18,-LeasingHab!$C$22)+LeasingHab!$C$22*LeasingHab!$E$17)</f>
        <v>#VALUE!</v>
      </c>
      <c r="M270" s="9" t="e">
        <f t="shared" si="22"/>
        <v>#VALUE!</v>
      </c>
      <c r="N270" s="7" t="e">
        <f>IF((C269-1)&lt;$E$17,0,LeasingHab!$C$39)</f>
        <v>#VALUE!</v>
      </c>
      <c r="O270" s="9" t="e">
        <f t="shared" si="23"/>
        <v>#VALUE!</v>
      </c>
    </row>
    <row r="271" spans="2:15" ht="15.5" hidden="1" x14ac:dyDescent="0.35">
      <c r="B271" s="6" t="e">
        <f t="shared" si="24"/>
        <v>#VALUE!</v>
      </c>
      <c r="C271" s="7" t="e">
        <f t="shared" si="19"/>
        <v>#VALUE!</v>
      </c>
      <c r="D271" s="7" t="e">
        <f t="shared" si="20"/>
        <v>#VALUE!</v>
      </c>
      <c r="E271" s="7" t="e">
        <f>IF((C270-1)&lt;$E$17,0,C270*LeasingHab!$E$17)</f>
        <v>#VALUE!</v>
      </c>
      <c r="F271" s="8" t="e">
        <f>IF((C270-1)&lt;$E$17,"0",IF(LeasingHab!$D$27="Si",($C$19*(VLOOKUP(LeasingHab!$C$23,Seguros_Oblig!$A$3:$F$55,6,FALSE))),IF(LeasingHab!$C$10="TARIFA 1",(C270*(VLOOKUP(LeasingHab!$C$23,Seguros_Oblig!$A$3:$B$55,2,FALSE))),(C270*(VLOOKUP(LeasingHab!$C$23,Seguros_Oblig!$A$3:$D$55,4,FALSE))))))</f>
        <v>#VALUE!</v>
      </c>
      <c r="G271" s="8" t="e">
        <f>IF(LeasingHab!$C$10="TARIFA 1",(C270*(VLOOKUP(LeasingHab!$C$24,Seguros_Oblig!$A$3:$B$55,2,FALSE))),(C270*(VLOOKUP(LeasingHab!$C$24,Seguros_Oblig!$A$3:$D$55,4,FALSE))))</f>
        <v>#VALUE!</v>
      </c>
      <c r="H271" s="8" t="e">
        <f>IF(LeasingHab!$C$10="TARIFA 1",(C270*(VLOOKUP(LeasingHab!$C$25,Seguros_Oblig!$A$3:$B$55,2,FALSE))),(C270*(VLOOKUP(LeasingHab!$C$25,Seguros_Oblig!$A$3:$D$55,4,FALSE))))</f>
        <v>#VALUE!</v>
      </c>
      <c r="I271" s="8" t="e">
        <f>IF(LeasingHab!$C$10="TARIFA 1",(C270*(VLOOKUP(LeasingHab!$C$26,Seguros_Oblig!$A$3:$B$55,2,FALSE))),(C270*(VLOOKUP(LeasingHab!$C$26,Seguros_Oblig!$A$3:$D$55,4,FALSE))))</f>
        <v>#VALUE!</v>
      </c>
      <c r="J271" s="10">
        <f t="shared" si="21"/>
        <v>0</v>
      </c>
      <c r="K271" s="7" t="e">
        <f>IF((C270-1)&lt;$E$17,0,Seguros_Oblig!$K$2*(LeasingHab!$C$12*90%))</f>
        <v>#VALUE!</v>
      </c>
      <c r="L271" s="7" t="e">
        <f>IF(B271&gt;LeasingHab!$C$18,0,PMT(LeasingHab!$E$17,LeasingHab!$C$18,-LeasingHab!$C$15,,)-PMT(LeasingHab!$E$17,LeasingHab!$C$18,-LeasingHab!$C$22)+LeasingHab!$C$22*LeasingHab!$E$17)</f>
        <v>#VALUE!</v>
      </c>
      <c r="M271" s="9" t="e">
        <f t="shared" si="22"/>
        <v>#VALUE!</v>
      </c>
      <c r="N271" s="7" t="e">
        <f>IF((C270-1)&lt;$E$17,0,LeasingHab!$C$39)</f>
        <v>#VALUE!</v>
      </c>
      <c r="O271" s="9" t="e">
        <f t="shared" si="23"/>
        <v>#VALUE!</v>
      </c>
    </row>
    <row r="272" spans="2:15" ht="15.5" hidden="1" x14ac:dyDescent="0.35">
      <c r="B272" s="6" t="e">
        <f t="shared" si="24"/>
        <v>#VALUE!</v>
      </c>
      <c r="C272" s="7" t="e">
        <f t="shared" si="19"/>
        <v>#VALUE!</v>
      </c>
      <c r="D272" s="7" t="e">
        <f t="shared" si="20"/>
        <v>#VALUE!</v>
      </c>
      <c r="E272" s="7" t="e">
        <f>IF((C271-1)&lt;$E$17,0,C271*LeasingHab!$E$17)</f>
        <v>#VALUE!</v>
      </c>
      <c r="F272" s="8" t="e">
        <f>IF((C271-1)&lt;$E$17,"0",IF(LeasingHab!$D$27="Si",($C$19*(VLOOKUP(LeasingHab!$C$23,Seguros_Oblig!$A$3:$F$55,6,FALSE))),IF(LeasingHab!$C$10="TARIFA 1",(C271*(VLOOKUP(LeasingHab!$C$23,Seguros_Oblig!$A$3:$B$55,2,FALSE))),(C271*(VLOOKUP(LeasingHab!$C$23,Seguros_Oblig!$A$3:$D$55,4,FALSE))))))</f>
        <v>#VALUE!</v>
      </c>
      <c r="G272" s="8" t="e">
        <f>IF(LeasingHab!$C$10="TARIFA 1",(C271*(VLOOKUP(LeasingHab!$C$24,Seguros_Oblig!$A$3:$B$55,2,FALSE))),(C271*(VLOOKUP(LeasingHab!$C$24,Seguros_Oblig!$A$3:$D$55,4,FALSE))))</f>
        <v>#VALUE!</v>
      </c>
      <c r="H272" s="8" t="e">
        <f>IF(LeasingHab!$C$10="TARIFA 1",(C271*(VLOOKUP(LeasingHab!$C$25,Seguros_Oblig!$A$3:$B$55,2,FALSE))),(C271*(VLOOKUP(LeasingHab!$C$25,Seguros_Oblig!$A$3:$D$55,4,FALSE))))</f>
        <v>#VALUE!</v>
      </c>
      <c r="I272" s="8" t="e">
        <f>IF(LeasingHab!$C$10="TARIFA 1",(C271*(VLOOKUP(LeasingHab!$C$26,Seguros_Oblig!$A$3:$B$55,2,FALSE))),(C271*(VLOOKUP(LeasingHab!$C$26,Seguros_Oblig!$A$3:$D$55,4,FALSE))))</f>
        <v>#VALUE!</v>
      </c>
      <c r="J272" s="10">
        <f t="shared" si="21"/>
        <v>0</v>
      </c>
      <c r="K272" s="7" t="e">
        <f>IF((C271-1)&lt;$E$17,0,Seguros_Oblig!$K$2*(LeasingHab!$C$12*90%))</f>
        <v>#VALUE!</v>
      </c>
      <c r="L272" s="7" t="e">
        <f>IF(B272&gt;LeasingHab!$C$18,0,PMT(LeasingHab!$E$17,LeasingHab!$C$18,-LeasingHab!$C$15,,)-PMT(LeasingHab!$E$17,LeasingHab!$C$18,-LeasingHab!$C$22)+LeasingHab!$C$22*LeasingHab!$E$17)</f>
        <v>#VALUE!</v>
      </c>
      <c r="M272" s="9" t="e">
        <f t="shared" si="22"/>
        <v>#VALUE!</v>
      </c>
      <c r="N272" s="7" t="e">
        <f>IF((C271-1)&lt;$E$17,0,LeasingHab!$C$39)</f>
        <v>#VALUE!</v>
      </c>
      <c r="O272" s="9" t="e">
        <f t="shared" si="23"/>
        <v>#VALUE!</v>
      </c>
    </row>
    <row r="273" spans="2:15" ht="15.5" hidden="1" x14ac:dyDescent="0.35">
      <c r="B273" s="6" t="e">
        <f t="shared" si="24"/>
        <v>#VALUE!</v>
      </c>
      <c r="C273" s="7" t="e">
        <f t="shared" ref="C273:C336" si="25">IF(D272=0,0,C272-D273)</f>
        <v>#VALUE!</v>
      </c>
      <c r="D273" s="7" t="e">
        <f t="shared" ref="D273:D336" si="26">IF((C272-1)&lt;$E$17,0,L273-E273)</f>
        <v>#VALUE!</v>
      </c>
      <c r="E273" s="7" t="e">
        <f>IF((C272-1)&lt;$E$17,0,C272*LeasingHab!$E$17)</f>
        <v>#VALUE!</v>
      </c>
      <c r="F273" s="8" t="e">
        <f>IF((C272-1)&lt;$E$17,"0",IF(LeasingHab!$D$27="Si",($C$19*(VLOOKUP(LeasingHab!$C$23,Seguros_Oblig!$A$3:$F$55,6,FALSE))),IF(LeasingHab!$C$10="TARIFA 1",(C272*(VLOOKUP(LeasingHab!$C$23,Seguros_Oblig!$A$3:$B$55,2,FALSE))),(C272*(VLOOKUP(LeasingHab!$C$23,Seguros_Oblig!$A$3:$D$55,4,FALSE))))))</f>
        <v>#VALUE!</v>
      </c>
      <c r="G273" s="8" t="e">
        <f>IF(LeasingHab!$C$10="TARIFA 1",(C272*(VLOOKUP(LeasingHab!$C$24,Seguros_Oblig!$A$3:$B$55,2,FALSE))),(C272*(VLOOKUP(LeasingHab!$C$24,Seguros_Oblig!$A$3:$D$55,4,FALSE))))</f>
        <v>#VALUE!</v>
      </c>
      <c r="H273" s="8" t="e">
        <f>IF(LeasingHab!$C$10="TARIFA 1",(C272*(VLOOKUP(LeasingHab!$C$25,Seguros_Oblig!$A$3:$B$55,2,FALSE))),(C272*(VLOOKUP(LeasingHab!$C$25,Seguros_Oblig!$A$3:$D$55,4,FALSE))))</f>
        <v>#VALUE!</v>
      </c>
      <c r="I273" s="8" t="e">
        <f>IF(LeasingHab!$C$10="TARIFA 1",(C272*(VLOOKUP(LeasingHab!$C$26,Seguros_Oblig!$A$3:$B$55,2,FALSE))),(C272*(VLOOKUP(LeasingHab!$C$26,Seguros_Oblig!$A$3:$D$55,4,FALSE))))</f>
        <v>#VALUE!</v>
      </c>
      <c r="J273" s="10">
        <f t="shared" si="21"/>
        <v>0</v>
      </c>
      <c r="K273" s="7" t="e">
        <f>IF((C272-1)&lt;$E$17,0,Seguros_Oblig!$K$2*(LeasingHab!$C$12*90%))</f>
        <v>#VALUE!</v>
      </c>
      <c r="L273" s="7" t="e">
        <f>IF(B273&gt;LeasingHab!$C$18,0,PMT(LeasingHab!$E$17,LeasingHab!$C$18,-LeasingHab!$C$15,,)-PMT(LeasingHab!$E$17,LeasingHab!$C$18,-LeasingHab!$C$22)+LeasingHab!$C$22*LeasingHab!$E$17)</f>
        <v>#VALUE!</v>
      </c>
      <c r="M273" s="9" t="e">
        <f t="shared" si="22"/>
        <v>#VALUE!</v>
      </c>
      <c r="N273" s="7" t="e">
        <f>IF((C272-1)&lt;$E$17,0,LeasingHab!$C$39)</f>
        <v>#VALUE!</v>
      </c>
      <c r="O273" s="9" t="e">
        <f t="shared" si="23"/>
        <v>#VALUE!</v>
      </c>
    </row>
    <row r="274" spans="2:15" ht="15.5" hidden="1" x14ac:dyDescent="0.35">
      <c r="B274" s="6" t="e">
        <f t="shared" si="24"/>
        <v>#VALUE!</v>
      </c>
      <c r="C274" s="7" t="e">
        <f t="shared" si="25"/>
        <v>#VALUE!</v>
      </c>
      <c r="D274" s="7" t="e">
        <f t="shared" si="26"/>
        <v>#VALUE!</v>
      </c>
      <c r="E274" s="7" t="e">
        <f>IF((C273-1)&lt;$E$17,0,C273*LeasingHab!$E$17)</f>
        <v>#VALUE!</v>
      </c>
      <c r="F274" s="8" t="e">
        <f>IF((C273-1)&lt;$E$17,"0",IF(LeasingHab!$D$27="Si",($C$19*(VLOOKUP(LeasingHab!$C$23,Seguros_Oblig!$A$3:$F$55,6,FALSE))),IF(LeasingHab!$C$10="TARIFA 1",(C273*(VLOOKUP(LeasingHab!$C$23,Seguros_Oblig!$A$3:$B$55,2,FALSE))),(C273*(VLOOKUP(LeasingHab!$C$23,Seguros_Oblig!$A$3:$D$55,4,FALSE))))))</f>
        <v>#VALUE!</v>
      </c>
      <c r="G274" s="8" t="e">
        <f>IF(LeasingHab!$C$10="TARIFA 1",(C273*(VLOOKUP(LeasingHab!$C$24,Seguros_Oblig!$A$3:$B$55,2,FALSE))),(C273*(VLOOKUP(LeasingHab!$C$24,Seguros_Oblig!$A$3:$D$55,4,FALSE))))</f>
        <v>#VALUE!</v>
      </c>
      <c r="H274" s="8" t="e">
        <f>IF(LeasingHab!$C$10="TARIFA 1",(C273*(VLOOKUP(LeasingHab!$C$25,Seguros_Oblig!$A$3:$B$55,2,FALSE))),(C273*(VLOOKUP(LeasingHab!$C$25,Seguros_Oblig!$A$3:$D$55,4,FALSE))))</f>
        <v>#VALUE!</v>
      </c>
      <c r="I274" s="8" t="e">
        <f>IF(LeasingHab!$C$10="TARIFA 1",(C273*(VLOOKUP(LeasingHab!$C$26,Seguros_Oblig!$A$3:$B$55,2,FALSE))),(C273*(VLOOKUP(LeasingHab!$C$26,Seguros_Oblig!$A$3:$D$55,4,FALSE))))</f>
        <v>#VALUE!</v>
      </c>
      <c r="J274" s="10">
        <f t="shared" si="21"/>
        <v>0</v>
      </c>
      <c r="K274" s="7" t="e">
        <f>IF((C273-1)&lt;$E$17,0,Seguros_Oblig!$K$2*(LeasingHab!$C$12*90%))</f>
        <v>#VALUE!</v>
      </c>
      <c r="L274" s="7" t="e">
        <f>IF(B274&gt;LeasingHab!$C$18,0,PMT(LeasingHab!$E$17,LeasingHab!$C$18,-LeasingHab!$C$15,,)-PMT(LeasingHab!$E$17,LeasingHab!$C$18,-LeasingHab!$C$22)+LeasingHab!$C$22*LeasingHab!$E$17)</f>
        <v>#VALUE!</v>
      </c>
      <c r="M274" s="9" t="e">
        <f t="shared" si="22"/>
        <v>#VALUE!</v>
      </c>
      <c r="N274" s="7" t="e">
        <f>IF((C273-1)&lt;$E$17,0,LeasingHab!$C$39)</f>
        <v>#VALUE!</v>
      </c>
      <c r="O274" s="9" t="e">
        <f t="shared" si="23"/>
        <v>#VALUE!</v>
      </c>
    </row>
    <row r="275" spans="2:15" ht="15.5" hidden="1" x14ac:dyDescent="0.35">
      <c r="B275" s="6" t="e">
        <f t="shared" si="24"/>
        <v>#VALUE!</v>
      </c>
      <c r="C275" s="7" t="e">
        <f t="shared" si="25"/>
        <v>#VALUE!</v>
      </c>
      <c r="D275" s="7" t="e">
        <f t="shared" si="26"/>
        <v>#VALUE!</v>
      </c>
      <c r="E275" s="7" t="e">
        <f>IF((C274-1)&lt;$E$17,0,C274*LeasingHab!$E$17)</f>
        <v>#VALUE!</v>
      </c>
      <c r="F275" s="8" t="e">
        <f>IF((C274-1)&lt;$E$17,"0",IF(LeasingHab!$D$27="Si",($C$19*(VLOOKUP(LeasingHab!$C$23,Seguros_Oblig!$A$3:$F$55,6,FALSE))),IF(LeasingHab!$C$10="TARIFA 1",(C274*(VLOOKUP(LeasingHab!$C$23,Seguros_Oblig!$A$3:$B$55,2,FALSE))),(C274*(VLOOKUP(LeasingHab!$C$23,Seguros_Oblig!$A$3:$D$55,4,FALSE))))))</f>
        <v>#VALUE!</v>
      </c>
      <c r="G275" s="8" t="e">
        <f>IF(LeasingHab!$C$10="TARIFA 1",(C274*(VLOOKUP(LeasingHab!$C$24,Seguros_Oblig!$A$3:$B$55,2,FALSE))),(C274*(VLOOKUP(LeasingHab!$C$24,Seguros_Oblig!$A$3:$D$55,4,FALSE))))</f>
        <v>#VALUE!</v>
      </c>
      <c r="H275" s="8" t="e">
        <f>IF(LeasingHab!$C$10="TARIFA 1",(C274*(VLOOKUP(LeasingHab!$C$25,Seguros_Oblig!$A$3:$B$55,2,FALSE))),(C274*(VLOOKUP(LeasingHab!$C$25,Seguros_Oblig!$A$3:$D$55,4,FALSE))))</f>
        <v>#VALUE!</v>
      </c>
      <c r="I275" s="8" t="e">
        <f>IF(LeasingHab!$C$10="TARIFA 1",(C274*(VLOOKUP(LeasingHab!$C$26,Seguros_Oblig!$A$3:$B$55,2,FALSE))),(C274*(VLOOKUP(LeasingHab!$C$26,Seguros_Oblig!$A$3:$D$55,4,FALSE))))</f>
        <v>#VALUE!</v>
      </c>
      <c r="J275" s="10">
        <f t="shared" si="21"/>
        <v>0</v>
      </c>
      <c r="K275" s="7" t="e">
        <f>IF((C274-1)&lt;$E$17,0,Seguros_Oblig!$K$2*(LeasingHab!$C$12*90%))</f>
        <v>#VALUE!</v>
      </c>
      <c r="L275" s="7" t="e">
        <f>IF(B275&gt;LeasingHab!$C$18,0,PMT(LeasingHab!$E$17,LeasingHab!$C$18,-LeasingHab!$C$15,,)-PMT(LeasingHab!$E$17,LeasingHab!$C$18,-LeasingHab!$C$22)+LeasingHab!$C$22*LeasingHab!$E$17)</f>
        <v>#VALUE!</v>
      </c>
      <c r="M275" s="9" t="e">
        <f t="shared" si="22"/>
        <v>#VALUE!</v>
      </c>
      <c r="N275" s="7" t="e">
        <f>IF((C274-1)&lt;$E$17,0,LeasingHab!$C$39)</f>
        <v>#VALUE!</v>
      </c>
      <c r="O275" s="9" t="e">
        <f t="shared" si="23"/>
        <v>#VALUE!</v>
      </c>
    </row>
    <row r="276" spans="2:15" ht="15.5" hidden="1" x14ac:dyDescent="0.35">
      <c r="B276" s="6" t="e">
        <f t="shared" si="24"/>
        <v>#VALUE!</v>
      </c>
      <c r="C276" s="7" t="e">
        <f t="shared" si="25"/>
        <v>#VALUE!</v>
      </c>
      <c r="D276" s="7" t="e">
        <f t="shared" si="26"/>
        <v>#VALUE!</v>
      </c>
      <c r="E276" s="7" t="e">
        <f>IF((C275-1)&lt;$E$17,0,C275*LeasingHab!$E$17)</f>
        <v>#VALUE!</v>
      </c>
      <c r="F276" s="8" t="e">
        <f>IF((C275-1)&lt;$E$17,"0",IF(LeasingHab!$D$27="Si",($C$19*(VLOOKUP(LeasingHab!$C$23,Seguros_Oblig!$A$3:$F$55,6,FALSE))),IF(LeasingHab!$C$10="TARIFA 1",(C275*(VLOOKUP(LeasingHab!$C$23,Seguros_Oblig!$A$3:$B$55,2,FALSE))),(C275*(VLOOKUP(LeasingHab!$C$23,Seguros_Oblig!$A$3:$D$55,4,FALSE))))))</f>
        <v>#VALUE!</v>
      </c>
      <c r="G276" s="8" t="e">
        <f>IF(LeasingHab!$C$10="TARIFA 1",(C275*(VLOOKUP(LeasingHab!$C$24,Seguros_Oblig!$A$3:$B$55,2,FALSE))),(C275*(VLOOKUP(LeasingHab!$C$24,Seguros_Oblig!$A$3:$D$55,4,FALSE))))</f>
        <v>#VALUE!</v>
      </c>
      <c r="H276" s="8" t="e">
        <f>IF(LeasingHab!$C$10="TARIFA 1",(C275*(VLOOKUP(LeasingHab!$C$25,Seguros_Oblig!$A$3:$B$55,2,FALSE))),(C275*(VLOOKUP(LeasingHab!$C$25,Seguros_Oblig!$A$3:$D$55,4,FALSE))))</f>
        <v>#VALUE!</v>
      </c>
      <c r="I276" s="8" t="e">
        <f>IF(LeasingHab!$C$10="TARIFA 1",(C275*(VLOOKUP(LeasingHab!$C$26,Seguros_Oblig!$A$3:$B$55,2,FALSE))),(C275*(VLOOKUP(LeasingHab!$C$26,Seguros_Oblig!$A$3:$D$55,4,FALSE))))</f>
        <v>#VALUE!</v>
      </c>
      <c r="J276" s="10">
        <f t="shared" si="21"/>
        <v>0</v>
      </c>
      <c r="K276" s="7" t="e">
        <f>IF((C275-1)&lt;$E$17,0,Seguros_Oblig!$K$2*(LeasingHab!$C$12*90%))</f>
        <v>#VALUE!</v>
      </c>
      <c r="L276" s="7" t="e">
        <f>IF(B276&gt;LeasingHab!$C$18,0,PMT(LeasingHab!$E$17,LeasingHab!$C$18,-LeasingHab!$C$15,,)-PMT(LeasingHab!$E$17,LeasingHab!$C$18,-LeasingHab!$C$22)+LeasingHab!$C$22*LeasingHab!$E$17)</f>
        <v>#VALUE!</v>
      </c>
      <c r="M276" s="9" t="e">
        <f t="shared" si="22"/>
        <v>#VALUE!</v>
      </c>
      <c r="N276" s="7" t="e">
        <f>IF((C275-1)&lt;$E$17,0,LeasingHab!$C$39)</f>
        <v>#VALUE!</v>
      </c>
      <c r="O276" s="9" t="e">
        <f t="shared" si="23"/>
        <v>#VALUE!</v>
      </c>
    </row>
    <row r="277" spans="2:15" ht="15.5" hidden="1" x14ac:dyDescent="0.35">
      <c r="B277" s="6" t="e">
        <f t="shared" si="24"/>
        <v>#VALUE!</v>
      </c>
      <c r="C277" s="7" t="e">
        <f t="shared" si="25"/>
        <v>#VALUE!</v>
      </c>
      <c r="D277" s="7" t="e">
        <f t="shared" si="26"/>
        <v>#VALUE!</v>
      </c>
      <c r="E277" s="7" t="e">
        <f>IF((C276-1)&lt;$E$17,0,C276*LeasingHab!$E$17)</f>
        <v>#VALUE!</v>
      </c>
      <c r="F277" s="8" t="e">
        <f>IF((C276-1)&lt;$E$17,"0",IF(LeasingHab!$D$27="Si",($C$19*(VLOOKUP(LeasingHab!$C$23,Seguros_Oblig!$A$3:$F$55,6,FALSE))),IF(LeasingHab!$C$10="TARIFA 1",(C276*(VLOOKUP(LeasingHab!$C$23,Seguros_Oblig!$A$3:$B$55,2,FALSE))),(C276*(VLOOKUP(LeasingHab!$C$23,Seguros_Oblig!$A$3:$D$55,4,FALSE))))))</f>
        <v>#VALUE!</v>
      </c>
      <c r="G277" s="8" t="e">
        <f>IF(LeasingHab!$C$10="TARIFA 1",(C276*(VLOOKUP(LeasingHab!$C$24,Seguros_Oblig!$A$3:$B$55,2,FALSE))),(C276*(VLOOKUP(LeasingHab!$C$24,Seguros_Oblig!$A$3:$D$55,4,FALSE))))</f>
        <v>#VALUE!</v>
      </c>
      <c r="H277" s="8" t="e">
        <f>IF(LeasingHab!$C$10="TARIFA 1",(C276*(VLOOKUP(LeasingHab!$C$25,Seguros_Oblig!$A$3:$B$55,2,FALSE))),(C276*(VLOOKUP(LeasingHab!$C$25,Seguros_Oblig!$A$3:$D$55,4,FALSE))))</f>
        <v>#VALUE!</v>
      </c>
      <c r="I277" s="8" t="e">
        <f>IF(LeasingHab!$C$10="TARIFA 1",(C276*(VLOOKUP(LeasingHab!$C$26,Seguros_Oblig!$A$3:$B$55,2,FALSE))),(C276*(VLOOKUP(LeasingHab!$C$26,Seguros_Oblig!$A$3:$D$55,4,FALSE))))</f>
        <v>#VALUE!</v>
      </c>
      <c r="J277" s="10">
        <f t="shared" ref="J277:J340" si="27">_xlfn.AGGREGATE(9,6,F277:I277)</f>
        <v>0</v>
      </c>
      <c r="K277" s="7" t="e">
        <f>IF((C276-1)&lt;$E$17,0,Seguros_Oblig!$K$2*(LeasingHab!$C$12*90%))</f>
        <v>#VALUE!</v>
      </c>
      <c r="L277" s="7" t="e">
        <f>IF(B277&gt;LeasingHab!$C$18,0,PMT(LeasingHab!$E$17,LeasingHab!$C$18,-LeasingHab!$C$15,,)-PMT(LeasingHab!$E$17,LeasingHab!$C$18,-LeasingHab!$C$22)+LeasingHab!$C$22*LeasingHab!$E$17)</f>
        <v>#VALUE!</v>
      </c>
      <c r="M277" s="9" t="e">
        <f t="shared" ref="M277:M340" si="28">K277+L277+J277</f>
        <v>#VALUE!</v>
      </c>
      <c r="N277" s="7" t="e">
        <f>IF((C276-1)&lt;$E$17,0,LeasingHab!$C$39)</f>
        <v>#VALUE!</v>
      </c>
      <c r="O277" s="9" t="e">
        <f t="shared" ref="O277:O340" si="29">M277+N277</f>
        <v>#VALUE!</v>
      </c>
    </row>
    <row r="278" spans="2:15" ht="15.5" hidden="1" x14ac:dyDescent="0.35">
      <c r="B278" s="6" t="e">
        <f t="shared" si="24"/>
        <v>#VALUE!</v>
      </c>
      <c r="C278" s="7" t="e">
        <f t="shared" si="25"/>
        <v>#VALUE!</v>
      </c>
      <c r="D278" s="7" t="e">
        <f t="shared" si="26"/>
        <v>#VALUE!</v>
      </c>
      <c r="E278" s="7" t="e">
        <f>IF((C277-1)&lt;$E$17,0,C277*LeasingHab!$E$17)</f>
        <v>#VALUE!</v>
      </c>
      <c r="F278" s="8" t="e">
        <f>IF((C277-1)&lt;$E$17,"0",IF(LeasingHab!$D$27="Si",($C$19*(VLOOKUP(LeasingHab!$C$23,Seguros_Oblig!$A$3:$F$55,6,FALSE))),IF(LeasingHab!$C$10="TARIFA 1",(C277*(VLOOKUP(LeasingHab!$C$23,Seguros_Oblig!$A$3:$B$55,2,FALSE))),(C277*(VLOOKUP(LeasingHab!$C$23,Seguros_Oblig!$A$3:$D$55,4,FALSE))))))</f>
        <v>#VALUE!</v>
      </c>
      <c r="G278" s="8" t="e">
        <f>IF(LeasingHab!$C$10="TARIFA 1",(C277*(VLOOKUP(LeasingHab!$C$24,Seguros_Oblig!$A$3:$B$55,2,FALSE))),(C277*(VLOOKUP(LeasingHab!$C$24,Seguros_Oblig!$A$3:$D$55,4,FALSE))))</f>
        <v>#VALUE!</v>
      </c>
      <c r="H278" s="8" t="e">
        <f>IF(LeasingHab!$C$10="TARIFA 1",(C277*(VLOOKUP(LeasingHab!$C$25,Seguros_Oblig!$A$3:$B$55,2,FALSE))),(C277*(VLOOKUP(LeasingHab!$C$25,Seguros_Oblig!$A$3:$D$55,4,FALSE))))</f>
        <v>#VALUE!</v>
      </c>
      <c r="I278" s="8" t="e">
        <f>IF(LeasingHab!$C$10="TARIFA 1",(C277*(VLOOKUP(LeasingHab!$C$26,Seguros_Oblig!$A$3:$B$55,2,FALSE))),(C277*(VLOOKUP(LeasingHab!$C$26,Seguros_Oblig!$A$3:$D$55,4,FALSE))))</f>
        <v>#VALUE!</v>
      </c>
      <c r="J278" s="10">
        <f t="shared" si="27"/>
        <v>0</v>
      </c>
      <c r="K278" s="7" t="e">
        <f>IF((C277-1)&lt;$E$17,0,Seguros_Oblig!$K$2*(LeasingHab!$C$12*90%))</f>
        <v>#VALUE!</v>
      </c>
      <c r="L278" s="7" t="e">
        <f>IF(B278&gt;LeasingHab!$C$18,0,PMT(LeasingHab!$E$17,LeasingHab!$C$18,-LeasingHab!$C$15,,)-PMT(LeasingHab!$E$17,LeasingHab!$C$18,-LeasingHab!$C$22)+LeasingHab!$C$22*LeasingHab!$E$17)</f>
        <v>#VALUE!</v>
      </c>
      <c r="M278" s="9" t="e">
        <f t="shared" si="28"/>
        <v>#VALUE!</v>
      </c>
      <c r="N278" s="7" t="e">
        <f>IF((C277-1)&lt;$E$17,0,LeasingHab!$C$39)</f>
        <v>#VALUE!</v>
      </c>
      <c r="O278" s="9" t="e">
        <f t="shared" si="29"/>
        <v>#VALUE!</v>
      </c>
    </row>
    <row r="279" spans="2:15" ht="15.5" hidden="1" x14ac:dyDescent="0.35">
      <c r="B279" s="6" t="e">
        <f t="shared" si="24"/>
        <v>#VALUE!</v>
      </c>
      <c r="C279" s="7" t="e">
        <f t="shared" si="25"/>
        <v>#VALUE!</v>
      </c>
      <c r="D279" s="7" t="e">
        <f t="shared" si="26"/>
        <v>#VALUE!</v>
      </c>
      <c r="E279" s="7" t="e">
        <f>IF((C278-1)&lt;$E$17,0,C278*LeasingHab!$E$17)</f>
        <v>#VALUE!</v>
      </c>
      <c r="F279" s="8" t="e">
        <f>IF((C278-1)&lt;$E$17,"0",IF(LeasingHab!$D$27="Si",($C$19*(VLOOKUP(LeasingHab!$C$23,Seguros_Oblig!$A$3:$F$55,6,FALSE))),IF(LeasingHab!$C$10="TARIFA 1",(C278*(VLOOKUP(LeasingHab!$C$23,Seguros_Oblig!$A$3:$B$55,2,FALSE))),(C278*(VLOOKUP(LeasingHab!$C$23,Seguros_Oblig!$A$3:$D$55,4,FALSE))))))</f>
        <v>#VALUE!</v>
      </c>
      <c r="G279" s="8" t="e">
        <f>IF(LeasingHab!$C$10="TARIFA 1",(C278*(VLOOKUP(LeasingHab!$C$24,Seguros_Oblig!$A$3:$B$55,2,FALSE))),(C278*(VLOOKUP(LeasingHab!$C$24,Seguros_Oblig!$A$3:$D$55,4,FALSE))))</f>
        <v>#VALUE!</v>
      </c>
      <c r="H279" s="8" t="e">
        <f>IF(LeasingHab!$C$10="TARIFA 1",(C278*(VLOOKUP(LeasingHab!$C$25,Seguros_Oblig!$A$3:$B$55,2,FALSE))),(C278*(VLOOKUP(LeasingHab!$C$25,Seguros_Oblig!$A$3:$D$55,4,FALSE))))</f>
        <v>#VALUE!</v>
      </c>
      <c r="I279" s="8" t="e">
        <f>IF(LeasingHab!$C$10="TARIFA 1",(C278*(VLOOKUP(LeasingHab!$C$26,Seguros_Oblig!$A$3:$B$55,2,FALSE))),(C278*(VLOOKUP(LeasingHab!$C$26,Seguros_Oblig!$A$3:$D$55,4,FALSE))))</f>
        <v>#VALUE!</v>
      </c>
      <c r="J279" s="10">
        <f t="shared" si="27"/>
        <v>0</v>
      </c>
      <c r="K279" s="7" t="e">
        <f>IF((C278-1)&lt;$E$17,0,Seguros_Oblig!$K$2*(LeasingHab!$C$12*90%))</f>
        <v>#VALUE!</v>
      </c>
      <c r="L279" s="7" t="e">
        <f>IF(B279&gt;LeasingHab!$C$18,0,PMT(LeasingHab!$E$17,LeasingHab!$C$18,-LeasingHab!$C$15,,)-PMT(LeasingHab!$E$17,LeasingHab!$C$18,-LeasingHab!$C$22)+LeasingHab!$C$22*LeasingHab!$E$17)</f>
        <v>#VALUE!</v>
      </c>
      <c r="M279" s="9" t="e">
        <f t="shared" si="28"/>
        <v>#VALUE!</v>
      </c>
      <c r="N279" s="7" t="e">
        <f>IF((C278-1)&lt;$E$17,0,LeasingHab!$C$39)</f>
        <v>#VALUE!</v>
      </c>
      <c r="O279" s="9" t="e">
        <f t="shared" si="29"/>
        <v>#VALUE!</v>
      </c>
    </row>
    <row r="280" spans="2:15" ht="15.5" hidden="1" x14ac:dyDescent="0.35">
      <c r="B280" s="6" t="e">
        <f t="shared" si="24"/>
        <v>#VALUE!</v>
      </c>
      <c r="C280" s="7" t="e">
        <f t="shared" si="25"/>
        <v>#VALUE!</v>
      </c>
      <c r="D280" s="7" t="e">
        <f t="shared" si="26"/>
        <v>#VALUE!</v>
      </c>
      <c r="E280" s="7" t="e">
        <f>IF((C279-1)&lt;$E$17,0,C279*LeasingHab!$E$17)</f>
        <v>#VALUE!</v>
      </c>
      <c r="F280" s="8" t="e">
        <f>IF((C279-1)&lt;$E$17,"0",IF(LeasingHab!$D$27="Si",($C$19*(VLOOKUP(LeasingHab!$C$23,Seguros_Oblig!$A$3:$F$55,6,FALSE))),IF(LeasingHab!$C$10="TARIFA 1",(C279*(VLOOKUP(LeasingHab!$C$23,Seguros_Oblig!$A$3:$B$55,2,FALSE))),(C279*(VLOOKUP(LeasingHab!$C$23,Seguros_Oblig!$A$3:$D$55,4,FALSE))))))</f>
        <v>#VALUE!</v>
      </c>
      <c r="G280" s="8" t="e">
        <f>IF(LeasingHab!$C$10="TARIFA 1",(C279*(VLOOKUP(LeasingHab!$C$24,Seguros_Oblig!$A$3:$B$55,2,FALSE))),(C279*(VLOOKUP(LeasingHab!$C$24,Seguros_Oblig!$A$3:$D$55,4,FALSE))))</f>
        <v>#VALUE!</v>
      </c>
      <c r="H280" s="8" t="e">
        <f>IF(LeasingHab!$C$10="TARIFA 1",(C279*(VLOOKUP(LeasingHab!$C$25,Seguros_Oblig!$A$3:$B$55,2,FALSE))),(C279*(VLOOKUP(LeasingHab!$C$25,Seguros_Oblig!$A$3:$D$55,4,FALSE))))</f>
        <v>#VALUE!</v>
      </c>
      <c r="I280" s="8" t="e">
        <f>IF(LeasingHab!$C$10="TARIFA 1",(C279*(VLOOKUP(LeasingHab!$C$26,Seguros_Oblig!$A$3:$B$55,2,FALSE))),(C279*(VLOOKUP(LeasingHab!$C$26,Seguros_Oblig!$A$3:$D$55,4,FALSE))))</f>
        <v>#VALUE!</v>
      </c>
      <c r="J280" s="10">
        <f t="shared" si="27"/>
        <v>0</v>
      </c>
      <c r="K280" s="7" t="e">
        <f>IF((C279-1)&lt;$E$17,0,Seguros_Oblig!$K$2*(LeasingHab!$C$12*90%))</f>
        <v>#VALUE!</v>
      </c>
      <c r="L280" s="7" t="e">
        <f>IF(B280&gt;LeasingHab!$C$18,0,PMT(LeasingHab!$E$17,LeasingHab!$C$18,-LeasingHab!$C$15,,)-PMT(LeasingHab!$E$17,LeasingHab!$C$18,-LeasingHab!$C$22)+LeasingHab!$C$22*LeasingHab!$E$17)</f>
        <v>#VALUE!</v>
      </c>
      <c r="M280" s="9" t="e">
        <f t="shared" si="28"/>
        <v>#VALUE!</v>
      </c>
      <c r="N280" s="7" t="e">
        <f>IF((C279-1)&lt;$E$17,0,LeasingHab!$C$39)</f>
        <v>#VALUE!</v>
      </c>
      <c r="O280" s="9" t="e">
        <f t="shared" si="29"/>
        <v>#VALUE!</v>
      </c>
    </row>
    <row r="281" spans="2:15" ht="15.5" hidden="1" x14ac:dyDescent="0.35">
      <c r="B281" s="6" t="e">
        <f t="shared" si="24"/>
        <v>#VALUE!</v>
      </c>
      <c r="C281" s="7" t="e">
        <f t="shared" si="25"/>
        <v>#VALUE!</v>
      </c>
      <c r="D281" s="7" t="e">
        <f t="shared" si="26"/>
        <v>#VALUE!</v>
      </c>
      <c r="E281" s="7" t="e">
        <f>IF((C280-1)&lt;$E$17,0,C280*LeasingHab!$E$17)</f>
        <v>#VALUE!</v>
      </c>
      <c r="F281" s="8" t="e">
        <f>IF((C280-1)&lt;$E$17,"0",IF(LeasingHab!$D$27="Si",($C$19*(VLOOKUP(LeasingHab!$C$23,Seguros_Oblig!$A$3:$F$55,6,FALSE))),IF(LeasingHab!$C$10="TARIFA 1",(C280*(VLOOKUP(LeasingHab!$C$23,Seguros_Oblig!$A$3:$B$55,2,FALSE))),(C280*(VLOOKUP(LeasingHab!$C$23,Seguros_Oblig!$A$3:$D$55,4,FALSE))))))</f>
        <v>#VALUE!</v>
      </c>
      <c r="G281" s="8" t="e">
        <f>IF(LeasingHab!$C$10="TARIFA 1",(C280*(VLOOKUP(LeasingHab!$C$24,Seguros_Oblig!$A$3:$B$55,2,FALSE))),(C280*(VLOOKUP(LeasingHab!$C$24,Seguros_Oblig!$A$3:$D$55,4,FALSE))))</f>
        <v>#VALUE!</v>
      </c>
      <c r="H281" s="8" t="e">
        <f>IF(LeasingHab!$C$10="TARIFA 1",(C280*(VLOOKUP(LeasingHab!$C$25,Seguros_Oblig!$A$3:$B$55,2,FALSE))),(C280*(VLOOKUP(LeasingHab!$C$25,Seguros_Oblig!$A$3:$D$55,4,FALSE))))</f>
        <v>#VALUE!</v>
      </c>
      <c r="I281" s="8" t="e">
        <f>IF(LeasingHab!$C$10="TARIFA 1",(C280*(VLOOKUP(LeasingHab!$C$26,Seguros_Oblig!$A$3:$B$55,2,FALSE))),(C280*(VLOOKUP(LeasingHab!$C$26,Seguros_Oblig!$A$3:$D$55,4,FALSE))))</f>
        <v>#VALUE!</v>
      </c>
      <c r="J281" s="10">
        <f t="shared" si="27"/>
        <v>0</v>
      </c>
      <c r="K281" s="7" t="e">
        <f>IF((C280-1)&lt;$E$17,0,Seguros_Oblig!$K$2*(LeasingHab!$C$12*90%))</f>
        <v>#VALUE!</v>
      </c>
      <c r="L281" s="7" t="e">
        <f>IF(B281&gt;LeasingHab!$C$18,0,PMT(LeasingHab!$E$17,LeasingHab!$C$18,-LeasingHab!$C$15,,)-PMT(LeasingHab!$E$17,LeasingHab!$C$18,-LeasingHab!$C$22)+LeasingHab!$C$22*LeasingHab!$E$17)</f>
        <v>#VALUE!</v>
      </c>
      <c r="M281" s="9" t="e">
        <f t="shared" si="28"/>
        <v>#VALUE!</v>
      </c>
      <c r="N281" s="7" t="e">
        <f>IF((C280-1)&lt;$E$17,0,LeasingHab!$C$39)</f>
        <v>#VALUE!</v>
      </c>
      <c r="O281" s="9" t="e">
        <f t="shared" si="29"/>
        <v>#VALUE!</v>
      </c>
    </row>
    <row r="282" spans="2:15" ht="15.5" hidden="1" x14ac:dyDescent="0.35">
      <c r="B282" s="6" t="e">
        <f t="shared" ref="B282:B345" si="30">IF(C281&gt;1,B281+1," ")</f>
        <v>#VALUE!</v>
      </c>
      <c r="C282" s="7" t="e">
        <f t="shared" si="25"/>
        <v>#VALUE!</v>
      </c>
      <c r="D282" s="7" t="e">
        <f t="shared" si="26"/>
        <v>#VALUE!</v>
      </c>
      <c r="E282" s="7" t="e">
        <f>IF((C281-1)&lt;$E$17,0,C281*LeasingHab!$E$17)</f>
        <v>#VALUE!</v>
      </c>
      <c r="F282" s="8" t="e">
        <f>IF((C281-1)&lt;$E$17,"0",IF(LeasingHab!$D$27="Si",($C$19*(VLOOKUP(LeasingHab!$C$23,Seguros_Oblig!$A$3:$F$55,6,FALSE))),IF(LeasingHab!$C$10="TARIFA 1",(C281*(VLOOKUP(LeasingHab!$C$23,Seguros_Oblig!$A$3:$B$55,2,FALSE))),(C281*(VLOOKUP(LeasingHab!$C$23,Seguros_Oblig!$A$3:$D$55,4,FALSE))))))</f>
        <v>#VALUE!</v>
      </c>
      <c r="G282" s="8" t="e">
        <f>IF(LeasingHab!$C$10="TARIFA 1",(C281*(VLOOKUP(LeasingHab!$C$24,Seguros_Oblig!$A$3:$B$55,2,FALSE))),(C281*(VLOOKUP(LeasingHab!$C$24,Seguros_Oblig!$A$3:$D$55,4,FALSE))))</f>
        <v>#VALUE!</v>
      </c>
      <c r="H282" s="8" t="e">
        <f>IF(LeasingHab!$C$10="TARIFA 1",(C281*(VLOOKUP(LeasingHab!$C$25,Seguros_Oblig!$A$3:$B$55,2,FALSE))),(C281*(VLOOKUP(LeasingHab!$C$25,Seguros_Oblig!$A$3:$D$55,4,FALSE))))</f>
        <v>#VALUE!</v>
      </c>
      <c r="I282" s="8" t="e">
        <f>IF(LeasingHab!$C$10="TARIFA 1",(C281*(VLOOKUP(LeasingHab!$C$26,Seguros_Oblig!$A$3:$B$55,2,FALSE))),(C281*(VLOOKUP(LeasingHab!$C$26,Seguros_Oblig!$A$3:$D$55,4,FALSE))))</f>
        <v>#VALUE!</v>
      </c>
      <c r="J282" s="10">
        <f t="shared" si="27"/>
        <v>0</v>
      </c>
      <c r="K282" s="7" t="e">
        <f>IF((C281-1)&lt;$E$17,0,Seguros_Oblig!$K$2*(LeasingHab!$C$12*90%))</f>
        <v>#VALUE!</v>
      </c>
      <c r="L282" s="7" t="e">
        <f>IF(B282&gt;LeasingHab!$C$18,0,PMT(LeasingHab!$E$17,LeasingHab!$C$18,-LeasingHab!$C$15,,)-PMT(LeasingHab!$E$17,LeasingHab!$C$18,-LeasingHab!$C$22)+LeasingHab!$C$22*LeasingHab!$E$17)</f>
        <v>#VALUE!</v>
      </c>
      <c r="M282" s="9" t="e">
        <f t="shared" si="28"/>
        <v>#VALUE!</v>
      </c>
      <c r="N282" s="7" t="e">
        <f>IF((C281-1)&lt;$E$17,0,LeasingHab!$C$39)</f>
        <v>#VALUE!</v>
      </c>
      <c r="O282" s="9" t="e">
        <f t="shared" si="29"/>
        <v>#VALUE!</v>
      </c>
    </row>
    <row r="283" spans="2:15" ht="15.5" hidden="1" x14ac:dyDescent="0.35">
      <c r="B283" s="6" t="e">
        <f t="shared" si="30"/>
        <v>#VALUE!</v>
      </c>
      <c r="C283" s="7" t="e">
        <f t="shared" si="25"/>
        <v>#VALUE!</v>
      </c>
      <c r="D283" s="7" t="e">
        <f t="shared" si="26"/>
        <v>#VALUE!</v>
      </c>
      <c r="E283" s="7" t="e">
        <f>IF((C282-1)&lt;$E$17,0,C282*LeasingHab!$E$17)</f>
        <v>#VALUE!</v>
      </c>
      <c r="F283" s="8" t="e">
        <f>IF((C282-1)&lt;$E$17,"0",IF(LeasingHab!$D$27="Si",($C$19*(VLOOKUP(LeasingHab!$C$23,Seguros_Oblig!$A$3:$F$55,6,FALSE))),IF(LeasingHab!$C$10="TARIFA 1",(C282*(VLOOKUP(LeasingHab!$C$23,Seguros_Oblig!$A$3:$B$55,2,FALSE))),(C282*(VLOOKUP(LeasingHab!$C$23,Seguros_Oblig!$A$3:$D$55,4,FALSE))))))</f>
        <v>#VALUE!</v>
      </c>
      <c r="G283" s="8" t="e">
        <f>IF(LeasingHab!$C$10="TARIFA 1",(C282*(VLOOKUP(LeasingHab!$C$24,Seguros_Oblig!$A$3:$B$55,2,FALSE))),(C282*(VLOOKUP(LeasingHab!$C$24,Seguros_Oblig!$A$3:$D$55,4,FALSE))))</f>
        <v>#VALUE!</v>
      </c>
      <c r="H283" s="8" t="e">
        <f>IF(LeasingHab!$C$10="TARIFA 1",(C282*(VLOOKUP(LeasingHab!$C$25,Seguros_Oblig!$A$3:$B$55,2,FALSE))),(C282*(VLOOKUP(LeasingHab!$C$25,Seguros_Oblig!$A$3:$D$55,4,FALSE))))</f>
        <v>#VALUE!</v>
      </c>
      <c r="I283" s="8" t="e">
        <f>IF(LeasingHab!$C$10="TARIFA 1",(C282*(VLOOKUP(LeasingHab!$C$26,Seguros_Oblig!$A$3:$B$55,2,FALSE))),(C282*(VLOOKUP(LeasingHab!$C$26,Seguros_Oblig!$A$3:$D$55,4,FALSE))))</f>
        <v>#VALUE!</v>
      </c>
      <c r="J283" s="10">
        <f t="shared" si="27"/>
        <v>0</v>
      </c>
      <c r="K283" s="7" t="e">
        <f>IF((C282-1)&lt;$E$17,0,Seguros_Oblig!$K$2*(LeasingHab!$C$12*90%))</f>
        <v>#VALUE!</v>
      </c>
      <c r="L283" s="7" t="e">
        <f>IF(B283&gt;LeasingHab!$C$18,0,PMT(LeasingHab!$E$17,LeasingHab!$C$18,-LeasingHab!$C$15,,)-PMT(LeasingHab!$E$17,LeasingHab!$C$18,-LeasingHab!$C$22)+LeasingHab!$C$22*LeasingHab!$E$17)</f>
        <v>#VALUE!</v>
      </c>
      <c r="M283" s="9" t="e">
        <f t="shared" si="28"/>
        <v>#VALUE!</v>
      </c>
      <c r="N283" s="7" t="e">
        <f>IF((C282-1)&lt;$E$17,0,LeasingHab!$C$39)</f>
        <v>#VALUE!</v>
      </c>
      <c r="O283" s="9" t="e">
        <f t="shared" si="29"/>
        <v>#VALUE!</v>
      </c>
    </row>
    <row r="284" spans="2:15" ht="15.5" hidden="1" x14ac:dyDescent="0.35">
      <c r="B284" s="6" t="e">
        <f t="shared" si="30"/>
        <v>#VALUE!</v>
      </c>
      <c r="C284" s="7" t="e">
        <f t="shared" si="25"/>
        <v>#VALUE!</v>
      </c>
      <c r="D284" s="7" t="e">
        <f t="shared" si="26"/>
        <v>#VALUE!</v>
      </c>
      <c r="E284" s="7" t="e">
        <f>IF((C283-1)&lt;$E$17,0,C283*LeasingHab!$E$17)</f>
        <v>#VALUE!</v>
      </c>
      <c r="F284" s="8" t="e">
        <f>IF((C283-1)&lt;$E$17,"0",IF(LeasingHab!$D$27="Si",($C$19*(VLOOKUP(LeasingHab!$C$23,Seguros_Oblig!$A$3:$F$55,6,FALSE))),IF(LeasingHab!$C$10="TARIFA 1",(C283*(VLOOKUP(LeasingHab!$C$23,Seguros_Oblig!$A$3:$B$55,2,FALSE))),(C283*(VLOOKUP(LeasingHab!$C$23,Seguros_Oblig!$A$3:$D$55,4,FALSE))))))</f>
        <v>#VALUE!</v>
      </c>
      <c r="G284" s="8" t="e">
        <f>IF(LeasingHab!$C$10="TARIFA 1",(C283*(VLOOKUP(LeasingHab!$C$24,Seguros_Oblig!$A$3:$B$55,2,FALSE))),(C283*(VLOOKUP(LeasingHab!$C$24,Seguros_Oblig!$A$3:$D$55,4,FALSE))))</f>
        <v>#VALUE!</v>
      </c>
      <c r="H284" s="8" t="e">
        <f>IF(LeasingHab!$C$10="TARIFA 1",(C283*(VLOOKUP(LeasingHab!$C$25,Seguros_Oblig!$A$3:$B$55,2,FALSE))),(C283*(VLOOKUP(LeasingHab!$C$25,Seguros_Oblig!$A$3:$D$55,4,FALSE))))</f>
        <v>#VALUE!</v>
      </c>
      <c r="I284" s="8" t="e">
        <f>IF(LeasingHab!$C$10="TARIFA 1",(C283*(VLOOKUP(LeasingHab!$C$26,Seguros_Oblig!$A$3:$B$55,2,FALSE))),(C283*(VLOOKUP(LeasingHab!$C$26,Seguros_Oblig!$A$3:$D$55,4,FALSE))))</f>
        <v>#VALUE!</v>
      </c>
      <c r="J284" s="10">
        <f t="shared" si="27"/>
        <v>0</v>
      </c>
      <c r="K284" s="7" t="e">
        <f>IF((C283-1)&lt;$E$17,0,Seguros_Oblig!$K$2*(LeasingHab!$C$12*90%))</f>
        <v>#VALUE!</v>
      </c>
      <c r="L284" s="7" t="e">
        <f>IF(B284&gt;LeasingHab!$C$18,0,PMT(LeasingHab!$E$17,LeasingHab!$C$18,-LeasingHab!$C$15,,)-PMT(LeasingHab!$E$17,LeasingHab!$C$18,-LeasingHab!$C$22)+LeasingHab!$C$22*LeasingHab!$E$17)</f>
        <v>#VALUE!</v>
      </c>
      <c r="M284" s="9" t="e">
        <f t="shared" si="28"/>
        <v>#VALUE!</v>
      </c>
      <c r="N284" s="7" t="e">
        <f>IF((C283-1)&lt;$E$17,0,LeasingHab!$C$39)</f>
        <v>#VALUE!</v>
      </c>
      <c r="O284" s="9" t="e">
        <f t="shared" si="29"/>
        <v>#VALUE!</v>
      </c>
    </row>
    <row r="285" spans="2:15" ht="15.5" hidden="1" x14ac:dyDescent="0.35">
      <c r="B285" s="6" t="e">
        <f t="shared" si="30"/>
        <v>#VALUE!</v>
      </c>
      <c r="C285" s="7" t="e">
        <f t="shared" si="25"/>
        <v>#VALUE!</v>
      </c>
      <c r="D285" s="7" t="e">
        <f t="shared" si="26"/>
        <v>#VALUE!</v>
      </c>
      <c r="E285" s="7" t="e">
        <f>IF((C284-1)&lt;$E$17,0,C284*LeasingHab!$E$17)</f>
        <v>#VALUE!</v>
      </c>
      <c r="F285" s="8" t="e">
        <f>IF((C284-1)&lt;$E$17,"0",IF(LeasingHab!$D$27="Si",($C$19*(VLOOKUP(LeasingHab!$C$23,Seguros_Oblig!$A$3:$F$55,6,FALSE))),IF(LeasingHab!$C$10="TARIFA 1",(C284*(VLOOKUP(LeasingHab!$C$23,Seguros_Oblig!$A$3:$B$55,2,FALSE))),(C284*(VLOOKUP(LeasingHab!$C$23,Seguros_Oblig!$A$3:$D$55,4,FALSE))))))</f>
        <v>#VALUE!</v>
      </c>
      <c r="G285" s="8" t="e">
        <f>IF(LeasingHab!$C$10="TARIFA 1",(C284*(VLOOKUP(LeasingHab!$C$24,Seguros_Oblig!$A$3:$B$55,2,FALSE))),(C284*(VLOOKUP(LeasingHab!$C$24,Seguros_Oblig!$A$3:$D$55,4,FALSE))))</f>
        <v>#VALUE!</v>
      </c>
      <c r="H285" s="8" t="e">
        <f>IF(LeasingHab!$C$10="TARIFA 1",(C284*(VLOOKUP(LeasingHab!$C$25,Seguros_Oblig!$A$3:$B$55,2,FALSE))),(C284*(VLOOKUP(LeasingHab!$C$25,Seguros_Oblig!$A$3:$D$55,4,FALSE))))</f>
        <v>#VALUE!</v>
      </c>
      <c r="I285" s="8" t="e">
        <f>IF(LeasingHab!$C$10="TARIFA 1",(C284*(VLOOKUP(LeasingHab!$C$26,Seguros_Oblig!$A$3:$B$55,2,FALSE))),(C284*(VLOOKUP(LeasingHab!$C$26,Seguros_Oblig!$A$3:$D$55,4,FALSE))))</f>
        <v>#VALUE!</v>
      </c>
      <c r="J285" s="10">
        <f t="shared" si="27"/>
        <v>0</v>
      </c>
      <c r="K285" s="7" t="e">
        <f>IF((C284-1)&lt;$E$17,0,Seguros_Oblig!$K$2*(LeasingHab!$C$12*90%))</f>
        <v>#VALUE!</v>
      </c>
      <c r="L285" s="7" t="e">
        <f>IF(B285&gt;LeasingHab!$C$18,0,PMT(LeasingHab!$E$17,LeasingHab!$C$18,-LeasingHab!$C$15,,)-PMT(LeasingHab!$E$17,LeasingHab!$C$18,-LeasingHab!$C$22)+LeasingHab!$C$22*LeasingHab!$E$17)</f>
        <v>#VALUE!</v>
      </c>
      <c r="M285" s="9" t="e">
        <f t="shared" si="28"/>
        <v>#VALUE!</v>
      </c>
      <c r="N285" s="7" t="e">
        <f>IF((C284-1)&lt;$E$17,0,LeasingHab!$C$39)</f>
        <v>#VALUE!</v>
      </c>
      <c r="O285" s="9" t="e">
        <f t="shared" si="29"/>
        <v>#VALUE!</v>
      </c>
    </row>
    <row r="286" spans="2:15" ht="15.5" hidden="1" x14ac:dyDescent="0.35">
      <c r="B286" s="6" t="e">
        <f t="shared" si="30"/>
        <v>#VALUE!</v>
      </c>
      <c r="C286" s="7" t="e">
        <f t="shared" si="25"/>
        <v>#VALUE!</v>
      </c>
      <c r="D286" s="7" t="e">
        <f t="shared" si="26"/>
        <v>#VALUE!</v>
      </c>
      <c r="E286" s="7" t="e">
        <f>IF((C285-1)&lt;$E$17,0,C285*LeasingHab!$E$17)</f>
        <v>#VALUE!</v>
      </c>
      <c r="F286" s="8" t="e">
        <f>IF((C285-1)&lt;$E$17,"0",IF(LeasingHab!$D$27="Si",($C$19*(VLOOKUP(LeasingHab!$C$23,Seguros_Oblig!$A$3:$F$55,6,FALSE))),IF(LeasingHab!$C$10="TARIFA 1",(C285*(VLOOKUP(LeasingHab!$C$23,Seguros_Oblig!$A$3:$B$55,2,FALSE))),(C285*(VLOOKUP(LeasingHab!$C$23,Seguros_Oblig!$A$3:$D$55,4,FALSE))))))</f>
        <v>#VALUE!</v>
      </c>
      <c r="G286" s="8" t="e">
        <f>IF(LeasingHab!$C$10="TARIFA 1",(C285*(VLOOKUP(LeasingHab!$C$24,Seguros_Oblig!$A$3:$B$55,2,FALSE))),(C285*(VLOOKUP(LeasingHab!$C$24,Seguros_Oblig!$A$3:$D$55,4,FALSE))))</f>
        <v>#VALUE!</v>
      </c>
      <c r="H286" s="8" t="e">
        <f>IF(LeasingHab!$C$10="TARIFA 1",(C285*(VLOOKUP(LeasingHab!$C$25,Seguros_Oblig!$A$3:$B$55,2,FALSE))),(C285*(VLOOKUP(LeasingHab!$C$25,Seguros_Oblig!$A$3:$D$55,4,FALSE))))</f>
        <v>#VALUE!</v>
      </c>
      <c r="I286" s="8" t="e">
        <f>IF(LeasingHab!$C$10="TARIFA 1",(C285*(VLOOKUP(LeasingHab!$C$26,Seguros_Oblig!$A$3:$B$55,2,FALSE))),(C285*(VLOOKUP(LeasingHab!$C$26,Seguros_Oblig!$A$3:$D$55,4,FALSE))))</f>
        <v>#VALUE!</v>
      </c>
      <c r="J286" s="10">
        <f t="shared" si="27"/>
        <v>0</v>
      </c>
      <c r="K286" s="7" t="e">
        <f>IF((C285-1)&lt;$E$17,0,Seguros_Oblig!$K$2*(LeasingHab!$C$12*90%))</f>
        <v>#VALUE!</v>
      </c>
      <c r="L286" s="7" t="e">
        <f>IF(B286&gt;LeasingHab!$C$18,0,PMT(LeasingHab!$E$17,LeasingHab!$C$18,-LeasingHab!$C$15,,)-PMT(LeasingHab!$E$17,LeasingHab!$C$18,-LeasingHab!$C$22)+LeasingHab!$C$22*LeasingHab!$E$17)</f>
        <v>#VALUE!</v>
      </c>
      <c r="M286" s="9" t="e">
        <f t="shared" si="28"/>
        <v>#VALUE!</v>
      </c>
      <c r="N286" s="7" t="e">
        <f>IF((C285-1)&lt;$E$17,0,LeasingHab!$C$39)</f>
        <v>#VALUE!</v>
      </c>
      <c r="O286" s="9" t="e">
        <f t="shared" si="29"/>
        <v>#VALUE!</v>
      </c>
    </row>
    <row r="287" spans="2:15" ht="15.5" hidden="1" x14ac:dyDescent="0.35">
      <c r="B287" s="6" t="e">
        <f t="shared" si="30"/>
        <v>#VALUE!</v>
      </c>
      <c r="C287" s="7" t="e">
        <f t="shared" si="25"/>
        <v>#VALUE!</v>
      </c>
      <c r="D287" s="7" t="e">
        <f t="shared" si="26"/>
        <v>#VALUE!</v>
      </c>
      <c r="E287" s="7" t="e">
        <f>IF((C286-1)&lt;$E$17,0,C286*LeasingHab!$E$17)</f>
        <v>#VALUE!</v>
      </c>
      <c r="F287" s="8" t="e">
        <f>IF((C286-1)&lt;$E$17,"0",IF(LeasingHab!$D$27="Si",($C$19*(VLOOKUP(LeasingHab!$C$23,Seguros_Oblig!$A$3:$F$55,6,FALSE))),IF(LeasingHab!$C$10="TARIFA 1",(C286*(VLOOKUP(LeasingHab!$C$23,Seguros_Oblig!$A$3:$B$55,2,FALSE))),(C286*(VLOOKUP(LeasingHab!$C$23,Seguros_Oblig!$A$3:$D$55,4,FALSE))))))</f>
        <v>#VALUE!</v>
      </c>
      <c r="G287" s="8" t="e">
        <f>IF(LeasingHab!$C$10="TARIFA 1",(C286*(VLOOKUP(LeasingHab!$C$24,Seguros_Oblig!$A$3:$B$55,2,FALSE))),(C286*(VLOOKUP(LeasingHab!$C$24,Seguros_Oblig!$A$3:$D$55,4,FALSE))))</f>
        <v>#VALUE!</v>
      </c>
      <c r="H287" s="8" t="e">
        <f>IF(LeasingHab!$C$10="TARIFA 1",(C286*(VLOOKUP(LeasingHab!$C$25,Seguros_Oblig!$A$3:$B$55,2,FALSE))),(C286*(VLOOKUP(LeasingHab!$C$25,Seguros_Oblig!$A$3:$D$55,4,FALSE))))</f>
        <v>#VALUE!</v>
      </c>
      <c r="I287" s="8" t="e">
        <f>IF(LeasingHab!$C$10="TARIFA 1",(C286*(VLOOKUP(LeasingHab!$C$26,Seguros_Oblig!$A$3:$B$55,2,FALSE))),(C286*(VLOOKUP(LeasingHab!$C$26,Seguros_Oblig!$A$3:$D$55,4,FALSE))))</f>
        <v>#VALUE!</v>
      </c>
      <c r="J287" s="10">
        <f t="shared" si="27"/>
        <v>0</v>
      </c>
      <c r="K287" s="7" t="e">
        <f>IF((C286-1)&lt;$E$17,0,Seguros_Oblig!$K$2*(LeasingHab!$C$12*90%))</f>
        <v>#VALUE!</v>
      </c>
      <c r="L287" s="7" t="e">
        <f>IF(B287&gt;LeasingHab!$C$18,0,PMT(LeasingHab!$E$17,LeasingHab!$C$18,-LeasingHab!$C$15,,)-PMT(LeasingHab!$E$17,LeasingHab!$C$18,-LeasingHab!$C$22)+LeasingHab!$C$22*LeasingHab!$E$17)</f>
        <v>#VALUE!</v>
      </c>
      <c r="M287" s="9" t="e">
        <f t="shared" si="28"/>
        <v>#VALUE!</v>
      </c>
      <c r="N287" s="7" t="e">
        <f>IF((C286-1)&lt;$E$17,0,LeasingHab!$C$39)</f>
        <v>#VALUE!</v>
      </c>
      <c r="O287" s="9" t="e">
        <f t="shared" si="29"/>
        <v>#VALUE!</v>
      </c>
    </row>
    <row r="288" spans="2:15" ht="15.5" hidden="1" x14ac:dyDescent="0.35">
      <c r="B288" s="6" t="e">
        <f t="shared" si="30"/>
        <v>#VALUE!</v>
      </c>
      <c r="C288" s="7" t="e">
        <f t="shared" si="25"/>
        <v>#VALUE!</v>
      </c>
      <c r="D288" s="7" t="e">
        <f t="shared" si="26"/>
        <v>#VALUE!</v>
      </c>
      <c r="E288" s="7" t="e">
        <f>IF((C287-1)&lt;$E$17,0,C287*LeasingHab!$E$17)</f>
        <v>#VALUE!</v>
      </c>
      <c r="F288" s="8" t="e">
        <f>IF((C287-1)&lt;$E$17,"0",IF(LeasingHab!$D$27="Si",($C$19*(VLOOKUP(LeasingHab!$C$23,Seguros_Oblig!$A$3:$F$55,6,FALSE))),IF(LeasingHab!$C$10="TARIFA 1",(C287*(VLOOKUP(LeasingHab!$C$23,Seguros_Oblig!$A$3:$B$55,2,FALSE))),(C287*(VLOOKUP(LeasingHab!$C$23,Seguros_Oblig!$A$3:$D$55,4,FALSE))))))</f>
        <v>#VALUE!</v>
      </c>
      <c r="G288" s="8" t="e">
        <f>IF(LeasingHab!$C$10="TARIFA 1",(C287*(VLOOKUP(LeasingHab!$C$24,Seguros_Oblig!$A$3:$B$55,2,FALSE))),(C287*(VLOOKUP(LeasingHab!$C$24,Seguros_Oblig!$A$3:$D$55,4,FALSE))))</f>
        <v>#VALUE!</v>
      </c>
      <c r="H288" s="8" t="e">
        <f>IF(LeasingHab!$C$10="TARIFA 1",(C287*(VLOOKUP(LeasingHab!$C$25,Seguros_Oblig!$A$3:$B$55,2,FALSE))),(C287*(VLOOKUP(LeasingHab!$C$25,Seguros_Oblig!$A$3:$D$55,4,FALSE))))</f>
        <v>#VALUE!</v>
      </c>
      <c r="I288" s="8" t="e">
        <f>IF(LeasingHab!$C$10="TARIFA 1",(C287*(VLOOKUP(LeasingHab!$C$26,Seguros_Oblig!$A$3:$B$55,2,FALSE))),(C287*(VLOOKUP(LeasingHab!$C$26,Seguros_Oblig!$A$3:$D$55,4,FALSE))))</f>
        <v>#VALUE!</v>
      </c>
      <c r="J288" s="10">
        <f t="shared" si="27"/>
        <v>0</v>
      </c>
      <c r="K288" s="7" t="e">
        <f>IF((C287-1)&lt;$E$17,0,Seguros_Oblig!$K$2*(LeasingHab!$C$12*90%))</f>
        <v>#VALUE!</v>
      </c>
      <c r="L288" s="7" t="e">
        <f>IF(B288&gt;LeasingHab!$C$18,0,PMT(LeasingHab!$E$17,LeasingHab!$C$18,-LeasingHab!$C$15,,)-PMT(LeasingHab!$E$17,LeasingHab!$C$18,-LeasingHab!$C$22)+LeasingHab!$C$22*LeasingHab!$E$17)</f>
        <v>#VALUE!</v>
      </c>
      <c r="M288" s="9" t="e">
        <f t="shared" si="28"/>
        <v>#VALUE!</v>
      </c>
      <c r="N288" s="7" t="e">
        <f>IF((C287-1)&lt;$E$17,0,LeasingHab!$C$39)</f>
        <v>#VALUE!</v>
      </c>
      <c r="O288" s="9" t="e">
        <f t="shared" si="29"/>
        <v>#VALUE!</v>
      </c>
    </row>
    <row r="289" spans="2:15" ht="15.5" hidden="1" x14ac:dyDescent="0.35">
      <c r="B289" s="6" t="e">
        <f t="shared" si="30"/>
        <v>#VALUE!</v>
      </c>
      <c r="C289" s="7" t="e">
        <f t="shared" si="25"/>
        <v>#VALUE!</v>
      </c>
      <c r="D289" s="7" t="e">
        <f t="shared" si="26"/>
        <v>#VALUE!</v>
      </c>
      <c r="E289" s="7" t="e">
        <f>IF((C288-1)&lt;$E$17,0,C288*LeasingHab!$E$17)</f>
        <v>#VALUE!</v>
      </c>
      <c r="F289" s="8" t="e">
        <f>IF((C288-1)&lt;$E$17,"0",IF(LeasingHab!$D$27="Si",($C$19*(VLOOKUP(LeasingHab!$C$23,Seguros_Oblig!$A$3:$F$55,6,FALSE))),IF(LeasingHab!$C$10="TARIFA 1",(C288*(VLOOKUP(LeasingHab!$C$23,Seguros_Oblig!$A$3:$B$55,2,FALSE))),(C288*(VLOOKUP(LeasingHab!$C$23,Seguros_Oblig!$A$3:$D$55,4,FALSE))))))</f>
        <v>#VALUE!</v>
      </c>
      <c r="G289" s="8" t="e">
        <f>IF(LeasingHab!$C$10="TARIFA 1",(C288*(VLOOKUP(LeasingHab!$C$24,Seguros_Oblig!$A$3:$B$55,2,FALSE))),(C288*(VLOOKUP(LeasingHab!$C$24,Seguros_Oblig!$A$3:$D$55,4,FALSE))))</f>
        <v>#VALUE!</v>
      </c>
      <c r="H289" s="8" t="e">
        <f>IF(LeasingHab!$C$10="TARIFA 1",(C288*(VLOOKUP(LeasingHab!$C$25,Seguros_Oblig!$A$3:$B$55,2,FALSE))),(C288*(VLOOKUP(LeasingHab!$C$25,Seguros_Oblig!$A$3:$D$55,4,FALSE))))</f>
        <v>#VALUE!</v>
      </c>
      <c r="I289" s="8" t="e">
        <f>IF(LeasingHab!$C$10="TARIFA 1",(C288*(VLOOKUP(LeasingHab!$C$26,Seguros_Oblig!$A$3:$B$55,2,FALSE))),(C288*(VLOOKUP(LeasingHab!$C$26,Seguros_Oblig!$A$3:$D$55,4,FALSE))))</f>
        <v>#VALUE!</v>
      </c>
      <c r="J289" s="10">
        <f t="shared" si="27"/>
        <v>0</v>
      </c>
      <c r="K289" s="7" t="e">
        <f>IF((C288-1)&lt;$E$17,0,Seguros_Oblig!$K$2*(LeasingHab!$C$12*90%))</f>
        <v>#VALUE!</v>
      </c>
      <c r="L289" s="7" t="e">
        <f>IF(B289&gt;LeasingHab!$C$18,0,PMT(LeasingHab!$E$17,LeasingHab!$C$18,-LeasingHab!$C$15,,)-PMT(LeasingHab!$E$17,LeasingHab!$C$18,-LeasingHab!$C$22)+LeasingHab!$C$22*LeasingHab!$E$17)</f>
        <v>#VALUE!</v>
      </c>
      <c r="M289" s="9" t="e">
        <f t="shared" si="28"/>
        <v>#VALUE!</v>
      </c>
      <c r="N289" s="7" t="e">
        <f>IF((C288-1)&lt;$E$17,0,LeasingHab!$C$39)</f>
        <v>#VALUE!</v>
      </c>
      <c r="O289" s="9" t="e">
        <f t="shared" si="29"/>
        <v>#VALUE!</v>
      </c>
    </row>
    <row r="290" spans="2:15" ht="15.5" hidden="1" x14ac:dyDescent="0.35">
      <c r="B290" s="6" t="e">
        <f t="shared" si="30"/>
        <v>#VALUE!</v>
      </c>
      <c r="C290" s="7" t="e">
        <f t="shared" si="25"/>
        <v>#VALUE!</v>
      </c>
      <c r="D290" s="7" t="e">
        <f t="shared" si="26"/>
        <v>#VALUE!</v>
      </c>
      <c r="E290" s="7" t="e">
        <f>IF((C289-1)&lt;$E$17,0,C289*LeasingHab!$E$17)</f>
        <v>#VALUE!</v>
      </c>
      <c r="F290" s="8" t="e">
        <f>IF((C289-1)&lt;$E$17,"0",IF(LeasingHab!$D$27="Si",($C$19*(VLOOKUP(LeasingHab!$C$23,Seguros_Oblig!$A$3:$F$55,6,FALSE))),IF(LeasingHab!$C$10="TARIFA 1",(C289*(VLOOKUP(LeasingHab!$C$23,Seguros_Oblig!$A$3:$B$55,2,FALSE))),(C289*(VLOOKUP(LeasingHab!$C$23,Seguros_Oblig!$A$3:$D$55,4,FALSE))))))</f>
        <v>#VALUE!</v>
      </c>
      <c r="G290" s="8" t="e">
        <f>IF(LeasingHab!$C$10="TARIFA 1",(C289*(VLOOKUP(LeasingHab!$C$24,Seguros_Oblig!$A$3:$B$55,2,FALSE))),(C289*(VLOOKUP(LeasingHab!$C$24,Seguros_Oblig!$A$3:$D$55,4,FALSE))))</f>
        <v>#VALUE!</v>
      </c>
      <c r="H290" s="8" t="e">
        <f>IF(LeasingHab!$C$10="TARIFA 1",(C289*(VLOOKUP(LeasingHab!$C$25,Seguros_Oblig!$A$3:$B$55,2,FALSE))),(C289*(VLOOKUP(LeasingHab!$C$25,Seguros_Oblig!$A$3:$D$55,4,FALSE))))</f>
        <v>#VALUE!</v>
      </c>
      <c r="I290" s="8" t="e">
        <f>IF(LeasingHab!$C$10="TARIFA 1",(C289*(VLOOKUP(LeasingHab!$C$26,Seguros_Oblig!$A$3:$B$55,2,FALSE))),(C289*(VLOOKUP(LeasingHab!$C$26,Seguros_Oblig!$A$3:$D$55,4,FALSE))))</f>
        <v>#VALUE!</v>
      </c>
      <c r="J290" s="10">
        <f t="shared" si="27"/>
        <v>0</v>
      </c>
      <c r="K290" s="7" t="e">
        <f>IF((C289-1)&lt;$E$17,0,Seguros_Oblig!$K$2*(LeasingHab!$C$12*90%))</f>
        <v>#VALUE!</v>
      </c>
      <c r="L290" s="7" t="e">
        <f>IF(B290&gt;LeasingHab!$C$18,0,PMT(LeasingHab!$E$17,LeasingHab!$C$18,-LeasingHab!$C$15,,)-PMT(LeasingHab!$E$17,LeasingHab!$C$18,-LeasingHab!$C$22)+LeasingHab!$C$22*LeasingHab!$E$17)</f>
        <v>#VALUE!</v>
      </c>
      <c r="M290" s="9" t="e">
        <f t="shared" si="28"/>
        <v>#VALUE!</v>
      </c>
      <c r="N290" s="7" t="e">
        <f>IF((C289-1)&lt;$E$17,0,LeasingHab!$C$39)</f>
        <v>#VALUE!</v>
      </c>
      <c r="O290" s="9" t="e">
        <f t="shared" si="29"/>
        <v>#VALUE!</v>
      </c>
    </row>
    <row r="291" spans="2:15" ht="15.5" hidden="1" x14ac:dyDescent="0.35">
      <c r="B291" s="6" t="e">
        <f t="shared" si="30"/>
        <v>#VALUE!</v>
      </c>
      <c r="C291" s="7" t="e">
        <f t="shared" si="25"/>
        <v>#VALUE!</v>
      </c>
      <c r="D291" s="7" t="e">
        <f t="shared" si="26"/>
        <v>#VALUE!</v>
      </c>
      <c r="E291" s="7" t="e">
        <f>IF((C290-1)&lt;$E$17,0,C290*LeasingHab!$E$17)</f>
        <v>#VALUE!</v>
      </c>
      <c r="F291" s="8" t="e">
        <f>IF((C290-1)&lt;$E$17,"0",IF(LeasingHab!$D$27="Si",($C$19*(VLOOKUP(LeasingHab!$C$23,Seguros_Oblig!$A$3:$F$55,6,FALSE))),IF(LeasingHab!$C$10="TARIFA 1",(C290*(VLOOKUP(LeasingHab!$C$23,Seguros_Oblig!$A$3:$B$55,2,FALSE))),(C290*(VLOOKUP(LeasingHab!$C$23,Seguros_Oblig!$A$3:$D$55,4,FALSE))))))</f>
        <v>#VALUE!</v>
      </c>
      <c r="G291" s="8" t="e">
        <f>IF(LeasingHab!$C$10="TARIFA 1",(C290*(VLOOKUP(LeasingHab!$C$24,Seguros_Oblig!$A$3:$B$55,2,FALSE))),(C290*(VLOOKUP(LeasingHab!$C$24,Seguros_Oblig!$A$3:$D$55,4,FALSE))))</f>
        <v>#VALUE!</v>
      </c>
      <c r="H291" s="8" t="e">
        <f>IF(LeasingHab!$C$10="TARIFA 1",(C290*(VLOOKUP(LeasingHab!$C$25,Seguros_Oblig!$A$3:$B$55,2,FALSE))),(C290*(VLOOKUP(LeasingHab!$C$25,Seguros_Oblig!$A$3:$D$55,4,FALSE))))</f>
        <v>#VALUE!</v>
      </c>
      <c r="I291" s="8" t="e">
        <f>IF(LeasingHab!$C$10="TARIFA 1",(C290*(VLOOKUP(LeasingHab!$C$26,Seguros_Oblig!$A$3:$B$55,2,FALSE))),(C290*(VLOOKUP(LeasingHab!$C$26,Seguros_Oblig!$A$3:$D$55,4,FALSE))))</f>
        <v>#VALUE!</v>
      </c>
      <c r="J291" s="10">
        <f t="shared" si="27"/>
        <v>0</v>
      </c>
      <c r="K291" s="7" t="e">
        <f>IF((C290-1)&lt;$E$17,0,Seguros_Oblig!$K$2*(LeasingHab!$C$12*90%))</f>
        <v>#VALUE!</v>
      </c>
      <c r="L291" s="7" t="e">
        <f>IF(B291&gt;LeasingHab!$C$18,0,PMT(LeasingHab!$E$17,LeasingHab!$C$18,-LeasingHab!$C$15,,)-PMT(LeasingHab!$E$17,LeasingHab!$C$18,-LeasingHab!$C$22)+LeasingHab!$C$22*LeasingHab!$E$17)</f>
        <v>#VALUE!</v>
      </c>
      <c r="M291" s="9" t="e">
        <f t="shared" si="28"/>
        <v>#VALUE!</v>
      </c>
      <c r="N291" s="7" t="e">
        <f>IF((C290-1)&lt;$E$17,0,LeasingHab!$C$39)</f>
        <v>#VALUE!</v>
      </c>
      <c r="O291" s="9" t="e">
        <f t="shared" si="29"/>
        <v>#VALUE!</v>
      </c>
    </row>
    <row r="292" spans="2:15" ht="15.5" hidden="1" x14ac:dyDescent="0.35">
      <c r="B292" s="6" t="e">
        <f t="shared" si="30"/>
        <v>#VALUE!</v>
      </c>
      <c r="C292" s="7" t="e">
        <f t="shared" si="25"/>
        <v>#VALUE!</v>
      </c>
      <c r="D292" s="7" t="e">
        <f t="shared" si="26"/>
        <v>#VALUE!</v>
      </c>
      <c r="E292" s="7" t="e">
        <f>IF((C291-1)&lt;$E$17,0,C291*LeasingHab!$E$17)</f>
        <v>#VALUE!</v>
      </c>
      <c r="F292" s="8" t="e">
        <f>IF((C291-1)&lt;$E$17,"0",IF(LeasingHab!$D$27="Si",($C$19*(VLOOKUP(LeasingHab!$C$23,Seguros_Oblig!$A$3:$F$55,6,FALSE))),IF(LeasingHab!$C$10="TARIFA 1",(C291*(VLOOKUP(LeasingHab!$C$23,Seguros_Oblig!$A$3:$B$55,2,FALSE))),(C291*(VLOOKUP(LeasingHab!$C$23,Seguros_Oblig!$A$3:$D$55,4,FALSE))))))</f>
        <v>#VALUE!</v>
      </c>
      <c r="G292" s="8" t="e">
        <f>IF(LeasingHab!$C$10="TARIFA 1",(C291*(VLOOKUP(LeasingHab!$C$24,Seguros_Oblig!$A$3:$B$55,2,FALSE))),(C291*(VLOOKUP(LeasingHab!$C$24,Seguros_Oblig!$A$3:$D$55,4,FALSE))))</f>
        <v>#VALUE!</v>
      </c>
      <c r="H292" s="8" t="e">
        <f>IF(LeasingHab!$C$10="TARIFA 1",(C291*(VLOOKUP(LeasingHab!$C$25,Seguros_Oblig!$A$3:$B$55,2,FALSE))),(C291*(VLOOKUP(LeasingHab!$C$25,Seguros_Oblig!$A$3:$D$55,4,FALSE))))</f>
        <v>#VALUE!</v>
      </c>
      <c r="I292" s="8" t="e">
        <f>IF(LeasingHab!$C$10="TARIFA 1",(C291*(VLOOKUP(LeasingHab!$C$26,Seguros_Oblig!$A$3:$B$55,2,FALSE))),(C291*(VLOOKUP(LeasingHab!$C$26,Seguros_Oblig!$A$3:$D$55,4,FALSE))))</f>
        <v>#VALUE!</v>
      </c>
      <c r="J292" s="10">
        <f t="shared" si="27"/>
        <v>0</v>
      </c>
      <c r="K292" s="7" t="e">
        <f>IF((C291-1)&lt;$E$17,0,Seguros_Oblig!$K$2*(LeasingHab!$C$12*90%))</f>
        <v>#VALUE!</v>
      </c>
      <c r="L292" s="7" t="e">
        <f>IF(B292&gt;LeasingHab!$C$18,0,PMT(LeasingHab!$E$17,LeasingHab!$C$18,-LeasingHab!$C$15,,)-PMT(LeasingHab!$E$17,LeasingHab!$C$18,-LeasingHab!$C$22)+LeasingHab!$C$22*LeasingHab!$E$17)</f>
        <v>#VALUE!</v>
      </c>
      <c r="M292" s="9" t="e">
        <f t="shared" si="28"/>
        <v>#VALUE!</v>
      </c>
      <c r="N292" s="7" t="e">
        <f>IF((C291-1)&lt;$E$17,0,LeasingHab!$C$39)</f>
        <v>#VALUE!</v>
      </c>
      <c r="O292" s="9" t="e">
        <f t="shared" si="29"/>
        <v>#VALUE!</v>
      </c>
    </row>
    <row r="293" spans="2:15" ht="15.5" hidden="1" x14ac:dyDescent="0.35">
      <c r="B293" s="6" t="e">
        <f t="shared" si="30"/>
        <v>#VALUE!</v>
      </c>
      <c r="C293" s="7" t="e">
        <f t="shared" si="25"/>
        <v>#VALUE!</v>
      </c>
      <c r="D293" s="7" t="e">
        <f t="shared" si="26"/>
        <v>#VALUE!</v>
      </c>
      <c r="E293" s="7" t="e">
        <f>IF((C292-1)&lt;$E$17,0,C292*LeasingHab!$E$17)</f>
        <v>#VALUE!</v>
      </c>
      <c r="F293" s="8" t="e">
        <f>IF((C292-1)&lt;$E$17,"0",IF(LeasingHab!$D$27="Si",($C$19*(VLOOKUP(LeasingHab!$C$23,Seguros_Oblig!$A$3:$F$55,6,FALSE))),IF(LeasingHab!$C$10="TARIFA 1",(C292*(VLOOKUP(LeasingHab!$C$23,Seguros_Oblig!$A$3:$B$55,2,FALSE))),(C292*(VLOOKUP(LeasingHab!$C$23,Seguros_Oblig!$A$3:$D$55,4,FALSE))))))</f>
        <v>#VALUE!</v>
      </c>
      <c r="G293" s="8" t="e">
        <f>IF(LeasingHab!$C$10="TARIFA 1",(C292*(VLOOKUP(LeasingHab!$C$24,Seguros_Oblig!$A$3:$B$55,2,FALSE))),(C292*(VLOOKUP(LeasingHab!$C$24,Seguros_Oblig!$A$3:$D$55,4,FALSE))))</f>
        <v>#VALUE!</v>
      </c>
      <c r="H293" s="8" t="e">
        <f>IF(LeasingHab!$C$10="TARIFA 1",(C292*(VLOOKUP(LeasingHab!$C$25,Seguros_Oblig!$A$3:$B$55,2,FALSE))),(C292*(VLOOKUP(LeasingHab!$C$25,Seguros_Oblig!$A$3:$D$55,4,FALSE))))</f>
        <v>#VALUE!</v>
      </c>
      <c r="I293" s="8" t="e">
        <f>IF(LeasingHab!$C$10="TARIFA 1",(C292*(VLOOKUP(LeasingHab!$C$26,Seguros_Oblig!$A$3:$B$55,2,FALSE))),(C292*(VLOOKUP(LeasingHab!$C$26,Seguros_Oblig!$A$3:$D$55,4,FALSE))))</f>
        <v>#VALUE!</v>
      </c>
      <c r="J293" s="10">
        <f t="shared" si="27"/>
        <v>0</v>
      </c>
      <c r="K293" s="7" t="e">
        <f>IF((C292-1)&lt;$E$17,0,Seguros_Oblig!$K$2*(LeasingHab!$C$12*90%))</f>
        <v>#VALUE!</v>
      </c>
      <c r="L293" s="7" t="e">
        <f>IF(B293&gt;LeasingHab!$C$18,0,PMT(LeasingHab!$E$17,LeasingHab!$C$18,-LeasingHab!$C$15,,)-PMT(LeasingHab!$E$17,LeasingHab!$C$18,-LeasingHab!$C$22)+LeasingHab!$C$22*LeasingHab!$E$17)</f>
        <v>#VALUE!</v>
      </c>
      <c r="M293" s="9" t="e">
        <f t="shared" si="28"/>
        <v>#VALUE!</v>
      </c>
      <c r="N293" s="7" t="e">
        <f>IF((C292-1)&lt;$E$17,0,LeasingHab!$C$39)</f>
        <v>#VALUE!</v>
      </c>
      <c r="O293" s="9" t="e">
        <f t="shared" si="29"/>
        <v>#VALUE!</v>
      </c>
    </row>
    <row r="294" spans="2:15" ht="15.5" hidden="1" x14ac:dyDescent="0.35">
      <c r="B294" s="6" t="e">
        <f t="shared" si="30"/>
        <v>#VALUE!</v>
      </c>
      <c r="C294" s="7" t="e">
        <f t="shared" si="25"/>
        <v>#VALUE!</v>
      </c>
      <c r="D294" s="7" t="e">
        <f t="shared" si="26"/>
        <v>#VALUE!</v>
      </c>
      <c r="E294" s="7" t="e">
        <f>IF((C293-1)&lt;$E$17,0,C293*LeasingHab!$E$17)</f>
        <v>#VALUE!</v>
      </c>
      <c r="F294" s="8" t="e">
        <f>IF((C293-1)&lt;$E$17,"0",IF(LeasingHab!$D$27="Si",($C$19*(VLOOKUP(LeasingHab!$C$23,Seguros_Oblig!$A$3:$F$55,6,FALSE))),IF(LeasingHab!$C$10="TARIFA 1",(C293*(VLOOKUP(LeasingHab!$C$23,Seguros_Oblig!$A$3:$B$55,2,FALSE))),(C293*(VLOOKUP(LeasingHab!$C$23,Seguros_Oblig!$A$3:$D$55,4,FALSE))))))</f>
        <v>#VALUE!</v>
      </c>
      <c r="G294" s="8" t="e">
        <f>IF(LeasingHab!$C$10="TARIFA 1",(C293*(VLOOKUP(LeasingHab!$C$24,Seguros_Oblig!$A$3:$B$55,2,FALSE))),(C293*(VLOOKUP(LeasingHab!$C$24,Seguros_Oblig!$A$3:$D$55,4,FALSE))))</f>
        <v>#VALUE!</v>
      </c>
      <c r="H294" s="8" t="e">
        <f>IF(LeasingHab!$C$10="TARIFA 1",(C293*(VLOOKUP(LeasingHab!$C$25,Seguros_Oblig!$A$3:$B$55,2,FALSE))),(C293*(VLOOKUP(LeasingHab!$C$25,Seguros_Oblig!$A$3:$D$55,4,FALSE))))</f>
        <v>#VALUE!</v>
      </c>
      <c r="I294" s="8" t="e">
        <f>IF(LeasingHab!$C$10="TARIFA 1",(C293*(VLOOKUP(LeasingHab!$C$26,Seguros_Oblig!$A$3:$B$55,2,FALSE))),(C293*(VLOOKUP(LeasingHab!$C$26,Seguros_Oblig!$A$3:$D$55,4,FALSE))))</f>
        <v>#VALUE!</v>
      </c>
      <c r="J294" s="10">
        <f t="shared" si="27"/>
        <v>0</v>
      </c>
      <c r="K294" s="7" t="e">
        <f>IF((C293-1)&lt;$E$17,0,Seguros_Oblig!$K$2*(LeasingHab!$C$12*90%))</f>
        <v>#VALUE!</v>
      </c>
      <c r="L294" s="7" t="e">
        <f>IF(B294&gt;LeasingHab!$C$18,0,PMT(LeasingHab!$E$17,LeasingHab!$C$18,-LeasingHab!$C$15,,)-PMT(LeasingHab!$E$17,LeasingHab!$C$18,-LeasingHab!$C$22)+LeasingHab!$C$22*LeasingHab!$E$17)</f>
        <v>#VALUE!</v>
      </c>
      <c r="M294" s="9" t="e">
        <f t="shared" si="28"/>
        <v>#VALUE!</v>
      </c>
      <c r="N294" s="7" t="e">
        <f>IF((C293-1)&lt;$E$17,0,LeasingHab!$C$39)</f>
        <v>#VALUE!</v>
      </c>
      <c r="O294" s="9" t="e">
        <f t="shared" si="29"/>
        <v>#VALUE!</v>
      </c>
    </row>
    <row r="295" spans="2:15" ht="15.5" hidden="1" x14ac:dyDescent="0.35">
      <c r="B295" s="6" t="e">
        <f t="shared" si="30"/>
        <v>#VALUE!</v>
      </c>
      <c r="C295" s="7" t="e">
        <f t="shared" si="25"/>
        <v>#VALUE!</v>
      </c>
      <c r="D295" s="7" t="e">
        <f t="shared" si="26"/>
        <v>#VALUE!</v>
      </c>
      <c r="E295" s="7" t="e">
        <f>IF((C294-1)&lt;$E$17,0,C294*LeasingHab!$E$17)</f>
        <v>#VALUE!</v>
      </c>
      <c r="F295" s="8" t="e">
        <f>IF((C294-1)&lt;$E$17,"0",IF(LeasingHab!$D$27="Si",($C$19*(VLOOKUP(LeasingHab!$C$23,Seguros_Oblig!$A$3:$F$55,6,FALSE))),IF(LeasingHab!$C$10="TARIFA 1",(C294*(VLOOKUP(LeasingHab!$C$23,Seguros_Oblig!$A$3:$B$55,2,FALSE))),(C294*(VLOOKUP(LeasingHab!$C$23,Seguros_Oblig!$A$3:$D$55,4,FALSE))))))</f>
        <v>#VALUE!</v>
      </c>
      <c r="G295" s="8" t="e">
        <f>IF(LeasingHab!$C$10="TARIFA 1",(C294*(VLOOKUP(LeasingHab!$C$24,Seguros_Oblig!$A$3:$B$55,2,FALSE))),(C294*(VLOOKUP(LeasingHab!$C$24,Seguros_Oblig!$A$3:$D$55,4,FALSE))))</f>
        <v>#VALUE!</v>
      </c>
      <c r="H295" s="8" t="e">
        <f>IF(LeasingHab!$C$10="TARIFA 1",(C294*(VLOOKUP(LeasingHab!$C$25,Seguros_Oblig!$A$3:$B$55,2,FALSE))),(C294*(VLOOKUP(LeasingHab!$C$25,Seguros_Oblig!$A$3:$D$55,4,FALSE))))</f>
        <v>#VALUE!</v>
      </c>
      <c r="I295" s="8" t="e">
        <f>IF(LeasingHab!$C$10="TARIFA 1",(C294*(VLOOKUP(LeasingHab!$C$26,Seguros_Oblig!$A$3:$B$55,2,FALSE))),(C294*(VLOOKUP(LeasingHab!$C$26,Seguros_Oblig!$A$3:$D$55,4,FALSE))))</f>
        <v>#VALUE!</v>
      </c>
      <c r="J295" s="10">
        <f t="shared" si="27"/>
        <v>0</v>
      </c>
      <c r="K295" s="7" t="e">
        <f>IF((C294-1)&lt;$E$17,0,Seguros_Oblig!$K$2*(LeasingHab!$C$12*90%))</f>
        <v>#VALUE!</v>
      </c>
      <c r="L295" s="7" t="e">
        <f>IF(B295&gt;LeasingHab!$C$18,0,PMT(LeasingHab!$E$17,LeasingHab!$C$18,-LeasingHab!$C$15,,)-PMT(LeasingHab!$E$17,LeasingHab!$C$18,-LeasingHab!$C$22)+LeasingHab!$C$22*LeasingHab!$E$17)</f>
        <v>#VALUE!</v>
      </c>
      <c r="M295" s="9" t="e">
        <f t="shared" si="28"/>
        <v>#VALUE!</v>
      </c>
      <c r="N295" s="7" t="e">
        <f>IF((C294-1)&lt;$E$17,0,LeasingHab!$C$39)</f>
        <v>#VALUE!</v>
      </c>
      <c r="O295" s="9" t="e">
        <f t="shared" si="29"/>
        <v>#VALUE!</v>
      </c>
    </row>
    <row r="296" spans="2:15" ht="15.5" hidden="1" x14ac:dyDescent="0.35">
      <c r="B296" s="6" t="e">
        <f t="shared" si="30"/>
        <v>#VALUE!</v>
      </c>
      <c r="C296" s="7" t="e">
        <f t="shared" si="25"/>
        <v>#VALUE!</v>
      </c>
      <c r="D296" s="7" t="e">
        <f t="shared" si="26"/>
        <v>#VALUE!</v>
      </c>
      <c r="E296" s="7" t="e">
        <f>IF((C295-1)&lt;$E$17,0,C295*LeasingHab!$E$17)</f>
        <v>#VALUE!</v>
      </c>
      <c r="F296" s="8" t="e">
        <f>IF((C295-1)&lt;$E$17,"0",IF(LeasingHab!$D$27="Si",($C$19*(VLOOKUP(LeasingHab!$C$23,Seguros_Oblig!$A$3:$F$55,6,FALSE))),IF(LeasingHab!$C$10="TARIFA 1",(C295*(VLOOKUP(LeasingHab!$C$23,Seguros_Oblig!$A$3:$B$55,2,FALSE))),(C295*(VLOOKUP(LeasingHab!$C$23,Seguros_Oblig!$A$3:$D$55,4,FALSE))))))</f>
        <v>#VALUE!</v>
      </c>
      <c r="G296" s="8" t="e">
        <f>IF(LeasingHab!$C$10="TARIFA 1",(C295*(VLOOKUP(LeasingHab!$C$24,Seguros_Oblig!$A$3:$B$55,2,FALSE))),(C295*(VLOOKUP(LeasingHab!$C$24,Seguros_Oblig!$A$3:$D$55,4,FALSE))))</f>
        <v>#VALUE!</v>
      </c>
      <c r="H296" s="8" t="e">
        <f>IF(LeasingHab!$C$10="TARIFA 1",(C295*(VLOOKUP(LeasingHab!$C$25,Seguros_Oblig!$A$3:$B$55,2,FALSE))),(C295*(VLOOKUP(LeasingHab!$C$25,Seguros_Oblig!$A$3:$D$55,4,FALSE))))</f>
        <v>#VALUE!</v>
      </c>
      <c r="I296" s="8" t="e">
        <f>IF(LeasingHab!$C$10="TARIFA 1",(C295*(VLOOKUP(LeasingHab!$C$26,Seguros_Oblig!$A$3:$B$55,2,FALSE))),(C295*(VLOOKUP(LeasingHab!$C$26,Seguros_Oblig!$A$3:$D$55,4,FALSE))))</f>
        <v>#VALUE!</v>
      </c>
      <c r="J296" s="10">
        <f t="shared" si="27"/>
        <v>0</v>
      </c>
      <c r="K296" s="7" t="e">
        <f>IF((C295-1)&lt;$E$17,0,Seguros_Oblig!$K$2*(LeasingHab!$C$12*90%))</f>
        <v>#VALUE!</v>
      </c>
      <c r="L296" s="7" t="e">
        <f>IF(B296&gt;LeasingHab!$C$18,0,PMT(LeasingHab!$E$17,LeasingHab!$C$18,-LeasingHab!$C$15,,)-PMT(LeasingHab!$E$17,LeasingHab!$C$18,-LeasingHab!$C$22)+LeasingHab!$C$22*LeasingHab!$E$17)</f>
        <v>#VALUE!</v>
      </c>
      <c r="M296" s="9" t="e">
        <f t="shared" si="28"/>
        <v>#VALUE!</v>
      </c>
      <c r="N296" s="7" t="e">
        <f>IF((C295-1)&lt;$E$17,0,LeasingHab!$C$39)</f>
        <v>#VALUE!</v>
      </c>
      <c r="O296" s="9" t="e">
        <f t="shared" si="29"/>
        <v>#VALUE!</v>
      </c>
    </row>
    <row r="297" spans="2:15" ht="15.5" hidden="1" x14ac:dyDescent="0.35">
      <c r="B297" s="6" t="e">
        <f t="shared" si="30"/>
        <v>#VALUE!</v>
      </c>
      <c r="C297" s="7" t="e">
        <f t="shared" si="25"/>
        <v>#VALUE!</v>
      </c>
      <c r="D297" s="7" t="e">
        <f t="shared" si="26"/>
        <v>#VALUE!</v>
      </c>
      <c r="E297" s="7" t="e">
        <f>IF((C296-1)&lt;$E$17,0,C296*LeasingHab!$E$17)</f>
        <v>#VALUE!</v>
      </c>
      <c r="F297" s="8" t="e">
        <f>IF((C296-1)&lt;$E$17,"0",IF(LeasingHab!$D$27="Si",($C$19*(VLOOKUP(LeasingHab!$C$23,Seguros_Oblig!$A$3:$F$55,6,FALSE))),IF(LeasingHab!$C$10="TARIFA 1",(C296*(VLOOKUP(LeasingHab!$C$23,Seguros_Oblig!$A$3:$B$55,2,FALSE))),(C296*(VLOOKUP(LeasingHab!$C$23,Seguros_Oblig!$A$3:$D$55,4,FALSE))))))</f>
        <v>#VALUE!</v>
      </c>
      <c r="G297" s="8" t="e">
        <f>IF(LeasingHab!$C$10="TARIFA 1",(C296*(VLOOKUP(LeasingHab!$C$24,Seguros_Oblig!$A$3:$B$55,2,FALSE))),(C296*(VLOOKUP(LeasingHab!$C$24,Seguros_Oblig!$A$3:$D$55,4,FALSE))))</f>
        <v>#VALUE!</v>
      </c>
      <c r="H297" s="8" t="e">
        <f>IF(LeasingHab!$C$10="TARIFA 1",(C296*(VLOOKUP(LeasingHab!$C$25,Seguros_Oblig!$A$3:$B$55,2,FALSE))),(C296*(VLOOKUP(LeasingHab!$C$25,Seguros_Oblig!$A$3:$D$55,4,FALSE))))</f>
        <v>#VALUE!</v>
      </c>
      <c r="I297" s="8" t="e">
        <f>IF(LeasingHab!$C$10="TARIFA 1",(C296*(VLOOKUP(LeasingHab!$C$26,Seguros_Oblig!$A$3:$B$55,2,FALSE))),(C296*(VLOOKUP(LeasingHab!$C$26,Seguros_Oblig!$A$3:$D$55,4,FALSE))))</f>
        <v>#VALUE!</v>
      </c>
      <c r="J297" s="10">
        <f t="shared" si="27"/>
        <v>0</v>
      </c>
      <c r="K297" s="7" t="e">
        <f>IF((C296-1)&lt;$E$17,0,Seguros_Oblig!$K$2*(LeasingHab!$C$12*90%))</f>
        <v>#VALUE!</v>
      </c>
      <c r="L297" s="7" t="e">
        <f>IF(B297&gt;LeasingHab!$C$18,0,PMT(LeasingHab!$E$17,LeasingHab!$C$18,-LeasingHab!$C$15,,)-PMT(LeasingHab!$E$17,LeasingHab!$C$18,-LeasingHab!$C$22)+LeasingHab!$C$22*LeasingHab!$E$17)</f>
        <v>#VALUE!</v>
      </c>
      <c r="M297" s="9" t="e">
        <f t="shared" si="28"/>
        <v>#VALUE!</v>
      </c>
      <c r="N297" s="7" t="e">
        <f>IF((C296-1)&lt;$E$17,0,LeasingHab!$C$39)</f>
        <v>#VALUE!</v>
      </c>
      <c r="O297" s="9" t="e">
        <f t="shared" si="29"/>
        <v>#VALUE!</v>
      </c>
    </row>
    <row r="298" spans="2:15" ht="15.5" hidden="1" x14ac:dyDescent="0.35">
      <c r="B298" s="6" t="e">
        <f t="shared" si="30"/>
        <v>#VALUE!</v>
      </c>
      <c r="C298" s="7" t="e">
        <f t="shared" si="25"/>
        <v>#VALUE!</v>
      </c>
      <c r="D298" s="7" t="e">
        <f t="shared" si="26"/>
        <v>#VALUE!</v>
      </c>
      <c r="E298" s="7" t="e">
        <f>IF((C297-1)&lt;$E$17,0,C297*LeasingHab!$E$17)</f>
        <v>#VALUE!</v>
      </c>
      <c r="F298" s="8" t="e">
        <f>IF((C297-1)&lt;$E$17,"0",IF(LeasingHab!$D$27="Si",($C$19*(VLOOKUP(LeasingHab!$C$23,Seguros_Oblig!$A$3:$F$55,6,FALSE))),IF(LeasingHab!$C$10="TARIFA 1",(C297*(VLOOKUP(LeasingHab!$C$23,Seguros_Oblig!$A$3:$B$55,2,FALSE))),(C297*(VLOOKUP(LeasingHab!$C$23,Seguros_Oblig!$A$3:$D$55,4,FALSE))))))</f>
        <v>#VALUE!</v>
      </c>
      <c r="G298" s="8" t="e">
        <f>IF(LeasingHab!$C$10="TARIFA 1",(C297*(VLOOKUP(LeasingHab!$C$24,Seguros_Oblig!$A$3:$B$55,2,FALSE))),(C297*(VLOOKUP(LeasingHab!$C$24,Seguros_Oblig!$A$3:$D$55,4,FALSE))))</f>
        <v>#VALUE!</v>
      </c>
      <c r="H298" s="8" t="e">
        <f>IF(LeasingHab!$C$10="TARIFA 1",(C297*(VLOOKUP(LeasingHab!$C$25,Seguros_Oblig!$A$3:$B$55,2,FALSE))),(C297*(VLOOKUP(LeasingHab!$C$25,Seguros_Oblig!$A$3:$D$55,4,FALSE))))</f>
        <v>#VALUE!</v>
      </c>
      <c r="I298" s="8" t="e">
        <f>IF(LeasingHab!$C$10="TARIFA 1",(C297*(VLOOKUP(LeasingHab!$C$26,Seguros_Oblig!$A$3:$B$55,2,FALSE))),(C297*(VLOOKUP(LeasingHab!$C$26,Seguros_Oblig!$A$3:$D$55,4,FALSE))))</f>
        <v>#VALUE!</v>
      </c>
      <c r="J298" s="10">
        <f t="shared" si="27"/>
        <v>0</v>
      </c>
      <c r="K298" s="7" t="e">
        <f>IF((C297-1)&lt;$E$17,0,Seguros_Oblig!$K$2*(LeasingHab!$C$12*90%))</f>
        <v>#VALUE!</v>
      </c>
      <c r="L298" s="7" t="e">
        <f>IF(B298&gt;LeasingHab!$C$18,0,PMT(LeasingHab!$E$17,LeasingHab!$C$18,-LeasingHab!$C$15,,)-PMT(LeasingHab!$E$17,LeasingHab!$C$18,-LeasingHab!$C$22)+LeasingHab!$C$22*LeasingHab!$E$17)</f>
        <v>#VALUE!</v>
      </c>
      <c r="M298" s="9" t="e">
        <f t="shared" si="28"/>
        <v>#VALUE!</v>
      </c>
      <c r="N298" s="7" t="e">
        <f>IF((C297-1)&lt;$E$17,0,LeasingHab!$C$39)</f>
        <v>#VALUE!</v>
      </c>
      <c r="O298" s="9" t="e">
        <f t="shared" si="29"/>
        <v>#VALUE!</v>
      </c>
    </row>
    <row r="299" spans="2:15" ht="15.5" hidden="1" x14ac:dyDescent="0.35">
      <c r="B299" s="6" t="e">
        <f t="shared" si="30"/>
        <v>#VALUE!</v>
      </c>
      <c r="C299" s="7" t="e">
        <f t="shared" si="25"/>
        <v>#VALUE!</v>
      </c>
      <c r="D299" s="7" t="e">
        <f t="shared" si="26"/>
        <v>#VALUE!</v>
      </c>
      <c r="E299" s="7" t="e">
        <f>IF((C298-1)&lt;$E$17,0,C298*LeasingHab!$E$17)</f>
        <v>#VALUE!</v>
      </c>
      <c r="F299" s="8" t="e">
        <f>IF((C298-1)&lt;$E$17,"0",IF(LeasingHab!$D$27="Si",($C$19*(VLOOKUP(LeasingHab!$C$23,Seguros_Oblig!$A$3:$F$55,6,FALSE))),IF(LeasingHab!$C$10="TARIFA 1",(C298*(VLOOKUP(LeasingHab!$C$23,Seguros_Oblig!$A$3:$B$55,2,FALSE))),(C298*(VLOOKUP(LeasingHab!$C$23,Seguros_Oblig!$A$3:$D$55,4,FALSE))))))</f>
        <v>#VALUE!</v>
      </c>
      <c r="G299" s="8" t="e">
        <f>IF(LeasingHab!$C$10="TARIFA 1",(C298*(VLOOKUP(LeasingHab!$C$24,Seguros_Oblig!$A$3:$B$55,2,FALSE))),(C298*(VLOOKUP(LeasingHab!$C$24,Seguros_Oblig!$A$3:$D$55,4,FALSE))))</f>
        <v>#VALUE!</v>
      </c>
      <c r="H299" s="8" t="e">
        <f>IF(LeasingHab!$C$10="TARIFA 1",(C298*(VLOOKUP(LeasingHab!$C$25,Seguros_Oblig!$A$3:$B$55,2,FALSE))),(C298*(VLOOKUP(LeasingHab!$C$25,Seguros_Oblig!$A$3:$D$55,4,FALSE))))</f>
        <v>#VALUE!</v>
      </c>
      <c r="I299" s="8" t="e">
        <f>IF(LeasingHab!$C$10="TARIFA 1",(C298*(VLOOKUP(LeasingHab!$C$26,Seguros_Oblig!$A$3:$B$55,2,FALSE))),(C298*(VLOOKUP(LeasingHab!$C$26,Seguros_Oblig!$A$3:$D$55,4,FALSE))))</f>
        <v>#VALUE!</v>
      </c>
      <c r="J299" s="10">
        <f t="shared" si="27"/>
        <v>0</v>
      </c>
      <c r="K299" s="7" t="e">
        <f>IF((C298-1)&lt;$E$17,0,Seguros_Oblig!$K$2*(LeasingHab!$C$12*90%))</f>
        <v>#VALUE!</v>
      </c>
      <c r="L299" s="7" t="e">
        <f>IF(B299&gt;LeasingHab!$C$18,0,PMT(LeasingHab!$E$17,LeasingHab!$C$18,-LeasingHab!$C$15,,)-PMT(LeasingHab!$E$17,LeasingHab!$C$18,-LeasingHab!$C$22)+LeasingHab!$C$22*LeasingHab!$E$17)</f>
        <v>#VALUE!</v>
      </c>
      <c r="M299" s="9" t="e">
        <f t="shared" si="28"/>
        <v>#VALUE!</v>
      </c>
      <c r="N299" s="7" t="e">
        <f>IF((C298-1)&lt;$E$17,0,LeasingHab!$C$39)</f>
        <v>#VALUE!</v>
      </c>
      <c r="O299" s="9" t="e">
        <f t="shared" si="29"/>
        <v>#VALUE!</v>
      </c>
    </row>
    <row r="300" spans="2:15" ht="15.5" hidden="1" x14ac:dyDescent="0.35">
      <c r="B300" s="6" t="e">
        <f t="shared" si="30"/>
        <v>#VALUE!</v>
      </c>
      <c r="C300" s="7" t="e">
        <f t="shared" si="25"/>
        <v>#VALUE!</v>
      </c>
      <c r="D300" s="7" t="e">
        <f t="shared" si="26"/>
        <v>#VALUE!</v>
      </c>
      <c r="E300" s="7" t="e">
        <f>IF((C299-1)&lt;$E$17,0,C299*LeasingHab!$E$17)</f>
        <v>#VALUE!</v>
      </c>
      <c r="F300" s="8" t="e">
        <f>IF((C299-1)&lt;$E$17,"0",IF(LeasingHab!$D$27="Si",($C$19*(VLOOKUP(LeasingHab!$C$23,Seguros_Oblig!$A$3:$F$55,6,FALSE))),IF(LeasingHab!$C$10="TARIFA 1",(C299*(VLOOKUP(LeasingHab!$C$23,Seguros_Oblig!$A$3:$B$55,2,FALSE))),(C299*(VLOOKUP(LeasingHab!$C$23,Seguros_Oblig!$A$3:$D$55,4,FALSE))))))</f>
        <v>#VALUE!</v>
      </c>
      <c r="G300" s="8" t="e">
        <f>IF(LeasingHab!$C$10="TARIFA 1",(C299*(VLOOKUP(LeasingHab!$C$24,Seguros_Oblig!$A$3:$B$55,2,FALSE))),(C299*(VLOOKUP(LeasingHab!$C$24,Seguros_Oblig!$A$3:$D$55,4,FALSE))))</f>
        <v>#VALUE!</v>
      </c>
      <c r="H300" s="8" t="e">
        <f>IF(LeasingHab!$C$10="TARIFA 1",(C299*(VLOOKUP(LeasingHab!$C$25,Seguros_Oblig!$A$3:$B$55,2,FALSE))),(C299*(VLOOKUP(LeasingHab!$C$25,Seguros_Oblig!$A$3:$D$55,4,FALSE))))</f>
        <v>#VALUE!</v>
      </c>
      <c r="I300" s="8" t="e">
        <f>IF(LeasingHab!$C$10="TARIFA 1",(C299*(VLOOKUP(LeasingHab!$C$26,Seguros_Oblig!$A$3:$B$55,2,FALSE))),(C299*(VLOOKUP(LeasingHab!$C$26,Seguros_Oblig!$A$3:$D$55,4,FALSE))))</f>
        <v>#VALUE!</v>
      </c>
      <c r="J300" s="10">
        <f t="shared" si="27"/>
        <v>0</v>
      </c>
      <c r="K300" s="7" t="e">
        <f>IF((C299-1)&lt;$E$17,0,Seguros_Oblig!$K$2*(LeasingHab!$C$12*90%))</f>
        <v>#VALUE!</v>
      </c>
      <c r="L300" s="7" t="e">
        <f>IF(B300&gt;LeasingHab!$C$18,0,PMT(LeasingHab!$E$17,LeasingHab!$C$18,-LeasingHab!$C$15,,)-PMT(LeasingHab!$E$17,LeasingHab!$C$18,-LeasingHab!$C$22)+LeasingHab!$C$22*LeasingHab!$E$17)</f>
        <v>#VALUE!</v>
      </c>
      <c r="M300" s="9" t="e">
        <f t="shared" si="28"/>
        <v>#VALUE!</v>
      </c>
      <c r="N300" s="7" t="e">
        <f>IF((C299-1)&lt;$E$17,0,LeasingHab!$C$39)</f>
        <v>#VALUE!</v>
      </c>
      <c r="O300" s="9" t="e">
        <f t="shared" si="29"/>
        <v>#VALUE!</v>
      </c>
    </row>
    <row r="301" spans="2:15" ht="15.5" hidden="1" x14ac:dyDescent="0.35">
      <c r="B301" s="6" t="e">
        <f t="shared" si="30"/>
        <v>#VALUE!</v>
      </c>
      <c r="C301" s="7" t="e">
        <f t="shared" si="25"/>
        <v>#VALUE!</v>
      </c>
      <c r="D301" s="7" t="e">
        <f t="shared" si="26"/>
        <v>#VALUE!</v>
      </c>
      <c r="E301" s="7" t="e">
        <f>IF((C300-1)&lt;$E$17,0,C300*LeasingHab!$E$17)</f>
        <v>#VALUE!</v>
      </c>
      <c r="F301" s="8" t="e">
        <f>IF((C300-1)&lt;$E$17,"0",IF(LeasingHab!$D$27="Si",($C$19*(VLOOKUP(LeasingHab!$C$23,Seguros_Oblig!$A$3:$F$55,6,FALSE))),IF(LeasingHab!$C$10="TARIFA 1",(C300*(VLOOKUP(LeasingHab!$C$23,Seguros_Oblig!$A$3:$B$55,2,FALSE))),(C300*(VLOOKUP(LeasingHab!$C$23,Seguros_Oblig!$A$3:$D$55,4,FALSE))))))</f>
        <v>#VALUE!</v>
      </c>
      <c r="G301" s="8" t="e">
        <f>IF(LeasingHab!$C$10="TARIFA 1",(C300*(VLOOKUP(LeasingHab!$C$24,Seguros_Oblig!$A$3:$B$55,2,FALSE))),(C300*(VLOOKUP(LeasingHab!$C$24,Seguros_Oblig!$A$3:$D$55,4,FALSE))))</f>
        <v>#VALUE!</v>
      </c>
      <c r="H301" s="8" t="e">
        <f>IF(LeasingHab!$C$10="TARIFA 1",(C300*(VLOOKUP(LeasingHab!$C$25,Seguros_Oblig!$A$3:$B$55,2,FALSE))),(C300*(VLOOKUP(LeasingHab!$C$25,Seguros_Oblig!$A$3:$D$55,4,FALSE))))</f>
        <v>#VALUE!</v>
      </c>
      <c r="I301" s="8" t="e">
        <f>IF(LeasingHab!$C$10="TARIFA 1",(C300*(VLOOKUP(LeasingHab!$C$26,Seguros_Oblig!$A$3:$B$55,2,FALSE))),(C300*(VLOOKUP(LeasingHab!$C$26,Seguros_Oblig!$A$3:$D$55,4,FALSE))))</f>
        <v>#VALUE!</v>
      </c>
      <c r="J301" s="10">
        <f t="shared" si="27"/>
        <v>0</v>
      </c>
      <c r="K301" s="7" t="e">
        <f>IF((C300-1)&lt;$E$17,0,Seguros_Oblig!$K$2*(LeasingHab!$C$12*90%))</f>
        <v>#VALUE!</v>
      </c>
      <c r="L301" s="7" t="e">
        <f>IF(B301&gt;LeasingHab!$C$18,0,PMT(LeasingHab!$E$17,LeasingHab!$C$18,-LeasingHab!$C$15,,)-PMT(LeasingHab!$E$17,LeasingHab!$C$18,-LeasingHab!$C$22)+LeasingHab!$C$22*LeasingHab!$E$17)</f>
        <v>#VALUE!</v>
      </c>
      <c r="M301" s="9" t="e">
        <f t="shared" si="28"/>
        <v>#VALUE!</v>
      </c>
      <c r="N301" s="7" t="e">
        <f>IF((C300-1)&lt;$E$17,0,LeasingHab!$C$39)</f>
        <v>#VALUE!</v>
      </c>
      <c r="O301" s="9" t="e">
        <f t="shared" si="29"/>
        <v>#VALUE!</v>
      </c>
    </row>
    <row r="302" spans="2:15" ht="15.5" hidden="1" x14ac:dyDescent="0.35">
      <c r="B302" s="6" t="e">
        <f t="shared" si="30"/>
        <v>#VALUE!</v>
      </c>
      <c r="C302" s="7" t="e">
        <f t="shared" si="25"/>
        <v>#VALUE!</v>
      </c>
      <c r="D302" s="7" t="e">
        <f t="shared" si="26"/>
        <v>#VALUE!</v>
      </c>
      <c r="E302" s="7" t="e">
        <f>IF((C301-1)&lt;$E$17,0,C301*LeasingHab!$E$17)</f>
        <v>#VALUE!</v>
      </c>
      <c r="F302" s="8" t="e">
        <f>IF((C301-1)&lt;$E$17,"0",IF(LeasingHab!$D$27="Si",($C$19*(VLOOKUP(LeasingHab!$C$23,Seguros_Oblig!$A$3:$F$55,6,FALSE))),IF(LeasingHab!$C$10="TARIFA 1",(C301*(VLOOKUP(LeasingHab!$C$23,Seguros_Oblig!$A$3:$B$55,2,FALSE))),(C301*(VLOOKUP(LeasingHab!$C$23,Seguros_Oblig!$A$3:$D$55,4,FALSE))))))</f>
        <v>#VALUE!</v>
      </c>
      <c r="G302" s="8" t="e">
        <f>IF(LeasingHab!$C$10="TARIFA 1",(C301*(VLOOKUP(LeasingHab!$C$24,Seguros_Oblig!$A$3:$B$55,2,FALSE))),(C301*(VLOOKUP(LeasingHab!$C$24,Seguros_Oblig!$A$3:$D$55,4,FALSE))))</f>
        <v>#VALUE!</v>
      </c>
      <c r="H302" s="8" t="e">
        <f>IF(LeasingHab!$C$10="TARIFA 1",(C301*(VLOOKUP(LeasingHab!$C$25,Seguros_Oblig!$A$3:$B$55,2,FALSE))),(C301*(VLOOKUP(LeasingHab!$C$25,Seguros_Oblig!$A$3:$D$55,4,FALSE))))</f>
        <v>#VALUE!</v>
      </c>
      <c r="I302" s="8" t="e">
        <f>IF(LeasingHab!$C$10="TARIFA 1",(C301*(VLOOKUP(LeasingHab!$C$26,Seguros_Oblig!$A$3:$B$55,2,FALSE))),(C301*(VLOOKUP(LeasingHab!$C$26,Seguros_Oblig!$A$3:$D$55,4,FALSE))))</f>
        <v>#VALUE!</v>
      </c>
      <c r="J302" s="10">
        <f t="shared" si="27"/>
        <v>0</v>
      </c>
      <c r="K302" s="7" t="e">
        <f>IF((C301-1)&lt;$E$17,0,Seguros_Oblig!$K$2*(LeasingHab!$C$12*90%))</f>
        <v>#VALUE!</v>
      </c>
      <c r="L302" s="7" t="e">
        <f>IF(B302&gt;LeasingHab!$C$18,0,PMT(LeasingHab!$E$17,LeasingHab!$C$18,-LeasingHab!$C$15,,)-PMT(LeasingHab!$E$17,LeasingHab!$C$18,-LeasingHab!$C$22)+LeasingHab!$C$22*LeasingHab!$E$17)</f>
        <v>#VALUE!</v>
      </c>
      <c r="M302" s="9" t="e">
        <f t="shared" si="28"/>
        <v>#VALUE!</v>
      </c>
      <c r="N302" s="7" t="e">
        <f>IF((C301-1)&lt;$E$17,0,LeasingHab!$C$39)</f>
        <v>#VALUE!</v>
      </c>
      <c r="O302" s="9" t="e">
        <f t="shared" si="29"/>
        <v>#VALUE!</v>
      </c>
    </row>
    <row r="303" spans="2:15" ht="15.5" hidden="1" x14ac:dyDescent="0.35">
      <c r="B303" s="6" t="e">
        <f t="shared" si="30"/>
        <v>#VALUE!</v>
      </c>
      <c r="C303" s="7" t="e">
        <f t="shared" si="25"/>
        <v>#VALUE!</v>
      </c>
      <c r="D303" s="7" t="e">
        <f t="shared" si="26"/>
        <v>#VALUE!</v>
      </c>
      <c r="E303" s="7" t="e">
        <f>IF((C302-1)&lt;$E$17,0,C302*LeasingHab!$E$17)</f>
        <v>#VALUE!</v>
      </c>
      <c r="F303" s="8" t="e">
        <f>IF((C302-1)&lt;$E$17,"0",IF(LeasingHab!$D$27="Si",($C$19*(VLOOKUP(LeasingHab!$C$23,Seguros_Oblig!$A$3:$F$55,6,FALSE))),IF(LeasingHab!$C$10="TARIFA 1",(C302*(VLOOKUP(LeasingHab!$C$23,Seguros_Oblig!$A$3:$B$55,2,FALSE))),(C302*(VLOOKUP(LeasingHab!$C$23,Seguros_Oblig!$A$3:$D$55,4,FALSE))))))</f>
        <v>#VALUE!</v>
      </c>
      <c r="G303" s="8" t="e">
        <f>IF(LeasingHab!$C$10="TARIFA 1",(C302*(VLOOKUP(LeasingHab!$C$24,Seguros_Oblig!$A$3:$B$55,2,FALSE))),(C302*(VLOOKUP(LeasingHab!$C$24,Seguros_Oblig!$A$3:$D$55,4,FALSE))))</f>
        <v>#VALUE!</v>
      </c>
      <c r="H303" s="8" t="e">
        <f>IF(LeasingHab!$C$10="TARIFA 1",(C302*(VLOOKUP(LeasingHab!$C$25,Seguros_Oblig!$A$3:$B$55,2,FALSE))),(C302*(VLOOKUP(LeasingHab!$C$25,Seguros_Oblig!$A$3:$D$55,4,FALSE))))</f>
        <v>#VALUE!</v>
      </c>
      <c r="I303" s="8" t="e">
        <f>IF(LeasingHab!$C$10="TARIFA 1",(C302*(VLOOKUP(LeasingHab!$C$26,Seguros_Oblig!$A$3:$B$55,2,FALSE))),(C302*(VLOOKUP(LeasingHab!$C$26,Seguros_Oblig!$A$3:$D$55,4,FALSE))))</f>
        <v>#VALUE!</v>
      </c>
      <c r="J303" s="10">
        <f t="shared" si="27"/>
        <v>0</v>
      </c>
      <c r="K303" s="7" t="e">
        <f>IF((C302-1)&lt;$E$17,0,Seguros_Oblig!$K$2*(LeasingHab!$C$12*90%))</f>
        <v>#VALUE!</v>
      </c>
      <c r="L303" s="7" t="e">
        <f>IF(B303&gt;LeasingHab!$C$18,0,PMT(LeasingHab!$E$17,LeasingHab!$C$18,-LeasingHab!$C$15,,)-PMT(LeasingHab!$E$17,LeasingHab!$C$18,-LeasingHab!$C$22)+LeasingHab!$C$22*LeasingHab!$E$17)</f>
        <v>#VALUE!</v>
      </c>
      <c r="M303" s="9" t="e">
        <f t="shared" si="28"/>
        <v>#VALUE!</v>
      </c>
      <c r="N303" s="7" t="e">
        <f>IF((C302-1)&lt;$E$17,0,LeasingHab!$C$39)</f>
        <v>#VALUE!</v>
      </c>
      <c r="O303" s="9" t="e">
        <f t="shared" si="29"/>
        <v>#VALUE!</v>
      </c>
    </row>
    <row r="304" spans="2:15" ht="15.5" hidden="1" x14ac:dyDescent="0.35">
      <c r="B304" s="6" t="e">
        <f t="shared" si="30"/>
        <v>#VALUE!</v>
      </c>
      <c r="C304" s="7" t="e">
        <f t="shared" si="25"/>
        <v>#VALUE!</v>
      </c>
      <c r="D304" s="7" t="e">
        <f t="shared" si="26"/>
        <v>#VALUE!</v>
      </c>
      <c r="E304" s="7" t="e">
        <f>IF((C303-1)&lt;$E$17,0,C303*LeasingHab!$E$17)</f>
        <v>#VALUE!</v>
      </c>
      <c r="F304" s="8" t="e">
        <f>IF((C303-1)&lt;$E$17,"0",IF(LeasingHab!$D$27="Si",($C$19*(VLOOKUP(LeasingHab!$C$23,Seguros_Oblig!$A$3:$F$55,6,FALSE))),IF(LeasingHab!$C$10="TARIFA 1",(C303*(VLOOKUP(LeasingHab!$C$23,Seguros_Oblig!$A$3:$B$55,2,FALSE))),(C303*(VLOOKUP(LeasingHab!$C$23,Seguros_Oblig!$A$3:$D$55,4,FALSE))))))</f>
        <v>#VALUE!</v>
      </c>
      <c r="G304" s="8" t="e">
        <f>IF(LeasingHab!$C$10="TARIFA 1",(C303*(VLOOKUP(LeasingHab!$C$24,Seguros_Oblig!$A$3:$B$55,2,FALSE))),(C303*(VLOOKUP(LeasingHab!$C$24,Seguros_Oblig!$A$3:$D$55,4,FALSE))))</f>
        <v>#VALUE!</v>
      </c>
      <c r="H304" s="8" t="e">
        <f>IF(LeasingHab!$C$10="TARIFA 1",(C303*(VLOOKUP(LeasingHab!$C$25,Seguros_Oblig!$A$3:$B$55,2,FALSE))),(C303*(VLOOKUP(LeasingHab!$C$25,Seguros_Oblig!$A$3:$D$55,4,FALSE))))</f>
        <v>#VALUE!</v>
      </c>
      <c r="I304" s="8" t="e">
        <f>IF(LeasingHab!$C$10="TARIFA 1",(C303*(VLOOKUP(LeasingHab!$C$26,Seguros_Oblig!$A$3:$B$55,2,FALSE))),(C303*(VLOOKUP(LeasingHab!$C$26,Seguros_Oblig!$A$3:$D$55,4,FALSE))))</f>
        <v>#VALUE!</v>
      </c>
      <c r="J304" s="10">
        <f t="shared" si="27"/>
        <v>0</v>
      </c>
      <c r="K304" s="7" t="e">
        <f>IF((C303-1)&lt;$E$17,0,Seguros_Oblig!$K$2*(LeasingHab!$C$12*90%))</f>
        <v>#VALUE!</v>
      </c>
      <c r="L304" s="7" t="e">
        <f>IF(B304&gt;LeasingHab!$C$18,0,PMT(LeasingHab!$E$17,LeasingHab!$C$18,-LeasingHab!$C$15,,)-PMT(LeasingHab!$E$17,LeasingHab!$C$18,-LeasingHab!$C$22)+LeasingHab!$C$22*LeasingHab!$E$17)</f>
        <v>#VALUE!</v>
      </c>
      <c r="M304" s="9" t="e">
        <f t="shared" si="28"/>
        <v>#VALUE!</v>
      </c>
      <c r="N304" s="7" t="e">
        <f>IF((C303-1)&lt;$E$17,0,LeasingHab!$C$39)</f>
        <v>#VALUE!</v>
      </c>
      <c r="O304" s="9" t="e">
        <f t="shared" si="29"/>
        <v>#VALUE!</v>
      </c>
    </row>
    <row r="305" spans="2:15" ht="15.5" hidden="1" x14ac:dyDescent="0.35">
      <c r="B305" s="6" t="e">
        <f t="shared" si="30"/>
        <v>#VALUE!</v>
      </c>
      <c r="C305" s="7" t="e">
        <f t="shared" si="25"/>
        <v>#VALUE!</v>
      </c>
      <c r="D305" s="7" t="e">
        <f t="shared" si="26"/>
        <v>#VALUE!</v>
      </c>
      <c r="E305" s="7" t="e">
        <f>IF((C304-1)&lt;$E$17,0,C304*LeasingHab!$E$17)</f>
        <v>#VALUE!</v>
      </c>
      <c r="F305" s="8" t="e">
        <f>IF((C304-1)&lt;$E$17,"0",IF(LeasingHab!$D$27="Si",($C$19*(VLOOKUP(LeasingHab!$C$23,Seguros_Oblig!$A$3:$F$55,6,FALSE))),IF(LeasingHab!$C$10="TARIFA 1",(C304*(VLOOKUP(LeasingHab!$C$23,Seguros_Oblig!$A$3:$B$55,2,FALSE))),(C304*(VLOOKUP(LeasingHab!$C$23,Seguros_Oblig!$A$3:$D$55,4,FALSE))))))</f>
        <v>#VALUE!</v>
      </c>
      <c r="G305" s="8" t="e">
        <f>IF(LeasingHab!$C$10="TARIFA 1",(C304*(VLOOKUP(LeasingHab!$C$24,Seguros_Oblig!$A$3:$B$55,2,FALSE))),(C304*(VLOOKUP(LeasingHab!$C$24,Seguros_Oblig!$A$3:$D$55,4,FALSE))))</f>
        <v>#VALUE!</v>
      </c>
      <c r="H305" s="8" t="e">
        <f>IF(LeasingHab!$C$10="TARIFA 1",(C304*(VLOOKUP(LeasingHab!$C$25,Seguros_Oblig!$A$3:$B$55,2,FALSE))),(C304*(VLOOKUP(LeasingHab!$C$25,Seguros_Oblig!$A$3:$D$55,4,FALSE))))</f>
        <v>#VALUE!</v>
      </c>
      <c r="I305" s="8" t="e">
        <f>IF(LeasingHab!$C$10="TARIFA 1",(C304*(VLOOKUP(LeasingHab!$C$26,Seguros_Oblig!$A$3:$B$55,2,FALSE))),(C304*(VLOOKUP(LeasingHab!$C$26,Seguros_Oblig!$A$3:$D$55,4,FALSE))))</f>
        <v>#VALUE!</v>
      </c>
      <c r="J305" s="10">
        <f t="shared" si="27"/>
        <v>0</v>
      </c>
      <c r="K305" s="7" t="e">
        <f>IF((C304-1)&lt;$E$17,0,Seguros_Oblig!$K$2*(LeasingHab!$C$12*90%))</f>
        <v>#VALUE!</v>
      </c>
      <c r="L305" s="7" t="e">
        <f>IF(B305&gt;LeasingHab!$C$18,0,PMT(LeasingHab!$E$17,LeasingHab!$C$18,-LeasingHab!$C$15,,)-PMT(LeasingHab!$E$17,LeasingHab!$C$18,-LeasingHab!$C$22)+LeasingHab!$C$22*LeasingHab!$E$17)</f>
        <v>#VALUE!</v>
      </c>
      <c r="M305" s="9" t="e">
        <f t="shared" si="28"/>
        <v>#VALUE!</v>
      </c>
      <c r="N305" s="7" t="e">
        <f>IF((C304-1)&lt;$E$17,0,LeasingHab!$C$39)</f>
        <v>#VALUE!</v>
      </c>
      <c r="O305" s="9" t="e">
        <f t="shared" si="29"/>
        <v>#VALUE!</v>
      </c>
    </row>
    <row r="306" spans="2:15" ht="15.5" hidden="1" x14ac:dyDescent="0.35">
      <c r="B306" s="6" t="e">
        <f t="shared" si="30"/>
        <v>#VALUE!</v>
      </c>
      <c r="C306" s="7" t="e">
        <f t="shared" si="25"/>
        <v>#VALUE!</v>
      </c>
      <c r="D306" s="7" t="e">
        <f t="shared" si="26"/>
        <v>#VALUE!</v>
      </c>
      <c r="E306" s="7" t="e">
        <f>IF((C305-1)&lt;$E$17,0,C305*LeasingHab!$E$17)</f>
        <v>#VALUE!</v>
      </c>
      <c r="F306" s="8" t="e">
        <f>IF((C305-1)&lt;$E$17,"0",IF(LeasingHab!$D$27="Si",($C$19*(VLOOKUP(LeasingHab!$C$23,Seguros_Oblig!$A$3:$F$55,6,FALSE))),IF(LeasingHab!$C$10="TARIFA 1",(C305*(VLOOKUP(LeasingHab!$C$23,Seguros_Oblig!$A$3:$B$55,2,FALSE))),(C305*(VLOOKUP(LeasingHab!$C$23,Seguros_Oblig!$A$3:$D$55,4,FALSE))))))</f>
        <v>#VALUE!</v>
      </c>
      <c r="G306" s="8" t="e">
        <f>IF(LeasingHab!$C$10="TARIFA 1",(C305*(VLOOKUP(LeasingHab!$C$24,Seguros_Oblig!$A$3:$B$55,2,FALSE))),(C305*(VLOOKUP(LeasingHab!$C$24,Seguros_Oblig!$A$3:$D$55,4,FALSE))))</f>
        <v>#VALUE!</v>
      </c>
      <c r="H306" s="8" t="e">
        <f>IF(LeasingHab!$C$10="TARIFA 1",(C305*(VLOOKUP(LeasingHab!$C$25,Seguros_Oblig!$A$3:$B$55,2,FALSE))),(C305*(VLOOKUP(LeasingHab!$C$25,Seguros_Oblig!$A$3:$D$55,4,FALSE))))</f>
        <v>#VALUE!</v>
      </c>
      <c r="I306" s="8" t="e">
        <f>IF(LeasingHab!$C$10="TARIFA 1",(C305*(VLOOKUP(LeasingHab!$C$26,Seguros_Oblig!$A$3:$B$55,2,FALSE))),(C305*(VLOOKUP(LeasingHab!$C$26,Seguros_Oblig!$A$3:$D$55,4,FALSE))))</f>
        <v>#VALUE!</v>
      </c>
      <c r="J306" s="10">
        <f t="shared" si="27"/>
        <v>0</v>
      </c>
      <c r="K306" s="7" t="e">
        <f>IF((C305-1)&lt;$E$17,0,Seguros_Oblig!$K$2*(LeasingHab!$C$12*90%))</f>
        <v>#VALUE!</v>
      </c>
      <c r="L306" s="7" t="e">
        <f>IF(B306&gt;LeasingHab!$C$18,0,PMT(LeasingHab!$E$17,LeasingHab!$C$18,-LeasingHab!$C$15,,)-PMT(LeasingHab!$E$17,LeasingHab!$C$18,-LeasingHab!$C$22)+LeasingHab!$C$22*LeasingHab!$E$17)</f>
        <v>#VALUE!</v>
      </c>
      <c r="M306" s="9" t="e">
        <f t="shared" si="28"/>
        <v>#VALUE!</v>
      </c>
      <c r="N306" s="7" t="e">
        <f>IF((C305-1)&lt;$E$17,0,LeasingHab!$C$39)</f>
        <v>#VALUE!</v>
      </c>
      <c r="O306" s="9" t="e">
        <f t="shared" si="29"/>
        <v>#VALUE!</v>
      </c>
    </row>
    <row r="307" spans="2:15" ht="15.5" hidden="1" x14ac:dyDescent="0.35">
      <c r="B307" s="6" t="e">
        <f t="shared" si="30"/>
        <v>#VALUE!</v>
      </c>
      <c r="C307" s="7" t="e">
        <f t="shared" si="25"/>
        <v>#VALUE!</v>
      </c>
      <c r="D307" s="7" t="e">
        <f t="shared" si="26"/>
        <v>#VALUE!</v>
      </c>
      <c r="E307" s="7" t="e">
        <f>IF((C306-1)&lt;$E$17,0,C306*LeasingHab!$E$17)</f>
        <v>#VALUE!</v>
      </c>
      <c r="F307" s="8" t="e">
        <f>IF((C306-1)&lt;$E$17,"0",IF(LeasingHab!$D$27="Si",($C$19*(VLOOKUP(LeasingHab!$C$23,Seguros_Oblig!$A$3:$F$55,6,FALSE))),IF(LeasingHab!$C$10="TARIFA 1",(C306*(VLOOKUP(LeasingHab!$C$23,Seguros_Oblig!$A$3:$B$55,2,FALSE))),(C306*(VLOOKUP(LeasingHab!$C$23,Seguros_Oblig!$A$3:$D$55,4,FALSE))))))</f>
        <v>#VALUE!</v>
      </c>
      <c r="G307" s="8" t="e">
        <f>IF(LeasingHab!$C$10="TARIFA 1",(C306*(VLOOKUP(LeasingHab!$C$24,Seguros_Oblig!$A$3:$B$55,2,FALSE))),(C306*(VLOOKUP(LeasingHab!$C$24,Seguros_Oblig!$A$3:$D$55,4,FALSE))))</f>
        <v>#VALUE!</v>
      </c>
      <c r="H307" s="8" t="e">
        <f>IF(LeasingHab!$C$10="TARIFA 1",(C306*(VLOOKUP(LeasingHab!$C$25,Seguros_Oblig!$A$3:$B$55,2,FALSE))),(C306*(VLOOKUP(LeasingHab!$C$25,Seguros_Oblig!$A$3:$D$55,4,FALSE))))</f>
        <v>#VALUE!</v>
      </c>
      <c r="I307" s="8" t="e">
        <f>IF(LeasingHab!$C$10="TARIFA 1",(C306*(VLOOKUP(LeasingHab!$C$26,Seguros_Oblig!$A$3:$B$55,2,FALSE))),(C306*(VLOOKUP(LeasingHab!$C$26,Seguros_Oblig!$A$3:$D$55,4,FALSE))))</f>
        <v>#VALUE!</v>
      </c>
      <c r="J307" s="10">
        <f t="shared" si="27"/>
        <v>0</v>
      </c>
      <c r="K307" s="7" t="e">
        <f>IF((C306-1)&lt;$E$17,0,Seguros_Oblig!$K$2*(LeasingHab!$C$12*90%))</f>
        <v>#VALUE!</v>
      </c>
      <c r="L307" s="7" t="e">
        <f>IF(B307&gt;LeasingHab!$C$18,0,PMT(LeasingHab!$E$17,LeasingHab!$C$18,-LeasingHab!$C$15,,)-PMT(LeasingHab!$E$17,LeasingHab!$C$18,-LeasingHab!$C$22)+LeasingHab!$C$22*LeasingHab!$E$17)</f>
        <v>#VALUE!</v>
      </c>
      <c r="M307" s="9" t="e">
        <f t="shared" si="28"/>
        <v>#VALUE!</v>
      </c>
      <c r="N307" s="7" t="e">
        <f>IF((C306-1)&lt;$E$17,0,LeasingHab!$C$39)</f>
        <v>#VALUE!</v>
      </c>
      <c r="O307" s="9" t="e">
        <f t="shared" si="29"/>
        <v>#VALUE!</v>
      </c>
    </row>
    <row r="308" spans="2:15" ht="15.5" hidden="1" x14ac:dyDescent="0.35">
      <c r="B308" s="6" t="e">
        <f t="shared" si="30"/>
        <v>#VALUE!</v>
      </c>
      <c r="C308" s="7" t="e">
        <f t="shared" si="25"/>
        <v>#VALUE!</v>
      </c>
      <c r="D308" s="7" t="e">
        <f t="shared" si="26"/>
        <v>#VALUE!</v>
      </c>
      <c r="E308" s="7" t="e">
        <f>IF((C307-1)&lt;$E$17,0,C307*LeasingHab!$E$17)</f>
        <v>#VALUE!</v>
      </c>
      <c r="F308" s="8" t="e">
        <f>IF((C307-1)&lt;$E$17,"0",IF(LeasingHab!$D$27="Si",($C$19*(VLOOKUP(LeasingHab!$C$23,Seguros_Oblig!$A$3:$F$55,6,FALSE))),IF(LeasingHab!$C$10="TARIFA 1",(C307*(VLOOKUP(LeasingHab!$C$23,Seguros_Oblig!$A$3:$B$55,2,FALSE))),(C307*(VLOOKUP(LeasingHab!$C$23,Seguros_Oblig!$A$3:$D$55,4,FALSE))))))</f>
        <v>#VALUE!</v>
      </c>
      <c r="G308" s="8" t="e">
        <f>IF(LeasingHab!$C$10="TARIFA 1",(C307*(VLOOKUP(LeasingHab!$C$24,Seguros_Oblig!$A$3:$B$55,2,FALSE))),(C307*(VLOOKUP(LeasingHab!$C$24,Seguros_Oblig!$A$3:$D$55,4,FALSE))))</f>
        <v>#VALUE!</v>
      </c>
      <c r="H308" s="8" t="e">
        <f>IF(LeasingHab!$C$10="TARIFA 1",(C307*(VLOOKUP(LeasingHab!$C$25,Seguros_Oblig!$A$3:$B$55,2,FALSE))),(C307*(VLOOKUP(LeasingHab!$C$25,Seguros_Oblig!$A$3:$D$55,4,FALSE))))</f>
        <v>#VALUE!</v>
      </c>
      <c r="I308" s="8" t="e">
        <f>IF(LeasingHab!$C$10="TARIFA 1",(C307*(VLOOKUP(LeasingHab!$C$26,Seguros_Oblig!$A$3:$B$55,2,FALSE))),(C307*(VLOOKUP(LeasingHab!$C$26,Seguros_Oblig!$A$3:$D$55,4,FALSE))))</f>
        <v>#VALUE!</v>
      </c>
      <c r="J308" s="10">
        <f t="shared" si="27"/>
        <v>0</v>
      </c>
      <c r="K308" s="7" t="e">
        <f>IF((C307-1)&lt;$E$17,0,Seguros_Oblig!$K$2*(LeasingHab!$C$12*90%))</f>
        <v>#VALUE!</v>
      </c>
      <c r="L308" s="7" t="e">
        <f>IF(B308&gt;LeasingHab!$C$18,0,PMT(LeasingHab!$E$17,LeasingHab!$C$18,-LeasingHab!$C$15,,)-PMT(LeasingHab!$E$17,LeasingHab!$C$18,-LeasingHab!$C$22)+LeasingHab!$C$22*LeasingHab!$E$17)</f>
        <v>#VALUE!</v>
      </c>
      <c r="M308" s="9" t="e">
        <f t="shared" si="28"/>
        <v>#VALUE!</v>
      </c>
      <c r="N308" s="7" t="e">
        <f>IF((C307-1)&lt;$E$17,0,LeasingHab!$C$39)</f>
        <v>#VALUE!</v>
      </c>
      <c r="O308" s="9" t="e">
        <f t="shared" si="29"/>
        <v>#VALUE!</v>
      </c>
    </row>
    <row r="309" spans="2:15" ht="15.5" hidden="1" x14ac:dyDescent="0.35">
      <c r="B309" s="6" t="e">
        <f t="shared" si="30"/>
        <v>#VALUE!</v>
      </c>
      <c r="C309" s="7" t="e">
        <f t="shared" si="25"/>
        <v>#VALUE!</v>
      </c>
      <c r="D309" s="7" t="e">
        <f t="shared" si="26"/>
        <v>#VALUE!</v>
      </c>
      <c r="E309" s="7" t="e">
        <f>IF((C308-1)&lt;$E$17,0,C308*LeasingHab!$E$17)</f>
        <v>#VALUE!</v>
      </c>
      <c r="F309" s="8" t="e">
        <f>IF((C308-1)&lt;$E$17,"0",IF(LeasingHab!$D$27="Si",($C$19*(VLOOKUP(LeasingHab!$C$23,Seguros_Oblig!$A$3:$F$55,6,FALSE))),IF(LeasingHab!$C$10="TARIFA 1",(C308*(VLOOKUP(LeasingHab!$C$23,Seguros_Oblig!$A$3:$B$55,2,FALSE))),(C308*(VLOOKUP(LeasingHab!$C$23,Seguros_Oblig!$A$3:$D$55,4,FALSE))))))</f>
        <v>#VALUE!</v>
      </c>
      <c r="G309" s="8" t="e">
        <f>IF(LeasingHab!$C$10="TARIFA 1",(C308*(VLOOKUP(LeasingHab!$C$24,Seguros_Oblig!$A$3:$B$55,2,FALSE))),(C308*(VLOOKUP(LeasingHab!$C$24,Seguros_Oblig!$A$3:$D$55,4,FALSE))))</f>
        <v>#VALUE!</v>
      </c>
      <c r="H309" s="8" t="e">
        <f>IF(LeasingHab!$C$10="TARIFA 1",(C308*(VLOOKUP(LeasingHab!$C$25,Seguros_Oblig!$A$3:$B$55,2,FALSE))),(C308*(VLOOKUP(LeasingHab!$C$25,Seguros_Oblig!$A$3:$D$55,4,FALSE))))</f>
        <v>#VALUE!</v>
      </c>
      <c r="I309" s="8" t="e">
        <f>IF(LeasingHab!$C$10="TARIFA 1",(C308*(VLOOKUP(LeasingHab!$C$26,Seguros_Oblig!$A$3:$B$55,2,FALSE))),(C308*(VLOOKUP(LeasingHab!$C$26,Seguros_Oblig!$A$3:$D$55,4,FALSE))))</f>
        <v>#VALUE!</v>
      </c>
      <c r="J309" s="10">
        <f t="shared" si="27"/>
        <v>0</v>
      </c>
      <c r="K309" s="7" t="e">
        <f>IF((C308-1)&lt;$E$17,0,Seguros_Oblig!$K$2*(LeasingHab!$C$12*90%))</f>
        <v>#VALUE!</v>
      </c>
      <c r="L309" s="7" t="e">
        <f>IF(B309&gt;LeasingHab!$C$18,0,PMT(LeasingHab!$E$17,LeasingHab!$C$18,-LeasingHab!$C$15,,)-PMT(LeasingHab!$E$17,LeasingHab!$C$18,-LeasingHab!$C$22)+LeasingHab!$C$22*LeasingHab!$E$17)</f>
        <v>#VALUE!</v>
      </c>
      <c r="M309" s="9" t="e">
        <f t="shared" si="28"/>
        <v>#VALUE!</v>
      </c>
      <c r="N309" s="7" t="e">
        <f>IF((C308-1)&lt;$E$17,0,LeasingHab!$C$39)</f>
        <v>#VALUE!</v>
      </c>
      <c r="O309" s="9" t="e">
        <f t="shared" si="29"/>
        <v>#VALUE!</v>
      </c>
    </row>
    <row r="310" spans="2:15" ht="15.5" hidden="1" x14ac:dyDescent="0.35">
      <c r="B310" s="6" t="e">
        <f t="shared" si="30"/>
        <v>#VALUE!</v>
      </c>
      <c r="C310" s="7" t="e">
        <f t="shared" si="25"/>
        <v>#VALUE!</v>
      </c>
      <c r="D310" s="7" t="e">
        <f t="shared" si="26"/>
        <v>#VALUE!</v>
      </c>
      <c r="E310" s="7" t="e">
        <f>IF((C309-1)&lt;$E$17,0,C309*LeasingHab!$E$17)</f>
        <v>#VALUE!</v>
      </c>
      <c r="F310" s="8" t="e">
        <f>IF((C309-1)&lt;$E$17,"0",IF(LeasingHab!$D$27="Si",($C$19*(VLOOKUP(LeasingHab!$C$23,Seguros_Oblig!$A$3:$F$55,6,FALSE))),IF(LeasingHab!$C$10="TARIFA 1",(C309*(VLOOKUP(LeasingHab!$C$23,Seguros_Oblig!$A$3:$B$55,2,FALSE))),(C309*(VLOOKUP(LeasingHab!$C$23,Seguros_Oblig!$A$3:$D$55,4,FALSE))))))</f>
        <v>#VALUE!</v>
      </c>
      <c r="G310" s="8" t="e">
        <f>IF(LeasingHab!$C$10="TARIFA 1",(C309*(VLOOKUP(LeasingHab!$C$24,Seguros_Oblig!$A$3:$B$55,2,FALSE))),(C309*(VLOOKUP(LeasingHab!$C$24,Seguros_Oblig!$A$3:$D$55,4,FALSE))))</f>
        <v>#VALUE!</v>
      </c>
      <c r="H310" s="8" t="e">
        <f>IF(LeasingHab!$C$10="TARIFA 1",(C309*(VLOOKUP(LeasingHab!$C$25,Seguros_Oblig!$A$3:$B$55,2,FALSE))),(C309*(VLOOKUP(LeasingHab!$C$25,Seguros_Oblig!$A$3:$D$55,4,FALSE))))</f>
        <v>#VALUE!</v>
      </c>
      <c r="I310" s="8" t="e">
        <f>IF(LeasingHab!$C$10="TARIFA 1",(C309*(VLOOKUP(LeasingHab!$C$26,Seguros_Oblig!$A$3:$B$55,2,FALSE))),(C309*(VLOOKUP(LeasingHab!$C$26,Seguros_Oblig!$A$3:$D$55,4,FALSE))))</f>
        <v>#VALUE!</v>
      </c>
      <c r="J310" s="10">
        <f t="shared" si="27"/>
        <v>0</v>
      </c>
      <c r="K310" s="7" t="e">
        <f>IF((C309-1)&lt;$E$17,0,Seguros_Oblig!$K$2*(LeasingHab!$C$12*90%))</f>
        <v>#VALUE!</v>
      </c>
      <c r="L310" s="7" t="e">
        <f>IF(B310&gt;LeasingHab!$C$18,0,PMT(LeasingHab!$E$17,LeasingHab!$C$18,-LeasingHab!$C$15,,)-PMT(LeasingHab!$E$17,LeasingHab!$C$18,-LeasingHab!$C$22)+LeasingHab!$C$22*LeasingHab!$E$17)</f>
        <v>#VALUE!</v>
      </c>
      <c r="M310" s="9" t="e">
        <f t="shared" si="28"/>
        <v>#VALUE!</v>
      </c>
      <c r="N310" s="7" t="e">
        <f>IF((C309-1)&lt;$E$17,0,LeasingHab!$C$39)</f>
        <v>#VALUE!</v>
      </c>
      <c r="O310" s="9" t="e">
        <f t="shared" si="29"/>
        <v>#VALUE!</v>
      </c>
    </row>
    <row r="311" spans="2:15" ht="15.5" hidden="1" x14ac:dyDescent="0.35">
      <c r="B311" s="6" t="e">
        <f t="shared" si="30"/>
        <v>#VALUE!</v>
      </c>
      <c r="C311" s="7" t="e">
        <f t="shared" si="25"/>
        <v>#VALUE!</v>
      </c>
      <c r="D311" s="7" t="e">
        <f t="shared" si="26"/>
        <v>#VALUE!</v>
      </c>
      <c r="E311" s="7" t="e">
        <f>IF((C310-1)&lt;$E$17,0,C310*LeasingHab!$E$17)</f>
        <v>#VALUE!</v>
      </c>
      <c r="F311" s="8" t="e">
        <f>IF((C310-1)&lt;$E$17,"0",IF(LeasingHab!$D$27="Si",($C$19*(VLOOKUP(LeasingHab!$C$23,Seguros_Oblig!$A$3:$F$55,6,FALSE))),IF(LeasingHab!$C$10="TARIFA 1",(C310*(VLOOKUP(LeasingHab!$C$23,Seguros_Oblig!$A$3:$B$55,2,FALSE))),(C310*(VLOOKUP(LeasingHab!$C$23,Seguros_Oblig!$A$3:$D$55,4,FALSE))))))</f>
        <v>#VALUE!</v>
      </c>
      <c r="G311" s="8" t="e">
        <f>IF(LeasingHab!$C$10="TARIFA 1",(C310*(VLOOKUP(LeasingHab!$C$24,Seguros_Oblig!$A$3:$B$55,2,FALSE))),(C310*(VLOOKUP(LeasingHab!$C$24,Seguros_Oblig!$A$3:$D$55,4,FALSE))))</f>
        <v>#VALUE!</v>
      </c>
      <c r="H311" s="8" t="e">
        <f>IF(LeasingHab!$C$10="TARIFA 1",(C310*(VLOOKUP(LeasingHab!$C$25,Seguros_Oblig!$A$3:$B$55,2,FALSE))),(C310*(VLOOKUP(LeasingHab!$C$25,Seguros_Oblig!$A$3:$D$55,4,FALSE))))</f>
        <v>#VALUE!</v>
      </c>
      <c r="I311" s="8" t="e">
        <f>IF(LeasingHab!$C$10="TARIFA 1",(C310*(VLOOKUP(LeasingHab!$C$26,Seguros_Oblig!$A$3:$B$55,2,FALSE))),(C310*(VLOOKUP(LeasingHab!$C$26,Seguros_Oblig!$A$3:$D$55,4,FALSE))))</f>
        <v>#VALUE!</v>
      </c>
      <c r="J311" s="10">
        <f t="shared" si="27"/>
        <v>0</v>
      </c>
      <c r="K311" s="7" t="e">
        <f>IF((C310-1)&lt;$E$17,0,Seguros_Oblig!$K$2*(LeasingHab!$C$12*90%))</f>
        <v>#VALUE!</v>
      </c>
      <c r="L311" s="7" t="e">
        <f>IF(B311&gt;LeasingHab!$C$18,0,PMT(LeasingHab!$E$17,LeasingHab!$C$18,-LeasingHab!$C$15,,)-PMT(LeasingHab!$E$17,LeasingHab!$C$18,-LeasingHab!$C$22)+LeasingHab!$C$22*LeasingHab!$E$17)</f>
        <v>#VALUE!</v>
      </c>
      <c r="M311" s="9" t="e">
        <f t="shared" si="28"/>
        <v>#VALUE!</v>
      </c>
      <c r="N311" s="7" t="e">
        <f>IF((C310-1)&lt;$E$17,0,LeasingHab!$C$39)</f>
        <v>#VALUE!</v>
      </c>
      <c r="O311" s="9" t="e">
        <f t="shared" si="29"/>
        <v>#VALUE!</v>
      </c>
    </row>
    <row r="312" spans="2:15" ht="15.5" hidden="1" x14ac:dyDescent="0.35">
      <c r="B312" s="6" t="e">
        <f t="shared" si="30"/>
        <v>#VALUE!</v>
      </c>
      <c r="C312" s="7" t="e">
        <f t="shared" si="25"/>
        <v>#VALUE!</v>
      </c>
      <c r="D312" s="7" t="e">
        <f t="shared" si="26"/>
        <v>#VALUE!</v>
      </c>
      <c r="E312" s="7" t="e">
        <f>IF((C311-1)&lt;$E$17,0,C311*LeasingHab!$E$17)</f>
        <v>#VALUE!</v>
      </c>
      <c r="F312" s="8" t="e">
        <f>IF((C311-1)&lt;$E$17,"0",IF(LeasingHab!$D$27="Si",($C$19*(VLOOKUP(LeasingHab!$C$23,Seguros_Oblig!$A$3:$F$55,6,FALSE))),IF(LeasingHab!$C$10="TARIFA 1",(C311*(VLOOKUP(LeasingHab!$C$23,Seguros_Oblig!$A$3:$B$55,2,FALSE))),(C311*(VLOOKUP(LeasingHab!$C$23,Seguros_Oblig!$A$3:$D$55,4,FALSE))))))</f>
        <v>#VALUE!</v>
      </c>
      <c r="G312" s="8" t="e">
        <f>IF(LeasingHab!$C$10="TARIFA 1",(C311*(VLOOKUP(LeasingHab!$C$24,Seguros_Oblig!$A$3:$B$55,2,FALSE))),(C311*(VLOOKUP(LeasingHab!$C$24,Seguros_Oblig!$A$3:$D$55,4,FALSE))))</f>
        <v>#VALUE!</v>
      </c>
      <c r="H312" s="8" t="e">
        <f>IF(LeasingHab!$C$10="TARIFA 1",(C311*(VLOOKUP(LeasingHab!$C$25,Seguros_Oblig!$A$3:$B$55,2,FALSE))),(C311*(VLOOKUP(LeasingHab!$C$25,Seguros_Oblig!$A$3:$D$55,4,FALSE))))</f>
        <v>#VALUE!</v>
      </c>
      <c r="I312" s="8" t="e">
        <f>IF(LeasingHab!$C$10="TARIFA 1",(C311*(VLOOKUP(LeasingHab!$C$26,Seguros_Oblig!$A$3:$B$55,2,FALSE))),(C311*(VLOOKUP(LeasingHab!$C$26,Seguros_Oblig!$A$3:$D$55,4,FALSE))))</f>
        <v>#VALUE!</v>
      </c>
      <c r="J312" s="10">
        <f t="shared" si="27"/>
        <v>0</v>
      </c>
      <c r="K312" s="7" t="e">
        <f>IF((C311-1)&lt;$E$17,0,Seguros_Oblig!$K$2*(LeasingHab!$C$12*90%))</f>
        <v>#VALUE!</v>
      </c>
      <c r="L312" s="7" t="e">
        <f>IF(B312&gt;LeasingHab!$C$18,0,PMT(LeasingHab!$E$17,LeasingHab!$C$18,-LeasingHab!$C$15,,)-PMT(LeasingHab!$E$17,LeasingHab!$C$18,-LeasingHab!$C$22)+LeasingHab!$C$22*LeasingHab!$E$17)</f>
        <v>#VALUE!</v>
      </c>
      <c r="M312" s="9" t="e">
        <f t="shared" si="28"/>
        <v>#VALUE!</v>
      </c>
      <c r="N312" s="7" t="e">
        <f>IF((C311-1)&lt;$E$17,0,LeasingHab!$C$39)</f>
        <v>#VALUE!</v>
      </c>
      <c r="O312" s="9" t="e">
        <f t="shared" si="29"/>
        <v>#VALUE!</v>
      </c>
    </row>
    <row r="313" spans="2:15" ht="15.5" hidden="1" x14ac:dyDescent="0.35">
      <c r="B313" s="6" t="e">
        <f t="shared" si="30"/>
        <v>#VALUE!</v>
      </c>
      <c r="C313" s="7" t="e">
        <f t="shared" si="25"/>
        <v>#VALUE!</v>
      </c>
      <c r="D313" s="7" t="e">
        <f t="shared" si="26"/>
        <v>#VALUE!</v>
      </c>
      <c r="E313" s="7" t="e">
        <f>IF((C312-1)&lt;$E$17,0,C312*LeasingHab!$E$17)</f>
        <v>#VALUE!</v>
      </c>
      <c r="F313" s="8" t="e">
        <f>IF((C312-1)&lt;$E$17,"0",IF(LeasingHab!$D$27="Si",($C$19*(VLOOKUP(LeasingHab!$C$23,Seguros_Oblig!$A$3:$F$55,6,FALSE))),IF(LeasingHab!$C$10="TARIFA 1",(C312*(VLOOKUP(LeasingHab!$C$23,Seguros_Oblig!$A$3:$B$55,2,FALSE))),(C312*(VLOOKUP(LeasingHab!$C$23,Seguros_Oblig!$A$3:$D$55,4,FALSE))))))</f>
        <v>#VALUE!</v>
      </c>
      <c r="G313" s="8" t="e">
        <f>IF(LeasingHab!$C$10="TARIFA 1",(C312*(VLOOKUP(LeasingHab!$C$24,Seguros_Oblig!$A$3:$B$55,2,FALSE))),(C312*(VLOOKUP(LeasingHab!$C$24,Seguros_Oblig!$A$3:$D$55,4,FALSE))))</f>
        <v>#VALUE!</v>
      </c>
      <c r="H313" s="8" t="e">
        <f>IF(LeasingHab!$C$10="TARIFA 1",(C312*(VLOOKUP(LeasingHab!$C$25,Seguros_Oblig!$A$3:$B$55,2,FALSE))),(C312*(VLOOKUP(LeasingHab!$C$25,Seguros_Oblig!$A$3:$D$55,4,FALSE))))</f>
        <v>#VALUE!</v>
      </c>
      <c r="I313" s="8" t="e">
        <f>IF(LeasingHab!$C$10="TARIFA 1",(C312*(VLOOKUP(LeasingHab!$C$26,Seguros_Oblig!$A$3:$B$55,2,FALSE))),(C312*(VLOOKUP(LeasingHab!$C$26,Seguros_Oblig!$A$3:$D$55,4,FALSE))))</f>
        <v>#VALUE!</v>
      </c>
      <c r="J313" s="10">
        <f t="shared" si="27"/>
        <v>0</v>
      </c>
      <c r="K313" s="7" t="e">
        <f>IF((C312-1)&lt;$E$17,0,Seguros_Oblig!$K$2*(LeasingHab!$C$12*90%))</f>
        <v>#VALUE!</v>
      </c>
      <c r="L313" s="7" t="e">
        <f>IF(B313&gt;LeasingHab!$C$18,0,PMT(LeasingHab!$E$17,LeasingHab!$C$18,-LeasingHab!$C$15,,)-PMT(LeasingHab!$E$17,LeasingHab!$C$18,-LeasingHab!$C$22)+LeasingHab!$C$22*LeasingHab!$E$17)</f>
        <v>#VALUE!</v>
      </c>
      <c r="M313" s="9" t="e">
        <f t="shared" si="28"/>
        <v>#VALUE!</v>
      </c>
      <c r="N313" s="7" t="e">
        <f>IF((C312-1)&lt;$E$17,0,LeasingHab!$C$39)</f>
        <v>#VALUE!</v>
      </c>
      <c r="O313" s="9" t="e">
        <f t="shared" si="29"/>
        <v>#VALUE!</v>
      </c>
    </row>
    <row r="314" spans="2:15" ht="15.5" hidden="1" x14ac:dyDescent="0.35">
      <c r="B314" s="6" t="e">
        <f t="shared" si="30"/>
        <v>#VALUE!</v>
      </c>
      <c r="C314" s="7" t="e">
        <f t="shared" si="25"/>
        <v>#VALUE!</v>
      </c>
      <c r="D314" s="7" t="e">
        <f t="shared" si="26"/>
        <v>#VALUE!</v>
      </c>
      <c r="E314" s="7" t="e">
        <f>IF((C313-1)&lt;$E$17,0,C313*LeasingHab!$E$17)</f>
        <v>#VALUE!</v>
      </c>
      <c r="F314" s="8" t="e">
        <f>IF((C313-1)&lt;$E$17,"0",IF(LeasingHab!$D$27="Si",($C$19*(VLOOKUP(LeasingHab!$C$23,Seguros_Oblig!$A$3:$F$55,6,FALSE))),IF(LeasingHab!$C$10="TARIFA 1",(C313*(VLOOKUP(LeasingHab!$C$23,Seguros_Oblig!$A$3:$B$55,2,FALSE))),(C313*(VLOOKUP(LeasingHab!$C$23,Seguros_Oblig!$A$3:$D$55,4,FALSE))))))</f>
        <v>#VALUE!</v>
      </c>
      <c r="G314" s="8" t="e">
        <f>IF(LeasingHab!$C$10="TARIFA 1",(C313*(VLOOKUP(LeasingHab!$C$24,Seguros_Oblig!$A$3:$B$55,2,FALSE))),(C313*(VLOOKUP(LeasingHab!$C$24,Seguros_Oblig!$A$3:$D$55,4,FALSE))))</f>
        <v>#VALUE!</v>
      </c>
      <c r="H314" s="8" t="e">
        <f>IF(LeasingHab!$C$10="TARIFA 1",(C313*(VLOOKUP(LeasingHab!$C$25,Seguros_Oblig!$A$3:$B$55,2,FALSE))),(C313*(VLOOKUP(LeasingHab!$C$25,Seguros_Oblig!$A$3:$D$55,4,FALSE))))</f>
        <v>#VALUE!</v>
      </c>
      <c r="I314" s="8" t="e">
        <f>IF(LeasingHab!$C$10="TARIFA 1",(C313*(VLOOKUP(LeasingHab!$C$26,Seguros_Oblig!$A$3:$B$55,2,FALSE))),(C313*(VLOOKUP(LeasingHab!$C$26,Seguros_Oblig!$A$3:$D$55,4,FALSE))))</f>
        <v>#VALUE!</v>
      </c>
      <c r="J314" s="10">
        <f t="shared" si="27"/>
        <v>0</v>
      </c>
      <c r="K314" s="7" t="e">
        <f>IF((C313-1)&lt;$E$17,0,Seguros_Oblig!$K$2*(LeasingHab!$C$12*90%))</f>
        <v>#VALUE!</v>
      </c>
      <c r="L314" s="7" t="e">
        <f>IF(B314&gt;LeasingHab!$C$18,0,PMT(LeasingHab!$E$17,LeasingHab!$C$18,-LeasingHab!$C$15,,)-PMT(LeasingHab!$E$17,LeasingHab!$C$18,-LeasingHab!$C$22)+LeasingHab!$C$22*LeasingHab!$E$17)</f>
        <v>#VALUE!</v>
      </c>
      <c r="M314" s="9" t="e">
        <f t="shared" si="28"/>
        <v>#VALUE!</v>
      </c>
      <c r="N314" s="7" t="e">
        <f>IF((C313-1)&lt;$E$17,0,LeasingHab!$C$39)</f>
        <v>#VALUE!</v>
      </c>
      <c r="O314" s="9" t="e">
        <f t="shared" si="29"/>
        <v>#VALUE!</v>
      </c>
    </row>
    <row r="315" spans="2:15" ht="15.5" hidden="1" x14ac:dyDescent="0.35">
      <c r="B315" s="6" t="e">
        <f t="shared" si="30"/>
        <v>#VALUE!</v>
      </c>
      <c r="C315" s="7" t="e">
        <f t="shared" si="25"/>
        <v>#VALUE!</v>
      </c>
      <c r="D315" s="7" t="e">
        <f t="shared" si="26"/>
        <v>#VALUE!</v>
      </c>
      <c r="E315" s="7" t="e">
        <f>IF((C314-1)&lt;$E$17,0,C314*LeasingHab!$E$17)</f>
        <v>#VALUE!</v>
      </c>
      <c r="F315" s="8" t="e">
        <f>IF((C314-1)&lt;$E$17,"0",IF(LeasingHab!$D$27="Si",($C$19*(VLOOKUP(LeasingHab!$C$23,Seguros_Oblig!$A$3:$F$55,6,FALSE))),IF(LeasingHab!$C$10="TARIFA 1",(C314*(VLOOKUP(LeasingHab!$C$23,Seguros_Oblig!$A$3:$B$55,2,FALSE))),(C314*(VLOOKUP(LeasingHab!$C$23,Seguros_Oblig!$A$3:$D$55,4,FALSE))))))</f>
        <v>#VALUE!</v>
      </c>
      <c r="G315" s="8" t="e">
        <f>IF(LeasingHab!$C$10="TARIFA 1",(C314*(VLOOKUP(LeasingHab!$C$24,Seguros_Oblig!$A$3:$B$55,2,FALSE))),(C314*(VLOOKUP(LeasingHab!$C$24,Seguros_Oblig!$A$3:$D$55,4,FALSE))))</f>
        <v>#VALUE!</v>
      </c>
      <c r="H315" s="8" t="e">
        <f>IF(LeasingHab!$C$10="TARIFA 1",(C314*(VLOOKUP(LeasingHab!$C$25,Seguros_Oblig!$A$3:$B$55,2,FALSE))),(C314*(VLOOKUP(LeasingHab!$C$25,Seguros_Oblig!$A$3:$D$55,4,FALSE))))</f>
        <v>#VALUE!</v>
      </c>
      <c r="I315" s="8" t="e">
        <f>IF(LeasingHab!$C$10="TARIFA 1",(C314*(VLOOKUP(LeasingHab!$C$26,Seguros_Oblig!$A$3:$B$55,2,FALSE))),(C314*(VLOOKUP(LeasingHab!$C$26,Seguros_Oblig!$A$3:$D$55,4,FALSE))))</f>
        <v>#VALUE!</v>
      </c>
      <c r="J315" s="10">
        <f t="shared" si="27"/>
        <v>0</v>
      </c>
      <c r="K315" s="7" t="e">
        <f>IF((C314-1)&lt;$E$17,0,Seguros_Oblig!$K$2*(LeasingHab!$C$12*90%))</f>
        <v>#VALUE!</v>
      </c>
      <c r="L315" s="7" t="e">
        <f>IF(B315&gt;LeasingHab!$C$18,0,PMT(LeasingHab!$E$17,LeasingHab!$C$18,-LeasingHab!$C$15,,)-PMT(LeasingHab!$E$17,LeasingHab!$C$18,-LeasingHab!$C$22)+LeasingHab!$C$22*LeasingHab!$E$17)</f>
        <v>#VALUE!</v>
      </c>
      <c r="M315" s="9" t="e">
        <f t="shared" si="28"/>
        <v>#VALUE!</v>
      </c>
      <c r="N315" s="7" t="e">
        <f>IF((C314-1)&lt;$E$17,0,LeasingHab!$C$39)</f>
        <v>#VALUE!</v>
      </c>
      <c r="O315" s="9" t="e">
        <f t="shared" si="29"/>
        <v>#VALUE!</v>
      </c>
    </row>
    <row r="316" spans="2:15" ht="15.5" hidden="1" x14ac:dyDescent="0.35">
      <c r="B316" s="6" t="e">
        <f t="shared" si="30"/>
        <v>#VALUE!</v>
      </c>
      <c r="C316" s="7" t="e">
        <f t="shared" si="25"/>
        <v>#VALUE!</v>
      </c>
      <c r="D316" s="7" t="e">
        <f t="shared" si="26"/>
        <v>#VALUE!</v>
      </c>
      <c r="E316" s="7" t="e">
        <f>IF((C315-1)&lt;$E$17,0,C315*LeasingHab!$E$17)</f>
        <v>#VALUE!</v>
      </c>
      <c r="F316" s="8" t="e">
        <f>IF((C315-1)&lt;$E$17,"0",IF(LeasingHab!$D$27="Si",($C$19*(VLOOKUP(LeasingHab!$C$23,Seguros_Oblig!$A$3:$F$55,6,FALSE))),IF(LeasingHab!$C$10="TARIFA 1",(C315*(VLOOKUP(LeasingHab!$C$23,Seguros_Oblig!$A$3:$B$55,2,FALSE))),(C315*(VLOOKUP(LeasingHab!$C$23,Seguros_Oblig!$A$3:$D$55,4,FALSE))))))</f>
        <v>#VALUE!</v>
      </c>
      <c r="G316" s="8" t="e">
        <f>IF(LeasingHab!$C$10="TARIFA 1",(C315*(VLOOKUP(LeasingHab!$C$24,Seguros_Oblig!$A$3:$B$55,2,FALSE))),(C315*(VLOOKUP(LeasingHab!$C$24,Seguros_Oblig!$A$3:$D$55,4,FALSE))))</f>
        <v>#VALUE!</v>
      </c>
      <c r="H316" s="8" t="e">
        <f>IF(LeasingHab!$C$10="TARIFA 1",(C315*(VLOOKUP(LeasingHab!$C$25,Seguros_Oblig!$A$3:$B$55,2,FALSE))),(C315*(VLOOKUP(LeasingHab!$C$25,Seguros_Oblig!$A$3:$D$55,4,FALSE))))</f>
        <v>#VALUE!</v>
      </c>
      <c r="I316" s="8" t="e">
        <f>IF(LeasingHab!$C$10="TARIFA 1",(C315*(VLOOKUP(LeasingHab!$C$26,Seguros_Oblig!$A$3:$B$55,2,FALSE))),(C315*(VLOOKUP(LeasingHab!$C$26,Seguros_Oblig!$A$3:$D$55,4,FALSE))))</f>
        <v>#VALUE!</v>
      </c>
      <c r="J316" s="10">
        <f t="shared" si="27"/>
        <v>0</v>
      </c>
      <c r="K316" s="7" t="e">
        <f>IF((C315-1)&lt;$E$17,0,Seguros_Oblig!$K$2*(LeasingHab!$C$12*90%))</f>
        <v>#VALUE!</v>
      </c>
      <c r="L316" s="7" t="e">
        <f>IF(B316&gt;LeasingHab!$C$18,0,PMT(LeasingHab!$E$17,LeasingHab!$C$18,-LeasingHab!$C$15,,)-PMT(LeasingHab!$E$17,LeasingHab!$C$18,-LeasingHab!$C$22)+LeasingHab!$C$22*LeasingHab!$E$17)</f>
        <v>#VALUE!</v>
      </c>
      <c r="M316" s="9" t="e">
        <f t="shared" si="28"/>
        <v>#VALUE!</v>
      </c>
      <c r="N316" s="7" t="e">
        <f>IF((C315-1)&lt;$E$17,0,LeasingHab!$C$39)</f>
        <v>#VALUE!</v>
      </c>
      <c r="O316" s="9" t="e">
        <f t="shared" si="29"/>
        <v>#VALUE!</v>
      </c>
    </row>
    <row r="317" spans="2:15" ht="15.5" hidden="1" x14ac:dyDescent="0.35">
      <c r="B317" s="6" t="e">
        <f t="shared" si="30"/>
        <v>#VALUE!</v>
      </c>
      <c r="C317" s="7" t="e">
        <f t="shared" si="25"/>
        <v>#VALUE!</v>
      </c>
      <c r="D317" s="7" t="e">
        <f t="shared" si="26"/>
        <v>#VALUE!</v>
      </c>
      <c r="E317" s="7" t="e">
        <f>IF((C316-1)&lt;$E$17,0,C316*LeasingHab!$E$17)</f>
        <v>#VALUE!</v>
      </c>
      <c r="F317" s="8" t="e">
        <f>IF((C316-1)&lt;$E$17,"0",IF(LeasingHab!$D$27="Si",($C$19*(VLOOKUP(LeasingHab!$C$23,Seguros_Oblig!$A$3:$F$55,6,FALSE))),IF(LeasingHab!$C$10="TARIFA 1",(C316*(VLOOKUP(LeasingHab!$C$23,Seguros_Oblig!$A$3:$B$55,2,FALSE))),(C316*(VLOOKUP(LeasingHab!$C$23,Seguros_Oblig!$A$3:$D$55,4,FALSE))))))</f>
        <v>#VALUE!</v>
      </c>
      <c r="G317" s="8" t="e">
        <f>IF(LeasingHab!$C$10="TARIFA 1",(C316*(VLOOKUP(LeasingHab!$C$24,Seguros_Oblig!$A$3:$B$55,2,FALSE))),(C316*(VLOOKUP(LeasingHab!$C$24,Seguros_Oblig!$A$3:$D$55,4,FALSE))))</f>
        <v>#VALUE!</v>
      </c>
      <c r="H317" s="8" t="e">
        <f>IF(LeasingHab!$C$10="TARIFA 1",(C316*(VLOOKUP(LeasingHab!$C$25,Seguros_Oblig!$A$3:$B$55,2,FALSE))),(C316*(VLOOKUP(LeasingHab!$C$25,Seguros_Oblig!$A$3:$D$55,4,FALSE))))</f>
        <v>#VALUE!</v>
      </c>
      <c r="I317" s="8" t="e">
        <f>IF(LeasingHab!$C$10="TARIFA 1",(C316*(VLOOKUP(LeasingHab!$C$26,Seguros_Oblig!$A$3:$B$55,2,FALSE))),(C316*(VLOOKUP(LeasingHab!$C$26,Seguros_Oblig!$A$3:$D$55,4,FALSE))))</f>
        <v>#VALUE!</v>
      </c>
      <c r="J317" s="10">
        <f t="shared" si="27"/>
        <v>0</v>
      </c>
      <c r="K317" s="7" t="e">
        <f>IF((C316-1)&lt;$E$17,0,Seguros_Oblig!$K$2*(LeasingHab!$C$12*90%))</f>
        <v>#VALUE!</v>
      </c>
      <c r="L317" s="7" t="e">
        <f>IF(B317&gt;LeasingHab!$C$18,0,PMT(LeasingHab!$E$17,LeasingHab!$C$18,-LeasingHab!$C$15,,)-PMT(LeasingHab!$E$17,LeasingHab!$C$18,-LeasingHab!$C$22)+LeasingHab!$C$22*LeasingHab!$E$17)</f>
        <v>#VALUE!</v>
      </c>
      <c r="M317" s="9" t="e">
        <f t="shared" si="28"/>
        <v>#VALUE!</v>
      </c>
      <c r="N317" s="7" t="e">
        <f>IF((C316-1)&lt;$E$17,0,LeasingHab!$C$39)</f>
        <v>#VALUE!</v>
      </c>
      <c r="O317" s="9" t="e">
        <f t="shared" si="29"/>
        <v>#VALUE!</v>
      </c>
    </row>
    <row r="318" spans="2:15" ht="15.5" hidden="1" x14ac:dyDescent="0.35">
      <c r="B318" s="6" t="e">
        <f t="shared" si="30"/>
        <v>#VALUE!</v>
      </c>
      <c r="C318" s="7" t="e">
        <f t="shared" si="25"/>
        <v>#VALUE!</v>
      </c>
      <c r="D318" s="7" t="e">
        <f t="shared" si="26"/>
        <v>#VALUE!</v>
      </c>
      <c r="E318" s="7" t="e">
        <f>IF((C317-1)&lt;$E$17,0,C317*LeasingHab!$E$17)</f>
        <v>#VALUE!</v>
      </c>
      <c r="F318" s="8" t="e">
        <f>IF((C317-1)&lt;$E$17,"0",IF(LeasingHab!$D$27="Si",($C$19*(VLOOKUP(LeasingHab!$C$23,Seguros_Oblig!$A$3:$F$55,6,FALSE))),IF(LeasingHab!$C$10="TARIFA 1",(C317*(VLOOKUP(LeasingHab!$C$23,Seguros_Oblig!$A$3:$B$55,2,FALSE))),(C317*(VLOOKUP(LeasingHab!$C$23,Seguros_Oblig!$A$3:$D$55,4,FALSE))))))</f>
        <v>#VALUE!</v>
      </c>
      <c r="G318" s="8" t="e">
        <f>IF(LeasingHab!$C$10="TARIFA 1",(C317*(VLOOKUP(LeasingHab!$C$24,Seguros_Oblig!$A$3:$B$55,2,FALSE))),(C317*(VLOOKUP(LeasingHab!$C$24,Seguros_Oblig!$A$3:$D$55,4,FALSE))))</f>
        <v>#VALUE!</v>
      </c>
      <c r="H318" s="8" t="e">
        <f>IF(LeasingHab!$C$10="TARIFA 1",(C317*(VLOOKUP(LeasingHab!$C$25,Seguros_Oblig!$A$3:$B$55,2,FALSE))),(C317*(VLOOKUP(LeasingHab!$C$25,Seguros_Oblig!$A$3:$D$55,4,FALSE))))</f>
        <v>#VALUE!</v>
      </c>
      <c r="I318" s="8" t="e">
        <f>IF(LeasingHab!$C$10="TARIFA 1",(C317*(VLOOKUP(LeasingHab!$C$26,Seguros_Oblig!$A$3:$B$55,2,FALSE))),(C317*(VLOOKUP(LeasingHab!$C$26,Seguros_Oblig!$A$3:$D$55,4,FALSE))))</f>
        <v>#VALUE!</v>
      </c>
      <c r="J318" s="10">
        <f t="shared" si="27"/>
        <v>0</v>
      </c>
      <c r="K318" s="7" t="e">
        <f>IF((C317-1)&lt;$E$17,0,Seguros_Oblig!$K$2*(LeasingHab!$C$12*90%))</f>
        <v>#VALUE!</v>
      </c>
      <c r="L318" s="7" t="e">
        <f>IF(B318&gt;LeasingHab!$C$18,0,PMT(LeasingHab!$E$17,LeasingHab!$C$18,-LeasingHab!$C$15,,)-PMT(LeasingHab!$E$17,LeasingHab!$C$18,-LeasingHab!$C$22)+LeasingHab!$C$22*LeasingHab!$E$17)</f>
        <v>#VALUE!</v>
      </c>
      <c r="M318" s="9" t="e">
        <f t="shared" si="28"/>
        <v>#VALUE!</v>
      </c>
      <c r="N318" s="7" t="e">
        <f>IF((C317-1)&lt;$E$17,0,LeasingHab!$C$39)</f>
        <v>#VALUE!</v>
      </c>
      <c r="O318" s="9" t="e">
        <f t="shared" si="29"/>
        <v>#VALUE!</v>
      </c>
    </row>
    <row r="319" spans="2:15" ht="15.5" hidden="1" x14ac:dyDescent="0.35">
      <c r="B319" s="6" t="e">
        <f t="shared" si="30"/>
        <v>#VALUE!</v>
      </c>
      <c r="C319" s="7" t="e">
        <f t="shared" si="25"/>
        <v>#VALUE!</v>
      </c>
      <c r="D319" s="7" t="e">
        <f t="shared" si="26"/>
        <v>#VALUE!</v>
      </c>
      <c r="E319" s="7" t="e">
        <f>IF((C318-1)&lt;$E$17,0,C318*LeasingHab!$E$17)</f>
        <v>#VALUE!</v>
      </c>
      <c r="F319" s="8" t="e">
        <f>IF((C318-1)&lt;$E$17,"0",IF(LeasingHab!$D$27="Si",($C$19*(VLOOKUP(LeasingHab!$C$23,Seguros_Oblig!$A$3:$F$55,6,FALSE))),IF(LeasingHab!$C$10="TARIFA 1",(C318*(VLOOKUP(LeasingHab!$C$23,Seguros_Oblig!$A$3:$B$55,2,FALSE))),(C318*(VLOOKUP(LeasingHab!$C$23,Seguros_Oblig!$A$3:$D$55,4,FALSE))))))</f>
        <v>#VALUE!</v>
      </c>
      <c r="G319" s="8" t="e">
        <f>IF(LeasingHab!$C$10="TARIFA 1",(C318*(VLOOKUP(LeasingHab!$C$24,Seguros_Oblig!$A$3:$B$55,2,FALSE))),(C318*(VLOOKUP(LeasingHab!$C$24,Seguros_Oblig!$A$3:$D$55,4,FALSE))))</f>
        <v>#VALUE!</v>
      </c>
      <c r="H319" s="8" t="e">
        <f>IF(LeasingHab!$C$10="TARIFA 1",(C318*(VLOOKUP(LeasingHab!$C$25,Seguros_Oblig!$A$3:$B$55,2,FALSE))),(C318*(VLOOKUP(LeasingHab!$C$25,Seguros_Oblig!$A$3:$D$55,4,FALSE))))</f>
        <v>#VALUE!</v>
      </c>
      <c r="I319" s="8" t="e">
        <f>IF(LeasingHab!$C$10="TARIFA 1",(C318*(VLOOKUP(LeasingHab!$C$26,Seguros_Oblig!$A$3:$B$55,2,FALSE))),(C318*(VLOOKUP(LeasingHab!$C$26,Seguros_Oblig!$A$3:$D$55,4,FALSE))))</f>
        <v>#VALUE!</v>
      </c>
      <c r="J319" s="10">
        <f t="shared" si="27"/>
        <v>0</v>
      </c>
      <c r="K319" s="7" t="e">
        <f>IF((C318-1)&lt;$E$17,0,Seguros_Oblig!$K$2*(LeasingHab!$C$12*90%))</f>
        <v>#VALUE!</v>
      </c>
      <c r="L319" s="7" t="e">
        <f>IF(B319&gt;LeasingHab!$C$18,0,PMT(LeasingHab!$E$17,LeasingHab!$C$18,-LeasingHab!$C$15,,)-PMT(LeasingHab!$E$17,LeasingHab!$C$18,-LeasingHab!$C$22)+LeasingHab!$C$22*LeasingHab!$E$17)</f>
        <v>#VALUE!</v>
      </c>
      <c r="M319" s="9" t="e">
        <f t="shared" si="28"/>
        <v>#VALUE!</v>
      </c>
      <c r="N319" s="7" t="e">
        <f>IF((C318-1)&lt;$E$17,0,LeasingHab!$C$39)</f>
        <v>#VALUE!</v>
      </c>
      <c r="O319" s="9" t="e">
        <f t="shared" si="29"/>
        <v>#VALUE!</v>
      </c>
    </row>
    <row r="320" spans="2:15" ht="15.5" hidden="1" x14ac:dyDescent="0.35">
      <c r="B320" s="6" t="e">
        <f t="shared" si="30"/>
        <v>#VALUE!</v>
      </c>
      <c r="C320" s="7" t="e">
        <f t="shared" si="25"/>
        <v>#VALUE!</v>
      </c>
      <c r="D320" s="7" t="e">
        <f t="shared" si="26"/>
        <v>#VALUE!</v>
      </c>
      <c r="E320" s="7" t="e">
        <f>IF((C319-1)&lt;$E$17,0,C319*LeasingHab!$E$17)</f>
        <v>#VALUE!</v>
      </c>
      <c r="F320" s="8" t="e">
        <f>IF((C319-1)&lt;$E$17,"0",IF(LeasingHab!$D$27="Si",($C$19*(VLOOKUP(LeasingHab!$C$23,Seguros_Oblig!$A$3:$F$55,6,FALSE))),IF(LeasingHab!$C$10="TARIFA 1",(C319*(VLOOKUP(LeasingHab!$C$23,Seguros_Oblig!$A$3:$B$55,2,FALSE))),(C319*(VLOOKUP(LeasingHab!$C$23,Seguros_Oblig!$A$3:$D$55,4,FALSE))))))</f>
        <v>#VALUE!</v>
      </c>
      <c r="G320" s="8" t="e">
        <f>IF(LeasingHab!$C$10="TARIFA 1",(C319*(VLOOKUP(LeasingHab!$C$24,Seguros_Oblig!$A$3:$B$55,2,FALSE))),(C319*(VLOOKUP(LeasingHab!$C$24,Seguros_Oblig!$A$3:$D$55,4,FALSE))))</f>
        <v>#VALUE!</v>
      </c>
      <c r="H320" s="8" t="e">
        <f>IF(LeasingHab!$C$10="TARIFA 1",(C319*(VLOOKUP(LeasingHab!$C$25,Seguros_Oblig!$A$3:$B$55,2,FALSE))),(C319*(VLOOKUP(LeasingHab!$C$25,Seguros_Oblig!$A$3:$D$55,4,FALSE))))</f>
        <v>#VALUE!</v>
      </c>
      <c r="I320" s="8" t="e">
        <f>IF(LeasingHab!$C$10="TARIFA 1",(C319*(VLOOKUP(LeasingHab!$C$26,Seguros_Oblig!$A$3:$B$55,2,FALSE))),(C319*(VLOOKUP(LeasingHab!$C$26,Seguros_Oblig!$A$3:$D$55,4,FALSE))))</f>
        <v>#VALUE!</v>
      </c>
      <c r="J320" s="10">
        <f t="shared" si="27"/>
        <v>0</v>
      </c>
      <c r="K320" s="7" t="e">
        <f>IF((C319-1)&lt;$E$17,0,Seguros_Oblig!$K$2*(LeasingHab!$C$12*90%))</f>
        <v>#VALUE!</v>
      </c>
      <c r="L320" s="7" t="e">
        <f>IF(B320&gt;LeasingHab!$C$18,0,PMT(LeasingHab!$E$17,LeasingHab!$C$18,-LeasingHab!$C$15,,)-PMT(LeasingHab!$E$17,LeasingHab!$C$18,-LeasingHab!$C$22)+LeasingHab!$C$22*LeasingHab!$E$17)</f>
        <v>#VALUE!</v>
      </c>
      <c r="M320" s="9" t="e">
        <f t="shared" si="28"/>
        <v>#VALUE!</v>
      </c>
      <c r="N320" s="7" t="e">
        <f>IF((C319-1)&lt;$E$17,0,LeasingHab!$C$39)</f>
        <v>#VALUE!</v>
      </c>
      <c r="O320" s="9" t="e">
        <f t="shared" si="29"/>
        <v>#VALUE!</v>
      </c>
    </row>
    <row r="321" spans="2:15" ht="15.5" hidden="1" x14ac:dyDescent="0.35">
      <c r="B321" s="6" t="e">
        <f t="shared" si="30"/>
        <v>#VALUE!</v>
      </c>
      <c r="C321" s="7" t="e">
        <f t="shared" si="25"/>
        <v>#VALUE!</v>
      </c>
      <c r="D321" s="7" t="e">
        <f t="shared" si="26"/>
        <v>#VALUE!</v>
      </c>
      <c r="E321" s="7" t="e">
        <f>IF((C320-1)&lt;$E$17,0,C320*LeasingHab!$E$17)</f>
        <v>#VALUE!</v>
      </c>
      <c r="F321" s="8" t="e">
        <f>IF((C320-1)&lt;$E$17,"0",IF(LeasingHab!$D$27="Si",($C$19*(VLOOKUP(LeasingHab!$C$23,Seguros_Oblig!$A$3:$F$55,6,FALSE))),IF(LeasingHab!$C$10="TARIFA 1",(C320*(VLOOKUP(LeasingHab!$C$23,Seguros_Oblig!$A$3:$B$55,2,FALSE))),(C320*(VLOOKUP(LeasingHab!$C$23,Seguros_Oblig!$A$3:$D$55,4,FALSE))))))</f>
        <v>#VALUE!</v>
      </c>
      <c r="G321" s="8" t="e">
        <f>IF(LeasingHab!$C$10="TARIFA 1",(C320*(VLOOKUP(LeasingHab!$C$24,Seguros_Oblig!$A$3:$B$55,2,FALSE))),(C320*(VLOOKUP(LeasingHab!$C$24,Seguros_Oblig!$A$3:$D$55,4,FALSE))))</f>
        <v>#VALUE!</v>
      </c>
      <c r="H321" s="8" t="e">
        <f>IF(LeasingHab!$C$10="TARIFA 1",(C320*(VLOOKUP(LeasingHab!$C$25,Seguros_Oblig!$A$3:$B$55,2,FALSE))),(C320*(VLOOKUP(LeasingHab!$C$25,Seguros_Oblig!$A$3:$D$55,4,FALSE))))</f>
        <v>#VALUE!</v>
      </c>
      <c r="I321" s="8" t="e">
        <f>IF(LeasingHab!$C$10="TARIFA 1",(C320*(VLOOKUP(LeasingHab!$C$26,Seguros_Oblig!$A$3:$B$55,2,FALSE))),(C320*(VLOOKUP(LeasingHab!$C$26,Seguros_Oblig!$A$3:$D$55,4,FALSE))))</f>
        <v>#VALUE!</v>
      </c>
      <c r="J321" s="10">
        <f t="shared" si="27"/>
        <v>0</v>
      </c>
      <c r="K321" s="7" t="e">
        <f>IF((C320-1)&lt;$E$17,0,Seguros_Oblig!$K$2*(LeasingHab!$C$12*90%))</f>
        <v>#VALUE!</v>
      </c>
      <c r="L321" s="7" t="e">
        <f>IF(B321&gt;LeasingHab!$C$18,0,PMT(LeasingHab!$E$17,LeasingHab!$C$18,-LeasingHab!$C$15,,)-PMT(LeasingHab!$E$17,LeasingHab!$C$18,-LeasingHab!$C$22)+LeasingHab!$C$22*LeasingHab!$E$17)</f>
        <v>#VALUE!</v>
      </c>
      <c r="M321" s="9" t="e">
        <f t="shared" si="28"/>
        <v>#VALUE!</v>
      </c>
      <c r="N321" s="7" t="e">
        <f>IF((C320-1)&lt;$E$17,0,LeasingHab!$C$39)</f>
        <v>#VALUE!</v>
      </c>
      <c r="O321" s="9" t="e">
        <f t="shared" si="29"/>
        <v>#VALUE!</v>
      </c>
    </row>
    <row r="322" spans="2:15" ht="15.5" hidden="1" x14ac:dyDescent="0.35">
      <c r="B322" s="6" t="e">
        <f t="shared" si="30"/>
        <v>#VALUE!</v>
      </c>
      <c r="C322" s="7" t="e">
        <f t="shared" si="25"/>
        <v>#VALUE!</v>
      </c>
      <c r="D322" s="7" t="e">
        <f t="shared" si="26"/>
        <v>#VALUE!</v>
      </c>
      <c r="E322" s="7" t="e">
        <f>IF((C321-1)&lt;$E$17,0,C321*LeasingHab!$E$17)</f>
        <v>#VALUE!</v>
      </c>
      <c r="F322" s="8" t="e">
        <f>IF((C321-1)&lt;$E$17,"0",IF(LeasingHab!$D$27="Si",($C$19*(VLOOKUP(LeasingHab!$C$23,Seguros_Oblig!$A$3:$F$55,6,FALSE))),IF(LeasingHab!$C$10="TARIFA 1",(C321*(VLOOKUP(LeasingHab!$C$23,Seguros_Oblig!$A$3:$B$55,2,FALSE))),(C321*(VLOOKUP(LeasingHab!$C$23,Seguros_Oblig!$A$3:$D$55,4,FALSE))))))</f>
        <v>#VALUE!</v>
      </c>
      <c r="G322" s="8" t="e">
        <f>IF(LeasingHab!$C$10="TARIFA 1",(C321*(VLOOKUP(LeasingHab!$C$24,Seguros_Oblig!$A$3:$B$55,2,FALSE))),(C321*(VLOOKUP(LeasingHab!$C$24,Seguros_Oblig!$A$3:$D$55,4,FALSE))))</f>
        <v>#VALUE!</v>
      </c>
      <c r="H322" s="8" t="e">
        <f>IF(LeasingHab!$C$10="TARIFA 1",(C321*(VLOOKUP(LeasingHab!$C$25,Seguros_Oblig!$A$3:$B$55,2,FALSE))),(C321*(VLOOKUP(LeasingHab!$C$25,Seguros_Oblig!$A$3:$D$55,4,FALSE))))</f>
        <v>#VALUE!</v>
      </c>
      <c r="I322" s="8" t="e">
        <f>IF(LeasingHab!$C$10="TARIFA 1",(C321*(VLOOKUP(LeasingHab!$C$26,Seguros_Oblig!$A$3:$B$55,2,FALSE))),(C321*(VLOOKUP(LeasingHab!$C$26,Seguros_Oblig!$A$3:$D$55,4,FALSE))))</f>
        <v>#VALUE!</v>
      </c>
      <c r="J322" s="10">
        <f t="shared" si="27"/>
        <v>0</v>
      </c>
      <c r="K322" s="7" t="e">
        <f>IF((C321-1)&lt;$E$17,0,Seguros_Oblig!$K$2*(LeasingHab!$C$12*90%))</f>
        <v>#VALUE!</v>
      </c>
      <c r="L322" s="7" t="e">
        <f>IF(B322&gt;LeasingHab!$C$18,0,PMT(LeasingHab!$E$17,LeasingHab!$C$18,-LeasingHab!$C$15,,)-PMT(LeasingHab!$E$17,LeasingHab!$C$18,-LeasingHab!$C$22)+LeasingHab!$C$22*LeasingHab!$E$17)</f>
        <v>#VALUE!</v>
      </c>
      <c r="M322" s="9" t="e">
        <f t="shared" si="28"/>
        <v>#VALUE!</v>
      </c>
      <c r="N322" s="7" t="e">
        <f>IF((C321-1)&lt;$E$17,0,LeasingHab!$C$39)</f>
        <v>#VALUE!</v>
      </c>
      <c r="O322" s="9" t="e">
        <f t="shared" si="29"/>
        <v>#VALUE!</v>
      </c>
    </row>
    <row r="323" spans="2:15" ht="15.5" hidden="1" x14ac:dyDescent="0.35">
      <c r="B323" s="6" t="e">
        <f t="shared" si="30"/>
        <v>#VALUE!</v>
      </c>
      <c r="C323" s="7" t="e">
        <f t="shared" si="25"/>
        <v>#VALUE!</v>
      </c>
      <c r="D323" s="7" t="e">
        <f t="shared" si="26"/>
        <v>#VALUE!</v>
      </c>
      <c r="E323" s="7" t="e">
        <f>IF((C322-1)&lt;$E$17,0,C322*LeasingHab!$E$17)</f>
        <v>#VALUE!</v>
      </c>
      <c r="F323" s="8" t="e">
        <f>IF((C322-1)&lt;$E$17,"0",IF(LeasingHab!$D$27="Si",($C$19*(VLOOKUP(LeasingHab!$C$23,Seguros_Oblig!$A$3:$F$55,6,FALSE))),IF(LeasingHab!$C$10="TARIFA 1",(C322*(VLOOKUP(LeasingHab!$C$23,Seguros_Oblig!$A$3:$B$55,2,FALSE))),(C322*(VLOOKUP(LeasingHab!$C$23,Seguros_Oblig!$A$3:$D$55,4,FALSE))))))</f>
        <v>#VALUE!</v>
      </c>
      <c r="G323" s="8" t="e">
        <f>IF(LeasingHab!$C$10="TARIFA 1",(C322*(VLOOKUP(LeasingHab!$C$24,Seguros_Oblig!$A$3:$B$55,2,FALSE))),(C322*(VLOOKUP(LeasingHab!$C$24,Seguros_Oblig!$A$3:$D$55,4,FALSE))))</f>
        <v>#VALUE!</v>
      </c>
      <c r="H323" s="8" t="e">
        <f>IF(LeasingHab!$C$10="TARIFA 1",(C322*(VLOOKUP(LeasingHab!$C$25,Seguros_Oblig!$A$3:$B$55,2,FALSE))),(C322*(VLOOKUP(LeasingHab!$C$25,Seguros_Oblig!$A$3:$D$55,4,FALSE))))</f>
        <v>#VALUE!</v>
      </c>
      <c r="I323" s="8" t="e">
        <f>IF(LeasingHab!$C$10="TARIFA 1",(C322*(VLOOKUP(LeasingHab!$C$26,Seguros_Oblig!$A$3:$B$55,2,FALSE))),(C322*(VLOOKUP(LeasingHab!$C$26,Seguros_Oblig!$A$3:$D$55,4,FALSE))))</f>
        <v>#VALUE!</v>
      </c>
      <c r="J323" s="10">
        <f t="shared" si="27"/>
        <v>0</v>
      </c>
      <c r="K323" s="7" t="e">
        <f>IF((C322-1)&lt;$E$17,0,Seguros_Oblig!$K$2*(LeasingHab!$C$12*90%))</f>
        <v>#VALUE!</v>
      </c>
      <c r="L323" s="7" t="e">
        <f>IF(B323&gt;LeasingHab!$C$18,0,PMT(LeasingHab!$E$17,LeasingHab!$C$18,-LeasingHab!$C$15,,)-PMT(LeasingHab!$E$17,LeasingHab!$C$18,-LeasingHab!$C$22)+LeasingHab!$C$22*LeasingHab!$E$17)</f>
        <v>#VALUE!</v>
      </c>
      <c r="M323" s="9" t="e">
        <f t="shared" si="28"/>
        <v>#VALUE!</v>
      </c>
      <c r="N323" s="7" t="e">
        <f>IF((C322-1)&lt;$E$17,0,LeasingHab!$C$39)</f>
        <v>#VALUE!</v>
      </c>
      <c r="O323" s="9" t="e">
        <f t="shared" si="29"/>
        <v>#VALUE!</v>
      </c>
    </row>
    <row r="324" spans="2:15" ht="15.5" hidden="1" x14ac:dyDescent="0.35">
      <c r="B324" s="6" t="e">
        <f t="shared" si="30"/>
        <v>#VALUE!</v>
      </c>
      <c r="C324" s="7" t="e">
        <f t="shared" si="25"/>
        <v>#VALUE!</v>
      </c>
      <c r="D324" s="7" t="e">
        <f t="shared" si="26"/>
        <v>#VALUE!</v>
      </c>
      <c r="E324" s="7" t="e">
        <f>IF((C323-1)&lt;$E$17,0,C323*LeasingHab!$E$17)</f>
        <v>#VALUE!</v>
      </c>
      <c r="F324" s="8" t="e">
        <f>IF((C323-1)&lt;$E$17,"0",IF(LeasingHab!$D$27="Si",($C$19*(VLOOKUP(LeasingHab!$C$23,Seguros_Oblig!$A$3:$F$55,6,FALSE))),IF(LeasingHab!$C$10="TARIFA 1",(C323*(VLOOKUP(LeasingHab!$C$23,Seguros_Oblig!$A$3:$B$55,2,FALSE))),(C323*(VLOOKUP(LeasingHab!$C$23,Seguros_Oblig!$A$3:$D$55,4,FALSE))))))</f>
        <v>#VALUE!</v>
      </c>
      <c r="G324" s="8" t="e">
        <f>IF(LeasingHab!$C$10="TARIFA 1",(C323*(VLOOKUP(LeasingHab!$C$24,Seguros_Oblig!$A$3:$B$55,2,FALSE))),(C323*(VLOOKUP(LeasingHab!$C$24,Seguros_Oblig!$A$3:$D$55,4,FALSE))))</f>
        <v>#VALUE!</v>
      </c>
      <c r="H324" s="8" t="e">
        <f>IF(LeasingHab!$C$10="TARIFA 1",(C323*(VLOOKUP(LeasingHab!$C$25,Seguros_Oblig!$A$3:$B$55,2,FALSE))),(C323*(VLOOKUP(LeasingHab!$C$25,Seguros_Oblig!$A$3:$D$55,4,FALSE))))</f>
        <v>#VALUE!</v>
      </c>
      <c r="I324" s="8" t="e">
        <f>IF(LeasingHab!$C$10="TARIFA 1",(C323*(VLOOKUP(LeasingHab!$C$26,Seguros_Oblig!$A$3:$B$55,2,FALSE))),(C323*(VLOOKUP(LeasingHab!$C$26,Seguros_Oblig!$A$3:$D$55,4,FALSE))))</f>
        <v>#VALUE!</v>
      </c>
      <c r="J324" s="10">
        <f t="shared" si="27"/>
        <v>0</v>
      </c>
      <c r="K324" s="7" t="e">
        <f>IF((C323-1)&lt;$E$17,0,Seguros_Oblig!$K$2*(LeasingHab!$C$12*90%))</f>
        <v>#VALUE!</v>
      </c>
      <c r="L324" s="7" t="e">
        <f>IF(B324&gt;LeasingHab!$C$18,0,PMT(LeasingHab!$E$17,LeasingHab!$C$18,-LeasingHab!$C$15,,)-PMT(LeasingHab!$E$17,LeasingHab!$C$18,-LeasingHab!$C$22)+LeasingHab!$C$22*LeasingHab!$E$17)</f>
        <v>#VALUE!</v>
      </c>
      <c r="M324" s="9" t="e">
        <f t="shared" si="28"/>
        <v>#VALUE!</v>
      </c>
      <c r="N324" s="7" t="e">
        <f>IF((C323-1)&lt;$E$17,0,LeasingHab!$C$39)</f>
        <v>#VALUE!</v>
      </c>
      <c r="O324" s="9" t="e">
        <f t="shared" si="29"/>
        <v>#VALUE!</v>
      </c>
    </row>
    <row r="325" spans="2:15" ht="15.5" hidden="1" x14ac:dyDescent="0.35">
      <c r="B325" s="6" t="e">
        <f t="shared" si="30"/>
        <v>#VALUE!</v>
      </c>
      <c r="C325" s="7" t="e">
        <f t="shared" si="25"/>
        <v>#VALUE!</v>
      </c>
      <c r="D325" s="7" t="e">
        <f t="shared" si="26"/>
        <v>#VALUE!</v>
      </c>
      <c r="E325" s="7" t="e">
        <f>IF((C324-1)&lt;$E$17,0,C324*LeasingHab!$E$17)</f>
        <v>#VALUE!</v>
      </c>
      <c r="F325" s="8" t="e">
        <f>IF((C324-1)&lt;$E$17,"0",IF(LeasingHab!$D$27="Si",($C$19*(VLOOKUP(LeasingHab!$C$23,Seguros_Oblig!$A$3:$F$55,6,FALSE))),IF(LeasingHab!$C$10="TARIFA 1",(C324*(VLOOKUP(LeasingHab!$C$23,Seguros_Oblig!$A$3:$B$55,2,FALSE))),(C324*(VLOOKUP(LeasingHab!$C$23,Seguros_Oblig!$A$3:$D$55,4,FALSE))))))</f>
        <v>#VALUE!</v>
      </c>
      <c r="G325" s="8" t="e">
        <f>IF(LeasingHab!$C$10="TARIFA 1",(C324*(VLOOKUP(LeasingHab!$C$24,Seguros_Oblig!$A$3:$B$55,2,FALSE))),(C324*(VLOOKUP(LeasingHab!$C$24,Seguros_Oblig!$A$3:$D$55,4,FALSE))))</f>
        <v>#VALUE!</v>
      </c>
      <c r="H325" s="8" t="e">
        <f>IF(LeasingHab!$C$10="TARIFA 1",(C324*(VLOOKUP(LeasingHab!$C$25,Seguros_Oblig!$A$3:$B$55,2,FALSE))),(C324*(VLOOKUP(LeasingHab!$C$25,Seguros_Oblig!$A$3:$D$55,4,FALSE))))</f>
        <v>#VALUE!</v>
      </c>
      <c r="I325" s="8" t="e">
        <f>IF(LeasingHab!$C$10="TARIFA 1",(C324*(VLOOKUP(LeasingHab!$C$26,Seguros_Oblig!$A$3:$B$55,2,FALSE))),(C324*(VLOOKUP(LeasingHab!$C$26,Seguros_Oblig!$A$3:$D$55,4,FALSE))))</f>
        <v>#VALUE!</v>
      </c>
      <c r="J325" s="10">
        <f t="shared" si="27"/>
        <v>0</v>
      </c>
      <c r="K325" s="7" t="e">
        <f>IF((C324-1)&lt;$E$17,0,Seguros_Oblig!$K$2*(LeasingHab!$C$12*90%))</f>
        <v>#VALUE!</v>
      </c>
      <c r="L325" s="7" t="e">
        <f>IF(B325&gt;LeasingHab!$C$18,0,PMT(LeasingHab!$E$17,LeasingHab!$C$18,-LeasingHab!$C$15,,)-PMT(LeasingHab!$E$17,LeasingHab!$C$18,-LeasingHab!$C$22)+LeasingHab!$C$22*LeasingHab!$E$17)</f>
        <v>#VALUE!</v>
      </c>
      <c r="M325" s="9" t="e">
        <f t="shared" si="28"/>
        <v>#VALUE!</v>
      </c>
      <c r="N325" s="7" t="e">
        <f>IF((C324-1)&lt;$E$17,0,LeasingHab!$C$39)</f>
        <v>#VALUE!</v>
      </c>
      <c r="O325" s="9" t="e">
        <f t="shared" si="29"/>
        <v>#VALUE!</v>
      </c>
    </row>
    <row r="326" spans="2:15" ht="15.5" hidden="1" x14ac:dyDescent="0.35">
      <c r="B326" s="6" t="e">
        <f t="shared" si="30"/>
        <v>#VALUE!</v>
      </c>
      <c r="C326" s="7" t="e">
        <f t="shared" si="25"/>
        <v>#VALUE!</v>
      </c>
      <c r="D326" s="7" t="e">
        <f t="shared" si="26"/>
        <v>#VALUE!</v>
      </c>
      <c r="E326" s="7" t="e">
        <f>IF((C325-1)&lt;$E$17,0,C325*LeasingHab!$E$17)</f>
        <v>#VALUE!</v>
      </c>
      <c r="F326" s="8" t="e">
        <f>IF((C325-1)&lt;$E$17,"0",IF(LeasingHab!$D$27="Si",($C$19*(VLOOKUP(LeasingHab!$C$23,Seguros_Oblig!$A$3:$F$55,6,FALSE))),IF(LeasingHab!$C$10="TARIFA 1",(C325*(VLOOKUP(LeasingHab!$C$23,Seguros_Oblig!$A$3:$B$55,2,FALSE))),(C325*(VLOOKUP(LeasingHab!$C$23,Seguros_Oblig!$A$3:$D$55,4,FALSE))))))</f>
        <v>#VALUE!</v>
      </c>
      <c r="G326" s="8" t="e">
        <f>IF(LeasingHab!$C$10="TARIFA 1",(C325*(VLOOKUP(LeasingHab!$C$24,Seguros_Oblig!$A$3:$B$55,2,FALSE))),(C325*(VLOOKUP(LeasingHab!$C$24,Seguros_Oblig!$A$3:$D$55,4,FALSE))))</f>
        <v>#VALUE!</v>
      </c>
      <c r="H326" s="8" t="e">
        <f>IF(LeasingHab!$C$10="TARIFA 1",(C325*(VLOOKUP(LeasingHab!$C$25,Seguros_Oblig!$A$3:$B$55,2,FALSE))),(C325*(VLOOKUP(LeasingHab!$C$25,Seguros_Oblig!$A$3:$D$55,4,FALSE))))</f>
        <v>#VALUE!</v>
      </c>
      <c r="I326" s="8" t="e">
        <f>IF(LeasingHab!$C$10="TARIFA 1",(C325*(VLOOKUP(LeasingHab!$C$26,Seguros_Oblig!$A$3:$B$55,2,FALSE))),(C325*(VLOOKUP(LeasingHab!$C$26,Seguros_Oblig!$A$3:$D$55,4,FALSE))))</f>
        <v>#VALUE!</v>
      </c>
      <c r="J326" s="10">
        <f t="shared" si="27"/>
        <v>0</v>
      </c>
      <c r="K326" s="7" t="e">
        <f>IF((C325-1)&lt;$E$17,0,Seguros_Oblig!$K$2*(LeasingHab!$C$12*90%))</f>
        <v>#VALUE!</v>
      </c>
      <c r="L326" s="7" t="e">
        <f>IF(B326&gt;LeasingHab!$C$18,0,PMT(LeasingHab!$E$17,LeasingHab!$C$18,-LeasingHab!$C$15,,)-PMT(LeasingHab!$E$17,LeasingHab!$C$18,-LeasingHab!$C$22)+LeasingHab!$C$22*LeasingHab!$E$17)</f>
        <v>#VALUE!</v>
      </c>
      <c r="M326" s="9" t="e">
        <f t="shared" si="28"/>
        <v>#VALUE!</v>
      </c>
      <c r="N326" s="7" t="e">
        <f>IF((C325-1)&lt;$E$17,0,LeasingHab!$C$39)</f>
        <v>#VALUE!</v>
      </c>
      <c r="O326" s="9" t="e">
        <f t="shared" si="29"/>
        <v>#VALUE!</v>
      </c>
    </row>
    <row r="327" spans="2:15" ht="15.5" hidden="1" x14ac:dyDescent="0.35">
      <c r="B327" s="6" t="e">
        <f t="shared" si="30"/>
        <v>#VALUE!</v>
      </c>
      <c r="C327" s="7" t="e">
        <f t="shared" si="25"/>
        <v>#VALUE!</v>
      </c>
      <c r="D327" s="7" t="e">
        <f t="shared" si="26"/>
        <v>#VALUE!</v>
      </c>
      <c r="E327" s="7" t="e">
        <f>IF((C326-1)&lt;$E$17,0,C326*LeasingHab!$E$17)</f>
        <v>#VALUE!</v>
      </c>
      <c r="F327" s="8" t="e">
        <f>IF((C326-1)&lt;$E$17,"0",IF(LeasingHab!$D$27="Si",($C$19*(VLOOKUP(LeasingHab!$C$23,Seguros_Oblig!$A$3:$F$55,6,FALSE))),IF(LeasingHab!$C$10="TARIFA 1",(C326*(VLOOKUP(LeasingHab!$C$23,Seguros_Oblig!$A$3:$B$55,2,FALSE))),(C326*(VLOOKUP(LeasingHab!$C$23,Seguros_Oblig!$A$3:$D$55,4,FALSE))))))</f>
        <v>#VALUE!</v>
      </c>
      <c r="G327" s="8" t="e">
        <f>IF(LeasingHab!$C$10="TARIFA 1",(C326*(VLOOKUP(LeasingHab!$C$24,Seguros_Oblig!$A$3:$B$55,2,FALSE))),(C326*(VLOOKUP(LeasingHab!$C$24,Seguros_Oblig!$A$3:$D$55,4,FALSE))))</f>
        <v>#VALUE!</v>
      </c>
      <c r="H327" s="8" t="e">
        <f>IF(LeasingHab!$C$10="TARIFA 1",(C326*(VLOOKUP(LeasingHab!$C$25,Seguros_Oblig!$A$3:$B$55,2,FALSE))),(C326*(VLOOKUP(LeasingHab!$C$25,Seguros_Oblig!$A$3:$D$55,4,FALSE))))</f>
        <v>#VALUE!</v>
      </c>
      <c r="I327" s="8" t="e">
        <f>IF(LeasingHab!$C$10="TARIFA 1",(C326*(VLOOKUP(LeasingHab!$C$26,Seguros_Oblig!$A$3:$B$55,2,FALSE))),(C326*(VLOOKUP(LeasingHab!$C$26,Seguros_Oblig!$A$3:$D$55,4,FALSE))))</f>
        <v>#VALUE!</v>
      </c>
      <c r="J327" s="10">
        <f t="shared" si="27"/>
        <v>0</v>
      </c>
      <c r="K327" s="7" t="e">
        <f>IF((C326-1)&lt;$E$17,0,Seguros_Oblig!$K$2*(LeasingHab!$C$12*90%))</f>
        <v>#VALUE!</v>
      </c>
      <c r="L327" s="7" t="e">
        <f>IF(B327&gt;LeasingHab!$C$18,0,PMT(LeasingHab!$E$17,LeasingHab!$C$18,-LeasingHab!$C$15,,)-PMT(LeasingHab!$E$17,LeasingHab!$C$18,-LeasingHab!$C$22)+LeasingHab!$C$22*LeasingHab!$E$17)</f>
        <v>#VALUE!</v>
      </c>
      <c r="M327" s="9" t="e">
        <f t="shared" si="28"/>
        <v>#VALUE!</v>
      </c>
      <c r="N327" s="7" t="e">
        <f>IF((C326-1)&lt;$E$17,0,LeasingHab!$C$39)</f>
        <v>#VALUE!</v>
      </c>
      <c r="O327" s="9" t="e">
        <f t="shared" si="29"/>
        <v>#VALUE!</v>
      </c>
    </row>
    <row r="328" spans="2:15" ht="15.5" hidden="1" x14ac:dyDescent="0.35">
      <c r="B328" s="6" t="e">
        <f t="shared" si="30"/>
        <v>#VALUE!</v>
      </c>
      <c r="C328" s="7" t="e">
        <f t="shared" si="25"/>
        <v>#VALUE!</v>
      </c>
      <c r="D328" s="7" t="e">
        <f t="shared" si="26"/>
        <v>#VALUE!</v>
      </c>
      <c r="E328" s="7" t="e">
        <f>IF((C327-1)&lt;$E$17,0,C327*LeasingHab!$E$17)</f>
        <v>#VALUE!</v>
      </c>
      <c r="F328" s="8" t="e">
        <f>IF((C327-1)&lt;$E$17,"0",IF(LeasingHab!$D$27="Si",($C$19*(VLOOKUP(LeasingHab!$C$23,Seguros_Oblig!$A$3:$F$55,6,FALSE))),IF(LeasingHab!$C$10="TARIFA 1",(C327*(VLOOKUP(LeasingHab!$C$23,Seguros_Oblig!$A$3:$B$55,2,FALSE))),(C327*(VLOOKUP(LeasingHab!$C$23,Seguros_Oblig!$A$3:$D$55,4,FALSE))))))</f>
        <v>#VALUE!</v>
      </c>
      <c r="G328" s="8" t="e">
        <f>IF(LeasingHab!$C$10="TARIFA 1",(C327*(VLOOKUP(LeasingHab!$C$24,Seguros_Oblig!$A$3:$B$55,2,FALSE))),(C327*(VLOOKUP(LeasingHab!$C$24,Seguros_Oblig!$A$3:$D$55,4,FALSE))))</f>
        <v>#VALUE!</v>
      </c>
      <c r="H328" s="8" t="e">
        <f>IF(LeasingHab!$C$10="TARIFA 1",(C327*(VLOOKUP(LeasingHab!$C$25,Seguros_Oblig!$A$3:$B$55,2,FALSE))),(C327*(VLOOKUP(LeasingHab!$C$25,Seguros_Oblig!$A$3:$D$55,4,FALSE))))</f>
        <v>#VALUE!</v>
      </c>
      <c r="I328" s="8" t="e">
        <f>IF(LeasingHab!$C$10="TARIFA 1",(C327*(VLOOKUP(LeasingHab!$C$26,Seguros_Oblig!$A$3:$B$55,2,FALSE))),(C327*(VLOOKUP(LeasingHab!$C$26,Seguros_Oblig!$A$3:$D$55,4,FALSE))))</f>
        <v>#VALUE!</v>
      </c>
      <c r="J328" s="10">
        <f t="shared" si="27"/>
        <v>0</v>
      </c>
      <c r="K328" s="7" t="e">
        <f>IF((C327-1)&lt;$E$17,0,Seguros_Oblig!$K$2*(LeasingHab!$C$12*90%))</f>
        <v>#VALUE!</v>
      </c>
      <c r="L328" s="7" t="e">
        <f>IF(B328&gt;LeasingHab!$C$18,0,PMT(LeasingHab!$E$17,LeasingHab!$C$18,-LeasingHab!$C$15,,)-PMT(LeasingHab!$E$17,LeasingHab!$C$18,-LeasingHab!$C$22)+LeasingHab!$C$22*LeasingHab!$E$17)</f>
        <v>#VALUE!</v>
      </c>
      <c r="M328" s="9" t="e">
        <f t="shared" si="28"/>
        <v>#VALUE!</v>
      </c>
      <c r="N328" s="7" t="e">
        <f>IF((C327-1)&lt;$E$17,0,LeasingHab!$C$39)</f>
        <v>#VALUE!</v>
      </c>
      <c r="O328" s="9" t="e">
        <f t="shared" si="29"/>
        <v>#VALUE!</v>
      </c>
    </row>
    <row r="329" spans="2:15" ht="15.5" hidden="1" x14ac:dyDescent="0.35">
      <c r="B329" s="6" t="e">
        <f t="shared" si="30"/>
        <v>#VALUE!</v>
      </c>
      <c r="C329" s="7" t="e">
        <f t="shared" si="25"/>
        <v>#VALUE!</v>
      </c>
      <c r="D329" s="7" t="e">
        <f t="shared" si="26"/>
        <v>#VALUE!</v>
      </c>
      <c r="E329" s="7" t="e">
        <f>IF((C328-1)&lt;$E$17,0,C328*LeasingHab!$E$17)</f>
        <v>#VALUE!</v>
      </c>
      <c r="F329" s="8" t="e">
        <f>IF((C328-1)&lt;$E$17,"0",IF(LeasingHab!$D$27="Si",($C$19*(VLOOKUP(LeasingHab!$C$23,Seguros_Oblig!$A$3:$F$55,6,FALSE))),IF(LeasingHab!$C$10="TARIFA 1",(C328*(VLOOKUP(LeasingHab!$C$23,Seguros_Oblig!$A$3:$B$55,2,FALSE))),(C328*(VLOOKUP(LeasingHab!$C$23,Seguros_Oblig!$A$3:$D$55,4,FALSE))))))</f>
        <v>#VALUE!</v>
      </c>
      <c r="G329" s="8" t="e">
        <f>IF(LeasingHab!$C$10="TARIFA 1",(C328*(VLOOKUP(LeasingHab!$C$24,Seguros_Oblig!$A$3:$B$55,2,FALSE))),(C328*(VLOOKUP(LeasingHab!$C$24,Seguros_Oblig!$A$3:$D$55,4,FALSE))))</f>
        <v>#VALUE!</v>
      </c>
      <c r="H329" s="8" t="e">
        <f>IF(LeasingHab!$C$10="TARIFA 1",(C328*(VLOOKUP(LeasingHab!$C$25,Seguros_Oblig!$A$3:$B$55,2,FALSE))),(C328*(VLOOKUP(LeasingHab!$C$25,Seguros_Oblig!$A$3:$D$55,4,FALSE))))</f>
        <v>#VALUE!</v>
      </c>
      <c r="I329" s="8" t="e">
        <f>IF(LeasingHab!$C$10="TARIFA 1",(C328*(VLOOKUP(LeasingHab!$C$26,Seguros_Oblig!$A$3:$B$55,2,FALSE))),(C328*(VLOOKUP(LeasingHab!$C$26,Seguros_Oblig!$A$3:$D$55,4,FALSE))))</f>
        <v>#VALUE!</v>
      </c>
      <c r="J329" s="10">
        <f t="shared" si="27"/>
        <v>0</v>
      </c>
      <c r="K329" s="7" t="e">
        <f>IF((C328-1)&lt;$E$17,0,Seguros_Oblig!$K$2*(LeasingHab!$C$12*90%))</f>
        <v>#VALUE!</v>
      </c>
      <c r="L329" s="7" t="e">
        <f>IF(B329&gt;LeasingHab!$C$18,0,PMT(LeasingHab!$E$17,LeasingHab!$C$18,-LeasingHab!$C$15,,)-PMT(LeasingHab!$E$17,LeasingHab!$C$18,-LeasingHab!$C$22)+LeasingHab!$C$22*LeasingHab!$E$17)</f>
        <v>#VALUE!</v>
      </c>
      <c r="M329" s="9" t="e">
        <f t="shared" si="28"/>
        <v>#VALUE!</v>
      </c>
      <c r="N329" s="7" t="e">
        <f>IF((C328-1)&lt;$E$17,0,LeasingHab!$C$39)</f>
        <v>#VALUE!</v>
      </c>
      <c r="O329" s="9" t="e">
        <f t="shared" si="29"/>
        <v>#VALUE!</v>
      </c>
    </row>
    <row r="330" spans="2:15" ht="15.5" hidden="1" x14ac:dyDescent="0.35">
      <c r="B330" s="6" t="e">
        <f t="shared" si="30"/>
        <v>#VALUE!</v>
      </c>
      <c r="C330" s="7" t="e">
        <f t="shared" si="25"/>
        <v>#VALUE!</v>
      </c>
      <c r="D330" s="7" t="e">
        <f t="shared" si="26"/>
        <v>#VALUE!</v>
      </c>
      <c r="E330" s="7" t="e">
        <f>IF((C329-1)&lt;$E$17,0,C329*LeasingHab!$E$17)</f>
        <v>#VALUE!</v>
      </c>
      <c r="F330" s="8" t="e">
        <f>IF((C329-1)&lt;$E$17,"0",IF(LeasingHab!$D$27="Si",($C$19*(VLOOKUP(LeasingHab!$C$23,Seguros_Oblig!$A$3:$F$55,6,FALSE))),IF(LeasingHab!$C$10="TARIFA 1",(C329*(VLOOKUP(LeasingHab!$C$23,Seguros_Oblig!$A$3:$B$55,2,FALSE))),(C329*(VLOOKUP(LeasingHab!$C$23,Seguros_Oblig!$A$3:$D$55,4,FALSE))))))</f>
        <v>#VALUE!</v>
      </c>
      <c r="G330" s="8" t="e">
        <f>IF(LeasingHab!$C$10="TARIFA 1",(C329*(VLOOKUP(LeasingHab!$C$24,Seguros_Oblig!$A$3:$B$55,2,FALSE))),(C329*(VLOOKUP(LeasingHab!$C$24,Seguros_Oblig!$A$3:$D$55,4,FALSE))))</f>
        <v>#VALUE!</v>
      </c>
      <c r="H330" s="8" t="e">
        <f>IF(LeasingHab!$C$10="TARIFA 1",(C329*(VLOOKUP(LeasingHab!$C$25,Seguros_Oblig!$A$3:$B$55,2,FALSE))),(C329*(VLOOKUP(LeasingHab!$C$25,Seguros_Oblig!$A$3:$D$55,4,FALSE))))</f>
        <v>#VALUE!</v>
      </c>
      <c r="I330" s="8" t="e">
        <f>IF(LeasingHab!$C$10="TARIFA 1",(C329*(VLOOKUP(LeasingHab!$C$26,Seguros_Oblig!$A$3:$B$55,2,FALSE))),(C329*(VLOOKUP(LeasingHab!$C$26,Seguros_Oblig!$A$3:$D$55,4,FALSE))))</f>
        <v>#VALUE!</v>
      </c>
      <c r="J330" s="10">
        <f t="shared" si="27"/>
        <v>0</v>
      </c>
      <c r="K330" s="7" t="e">
        <f>IF((C329-1)&lt;$E$17,0,Seguros_Oblig!$K$2*(LeasingHab!$C$12*90%))</f>
        <v>#VALUE!</v>
      </c>
      <c r="L330" s="7" t="e">
        <f>IF(B330&gt;LeasingHab!$C$18,0,PMT(LeasingHab!$E$17,LeasingHab!$C$18,-LeasingHab!$C$15,,)-PMT(LeasingHab!$E$17,LeasingHab!$C$18,-LeasingHab!$C$22)+LeasingHab!$C$22*LeasingHab!$E$17)</f>
        <v>#VALUE!</v>
      </c>
      <c r="M330" s="9" t="e">
        <f t="shared" si="28"/>
        <v>#VALUE!</v>
      </c>
      <c r="N330" s="7" t="e">
        <f>IF((C329-1)&lt;$E$17,0,LeasingHab!$C$39)</f>
        <v>#VALUE!</v>
      </c>
      <c r="O330" s="9" t="e">
        <f t="shared" si="29"/>
        <v>#VALUE!</v>
      </c>
    </row>
    <row r="331" spans="2:15" ht="15.5" hidden="1" x14ac:dyDescent="0.35">
      <c r="B331" s="6" t="e">
        <f t="shared" si="30"/>
        <v>#VALUE!</v>
      </c>
      <c r="C331" s="7" t="e">
        <f t="shared" si="25"/>
        <v>#VALUE!</v>
      </c>
      <c r="D331" s="7" t="e">
        <f t="shared" si="26"/>
        <v>#VALUE!</v>
      </c>
      <c r="E331" s="7" t="e">
        <f>IF((C330-1)&lt;$E$17,0,C330*LeasingHab!$E$17)</f>
        <v>#VALUE!</v>
      </c>
      <c r="F331" s="8" t="e">
        <f>IF((C330-1)&lt;$E$17,"0",IF(LeasingHab!$D$27="Si",($C$19*(VLOOKUP(LeasingHab!$C$23,Seguros_Oblig!$A$3:$F$55,6,FALSE))),IF(LeasingHab!$C$10="TARIFA 1",(C330*(VLOOKUP(LeasingHab!$C$23,Seguros_Oblig!$A$3:$B$55,2,FALSE))),(C330*(VLOOKUP(LeasingHab!$C$23,Seguros_Oblig!$A$3:$D$55,4,FALSE))))))</f>
        <v>#VALUE!</v>
      </c>
      <c r="G331" s="8" t="e">
        <f>IF(LeasingHab!$C$10="TARIFA 1",(C330*(VLOOKUP(LeasingHab!$C$24,Seguros_Oblig!$A$3:$B$55,2,FALSE))),(C330*(VLOOKUP(LeasingHab!$C$24,Seguros_Oblig!$A$3:$D$55,4,FALSE))))</f>
        <v>#VALUE!</v>
      </c>
      <c r="H331" s="8" t="e">
        <f>IF(LeasingHab!$C$10="TARIFA 1",(C330*(VLOOKUP(LeasingHab!$C$25,Seguros_Oblig!$A$3:$B$55,2,FALSE))),(C330*(VLOOKUP(LeasingHab!$C$25,Seguros_Oblig!$A$3:$D$55,4,FALSE))))</f>
        <v>#VALUE!</v>
      </c>
      <c r="I331" s="8" t="e">
        <f>IF(LeasingHab!$C$10="TARIFA 1",(C330*(VLOOKUP(LeasingHab!$C$26,Seguros_Oblig!$A$3:$B$55,2,FALSE))),(C330*(VLOOKUP(LeasingHab!$C$26,Seguros_Oblig!$A$3:$D$55,4,FALSE))))</f>
        <v>#VALUE!</v>
      </c>
      <c r="J331" s="10">
        <f t="shared" si="27"/>
        <v>0</v>
      </c>
      <c r="K331" s="7" t="e">
        <f>IF((C330-1)&lt;$E$17,0,Seguros_Oblig!$K$2*(LeasingHab!$C$12*90%))</f>
        <v>#VALUE!</v>
      </c>
      <c r="L331" s="7" t="e">
        <f>IF(B331&gt;LeasingHab!$C$18,0,PMT(LeasingHab!$E$17,LeasingHab!$C$18,-LeasingHab!$C$15,,)-PMT(LeasingHab!$E$17,LeasingHab!$C$18,-LeasingHab!$C$22)+LeasingHab!$C$22*LeasingHab!$E$17)</f>
        <v>#VALUE!</v>
      </c>
      <c r="M331" s="9" t="e">
        <f t="shared" si="28"/>
        <v>#VALUE!</v>
      </c>
      <c r="N331" s="7" t="e">
        <f>IF((C330-1)&lt;$E$17,0,LeasingHab!$C$39)</f>
        <v>#VALUE!</v>
      </c>
      <c r="O331" s="9" t="e">
        <f t="shared" si="29"/>
        <v>#VALUE!</v>
      </c>
    </row>
    <row r="332" spans="2:15" ht="15.5" hidden="1" x14ac:dyDescent="0.35">
      <c r="B332" s="6" t="e">
        <f t="shared" si="30"/>
        <v>#VALUE!</v>
      </c>
      <c r="C332" s="7" t="e">
        <f t="shared" si="25"/>
        <v>#VALUE!</v>
      </c>
      <c r="D332" s="7" t="e">
        <f t="shared" si="26"/>
        <v>#VALUE!</v>
      </c>
      <c r="E332" s="7" t="e">
        <f>IF((C331-1)&lt;$E$17,0,C331*LeasingHab!$E$17)</f>
        <v>#VALUE!</v>
      </c>
      <c r="F332" s="8" t="e">
        <f>IF((C331-1)&lt;$E$17,"0",IF(LeasingHab!$D$27="Si",($C$19*(VLOOKUP(LeasingHab!$C$23,Seguros_Oblig!$A$3:$F$55,6,FALSE))),IF(LeasingHab!$C$10="TARIFA 1",(C331*(VLOOKUP(LeasingHab!$C$23,Seguros_Oblig!$A$3:$B$55,2,FALSE))),(C331*(VLOOKUP(LeasingHab!$C$23,Seguros_Oblig!$A$3:$D$55,4,FALSE))))))</f>
        <v>#VALUE!</v>
      </c>
      <c r="G332" s="8" t="e">
        <f>IF(LeasingHab!$C$10="TARIFA 1",(C331*(VLOOKUP(LeasingHab!$C$24,Seguros_Oblig!$A$3:$B$55,2,FALSE))),(C331*(VLOOKUP(LeasingHab!$C$24,Seguros_Oblig!$A$3:$D$55,4,FALSE))))</f>
        <v>#VALUE!</v>
      </c>
      <c r="H332" s="8" t="e">
        <f>IF(LeasingHab!$C$10="TARIFA 1",(C331*(VLOOKUP(LeasingHab!$C$25,Seguros_Oblig!$A$3:$B$55,2,FALSE))),(C331*(VLOOKUP(LeasingHab!$C$25,Seguros_Oblig!$A$3:$D$55,4,FALSE))))</f>
        <v>#VALUE!</v>
      </c>
      <c r="I332" s="8" t="e">
        <f>IF(LeasingHab!$C$10="TARIFA 1",(C331*(VLOOKUP(LeasingHab!$C$26,Seguros_Oblig!$A$3:$B$55,2,FALSE))),(C331*(VLOOKUP(LeasingHab!$C$26,Seguros_Oblig!$A$3:$D$55,4,FALSE))))</f>
        <v>#VALUE!</v>
      </c>
      <c r="J332" s="10">
        <f t="shared" si="27"/>
        <v>0</v>
      </c>
      <c r="K332" s="7" t="e">
        <f>IF((C331-1)&lt;$E$17,0,Seguros_Oblig!$K$2*(LeasingHab!$C$12*90%))</f>
        <v>#VALUE!</v>
      </c>
      <c r="L332" s="7" t="e">
        <f>IF(B332&gt;LeasingHab!$C$18,0,PMT(LeasingHab!$E$17,LeasingHab!$C$18,-LeasingHab!$C$15,,)-PMT(LeasingHab!$E$17,LeasingHab!$C$18,-LeasingHab!$C$22)+LeasingHab!$C$22*LeasingHab!$E$17)</f>
        <v>#VALUE!</v>
      </c>
      <c r="M332" s="9" t="e">
        <f t="shared" si="28"/>
        <v>#VALUE!</v>
      </c>
      <c r="N332" s="7" t="e">
        <f>IF((C331-1)&lt;$E$17,0,LeasingHab!$C$39)</f>
        <v>#VALUE!</v>
      </c>
      <c r="O332" s="9" t="e">
        <f t="shared" si="29"/>
        <v>#VALUE!</v>
      </c>
    </row>
    <row r="333" spans="2:15" ht="15.5" hidden="1" x14ac:dyDescent="0.35">
      <c r="B333" s="6" t="e">
        <f t="shared" si="30"/>
        <v>#VALUE!</v>
      </c>
      <c r="C333" s="7" t="e">
        <f t="shared" si="25"/>
        <v>#VALUE!</v>
      </c>
      <c r="D333" s="7" t="e">
        <f t="shared" si="26"/>
        <v>#VALUE!</v>
      </c>
      <c r="E333" s="7" t="e">
        <f>IF((C332-1)&lt;$E$17,0,C332*LeasingHab!$E$17)</f>
        <v>#VALUE!</v>
      </c>
      <c r="F333" s="8" t="e">
        <f>IF((C332-1)&lt;$E$17,"0",IF(LeasingHab!$D$27="Si",($C$19*(VLOOKUP(LeasingHab!$C$23,Seguros_Oblig!$A$3:$F$55,6,FALSE))),IF(LeasingHab!$C$10="TARIFA 1",(C332*(VLOOKUP(LeasingHab!$C$23,Seguros_Oblig!$A$3:$B$55,2,FALSE))),(C332*(VLOOKUP(LeasingHab!$C$23,Seguros_Oblig!$A$3:$D$55,4,FALSE))))))</f>
        <v>#VALUE!</v>
      </c>
      <c r="G333" s="8" t="e">
        <f>IF(LeasingHab!$C$10="TARIFA 1",(C332*(VLOOKUP(LeasingHab!$C$24,Seguros_Oblig!$A$3:$B$55,2,FALSE))),(C332*(VLOOKUP(LeasingHab!$C$24,Seguros_Oblig!$A$3:$D$55,4,FALSE))))</f>
        <v>#VALUE!</v>
      </c>
      <c r="H333" s="8" t="e">
        <f>IF(LeasingHab!$C$10="TARIFA 1",(C332*(VLOOKUP(LeasingHab!$C$25,Seguros_Oblig!$A$3:$B$55,2,FALSE))),(C332*(VLOOKUP(LeasingHab!$C$25,Seguros_Oblig!$A$3:$D$55,4,FALSE))))</f>
        <v>#VALUE!</v>
      </c>
      <c r="I333" s="8" t="e">
        <f>IF(LeasingHab!$C$10="TARIFA 1",(C332*(VLOOKUP(LeasingHab!$C$26,Seguros_Oblig!$A$3:$B$55,2,FALSE))),(C332*(VLOOKUP(LeasingHab!$C$26,Seguros_Oblig!$A$3:$D$55,4,FALSE))))</f>
        <v>#VALUE!</v>
      </c>
      <c r="J333" s="10">
        <f t="shared" si="27"/>
        <v>0</v>
      </c>
      <c r="K333" s="7" t="e">
        <f>IF((C332-1)&lt;$E$17,0,Seguros_Oblig!$K$2*(LeasingHab!$C$12*90%))</f>
        <v>#VALUE!</v>
      </c>
      <c r="L333" s="7" t="e">
        <f>IF(B333&gt;LeasingHab!$C$18,0,PMT(LeasingHab!$E$17,LeasingHab!$C$18,-LeasingHab!$C$15,,)-PMT(LeasingHab!$E$17,LeasingHab!$C$18,-LeasingHab!$C$22)+LeasingHab!$C$22*LeasingHab!$E$17)</f>
        <v>#VALUE!</v>
      </c>
      <c r="M333" s="9" t="e">
        <f t="shared" si="28"/>
        <v>#VALUE!</v>
      </c>
      <c r="N333" s="7" t="e">
        <f>IF((C332-1)&lt;$E$17,0,LeasingHab!$C$39)</f>
        <v>#VALUE!</v>
      </c>
      <c r="O333" s="9" t="e">
        <f t="shared" si="29"/>
        <v>#VALUE!</v>
      </c>
    </row>
    <row r="334" spans="2:15" ht="15.5" hidden="1" x14ac:dyDescent="0.35">
      <c r="B334" s="6" t="e">
        <f t="shared" si="30"/>
        <v>#VALUE!</v>
      </c>
      <c r="C334" s="7" t="e">
        <f t="shared" si="25"/>
        <v>#VALUE!</v>
      </c>
      <c r="D334" s="7" t="e">
        <f t="shared" si="26"/>
        <v>#VALUE!</v>
      </c>
      <c r="E334" s="7" t="e">
        <f>IF((C333-1)&lt;$E$17,0,C333*LeasingHab!$E$17)</f>
        <v>#VALUE!</v>
      </c>
      <c r="F334" s="8" t="e">
        <f>IF((C333-1)&lt;$E$17,"0",IF(LeasingHab!$D$27="Si",($C$19*(VLOOKUP(LeasingHab!$C$23,Seguros_Oblig!$A$3:$F$55,6,FALSE))),IF(LeasingHab!$C$10="TARIFA 1",(C333*(VLOOKUP(LeasingHab!$C$23,Seguros_Oblig!$A$3:$B$55,2,FALSE))),(C333*(VLOOKUP(LeasingHab!$C$23,Seguros_Oblig!$A$3:$D$55,4,FALSE))))))</f>
        <v>#VALUE!</v>
      </c>
      <c r="G334" s="8" t="e">
        <f>IF(LeasingHab!$C$10="TARIFA 1",(C333*(VLOOKUP(LeasingHab!$C$24,Seguros_Oblig!$A$3:$B$55,2,FALSE))),(C333*(VLOOKUP(LeasingHab!$C$24,Seguros_Oblig!$A$3:$D$55,4,FALSE))))</f>
        <v>#VALUE!</v>
      </c>
      <c r="H334" s="8" t="e">
        <f>IF(LeasingHab!$C$10="TARIFA 1",(C333*(VLOOKUP(LeasingHab!$C$25,Seguros_Oblig!$A$3:$B$55,2,FALSE))),(C333*(VLOOKUP(LeasingHab!$C$25,Seguros_Oblig!$A$3:$D$55,4,FALSE))))</f>
        <v>#VALUE!</v>
      </c>
      <c r="I334" s="8" t="e">
        <f>IF(LeasingHab!$C$10="TARIFA 1",(C333*(VLOOKUP(LeasingHab!$C$26,Seguros_Oblig!$A$3:$B$55,2,FALSE))),(C333*(VLOOKUP(LeasingHab!$C$26,Seguros_Oblig!$A$3:$D$55,4,FALSE))))</f>
        <v>#VALUE!</v>
      </c>
      <c r="J334" s="10">
        <f t="shared" si="27"/>
        <v>0</v>
      </c>
      <c r="K334" s="7" t="e">
        <f>IF((C333-1)&lt;$E$17,0,Seguros_Oblig!$K$2*(LeasingHab!$C$12*90%))</f>
        <v>#VALUE!</v>
      </c>
      <c r="L334" s="7" t="e">
        <f>IF(B334&gt;LeasingHab!$C$18,0,PMT(LeasingHab!$E$17,LeasingHab!$C$18,-LeasingHab!$C$15,,)-PMT(LeasingHab!$E$17,LeasingHab!$C$18,-LeasingHab!$C$22)+LeasingHab!$C$22*LeasingHab!$E$17)</f>
        <v>#VALUE!</v>
      </c>
      <c r="M334" s="9" t="e">
        <f t="shared" si="28"/>
        <v>#VALUE!</v>
      </c>
      <c r="N334" s="7" t="e">
        <f>IF((C333-1)&lt;$E$17,0,LeasingHab!$C$39)</f>
        <v>#VALUE!</v>
      </c>
      <c r="O334" s="9" t="e">
        <f t="shared" si="29"/>
        <v>#VALUE!</v>
      </c>
    </row>
    <row r="335" spans="2:15" ht="15.5" hidden="1" x14ac:dyDescent="0.35">
      <c r="B335" s="6" t="e">
        <f t="shared" si="30"/>
        <v>#VALUE!</v>
      </c>
      <c r="C335" s="7" t="e">
        <f t="shared" si="25"/>
        <v>#VALUE!</v>
      </c>
      <c r="D335" s="7" t="e">
        <f t="shared" si="26"/>
        <v>#VALUE!</v>
      </c>
      <c r="E335" s="7" t="e">
        <f>IF((C334-1)&lt;$E$17,0,C334*LeasingHab!$E$17)</f>
        <v>#VALUE!</v>
      </c>
      <c r="F335" s="8" t="e">
        <f>IF((C334-1)&lt;$E$17,"0",IF(LeasingHab!$D$27="Si",($C$19*(VLOOKUP(LeasingHab!$C$23,Seguros_Oblig!$A$3:$F$55,6,FALSE))),IF(LeasingHab!$C$10="TARIFA 1",(C334*(VLOOKUP(LeasingHab!$C$23,Seguros_Oblig!$A$3:$B$55,2,FALSE))),(C334*(VLOOKUP(LeasingHab!$C$23,Seguros_Oblig!$A$3:$D$55,4,FALSE))))))</f>
        <v>#VALUE!</v>
      </c>
      <c r="G335" s="8" t="e">
        <f>IF(LeasingHab!$C$10="TARIFA 1",(C334*(VLOOKUP(LeasingHab!$C$24,Seguros_Oblig!$A$3:$B$55,2,FALSE))),(C334*(VLOOKUP(LeasingHab!$C$24,Seguros_Oblig!$A$3:$D$55,4,FALSE))))</f>
        <v>#VALUE!</v>
      </c>
      <c r="H335" s="8" t="e">
        <f>IF(LeasingHab!$C$10="TARIFA 1",(C334*(VLOOKUP(LeasingHab!$C$25,Seguros_Oblig!$A$3:$B$55,2,FALSE))),(C334*(VLOOKUP(LeasingHab!$C$25,Seguros_Oblig!$A$3:$D$55,4,FALSE))))</f>
        <v>#VALUE!</v>
      </c>
      <c r="I335" s="8" t="e">
        <f>IF(LeasingHab!$C$10="TARIFA 1",(C334*(VLOOKUP(LeasingHab!$C$26,Seguros_Oblig!$A$3:$B$55,2,FALSE))),(C334*(VLOOKUP(LeasingHab!$C$26,Seguros_Oblig!$A$3:$D$55,4,FALSE))))</f>
        <v>#VALUE!</v>
      </c>
      <c r="J335" s="10">
        <f t="shared" si="27"/>
        <v>0</v>
      </c>
      <c r="K335" s="7" t="e">
        <f>IF((C334-1)&lt;$E$17,0,Seguros_Oblig!$K$2*(LeasingHab!$C$12*90%))</f>
        <v>#VALUE!</v>
      </c>
      <c r="L335" s="7" t="e">
        <f>IF(B335&gt;LeasingHab!$C$18,0,PMT(LeasingHab!$E$17,LeasingHab!$C$18,-LeasingHab!$C$15,,)-PMT(LeasingHab!$E$17,LeasingHab!$C$18,-LeasingHab!$C$22)+LeasingHab!$C$22*LeasingHab!$E$17)</f>
        <v>#VALUE!</v>
      </c>
      <c r="M335" s="9" t="e">
        <f t="shared" si="28"/>
        <v>#VALUE!</v>
      </c>
      <c r="N335" s="7" t="e">
        <f>IF((C334-1)&lt;$E$17,0,LeasingHab!$C$39)</f>
        <v>#VALUE!</v>
      </c>
      <c r="O335" s="9" t="e">
        <f t="shared" si="29"/>
        <v>#VALUE!</v>
      </c>
    </row>
    <row r="336" spans="2:15" ht="15.5" hidden="1" x14ac:dyDescent="0.35">
      <c r="B336" s="6" t="e">
        <f t="shared" si="30"/>
        <v>#VALUE!</v>
      </c>
      <c r="C336" s="7" t="e">
        <f t="shared" si="25"/>
        <v>#VALUE!</v>
      </c>
      <c r="D336" s="7" t="e">
        <f t="shared" si="26"/>
        <v>#VALUE!</v>
      </c>
      <c r="E336" s="7" t="e">
        <f>IF((C335-1)&lt;$E$17,0,C335*LeasingHab!$E$17)</f>
        <v>#VALUE!</v>
      </c>
      <c r="F336" s="8" t="e">
        <f>IF((C335-1)&lt;$E$17,"0",IF(LeasingHab!$D$27="Si",($C$19*(VLOOKUP(LeasingHab!$C$23,Seguros_Oblig!$A$3:$F$55,6,FALSE))),IF(LeasingHab!$C$10="TARIFA 1",(C335*(VLOOKUP(LeasingHab!$C$23,Seguros_Oblig!$A$3:$B$55,2,FALSE))),(C335*(VLOOKUP(LeasingHab!$C$23,Seguros_Oblig!$A$3:$D$55,4,FALSE))))))</f>
        <v>#VALUE!</v>
      </c>
      <c r="G336" s="8" t="e">
        <f>IF(LeasingHab!$C$10="TARIFA 1",(C335*(VLOOKUP(LeasingHab!$C$24,Seguros_Oblig!$A$3:$B$55,2,FALSE))),(C335*(VLOOKUP(LeasingHab!$C$24,Seguros_Oblig!$A$3:$D$55,4,FALSE))))</f>
        <v>#VALUE!</v>
      </c>
      <c r="H336" s="8" t="e">
        <f>IF(LeasingHab!$C$10="TARIFA 1",(C335*(VLOOKUP(LeasingHab!$C$25,Seguros_Oblig!$A$3:$B$55,2,FALSE))),(C335*(VLOOKUP(LeasingHab!$C$25,Seguros_Oblig!$A$3:$D$55,4,FALSE))))</f>
        <v>#VALUE!</v>
      </c>
      <c r="I336" s="8" t="e">
        <f>IF(LeasingHab!$C$10="TARIFA 1",(C335*(VLOOKUP(LeasingHab!$C$26,Seguros_Oblig!$A$3:$B$55,2,FALSE))),(C335*(VLOOKUP(LeasingHab!$C$26,Seguros_Oblig!$A$3:$D$55,4,FALSE))))</f>
        <v>#VALUE!</v>
      </c>
      <c r="J336" s="10">
        <f t="shared" si="27"/>
        <v>0</v>
      </c>
      <c r="K336" s="7" t="e">
        <f>IF((C335-1)&lt;$E$17,0,Seguros_Oblig!$K$2*(LeasingHab!$C$12*90%))</f>
        <v>#VALUE!</v>
      </c>
      <c r="L336" s="7" t="e">
        <f>IF(B336&gt;LeasingHab!$C$18,0,PMT(LeasingHab!$E$17,LeasingHab!$C$18,-LeasingHab!$C$15,,)-PMT(LeasingHab!$E$17,LeasingHab!$C$18,-LeasingHab!$C$22)+LeasingHab!$C$22*LeasingHab!$E$17)</f>
        <v>#VALUE!</v>
      </c>
      <c r="M336" s="9" t="e">
        <f t="shared" si="28"/>
        <v>#VALUE!</v>
      </c>
      <c r="N336" s="7" t="e">
        <f>IF((C335-1)&lt;$E$17,0,LeasingHab!$C$39)</f>
        <v>#VALUE!</v>
      </c>
      <c r="O336" s="9" t="e">
        <f t="shared" si="29"/>
        <v>#VALUE!</v>
      </c>
    </row>
    <row r="337" spans="2:15" ht="15.5" hidden="1" x14ac:dyDescent="0.35">
      <c r="B337" s="6" t="e">
        <f t="shared" si="30"/>
        <v>#VALUE!</v>
      </c>
      <c r="C337" s="7" t="e">
        <f t="shared" ref="C337:C379" si="31">IF(D336=0,0,C336-D337)</f>
        <v>#VALUE!</v>
      </c>
      <c r="D337" s="7" t="e">
        <f t="shared" ref="D337:D379" si="32">IF((C336-1)&lt;$E$17,0,L337-E337)</f>
        <v>#VALUE!</v>
      </c>
      <c r="E337" s="7" t="e">
        <f>IF((C336-1)&lt;$E$17,0,C336*LeasingHab!$E$17)</f>
        <v>#VALUE!</v>
      </c>
      <c r="F337" s="8" t="e">
        <f>IF((C336-1)&lt;$E$17,"0",IF(LeasingHab!$D$27="Si",($C$19*(VLOOKUP(LeasingHab!$C$23,Seguros_Oblig!$A$3:$F$55,6,FALSE))),IF(LeasingHab!$C$10="TARIFA 1",(C336*(VLOOKUP(LeasingHab!$C$23,Seguros_Oblig!$A$3:$B$55,2,FALSE))),(C336*(VLOOKUP(LeasingHab!$C$23,Seguros_Oblig!$A$3:$D$55,4,FALSE))))))</f>
        <v>#VALUE!</v>
      </c>
      <c r="G337" s="8" t="e">
        <f>IF(LeasingHab!$C$10="TARIFA 1",(C336*(VLOOKUP(LeasingHab!$C$24,Seguros_Oblig!$A$3:$B$55,2,FALSE))),(C336*(VLOOKUP(LeasingHab!$C$24,Seguros_Oblig!$A$3:$D$55,4,FALSE))))</f>
        <v>#VALUE!</v>
      </c>
      <c r="H337" s="8" t="e">
        <f>IF(LeasingHab!$C$10="TARIFA 1",(C336*(VLOOKUP(LeasingHab!$C$25,Seguros_Oblig!$A$3:$B$55,2,FALSE))),(C336*(VLOOKUP(LeasingHab!$C$25,Seguros_Oblig!$A$3:$D$55,4,FALSE))))</f>
        <v>#VALUE!</v>
      </c>
      <c r="I337" s="8" t="e">
        <f>IF(LeasingHab!$C$10="TARIFA 1",(C336*(VLOOKUP(LeasingHab!$C$26,Seguros_Oblig!$A$3:$B$55,2,FALSE))),(C336*(VLOOKUP(LeasingHab!$C$26,Seguros_Oblig!$A$3:$D$55,4,FALSE))))</f>
        <v>#VALUE!</v>
      </c>
      <c r="J337" s="10">
        <f t="shared" si="27"/>
        <v>0</v>
      </c>
      <c r="K337" s="7" t="e">
        <f>IF((C336-1)&lt;$E$17,0,Seguros_Oblig!$K$2*(LeasingHab!$C$12*90%))</f>
        <v>#VALUE!</v>
      </c>
      <c r="L337" s="7" t="e">
        <f>IF(B337&gt;LeasingHab!$C$18,0,PMT(LeasingHab!$E$17,LeasingHab!$C$18,-LeasingHab!$C$15,,)-PMT(LeasingHab!$E$17,LeasingHab!$C$18,-LeasingHab!$C$22)+LeasingHab!$C$22*LeasingHab!$E$17)</f>
        <v>#VALUE!</v>
      </c>
      <c r="M337" s="9" t="e">
        <f t="shared" si="28"/>
        <v>#VALUE!</v>
      </c>
      <c r="N337" s="7" t="e">
        <f>IF((C336-1)&lt;$E$17,0,LeasingHab!$C$39)</f>
        <v>#VALUE!</v>
      </c>
      <c r="O337" s="9" t="e">
        <f t="shared" si="29"/>
        <v>#VALUE!</v>
      </c>
    </row>
    <row r="338" spans="2:15" ht="15.5" hidden="1" x14ac:dyDescent="0.35">
      <c r="B338" s="6" t="e">
        <f t="shared" si="30"/>
        <v>#VALUE!</v>
      </c>
      <c r="C338" s="7" t="e">
        <f t="shared" si="31"/>
        <v>#VALUE!</v>
      </c>
      <c r="D338" s="7" t="e">
        <f t="shared" si="32"/>
        <v>#VALUE!</v>
      </c>
      <c r="E338" s="7" t="e">
        <f>IF((C337-1)&lt;$E$17,0,C337*LeasingHab!$E$17)</f>
        <v>#VALUE!</v>
      </c>
      <c r="F338" s="8" t="e">
        <f>IF((C337-1)&lt;$E$17,"0",IF(LeasingHab!$D$27="Si",($C$19*(VLOOKUP(LeasingHab!$C$23,Seguros_Oblig!$A$3:$F$55,6,FALSE))),IF(LeasingHab!$C$10="TARIFA 1",(C337*(VLOOKUP(LeasingHab!$C$23,Seguros_Oblig!$A$3:$B$55,2,FALSE))),(C337*(VLOOKUP(LeasingHab!$C$23,Seguros_Oblig!$A$3:$D$55,4,FALSE))))))</f>
        <v>#VALUE!</v>
      </c>
      <c r="G338" s="8" t="e">
        <f>IF(LeasingHab!$C$10="TARIFA 1",(C337*(VLOOKUP(LeasingHab!$C$24,Seguros_Oblig!$A$3:$B$55,2,FALSE))),(C337*(VLOOKUP(LeasingHab!$C$24,Seguros_Oblig!$A$3:$D$55,4,FALSE))))</f>
        <v>#VALUE!</v>
      </c>
      <c r="H338" s="8" t="e">
        <f>IF(LeasingHab!$C$10="TARIFA 1",(C337*(VLOOKUP(LeasingHab!$C$25,Seguros_Oblig!$A$3:$B$55,2,FALSE))),(C337*(VLOOKUP(LeasingHab!$C$25,Seguros_Oblig!$A$3:$D$55,4,FALSE))))</f>
        <v>#VALUE!</v>
      </c>
      <c r="I338" s="8" t="e">
        <f>IF(LeasingHab!$C$10="TARIFA 1",(C337*(VLOOKUP(LeasingHab!$C$26,Seguros_Oblig!$A$3:$B$55,2,FALSE))),(C337*(VLOOKUP(LeasingHab!$C$26,Seguros_Oblig!$A$3:$D$55,4,FALSE))))</f>
        <v>#VALUE!</v>
      </c>
      <c r="J338" s="10">
        <f t="shared" si="27"/>
        <v>0</v>
      </c>
      <c r="K338" s="7" t="e">
        <f>IF((C337-1)&lt;$E$17,0,Seguros_Oblig!$K$2*(LeasingHab!$C$12*90%))</f>
        <v>#VALUE!</v>
      </c>
      <c r="L338" s="7" t="e">
        <f>IF(B338&gt;LeasingHab!$C$18,0,PMT(LeasingHab!$E$17,LeasingHab!$C$18,-LeasingHab!$C$15,,)-PMT(LeasingHab!$E$17,LeasingHab!$C$18,-LeasingHab!$C$22)+LeasingHab!$C$22*LeasingHab!$E$17)</f>
        <v>#VALUE!</v>
      </c>
      <c r="M338" s="9" t="e">
        <f t="shared" si="28"/>
        <v>#VALUE!</v>
      </c>
      <c r="N338" s="7" t="e">
        <f>IF((C337-1)&lt;$E$17,0,LeasingHab!$C$39)</f>
        <v>#VALUE!</v>
      </c>
      <c r="O338" s="9" t="e">
        <f t="shared" si="29"/>
        <v>#VALUE!</v>
      </c>
    </row>
    <row r="339" spans="2:15" ht="15.5" hidden="1" x14ac:dyDescent="0.35">
      <c r="B339" s="6" t="e">
        <f t="shared" si="30"/>
        <v>#VALUE!</v>
      </c>
      <c r="C339" s="7" t="e">
        <f t="shared" si="31"/>
        <v>#VALUE!</v>
      </c>
      <c r="D339" s="7" t="e">
        <f t="shared" si="32"/>
        <v>#VALUE!</v>
      </c>
      <c r="E339" s="7" t="e">
        <f>IF((C338-1)&lt;$E$17,0,C338*LeasingHab!$E$17)</f>
        <v>#VALUE!</v>
      </c>
      <c r="F339" s="8" t="e">
        <f>IF((C338-1)&lt;$E$17,"0",IF(LeasingHab!$D$27="Si",($C$19*(VLOOKUP(LeasingHab!$C$23,Seguros_Oblig!$A$3:$F$55,6,FALSE))),IF(LeasingHab!$C$10="TARIFA 1",(C338*(VLOOKUP(LeasingHab!$C$23,Seguros_Oblig!$A$3:$B$55,2,FALSE))),(C338*(VLOOKUP(LeasingHab!$C$23,Seguros_Oblig!$A$3:$D$55,4,FALSE))))))</f>
        <v>#VALUE!</v>
      </c>
      <c r="G339" s="8" t="e">
        <f>IF(LeasingHab!$C$10="TARIFA 1",(C338*(VLOOKUP(LeasingHab!$C$24,Seguros_Oblig!$A$3:$B$55,2,FALSE))),(C338*(VLOOKUP(LeasingHab!$C$24,Seguros_Oblig!$A$3:$D$55,4,FALSE))))</f>
        <v>#VALUE!</v>
      </c>
      <c r="H339" s="8" t="e">
        <f>IF(LeasingHab!$C$10="TARIFA 1",(C338*(VLOOKUP(LeasingHab!$C$25,Seguros_Oblig!$A$3:$B$55,2,FALSE))),(C338*(VLOOKUP(LeasingHab!$C$25,Seguros_Oblig!$A$3:$D$55,4,FALSE))))</f>
        <v>#VALUE!</v>
      </c>
      <c r="I339" s="8" t="e">
        <f>IF(LeasingHab!$C$10="TARIFA 1",(C338*(VLOOKUP(LeasingHab!$C$26,Seguros_Oblig!$A$3:$B$55,2,FALSE))),(C338*(VLOOKUP(LeasingHab!$C$26,Seguros_Oblig!$A$3:$D$55,4,FALSE))))</f>
        <v>#VALUE!</v>
      </c>
      <c r="J339" s="10">
        <f t="shared" si="27"/>
        <v>0</v>
      </c>
      <c r="K339" s="7" t="e">
        <f>IF((C338-1)&lt;$E$17,0,Seguros_Oblig!$K$2*(LeasingHab!$C$12*90%))</f>
        <v>#VALUE!</v>
      </c>
      <c r="L339" s="7" t="e">
        <f>IF(B339&gt;LeasingHab!$C$18,0,PMT(LeasingHab!$E$17,LeasingHab!$C$18,-LeasingHab!$C$15,,)-PMT(LeasingHab!$E$17,LeasingHab!$C$18,-LeasingHab!$C$22)+LeasingHab!$C$22*LeasingHab!$E$17)</f>
        <v>#VALUE!</v>
      </c>
      <c r="M339" s="9" t="e">
        <f t="shared" si="28"/>
        <v>#VALUE!</v>
      </c>
      <c r="N339" s="7" t="e">
        <f>IF((C338-1)&lt;$E$17,0,LeasingHab!$C$39)</f>
        <v>#VALUE!</v>
      </c>
      <c r="O339" s="9" t="e">
        <f t="shared" si="29"/>
        <v>#VALUE!</v>
      </c>
    </row>
    <row r="340" spans="2:15" ht="15.5" hidden="1" x14ac:dyDescent="0.35">
      <c r="B340" s="6" t="e">
        <f t="shared" si="30"/>
        <v>#VALUE!</v>
      </c>
      <c r="C340" s="7" t="e">
        <f t="shared" si="31"/>
        <v>#VALUE!</v>
      </c>
      <c r="D340" s="7" t="e">
        <f t="shared" si="32"/>
        <v>#VALUE!</v>
      </c>
      <c r="E340" s="7" t="e">
        <f>IF((C339-1)&lt;$E$17,0,C339*LeasingHab!$E$17)</f>
        <v>#VALUE!</v>
      </c>
      <c r="F340" s="8" t="e">
        <f>IF((C339-1)&lt;$E$17,"0",IF(LeasingHab!$D$27="Si",($C$19*(VLOOKUP(LeasingHab!$C$23,Seguros_Oblig!$A$3:$F$55,6,FALSE))),IF(LeasingHab!$C$10="TARIFA 1",(C339*(VLOOKUP(LeasingHab!$C$23,Seguros_Oblig!$A$3:$B$55,2,FALSE))),(C339*(VLOOKUP(LeasingHab!$C$23,Seguros_Oblig!$A$3:$D$55,4,FALSE))))))</f>
        <v>#VALUE!</v>
      </c>
      <c r="G340" s="8" t="e">
        <f>IF(LeasingHab!$C$10="TARIFA 1",(C339*(VLOOKUP(LeasingHab!$C$24,Seguros_Oblig!$A$3:$B$55,2,FALSE))),(C339*(VLOOKUP(LeasingHab!$C$24,Seguros_Oblig!$A$3:$D$55,4,FALSE))))</f>
        <v>#VALUE!</v>
      </c>
      <c r="H340" s="8" t="e">
        <f>IF(LeasingHab!$C$10="TARIFA 1",(C339*(VLOOKUP(LeasingHab!$C$25,Seguros_Oblig!$A$3:$B$55,2,FALSE))),(C339*(VLOOKUP(LeasingHab!$C$25,Seguros_Oblig!$A$3:$D$55,4,FALSE))))</f>
        <v>#VALUE!</v>
      </c>
      <c r="I340" s="8" t="e">
        <f>IF(LeasingHab!$C$10="TARIFA 1",(C339*(VLOOKUP(LeasingHab!$C$26,Seguros_Oblig!$A$3:$B$55,2,FALSE))),(C339*(VLOOKUP(LeasingHab!$C$26,Seguros_Oblig!$A$3:$D$55,4,FALSE))))</f>
        <v>#VALUE!</v>
      </c>
      <c r="J340" s="10">
        <f t="shared" si="27"/>
        <v>0</v>
      </c>
      <c r="K340" s="7" t="e">
        <f>IF((C339-1)&lt;$E$17,0,Seguros_Oblig!$K$2*(LeasingHab!$C$12*90%))</f>
        <v>#VALUE!</v>
      </c>
      <c r="L340" s="7" t="e">
        <f>IF(B340&gt;LeasingHab!$C$18,0,PMT(LeasingHab!$E$17,LeasingHab!$C$18,-LeasingHab!$C$15,,)-PMT(LeasingHab!$E$17,LeasingHab!$C$18,-LeasingHab!$C$22)+LeasingHab!$C$22*LeasingHab!$E$17)</f>
        <v>#VALUE!</v>
      </c>
      <c r="M340" s="9" t="e">
        <f t="shared" si="28"/>
        <v>#VALUE!</v>
      </c>
      <c r="N340" s="7" t="e">
        <f>IF((C339-1)&lt;$E$17,0,LeasingHab!$C$39)</f>
        <v>#VALUE!</v>
      </c>
      <c r="O340" s="9" t="e">
        <f t="shared" si="29"/>
        <v>#VALUE!</v>
      </c>
    </row>
    <row r="341" spans="2:15" ht="15.5" hidden="1" x14ac:dyDescent="0.35">
      <c r="B341" s="6" t="e">
        <f t="shared" si="30"/>
        <v>#VALUE!</v>
      </c>
      <c r="C341" s="7" t="e">
        <f t="shared" si="31"/>
        <v>#VALUE!</v>
      </c>
      <c r="D341" s="7" t="e">
        <f t="shared" si="32"/>
        <v>#VALUE!</v>
      </c>
      <c r="E341" s="7" t="e">
        <f>IF((C340-1)&lt;$E$17,0,C340*LeasingHab!$E$17)</f>
        <v>#VALUE!</v>
      </c>
      <c r="F341" s="8" t="e">
        <f>IF((C340-1)&lt;$E$17,"0",IF(LeasingHab!$D$27="Si",($C$19*(VLOOKUP(LeasingHab!$C$23,Seguros_Oblig!$A$3:$F$55,6,FALSE))),IF(LeasingHab!$C$10="TARIFA 1",(C340*(VLOOKUP(LeasingHab!$C$23,Seguros_Oblig!$A$3:$B$55,2,FALSE))),(C340*(VLOOKUP(LeasingHab!$C$23,Seguros_Oblig!$A$3:$D$55,4,FALSE))))))</f>
        <v>#VALUE!</v>
      </c>
      <c r="G341" s="8" t="e">
        <f>IF(LeasingHab!$C$10="TARIFA 1",(C340*(VLOOKUP(LeasingHab!$C$24,Seguros_Oblig!$A$3:$B$55,2,FALSE))),(C340*(VLOOKUP(LeasingHab!$C$24,Seguros_Oblig!$A$3:$D$55,4,FALSE))))</f>
        <v>#VALUE!</v>
      </c>
      <c r="H341" s="8" t="e">
        <f>IF(LeasingHab!$C$10="TARIFA 1",(C340*(VLOOKUP(LeasingHab!$C$25,Seguros_Oblig!$A$3:$B$55,2,FALSE))),(C340*(VLOOKUP(LeasingHab!$C$25,Seguros_Oblig!$A$3:$D$55,4,FALSE))))</f>
        <v>#VALUE!</v>
      </c>
      <c r="I341" s="8" t="e">
        <f>IF(LeasingHab!$C$10="TARIFA 1",(C340*(VLOOKUP(LeasingHab!$C$26,Seguros_Oblig!$A$3:$B$55,2,FALSE))),(C340*(VLOOKUP(LeasingHab!$C$26,Seguros_Oblig!$A$3:$D$55,4,FALSE))))</f>
        <v>#VALUE!</v>
      </c>
      <c r="J341" s="10">
        <f t="shared" ref="J341:J379" si="33">_xlfn.AGGREGATE(9,6,F341:I341)</f>
        <v>0</v>
      </c>
      <c r="K341" s="7" t="e">
        <f>IF((C340-1)&lt;$E$17,0,Seguros_Oblig!$K$2*(LeasingHab!$C$12*90%))</f>
        <v>#VALUE!</v>
      </c>
      <c r="L341" s="7" t="e">
        <f>IF(B341&gt;LeasingHab!$C$18,0,PMT(LeasingHab!$E$17,LeasingHab!$C$18,-LeasingHab!$C$15,,)-PMT(LeasingHab!$E$17,LeasingHab!$C$18,-LeasingHab!$C$22)+LeasingHab!$C$22*LeasingHab!$E$17)</f>
        <v>#VALUE!</v>
      </c>
      <c r="M341" s="9" t="e">
        <f t="shared" ref="M341:M379" si="34">K341+L341+J341</f>
        <v>#VALUE!</v>
      </c>
      <c r="N341" s="7" t="e">
        <f>IF((C340-1)&lt;$E$17,0,LeasingHab!$C$39)</f>
        <v>#VALUE!</v>
      </c>
      <c r="O341" s="9" t="e">
        <f t="shared" ref="O341:O379" si="35">M341+N341</f>
        <v>#VALUE!</v>
      </c>
    </row>
    <row r="342" spans="2:15" ht="15.5" hidden="1" x14ac:dyDescent="0.35">
      <c r="B342" s="6" t="e">
        <f t="shared" si="30"/>
        <v>#VALUE!</v>
      </c>
      <c r="C342" s="7" t="e">
        <f t="shared" si="31"/>
        <v>#VALUE!</v>
      </c>
      <c r="D342" s="7" t="e">
        <f t="shared" si="32"/>
        <v>#VALUE!</v>
      </c>
      <c r="E342" s="7" t="e">
        <f>IF((C341-1)&lt;$E$17,0,C341*LeasingHab!$E$17)</f>
        <v>#VALUE!</v>
      </c>
      <c r="F342" s="8" t="e">
        <f>IF((C341-1)&lt;$E$17,"0",IF(LeasingHab!$D$27="Si",($C$19*(VLOOKUP(LeasingHab!$C$23,Seguros_Oblig!$A$3:$F$55,6,FALSE))),IF(LeasingHab!$C$10="TARIFA 1",(C341*(VLOOKUP(LeasingHab!$C$23,Seguros_Oblig!$A$3:$B$55,2,FALSE))),(C341*(VLOOKUP(LeasingHab!$C$23,Seguros_Oblig!$A$3:$D$55,4,FALSE))))))</f>
        <v>#VALUE!</v>
      </c>
      <c r="G342" s="8" t="e">
        <f>IF(LeasingHab!$C$10="TARIFA 1",(C341*(VLOOKUP(LeasingHab!$C$24,Seguros_Oblig!$A$3:$B$55,2,FALSE))),(C341*(VLOOKUP(LeasingHab!$C$24,Seguros_Oblig!$A$3:$D$55,4,FALSE))))</f>
        <v>#VALUE!</v>
      </c>
      <c r="H342" s="8" t="e">
        <f>IF(LeasingHab!$C$10="TARIFA 1",(C341*(VLOOKUP(LeasingHab!$C$25,Seguros_Oblig!$A$3:$B$55,2,FALSE))),(C341*(VLOOKUP(LeasingHab!$C$25,Seguros_Oblig!$A$3:$D$55,4,FALSE))))</f>
        <v>#VALUE!</v>
      </c>
      <c r="I342" s="8" t="e">
        <f>IF(LeasingHab!$C$10="TARIFA 1",(C341*(VLOOKUP(LeasingHab!$C$26,Seguros_Oblig!$A$3:$B$55,2,FALSE))),(C341*(VLOOKUP(LeasingHab!$C$26,Seguros_Oblig!$A$3:$D$55,4,FALSE))))</f>
        <v>#VALUE!</v>
      </c>
      <c r="J342" s="10">
        <f t="shared" si="33"/>
        <v>0</v>
      </c>
      <c r="K342" s="7" t="e">
        <f>IF((C341-1)&lt;$E$17,0,Seguros_Oblig!$K$2*(LeasingHab!$C$12*90%))</f>
        <v>#VALUE!</v>
      </c>
      <c r="L342" s="7" t="e">
        <f>IF(B342&gt;LeasingHab!$C$18,0,PMT(LeasingHab!$E$17,LeasingHab!$C$18,-LeasingHab!$C$15,,)-PMT(LeasingHab!$E$17,LeasingHab!$C$18,-LeasingHab!$C$22)+LeasingHab!$C$22*LeasingHab!$E$17)</f>
        <v>#VALUE!</v>
      </c>
      <c r="M342" s="9" t="e">
        <f t="shared" si="34"/>
        <v>#VALUE!</v>
      </c>
      <c r="N342" s="7" t="e">
        <f>IF((C341-1)&lt;$E$17,0,LeasingHab!$C$39)</f>
        <v>#VALUE!</v>
      </c>
      <c r="O342" s="9" t="e">
        <f t="shared" si="35"/>
        <v>#VALUE!</v>
      </c>
    </row>
    <row r="343" spans="2:15" ht="15.5" hidden="1" x14ac:dyDescent="0.35">
      <c r="B343" s="6" t="e">
        <f t="shared" si="30"/>
        <v>#VALUE!</v>
      </c>
      <c r="C343" s="7" t="e">
        <f t="shared" si="31"/>
        <v>#VALUE!</v>
      </c>
      <c r="D343" s="7" t="e">
        <f t="shared" si="32"/>
        <v>#VALUE!</v>
      </c>
      <c r="E343" s="7" t="e">
        <f>IF((C342-1)&lt;$E$17,0,C342*LeasingHab!$E$17)</f>
        <v>#VALUE!</v>
      </c>
      <c r="F343" s="8" t="e">
        <f>IF((C342-1)&lt;$E$17,"0",IF(LeasingHab!$D$27="Si",($C$19*(VLOOKUP(LeasingHab!$C$23,Seguros_Oblig!$A$3:$F$55,6,FALSE))),IF(LeasingHab!$C$10="TARIFA 1",(C342*(VLOOKUP(LeasingHab!$C$23,Seguros_Oblig!$A$3:$B$55,2,FALSE))),(C342*(VLOOKUP(LeasingHab!$C$23,Seguros_Oblig!$A$3:$D$55,4,FALSE))))))</f>
        <v>#VALUE!</v>
      </c>
      <c r="G343" s="8" t="e">
        <f>IF(LeasingHab!$C$10="TARIFA 1",(C342*(VLOOKUP(LeasingHab!$C$24,Seguros_Oblig!$A$3:$B$55,2,FALSE))),(C342*(VLOOKUP(LeasingHab!$C$24,Seguros_Oblig!$A$3:$D$55,4,FALSE))))</f>
        <v>#VALUE!</v>
      </c>
      <c r="H343" s="8" t="e">
        <f>IF(LeasingHab!$C$10="TARIFA 1",(C342*(VLOOKUP(LeasingHab!$C$25,Seguros_Oblig!$A$3:$B$55,2,FALSE))),(C342*(VLOOKUP(LeasingHab!$C$25,Seguros_Oblig!$A$3:$D$55,4,FALSE))))</f>
        <v>#VALUE!</v>
      </c>
      <c r="I343" s="8" t="e">
        <f>IF(LeasingHab!$C$10="TARIFA 1",(C342*(VLOOKUP(LeasingHab!$C$26,Seguros_Oblig!$A$3:$B$55,2,FALSE))),(C342*(VLOOKUP(LeasingHab!$C$26,Seguros_Oblig!$A$3:$D$55,4,FALSE))))</f>
        <v>#VALUE!</v>
      </c>
      <c r="J343" s="10">
        <f t="shared" si="33"/>
        <v>0</v>
      </c>
      <c r="K343" s="7" t="e">
        <f>IF((C342-1)&lt;$E$17,0,Seguros_Oblig!$K$2*(LeasingHab!$C$12*90%))</f>
        <v>#VALUE!</v>
      </c>
      <c r="L343" s="7" t="e">
        <f>IF(B343&gt;LeasingHab!$C$18,0,PMT(LeasingHab!$E$17,LeasingHab!$C$18,-LeasingHab!$C$15,,)-PMT(LeasingHab!$E$17,LeasingHab!$C$18,-LeasingHab!$C$22)+LeasingHab!$C$22*LeasingHab!$E$17)</f>
        <v>#VALUE!</v>
      </c>
      <c r="M343" s="9" t="e">
        <f t="shared" si="34"/>
        <v>#VALUE!</v>
      </c>
      <c r="N343" s="7" t="e">
        <f>IF((C342-1)&lt;$E$17,0,LeasingHab!$C$39)</f>
        <v>#VALUE!</v>
      </c>
      <c r="O343" s="9" t="e">
        <f t="shared" si="35"/>
        <v>#VALUE!</v>
      </c>
    </row>
    <row r="344" spans="2:15" ht="15.5" hidden="1" x14ac:dyDescent="0.35">
      <c r="B344" s="6" t="e">
        <f t="shared" si="30"/>
        <v>#VALUE!</v>
      </c>
      <c r="C344" s="7" t="e">
        <f t="shared" si="31"/>
        <v>#VALUE!</v>
      </c>
      <c r="D344" s="7" t="e">
        <f t="shared" si="32"/>
        <v>#VALUE!</v>
      </c>
      <c r="E344" s="7" t="e">
        <f>IF((C343-1)&lt;$E$17,0,C343*LeasingHab!$E$17)</f>
        <v>#VALUE!</v>
      </c>
      <c r="F344" s="8" t="e">
        <f>IF((C343-1)&lt;$E$17,"0",IF(LeasingHab!$D$27="Si",($C$19*(VLOOKUP(LeasingHab!$C$23,Seguros_Oblig!$A$3:$F$55,6,FALSE))),IF(LeasingHab!$C$10="TARIFA 1",(C343*(VLOOKUP(LeasingHab!$C$23,Seguros_Oblig!$A$3:$B$55,2,FALSE))),(C343*(VLOOKUP(LeasingHab!$C$23,Seguros_Oblig!$A$3:$D$55,4,FALSE))))))</f>
        <v>#VALUE!</v>
      </c>
      <c r="G344" s="8" t="e">
        <f>IF(LeasingHab!$C$10="TARIFA 1",(C343*(VLOOKUP(LeasingHab!$C$24,Seguros_Oblig!$A$3:$B$55,2,FALSE))),(C343*(VLOOKUP(LeasingHab!$C$24,Seguros_Oblig!$A$3:$D$55,4,FALSE))))</f>
        <v>#VALUE!</v>
      </c>
      <c r="H344" s="8" t="e">
        <f>IF(LeasingHab!$C$10="TARIFA 1",(C343*(VLOOKUP(LeasingHab!$C$25,Seguros_Oblig!$A$3:$B$55,2,FALSE))),(C343*(VLOOKUP(LeasingHab!$C$25,Seguros_Oblig!$A$3:$D$55,4,FALSE))))</f>
        <v>#VALUE!</v>
      </c>
      <c r="I344" s="8" t="e">
        <f>IF(LeasingHab!$C$10="TARIFA 1",(C343*(VLOOKUP(LeasingHab!$C$26,Seguros_Oblig!$A$3:$B$55,2,FALSE))),(C343*(VLOOKUP(LeasingHab!$C$26,Seguros_Oblig!$A$3:$D$55,4,FALSE))))</f>
        <v>#VALUE!</v>
      </c>
      <c r="J344" s="10">
        <f t="shared" si="33"/>
        <v>0</v>
      </c>
      <c r="K344" s="7" t="e">
        <f>IF((C343-1)&lt;$E$17,0,Seguros_Oblig!$K$2*(LeasingHab!$C$12*90%))</f>
        <v>#VALUE!</v>
      </c>
      <c r="L344" s="7" t="e">
        <f>IF(B344&gt;LeasingHab!$C$18,0,PMT(LeasingHab!$E$17,LeasingHab!$C$18,-LeasingHab!$C$15,,)-PMT(LeasingHab!$E$17,LeasingHab!$C$18,-LeasingHab!$C$22)+LeasingHab!$C$22*LeasingHab!$E$17)</f>
        <v>#VALUE!</v>
      </c>
      <c r="M344" s="9" t="e">
        <f t="shared" si="34"/>
        <v>#VALUE!</v>
      </c>
      <c r="N344" s="7" t="e">
        <f>IF((C343-1)&lt;$E$17,0,LeasingHab!$C$39)</f>
        <v>#VALUE!</v>
      </c>
      <c r="O344" s="9" t="e">
        <f t="shared" si="35"/>
        <v>#VALUE!</v>
      </c>
    </row>
    <row r="345" spans="2:15" ht="15.5" hidden="1" x14ac:dyDescent="0.35">
      <c r="B345" s="6" t="e">
        <f t="shared" si="30"/>
        <v>#VALUE!</v>
      </c>
      <c r="C345" s="7" t="e">
        <f t="shared" si="31"/>
        <v>#VALUE!</v>
      </c>
      <c r="D345" s="7" t="e">
        <f t="shared" si="32"/>
        <v>#VALUE!</v>
      </c>
      <c r="E345" s="7" t="e">
        <f>IF((C344-1)&lt;$E$17,0,C344*LeasingHab!$E$17)</f>
        <v>#VALUE!</v>
      </c>
      <c r="F345" s="8" t="e">
        <f>IF((C344-1)&lt;$E$17,"0",IF(LeasingHab!$D$27="Si",($C$19*(VLOOKUP(LeasingHab!$C$23,Seguros_Oblig!$A$3:$F$55,6,FALSE))),IF(LeasingHab!$C$10="TARIFA 1",(C344*(VLOOKUP(LeasingHab!$C$23,Seguros_Oblig!$A$3:$B$55,2,FALSE))),(C344*(VLOOKUP(LeasingHab!$C$23,Seguros_Oblig!$A$3:$D$55,4,FALSE))))))</f>
        <v>#VALUE!</v>
      </c>
      <c r="G345" s="8" t="e">
        <f>IF(LeasingHab!$C$10="TARIFA 1",(C344*(VLOOKUP(LeasingHab!$C$24,Seguros_Oblig!$A$3:$B$55,2,FALSE))),(C344*(VLOOKUP(LeasingHab!$C$24,Seguros_Oblig!$A$3:$D$55,4,FALSE))))</f>
        <v>#VALUE!</v>
      </c>
      <c r="H345" s="8" t="e">
        <f>IF(LeasingHab!$C$10="TARIFA 1",(C344*(VLOOKUP(LeasingHab!$C$25,Seguros_Oblig!$A$3:$B$55,2,FALSE))),(C344*(VLOOKUP(LeasingHab!$C$25,Seguros_Oblig!$A$3:$D$55,4,FALSE))))</f>
        <v>#VALUE!</v>
      </c>
      <c r="I345" s="8" t="e">
        <f>IF(LeasingHab!$C$10="TARIFA 1",(C344*(VLOOKUP(LeasingHab!$C$26,Seguros_Oblig!$A$3:$B$55,2,FALSE))),(C344*(VLOOKUP(LeasingHab!$C$26,Seguros_Oblig!$A$3:$D$55,4,FALSE))))</f>
        <v>#VALUE!</v>
      </c>
      <c r="J345" s="10">
        <f t="shared" si="33"/>
        <v>0</v>
      </c>
      <c r="K345" s="7" t="e">
        <f>IF((C344-1)&lt;$E$17,0,Seguros_Oblig!$K$2*(LeasingHab!$C$12*90%))</f>
        <v>#VALUE!</v>
      </c>
      <c r="L345" s="7" t="e">
        <f>IF(B345&gt;LeasingHab!$C$18,0,PMT(LeasingHab!$E$17,LeasingHab!$C$18,-LeasingHab!$C$15,,)-PMT(LeasingHab!$E$17,LeasingHab!$C$18,-LeasingHab!$C$22)+LeasingHab!$C$22*LeasingHab!$E$17)</f>
        <v>#VALUE!</v>
      </c>
      <c r="M345" s="9" t="e">
        <f t="shared" si="34"/>
        <v>#VALUE!</v>
      </c>
      <c r="N345" s="7" t="e">
        <f>IF((C344-1)&lt;$E$17,0,LeasingHab!$C$39)</f>
        <v>#VALUE!</v>
      </c>
      <c r="O345" s="9" t="e">
        <f t="shared" si="35"/>
        <v>#VALUE!</v>
      </c>
    </row>
    <row r="346" spans="2:15" ht="15.5" hidden="1" x14ac:dyDescent="0.35">
      <c r="B346" s="6" t="e">
        <f t="shared" ref="B346:B379" si="36">IF(C345&gt;1,B345+1," ")</f>
        <v>#VALUE!</v>
      </c>
      <c r="C346" s="7" t="e">
        <f t="shared" si="31"/>
        <v>#VALUE!</v>
      </c>
      <c r="D346" s="7" t="e">
        <f t="shared" si="32"/>
        <v>#VALUE!</v>
      </c>
      <c r="E346" s="7" t="e">
        <f>IF((C345-1)&lt;$E$17,0,C345*LeasingHab!$E$17)</f>
        <v>#VALUE!</v>
      </c>
      <c r="F346" s="8" t="e">
        <f>IF((C345-1)&lt;$E$17,"0",IF(LeasingHab!$D$27="Si",($C$19*(VLOOKUP(LeasingHab!$C$23,Seguros_Oblig!$A$3:$F$55,6,FALSE))),IF(LeasingHab!$C$10="TARIFA 1",(C345*(VLOOKUP(LeasingHab!$C$23,Seguros_Oblig!$A$3:$B$55,2,FALSE))),(C345*(VLOOKUP(LeasingHab!$C$23,Seguros_Oblig!$A$3:$D$55,4,FALSE))))))</f>
        <v>#VALUE!</v>
      </c>
      <c r="G346" s="8" t="e">
        <f>IF(LeasingHab!$C$10="TARIFA 1",(C345*(VLOOKUP(LeasingHab!$C$24,Seguros_Oblig!$A$3:$B$55,2,FALSE))),(C345*(VLOOKUP(LeasingHab!$C$24,Seguros_Oblig!$A$3:$D$55,4,FALSE))))</f>
        <v>#VALUE!</v>
      </c>
      <c r="H346" s="8" t="e">
        <f>IF(LeasingHab!$C$10="TARIFA 1",(C345*(VLOOKUP(LeasingHab!$C$25,Seguros_Oblig!$A$3:$B$55,2,FALSE))),(C345*(VLOOKUP(LeasingHab!$C$25,Seguros_Oblig!$A$3:$D$55,4,FALSE))))</f>
        <v>#VALUE!</v>
      </c>
      <c r="I346" s="8" t="e">
        <f>IF(LeasingHab!$C$10="TARIFA 1",(C345*(VLOOKUP(LeasingHab!$C$26,Seguros_Oblig!$A$3:$B$55,2,FALSE))),(C345*(VLOOKUP(LeasingHab!$C$26,Seguros_Oblig!$A$3:$D$55,4,FALSE))))</f>
        <v>#VALUE!</v>
      </c>
      <c r="J346" s="10">
        <f t="shared" si="33"/>
        <v>0</v>
      </c>
      <c r="K346" s="7" t="e">
        <f>IF((C345-1)&lt;$E$17,0,Seguros_Oblig!$K$2*(LeasingHab!$C$12*90%))</f>
        <v>#VALUE!</v>
      </c>
      <c r="L346" s="7" t="e">
        <f>IF(B346&gt;LeasingHab!$C$18,0,PMT(LeasingHab!$E$17,LeasingHab!$C$18,-LeasingHab!$C$15,,)-PMT(LeasingHab!$E$17,LeasingHab!$C$18,-LeasingHab!$C$22)+LeasingHab!$C$22*LeasingHab!$E$17)</f>
        <v>#VALUE!</v>
      </c>
      <c r="M346" s="9" t="e">
        <f t="shared" si="34"/>
        <v>#VALUE!</v>
      </c>
      <c r="N346" s="7" t="e">
        <f>IF((C345-1)&lt;$E$17,0,LeasingHab!$C$39)</f>
        <v>#VALUE!</v>
      </c>
      <c r="O346" s="9" t="e">
        <f t="shared" si="35"/>
        <v>#VALUE!</v>
      </c>
    </row>
    <row r="347" spans="2:15" ht="15.5" hidden="1" x14ac:dyDescent="0.35">
      <c r="B347" s="6" t="e">
        <f t="shared" si="36"/>
        <v>#VALUE!</v>
      </c>
      <c r="C347" s="7" t="e">
        <f t="shared" si="31"/>
        <v>#VALUE!</v>
      </c>
      <c r="D347" s="7" t="e">
        <f t="shared" si="32"/>
        <v>#VALUE!</v>
      </c>
      <c r="E347" s="7" t="e">
        <f>IF((C346-1)&lt;$E$17,0,C346*LeasingHab!$E$17)</f>
        <v>#VALUE!</v>
      </c>
      <c r="F347" s="8" t="e">
        <f>IF((C346-1)&lt;$E$17,"0",IF(LeasingHab!$D$27="Si",($C$19*(VLOOKUP(LeasingHab!$C$23,Seguros_Oblig!$A$3:$F$55,6,FALSE))),IF(LeasingHab!$C$10="TARIFA 1",(C346*(VLOOKUP(LeasingHab!$C$23,Seguros_Oblig!$A$3:$B$55,2,FALSE))),(C346*(VLOOKUP(LeasingHab!$C$23,Seguros_Oblig!$A$3:$D$55,4,FALSE))))))</f>
        <v>#VALUE!</v>
      </c>
      <c r="G347" s="8" t="e">
        <f>IF(LeasingHab!$C$10="TARIFA 1",(C346*(VLOOKUP(LeasingHab!$C$24,Seguros_Oblig!$A$3:$B$55,2,FALSE))),(C346*(VLOOKUP(LeasingHab!$C$24,Seguros_Oblig!$A$3:$D$55,4,FALSE))))</f>
        <v>#VALUE!</v>
      </c>
      <c r="H347" s="8" t="e">
        <f>IF(LeasingHab!$C$10="TARIFA 1",(C346*(VLOOKUP(LeasingHab!$C$25,Seguros_Oblig!$A$3:$B$55,2,FALSE))),(C346*(VLOOKUP(LeasingHab!$C$25,Seguros_Oblig!$A$3:$D$55,4,FALSE))))</f>
        <v>#VALUE!</v>
      </c>
      <c r="I347" s="8" t="e">
        <f>IF(LeasingHab!$C$10="TARIFA 1",(C346*(VLOOKUP(LeasingHab!$C$26,Seguros_Oblig!$A$3:$B$55,2,FALSE))),(C346*(VLOOKUP(LeasingHab!$C$26,Seguros_Oblig!$A$3:$D$55,4,FALSE))))</f>
        <v>#VALUE!</v>
      </c>
      <c r="J347" s="10">
        <f t="shared" si="33"/>
        <v>0</v>
      </c>
      <c r="K347" s="7" t="e">
        <f>IF((C346-1)&lt;$E$17,0,Seguros_Oblig!$K$2*(LeasingHab!$C$12*90%))</f>
        <v>#VALUE!</v>
      </c>
      <c r="L347" s="7" t="e">
        <f>IF(B347&gt;LeasingHab!$C$18,0,PMT(LeasingHab!$E$17,LeasingHab!$C$18,-LeasingHab!$C$15,,)-PMT(LeasingHab!$E$17,LeasingHab!$C$18,-LeasingHab!$C$22)+LeasingHab!$C$22*LeasingHab!$E$17)</f>
        <v>#VALUE!</v>
      </c>
      <c r="M347" s="9" t="e">
        <f t="shared" si="34"/>
        <v>#VALUE!</v>
      </c>
      <c r="N347" s="7" t="e">
        <f>IF((C346-1)&lt;$E$17,0,LeasingHab!$C$39)</f>
        <v>#VALUE!</v>
      </c>
      <c r="O347" s="9" t="e">
        <f t="shared" si="35"/>
        <v>#VALUE!</v>
      </c>
    </row>
    <row r="348" spans="2:15" ht="15.5" hidden="1" x14ac:dyDescent="0.35">
      <c r="B348" s="6" t="e">
        <f t="shared" si="36"/>
        <v>#VALUE!</v>
      </c>
      <c r="C348" s="7" t="e">
        <f t="shared" si="31"/>
        <v>#VALUE!</v>
      </c>
      <c r="D348" s="7" t="e">
        <f t="shared" si="32"/>
        <v>#VALUE!</v>
      </c>
      <c r="E348" s="7" t="e">
        <f>IF((C347-1)&lt;$E$17,0,C347*LeasingHab!$E$17)</f>
        <v>#VALUE!</v>
      </c>
      <c r="F348" s="8" t="e">
        <f>IF((C347-1)&lt;$E$17,"0",IF(LeasingHab!$D$27="Si",($C$19*(VLOOKUP(LeasingHab!$C$23,Seguros_Oblig!$A$3:$F$55,6,FALSE))),IF(LeasingHab!$C$10="TARIFA 1",(C347*(VLOOKUP(LeasingHab!$C$23,Seguros_Oblig!$A$3:$B$55,2,FALSE))),(C347*(VLOOKUP(LeasingHab!$C$23,Seguros_Oblig!$A$3:$D$55,4,FALSE))))))</f>
        <v>#VALUE!</v>
      </c>
      <c r="G348" s="8" t="e">
        <f>IF(LeasingHab!$C$10="TARIFA 1",(C347*(VLOOKUP(LeasingHab!$C$24,Seguros_Oblig!$A$3:$B$55,2,FALSE))),(C347*(VLOOKUP(LeasingHab!$C$24,Seguros_Oblig!$A$3:$D$55,4,FALSE))))</f>
        <v>#VALUE!</v>
      </c>
      <c r="H348" s="8" t="e">
        <f>IF(LeasingHab!$C$10="TARIFA 1",(C347*(VLOOKUP(LeasingHab!$C$25,Seguros_Oblig!$A$3:$B$55,2,FALSE))),(C347*(VLOOKUP(LeasingHab!$C$25,Seguros_Oblig!$A$3:$D$55,4,FALSE))))</f>
        <v>#VALUE!</v>
      </c>
      <c r="I348" s="8" t="e">
        <f>IF(LeasingHab!$C$10="TARIFA 1",(C347*(VLOOKUP(LeasingHab!$C$26,Seguros_Oblig!$A$3:$B$55,2,FALSE))),(C347*(VLOOKUP(LeasingHab!$C$26,Seguros_Oblig!$A$3:$D$55,4,FALSE))))</f>
        <v>#VALUE!</v>
      </c>
      <c r="J348" s="10">
        <f t="shared" si="33"/>
        <v>0</v>
      </c>
      <c r="K348" s="7" t="e">
        <f>IF((C347-1)&lt;$E$17,0,Seguros_Oblig!$K$2*(LeasingHab!$C$12*90%))</f>
        <v>#VALUE!</v>
      </c>
      <c r="L348" s="7" t="e">
        <f>IF(B348&gt;LeasingHab!$C$18,0,PMT(LeasingHab!$E$17,LeasingHab!$C$18,-LeasingHab!$C$15,,)-PMT(LeasingHab!$E$17,LeasingHab!$C$18,-LeasingHab!$C$22)+LeasingHab!$C$22*LeasingHab!$E$17)</f>
        <v>#VALUE!</v>
      </c>
      <c r="M348" s="9" t="e">
        <f t="shared" si="34"/>
        <v>#VALUE!</v>
      </c>
      <c r="N348" s="7" t="e">
        <f>IF((C347-1)&lt;$E$17,0,LeasingHab!$C$39)</f>
        <v>#VALUE!</v>
      </c>
      <c r="O348" s="9" t="e">
        <f t="shared" si="35"/>
        <v>#VALUE!</v>
      </c>
    </row>
    <row r="349" spans="2:15" ht="15.5" hidden="1" x14ac:dyDescent="0.35">
      <c r="B349" s="6" t="e">
        <f t="shared" si="36"/>
        <v>#VALUE!</v>
      </c>
      <c r="C349" s="7" t="e">
        <f t="shared" si="31"/>
        <v>#VALUE!</v>
      </c>
      <c r="D349" s="7" t="e">
        <f t="shared" si="32"/>
        <v>#VALUE!</v>
      </c>
      <c r="E349" s="7" t="e">
        <f>IF((C348-1)&lt;$E$17,0,C348*LeasingHab!$E$17)</f>
        <v>#VALUE!</v>
      </c>
      <c r="F349" s="8" t="e">
        <f>IF((C348-1)&lt;$E$17,"0",IF(LeasingHab!$D$27="Si",($C$19*(VLOOKUP(LeasingHab!$C$23,Seguros_Oblig!$A$3:$F$55,6,FALSE))),IF(LeasingHab!$C$10="TARIFA 1",(C348*(VLOOKUP(LeasingHab!$C$23,Seguros_Oblig!$A$3:$B$55,2,FALSE))),(C348*(VLOOKUP(LeasingHab!$C$23,Seguros_Oblig!$A$3:$D$55,4,FALSE))))))</f>
        <v>#VALUE!</v>
      </c>
      <c r="G349" s="8" t="e">
        <f>IF(LeasingHab!$C$10="TARIFA 1",(C348*(VLOOKUP(LeasingHab!$C$24,Seguros_Oblig!$A$3:$B$55,2,FALSE))),(C348*(VLOOKUP(LeasingHab!$C$24,Seguros_Oblig!$A$3:$D$55,4,FALSE))))</f>
        <v>#VALUE!</v>
      </c>
      <c r="H349" s="8" t="e">
        <f>IF(LeasingHab!$C$10="TARIFA 1",(C348*(VLOOKUP(LeasingHab!$C$25,Seguros_Oblig!$A$3:$B$55,2,FALSE))),(C348*(VLOOKUP(LeasingHab!$C$25,Seguros_Oblig!$A$3:$D$55,4,FALSE))))</f>
        <v>#VALUE!</v>
      </c>
      <c r="I349" s="8" t="e">
        <f>IF(LeasingHab!$C$10="TARIFA 1",(C348*(VLOOKUP(LeasingHab!$C$26,Seguros_Oblig!$A$3:$B$55,2,FALSE))),(C348*(VLOOKUP(LeasingHab!$C$26,Seguros_Oblig!$A$3:$D$55,4,FALSE))))</f>
        <v>#VALUE!</v>
      </c>
      <c r="J349" s="10">
        <f t="shared" si="33"/>
        <v>0</v>
      </c>
      <c r="K349" s="7" t="e">
        <f>IF((C348-1)&lt;$E$17,0,Seguros_Oblig!$K$2*(LeasingHab!$C$12*90%))</f>
        <v>#VALUE!</v>
      </c>
      <c r="L349" s="7" t="e">
        <f>IF(B349&gt;LeasingHab!$C$18,0,PMT(LeasingHab!$E$17,LeasingHab!$C$18,-LeasingHab!$C$15,,)-PMT(LeasingHab!$E$17,LeasingHab!$C$18,-LeasingHab!$C$22)+LeasingHab!$C$22*LeasingHab!$E$17)</f>
        <v>#VALUE!</v>
      </c>
      <c r="M349" s="9" t="e">
        <f t="shared" si="34"/>
        <v>#VALUE!</v>
      </c>
      <c r="N349" s="7" t="e">
        <f>IF((C348-1)&lt;$E$17,0,LeasingHab!$C$39)</f>
        <v>#VALUE!</v>
      </c>
      <c r="O349" s="9" t="e">
        <f t="shared" si="35"/>
        <v>#VALUE!</v>
      </c>
    </row>
    <row r="350" spans="2:15" ht="15.5" hidden="1" x14ac:dyDescent="0.35">
      <c r="B350" s="6" t="e">
        <f t="shared" si="36"/>
        <v>#VALUE!</v>
      </c>
      <c r="C350" s="7" t="e">
        <f t="shared" si="31"/>
        <v>#VALUE!</v>
      </c>
      <c r="D350" s="7" t="e">
        <f t="shared" si="32"/>
        <v>#VALUE!</v>
      </c>
      <c r="E350" s="7" t="e">
        <f>IF((C349-1)&lt;$E$17,0,C349*LeasingHab!$E$17)</f>
        <v>#VALUE!</v>
      </c>
      <c r="F350" s="8" t="e">
        <f>IF((C349-1)&lt;$E$17,"0",IF(LeasingHab!$D$27="Si",($C$19*(VLOOKUP(LeasingHab!$C$23,Seguros_Oblig!$A$3:$F$55,6,FALSE))),IF(LeasingHab!$C$10="TARIFA 1",(C349*(VLOOKUP(LeasingHab!$C$23,Seguros_Oblig!$A$3:$B$55,2,FALSE))),(C349*(VLOOKUP(LeasingHab!$C$23,Seguros_Oblig!$A$3:$D$55,4,FALSE))))))</f>
        <v>#VALUE!</v>
      </c>
      <c r="G350" s="8" t="e">
        <f>IF(LeasingHab!$C$10="TARIFA 1",(C349*(VLOOKUP(LeasingHab!$C$24,Seguros_Oblig!$A$3:$B$55,2,FALSE))),(C349*(VLOOKUP(LeasingHab!$C$24,Seguros_Oblig!$A$3:$D$55,4,FALSE))))</f>
        <v>#VALUE!</v>
      </c>
      <c r="H350" s="8" t="e">
        <f>IF(LeasingHab!$C$10="TARIFA 1",(C349*(VLOOKUP(LeasingHab!$C$25,Seguros_Oblig!$A$3:$B$55,2,FALSE))),(C349*(VLOOKUP(LeasingHab!$C$25,Seguros_Oblig!$A$3:$D$55,4,FALSE))))</f>
        <v>#VALUE!</v>
      </c>
      <c r="I350" s="8" t="e">
        <f>IF(LeasingHab!$C$10="TARIFA 1",(C349*(VLOOKUP(LeasingHab!$C$26,Seguros_Oblig!$A$3:$B$55,2,FALSE))),(C349*(VLOOKUP(LeasingHab!$C$26,Seguros_Oblig!$A$3:$D$55,4,FALSE))))</f>
        <v>#VALUE!</v>
      </c>
      <c r="J350" s="10">
        <f t="shared" si="33"/>
        <v>0</v>
      </c>
      <c r="K350" s="7" t="e">
        <f>IF((C349-1)&lt;$E$17,0,Seguros_Oblig!$K$2*(LeasingHab!$C$12*90%))</f>
        <v>#VALUE!</v>
      </c>
      <c r="L350" s="7" t="e">
        <f>IF(B350&gt;LeasingHab!$C$18,0,PMT(LeasingHab!$E$17,LeasingHab!$C$18,-LeasingHab!$C$15,,)-PMT(LeasingHab!$E$17,LeasingHab!$C$18,-LeasingHab!$C$22)+LeasingHab!$C$22*LeasingHab!$E$17)</f>
        <v>#VALUE!</v>
      </c>
      <c r="M350" s="9" t="e">
        <f t="shared" si="34"/>
        <v>#VALUE!</v>
      </c>
      <c r="N350" s="7" t="e">
        <f>IF((C349-1)&lt;$E$17,0,LeasingHab!$C$39)</f>
        <v>#VALUE!</v>
      </c>
      <c r="O350" s="9" t="e">
        <f t="shared" si="35"/>
        <v>#VALUE!</v>
      </c>
    </row>
    <row r="351" spans="2:15" ht="15.5" hidden="1" x14ac:dyDescent="0.35">
      <c r="B351" s="6" t="e">
        <f t="shared" si="36"/>
        <v>#VALUE!</v>
      </c>
      <c r="C351" s="7" t="e">
        <f t="shared" si="31"/>
        <v>#VALUE!</v>
      </c>
      <c r="D351" s="7" t="e">
        <f t="shared" si="32"/>
        <v>#VALUE!</v>
      </c>
      <c r="E351" s="7" t="e">
        <f>IF((C350-1)&lt;$E$17,0,C350*LeasingHab!$E$17)</f>
        <v>#VALUE!</v>
      </c>
      <c r="F351" s="8" t="e">
        <f>IF((C350-1)&lt;$E$17,"0",IF(LeasingHab!$D$27="Si",($C$19*(VLOOKUP(LeasingHab!$C$23,Seguros_Oblig!$A$3:$F$55,6,FALSE))),IF(LeasingHab!$C$10="TARIFA 1",(C350*(VLOOKUP(LeasingHab!$C$23,Seguros_Oblig!$A$3:$B$55,2,FALSE))),(C350*(VLOOKUP(LeasingHab!$C$23,Seguros_Oblig!$A$3:$D$55,4,FALSE))))))</f>
        <v>#VALUE!</v>
      </c>
      <c r="G351" s="8" t="e">
        <f>IF(LeasingHab!$C$10="TARIFA 1",(C350*(VLOOKUP(LeasingHab!$C$24,Seguros_Oblig!$A$3:$B$55,2,FALSE))),(C350*(VLOOKUP(LeasingHab!$C$24,Seguros_Oblig!$A$3:$D$55,4,FALSE))))</f>
        <v>#VALUE!</v>
      </c>
      <c r="H351" s="8" t="e">
        <f>IF(LeasingHab!$C$10="TARIFA 1",(C350*(VLOOKUP(LeasingHab!$C$25,Seguros_Oblig!$A$3:$B$55,2,FALSE))),(C350*(VLOOKUP(LeasingHab!$C$25,Seguros_Oblig!$A$3:$D$55,4,FALSE))))</f>
        <v>#VALUE!</v>
      </c>
      <c r="I351" s="8" t="e">
        <f>IF(LeasingHab!$C$10="TARIFA 1",(C350*(VLOOKUP(LeasingHab!$C$26,Seguros_Oblig!$A$3:$B$55,2,FALSE))),(C350*(VLOOKUP(LeasingHab!$C$26,Seguros_Oblig!$A$3:$D$55,4,FALSE))))</f>
        <v>#VALUE!</v>
      </c>
      <c r="J351" s="10">
        <f t="shared" si="33"/>
        <v>0</v>
      </c>
      <c r="K351" s="7" t="e">
        <f>IF((C350-1)&lt;$E$17,0,Seguros_Oblig!$K$2*(LeasingHab!$C$12*90%))</f>
        <v>#VALUE!</v>
      </c>
      <c r="L351" s="7" t="e">
        <f>IF(B351&gt;LeasingHab!$C$18,0,PMT(LeasingHab!$E$17,LeasingHab!$C$18,-LeasingHab!$C$15,,)-PMT(LeasingHab!$E$17,LeasingHab!$C$18,-LeasingHab!$C$22)+LeasingHab!$C$22*LeasingHab!$E$17)</f>
        <v>#VALUE!</v>
      </c>
      <c r="M351" s="9" t="e">
        <f t="shared" si="34"/>
        <v>#VALUE!</v>
      </c>
      <c r="N351" s="7" t="e">
        <f>IF((C350-1)&lt;$E$17,0,LeasingHab!$C$39)</f>
        <v>#VALUE!</v>
      </c>
      <c r="O351" s="9" t="e">
        <f t="shared" si="35"/>
        <v>#VALUE!</v>
      </c>
    </row>
    <row r="352" spans="2:15" ht="15.5" hidden="1" x14ac:dyDescent="0.35">
      <c r="B352" s="6" t="e">
        <f t="shared" si="36"/>
        <v>#VALUE!</v>
      </c>
      <c r="C352" s="7" t="e">
        <f t="shared" si="31"/>
        <v>#VALUE!</v>
      </c>
      <c r="D352" s="7" t="e">
        <f t="shared" si="32"/>
        <v>#VALUE!</v>
      </c>
      <c r="E352" s="7" t="e">
        <f>IF((C351-1)&lt;$E$17,0,C351*LeasingHab!$E$17)</f>
        <v>#VALUE!</v>
      </c>
      <c r="F352" s="8" t="e">
        <f>IF((C351-1)&lt;$E$17,"0",IF(LeasingHab!$D$27="Si",($C$19*(VLOOKUP(LeasingHab!$C$23,Seguros_Oblig!$A$3:$F$55,6,FALSE))),IF(LeasingHab!$C$10="TARIFA 1",(C351*(VLOOKUP(LeasingHab!$C$23,Seguros_Oblig!$A$3:$B$55,2,FALSE))),(C351*(VLOOKUP(LeasingHab!$C$23,Seguros_Oblig!$A$3:$D$55,4,FALSE))))))</f>
        <v>#VALUE!</v>
      </c>
      <c r="G352" s="8" t="e">
        <f>IF(LeasingHab!$C$10="TARIFA 1",(C351*(VLOOKUP(LeasingHab!$C$24,Seguros_Oblig!$A$3:$B$55,2,FALSE))),(C351*(VLOOKUP(LeasingHab!$C$24,Seguros_Oblig!$A$3:$D$55,4,FALSE))))</f>
        <v>#VALUE!</v>
      </c>
      <c r="H352" s="8" t="e">
        <f>IF(LeasingHab!$C$10="TARIFA 1",(C351*(VLOOKUP(LeasingHab!$C$25,Seguros_Oblig!$A$3:$B$55,2,FALSE))),(C351*(VLOOKUP(LeasingHab!$C$25,Seguros_Oblig!$A$3:$D$55,4,FALSE))))</f>
        <v>#VALUE!</v>
      </c>
      <c r="I352" s="8" t="e">
        <f>IF(LeasingHab!$C$10="TARIFA 1",(C351*(VLOOKUP(LeasingHab!$C$26,Seguros_Oblig!$A$3:$B$55,2,FALSE))),(C351*(VLOOKUP(LeasingHab!$C$26,Seguros_Oblig!$A$3:$D$55,4,FALSE))))</f>
        <v>#VALUE!</v>
      </c>
      <c r="J352" s="10">
        <f t="shared" si="33"/>
        <v>0</v>
      </c>
      <c r="K352" s="7" t="e">
        <f>IF((C351-1)&lt;$E$17,0,Seguros_Oblig!$K$2*(LeasingHab!$C$12*90%))</f>
        <v>#VALUE!</v>
      </c>
      <c r="L352" s="7" t="e">
        <f>IF(B352&gt;LeasingHab!$C$18,0,PMT(LeasingHab!$E$17,LeasingHab!$C$18,-LeasingHab!$C$15,,)-PMT(LeasingHab!$E$17,LeasingHab!$C$18,-LeasingHab!$C$22)+LeasingHab!$C$22*LeasingHab!$E$17)</f>
        <v>#VALUE!</v>
      </c>
      <c r="M352" s="9" t="e">
        <f t="shared" si="34"/>
        <v>#VALUE!</v>
      </c>
      <c r="N352" s="7" t="e">
        <f>IF((C351-1)&lt;$E$17,0,LeasingHab!$C$39)</f>
        <v>#VALUE!</v>
      </c>
      <c r="O352" s="9" t="e">
        <f t="shared" si="35"/>
        <v>#VALUE!</v>
      </c>
    </row>
    <row r="353" spans="2:15" ht="15.5" hidden="1" x14ac:dyDescent="0.35">
      <c r="B353" s="6" t="e">
        <f t="shared" si="36"/>
        <v>#VALUE!</v>
      </c>
      <c r="C353" s="7" t="e">
        <f t="shared" si="31"/>
        <v>#VALUE!</v>
      </c>
      <c r="D353" s="7" t="e">
        <f t="shared" si="32"/>
        <v>#VALUE!</v>
      </c>
      <c r="E353" s="7" t="e">
        <f>IF((C352-1)&lt;$E$17,0,C352*LeasingHab!$E$17)</f>
        <v>#VALUE!</v>
      </c>
      <c r="F353" s="8" t="e">
        <f>IF((C352-1)&lt;$E$17,"0",IF(LeasingHab!$D$27="Si",($C$19*(VLOOKUP(LeasingHab!$C$23,Seguros_Oblig!$A$3:$F$55,6,FALSE))),IF(LeasingHab!$C$10="TARIFA 1",(C352*(VLOOKUP(LeasingHab!$C$23,Seguros_Oblig!$A$3:$B$55,2,FALSE))),(C352*(VLOOKUP(LeasingHab!$C$23,Seguros_Oblig!$A$3:$D$55,4,FALSE))))))</f>
        <v>#VALUE!</v>
      </c>
      <c r="G353" s="8" t="e">
        <f>IF(LeasingHab!$C$10="TARIFA 1",(C352*(VLOOKUP(LeasingHab!$C$24,Seguros_Oblig!$A$3:$B$55,2,FALSE))),(C352*(VLOOKUP(LeasingHab!$C$24,Seguros_Oblig!$A$3:$D$55,4,FALSE))))</f>
        <v>#VALUE!</v>
      </c>
      <c r="H353" s="8" t="e">
        <f>IF(LeasingHab!$C$10="TARIFA 1",(C352*(VLOOKUP(LeasingHab!$C$25,Seguros_Oblig!$A$3:$B$55,2,FALSE))),(C352*(VLOOKUP(LeasingHab!$C$25,Seguros_Oblig!$A$3:$D$55,4,FALSE))))</f>
        <v>#VALUE!</v>
      </c>
      <c r="I353" s="8" t="e">
        <f>IF(LeasingHab!$C$10="TARIFA 1",(C352*(VLOOKUP(LeasingHab!$C$26,Seguros_Oblig!$A$3:$B$55,2,FALSE))),(C352*(VLOOKUP(LeasingHab!$C$26,Seguros_Oblig!$A$3:$D$55,4,FALSE))))</f>
        <v>#VALUE!</v>
      </c>
      <c r="J353" s="10">
        <f t="shared" si="33"/>
        <v>0</v>
      </c>
      <c r="K353" s="7" t="e">
        <f>IF((C352-1)&lt;$E$17,0,Seguros_Oblig!$K$2*(LeasingHab!$C$12*90%))</f>
        <v>#VALUE!</v>
      </c>
      <c r="L353" s="7" t="e">
        <f>IF(B353&gt;LeasingHab!$C$18,0,PMT(LeasingHab!$E$17,LeasingHab!$C$18,-LeasingHab!$C$15,,)-PMT(LeasingHab!$E$17,LeasingHab!$C$18,-LeasingHab!$C$22)+LeasingHab!$C$22*LeasingHab!$E$17)</f>
        <v>#VALUE!</v>
      </c>
      <c r="M353" s="9" t="e">
        <f t="shared" si="34"/>
        <v>#VALUE!</v>
      </c>
      <c r="N353" s="7" t="e">
        <f>IF((C352-1)&lt;$E$17,0,LeasingHab!$C$39)</f>
        <v>#VALUE!</v>
      </c>
      <c r="O353" s="9" t="e">
        <f t="shared" si="35"/>
        <v>#VALUE!</v>
      </c>
    </row>
    <row r="354" spans="2:15" ht="15.5" hidden="1" x14ac:dyDescent="0.35">
      <c r="B354" s="6" t="e">
        <f t="shared" si="36"/>
        <v>#VALUE!</v>
      </c>
      <c r="C354" s="7" t="e">
        <f t="shared" si="31"/>
        <v>#VALUE!</v>
      </c>
      <c r="D354" s="7" t="e">
        <f t="shared" si="32"/>
        <v>#VALUE!</v>
      </c>
      <c r="E354" s="7" t="e">
        <f>IF((C353-1)&lt;$E$17,0,C353*LeasingHab!$E$17)</f>
        <v>#VALUE!</v>
      </c>
      <c r="F354" s="8" t="e">
        <f>IF((C353-1)&lt;$E$17,"0",IF(LeasingHab!$D$27="Si",($C$19*(VLOOKUP(LeasingHab!$C$23,Seguros_Oblig!$A$3:$F$55,6,FALSE))),IF(LeasingHab!$C$10="TARIFA 1",(C353*(VLOOKUP(LeasingHab!$C$23,Seguros_Oblig!$A$3:$B$55,2,FALSE))),(C353*(VLOOKUP(LeasingHab!$C$23,Seguros_Oblig!$A$3:$D$55,4,FALSE))))))</f>
        <v>#VALUE!</v>
      </c>
      <c r="G354" s="8" t="e">
        <f>IF(LeasingHab!$C$10="TARIFA 1",(C353*(VLOOKUP(LeasingHab!$C$24,Seguros_Oblig!$A$3:$B$55,2,FALSE))),(C353*(VLOOKUP(LeasingHab!$C$24,Seguros_Oblig!$A$3:$D$55,4,FALSE))))</f>
        <v>#VALUE!</v>
      </c>
      <c r="H354" s="8" t="e">
        <f>IF(LeasingHab!$C$10="TARIFA 1",(C353*(VLOOKUP(LeasingHab!$C$25,Seguros_Oblig!$A$3:$B$55,2,FALSE))),(C353*(VLOOKUP(LeasingHab!$C$25,Seguros_Oblig!$A$3:$D$55,4,FALSE))))</f>
        <v>#VALUE!</v>
      </c>
      <c r="I354" s="8" t="e">
        <f>IF(LeasingHab!$C$10="TARIFA 1",(C353*(VLOOKUP(LeasingHab!$C$26,Seguros_Oblig!$A$3:$B$55,2,FALSE))),(C353*(VLOOKUP(LeasingHab!$C$26,Seguros_Oblig!$A$3:$D$55,4,FALSE))))</f>
        <v>#VALUE!</v>
      </c>
      <c r="J354" s="10">
        <f t="shared" si="33"/>
        <v>0</v>
      </c>
      <c r="K354" s="7" t="e">
        <f>IF((C353-1)&lt;$E$17,0,Seguros_Oblig!$K$2*(LeasingHab!$C$12*90%))</f>
        <v>#VALUE!</v>
      </c>
      <c r="L354" s="7" t="e">
        <f>IF(B354&gt;LeasingHab!$C$18,0,PMT(LeasingHab!$E$17,LeasingHab!$C$18,-LeasingHab!$C$15,,)-PMT(LeasingHab!$E$17,LeasingHab!$C$18,-LeasingHab!$C$22)+LeasingHab!$C$22*LeasingHab!$E$17)</f>
        <v>#VALUE!</v>
      </c>
      <c r="M354" s="9" t="e">
        <f t="shared" si="34"/>
        <v>#VALUE!</v>
      </c>
      <c r="N354" s="7" t="e">
        <f>IF((C353-1)&lt;$E$17,0,LeasingHab!$C$39)</f>
        <v>#VALUE!</v>
      </c>
      <c r="O354" s="9" t="e">
        <f t="shared" si="35"/>
        <v>#VALUE!</v>
      </c>
    </row>
    <row r="355" spans="2:15" ht="15.5" hidden="1" x14ac:dyDescent="0.35">
      <c r="B355" s="6" t="e">
        <f t="shared" si="36"/>
        <v>#VALUE!</v>
      </c>
      <c r="C355" s="7" t="e">
        <f t="shared" si="31"/>
        <v>#VALUE!</v>
      </c>
      <c r="D355" s="7" t="e">
        <f t="shared" si="32"/>
        <v>#VALUE!</v>
      </c>
      <c r="E355" s="7" t="e">
        <f>IF((C354-1)&lt;$E$17,0,C354*LeasingHab!$E$17)</f>
        <v>#VALUE!</v>
      </c>
      <c r="F355" s="8" t="e">
        <f>IF((C354-1)&lt;$E$17,"0",IF(LeasingHab!$D$27="Si",($C$19*(VLOOKUP(LeasingHab!$C$23,Seguros_Oblig!$A$3:$F$55,6,FALSE))),IF(LeasingHab!$C$10="TARIFA 1",(C354*(VLOOKUP(LeasingHab!$C$23,Seguros_Oblig!$A$3:$B$55,2,FALSE))),(C354*(VLOOKUP(LeasingHab!$C$23,Seguros_Oblig!$A$3:$D$55,4,FALSE))))))</f>
        <v>#VALUE!</v>
      </c>
      <c r="G355" s="8" t="e">
        <f>IF(LeasingHab!$C$10="TARIFA 1",(C354*(VLOOKUP(LeasingHab!$C$24,Seguros_Oblig!$A$3:$B$55,2,FALSE))),(C354*(VLOOKUP(LeasingHab!$C$24,Seguros_Oblig!$A$3:$D$55,4,FALSE))))</f>
        <v>#VALUE!</v>
      </c>
      <c r="H355" s="8" t="e">
        <f>IF(LeasingHab!$C$10="TARIFA 1",(C354*(VLOOKUP(LeasingHab!$C$25,Seguros_Oblig!$A$3:$B$55,2,FALSE))),(C354*(VLOOKUP(LeasingHab!$C$25,Seguros_Oblig!$A$3:$D$55,4,FALSE))))</f>
        <v>#VALUE!</v>
      </c>
      <c r="I355" s="8" t="e">
        <f>IF(LeasingHab!$C$10="TARIFA 1",(C354*(VLOOKUP(LeasingHab!$C$26,Seguros_Oblig!$A$3:$B$55,2,FALSE))),(C354*(VLOOKUP(LeasingHab!$C$26,Seguros_Oblig!$A$3:$D$55,4,FALSE))))</f>
        <v>#VALUE!</v>
      </c>
      <c r="J355" s="10">
        <f t="shared" si="33"/>
        <v>0</v>
      </c>
      <c r="K355" s="7" t="e">
        <f>IF((C354-1)&lt;$E$17,0,Seguros_Oblig!$K$2*(LeasingHab!$C$12*90%))</f>
        <v>#VALUE!</v>
      </c>
      <c r="L355" s="7" t="e">
        <f>IF(B355&gt;LeasingHab!$C$18,0,PMT(LeasingHab!$E$17,LeasingHab!$C$18,-LeasingHab!$C$15,,)-PMT(LeasingHab!$E$17,LeasingHab!$C$18,-LeasingHab!$C$22)+LeasingHab!$C$22*LeasingHab!$E$17)</f>
        <v>#VALUE!</v>
      </c>
      <c r="M355" s="9" t="e">
        <f t="shared" si="34"/>
        <v>#VALUE!</v>
      </c>
      <c r="N355" s="7" t="e">
        <f>IF((C354-1)&lt;$E$17,0,LeasingHab!$C$39)</f>
        <v>#VALUE!</v>
      </c>
      <c r="O355" s="9" t="e">
        <f t="shared" si="35"/>
        <v>#VALUE!</v>
      </c>
    </row>
    <row r="356" spans="2:15" ht="15.5" hidden="1" x14ac:dyDescent="0.35">
      <c r="B356" s="6" t="e">
        <f t="shared" si="36"/>
        <v>#VALUE!</v>
      </c>
      <c r="C356" s="7" t="e">
        <f t="shared" si="31"/>
        <v>#VALUE!</v>
      </c>
      <c r="D356" s="7" t="e">
        <f t="shared" si="32"/>
        <v>#VALUE!</v>
      </c>
      <c r="E356" s="7" t="e">
        <f>IF((C355-1)&lt;$E$17,0,C355*LeasingHab!$E$17)</f>
        <v>#VALUE!</v>
      </c>
      <c r="F356" s="8" t="e">
        <f>IF((C355-1)&lt;$E$17,"0",IF(LeasingHab!$D$27="Si",($C$19*(VLOOKUP(LeasingHab!$C$23,Seguros_Oblig!$A$3:$F$55,6,FALSE))),IF(LeasingHab!$C$10="TARIFA 1",(C355*(VLOOKUP(LeasingHab!$C$23,Seguros_Oblig!$A$3:$B$55,2,FALSE))),(C355*(VLOOKUP(LeasingHab!$C$23,Seguros_Oblig!$A$3:$D$55,4,FALSE))))))</f>
        <v>#VALUE!</v>
      </c>
      <c r="G356" s="8" t="e">
        <f>IF(LeasingHab!$C$10="TARIFA 1",(C355*(VLOOKUP(LeasingHab!$C$24,Seguros_Oblig!$A$3:$B$55,2,FALSE))),(C355*(VLOOKUP(LeasingHab!$C$24,Seguros_Oblig!$A$3:$D$55,4,FALSE))))</f>
        <v>#VALUE!</v>
      </c>
      <c r="H356" s="8" t="e">
        <f>IF(LeasingHab!$C$10="TARIFA 1",(C355*(VLOOKUP(LeasingHab!$C$25,Seguros_Oblig!$A$3:$B$55,2,FALSE))),(C355*(VLOOKUP(LeasingHab!$C$25,Seguros_Oblig!$A$3:$D$55,4,FALSE))))</f>
        <v>#VALUE!</v>
      </c>
      <c r="I356" s="8" t="e">
        <f>IF(LeasingHab!$C$10="TARIFA 1",(C355*(VLOOKUP(LeasingHab!$C$26,Seguros_Oblig!$A$3:$B$55,2,FALSE))),(C355*(VLOOKUP(LeasingHab!$C$26,Seguros_Oblig!$A$3:$D$55,4,FALSE))))</f>
        <v>#VALUE!</v>
      </c>
      <c r="J356" s="10">
        <f t="shared" si="33"/>
        <v>0</v>
      </c>
      <c r="K356" s="7" t="e">
        <f>IF((C355-1)&lt;$E$17,0,Seguros_Oblig!$K$2*(LeasingHab!$C$12*90%))</f>
        <v>#VALUE!</v>
      </c>
      <c r="L356" s="7" t="e">
        <f>IF(B356&gt;LeasingHab!$C$18,0,PMT(LeasingHab!$E$17,LeasingHab!$C$18,-LeasingHab!$C$15,,)-PMT(LeasingHab!$E$17,LeasingHab!$C$18,-LeasingHab!$C$22)+LeasingHab!$C$22*LeasingHab!$E$17)</f>
        <v>#VALUE!</v>
      </c>
      <c r="M356" s="9" t="e">
        <f t="shared" si="34"/>
        <v>#VALUE!</v>
      </c>
      <c r="N356" s="7" t="e">
        <f>IF((C355-1)&lt;$E$17,0,LeasingHab!$C$39)</f>
        <v>#VALUE!</v>
      </c>
      <c r="O356" s="9" t="e">
        <f t="shared" si="35"/>
        <v>#VALUE!</v>
      </c>
    </row>
    <row r="357" spans="2:15" ht="15.5" hidden="1" x14ac:dyDescent="0.35">
      <c r="B357" s="6" t="e">
        <f t="shared" si="36"/>
        <v>#VALUE!</v>
      </c>
      <c r="C357" s="7" t="e">
        <f t="shared" si="31"/>
        <v>#VALUE!</v>
      </c>
      <c r="D357" s="7" t="e">
        <f t="shared" si="32"/>
        <v>#VALUE!</v>
      </c>
      <c r="E357" s="7" t="e">
        <f>IF((C356-1)&lt;$E$17,0,C356*LeasingHab!$E$17)</f>
        <v>#VALUE!</v>
      </c>
      <c r="F357" s="8" t="e">
        <f>IF((C356-1)&lt;$E$17,"0",IF(LeasingHab!$D$27="Si",($C$19*(VLOOKUP(LeasingHab!$C$23,Seguros_Oblig!$A$3:$F$55,6,FALSE))),IF(LeasingHab!$C$10="TARIFA 1",(C356*(VLOOKUP(LeasingHab!$C$23,Seguros_Oblig!$A$3:$B$55,2,FALSE))),(C356*(VLOOKUP(LeasingHab!$C$23,Seguros_Oblig!$A$3:$D$55,4,FALSE))))))</f>
        <v>#VALUE!</v>
      </c>
      <c r="G357" s="8" t="e">
        <f>IF(LeasingHab!$C$10="TARIFA 1",(C356*(VLOOKUP(LeasingHab!$C$24,Seguros_Oblig!$A$3:$B$55,2,FALSE))),(C356*(VLOOKUP(LeasingHab!$C$24,Seguros_Oblig!$A$3:$D$55,4,FALSE))))</f>
        <v>#VALUE!</v>
      </c>
      <c r="H357" s="8" t="e">
        <f>IF(LeasingHab!$C$10="TARIFA 1",(C356*(VLOOKUP(LeasingHab!$C$25,Seguros_Oblig!$A$3:$B$55,2,FALSE))),(C356*(VLOOKUP(LeasingHab!$C$25,Seguros_Oblig!$A$3:$D$55,4,FALSE))))</f>
        <v>#VALUE!</v>
      </c>
      <c r="I357" s="8" t="e">
        <f>IF(LeasingHab!$C$10="TARIFA 1",(C356*(VLOOKUP(LeasingHab!$C$26,Seguros_Oblig!$A$3:$B$55,2,FALSE))),(C356*(VLOOKUP(LeasingHab!$C$26,Seguros_Oblig!$A$3:$D$55,4,FALSE))))</f>
        <v>#VALUE!</v>
      </c>
      <c r="J357" s="10">
        <f t="shared" si="33"/>
        <v>0</v>
      </c>
      <c r="K357" s="7" t="e">
        <f>IF((C356-1)&lt;$E$17,0,Seguros_Oblig!$K$2*(LeasingHab!$C$12*90%))</f>
        <v>#VALUE!</v>
      </c>
      <c r="L357" s="7" t="e">
        <f>IF(B357&gt;LeasingHab!$C$18,0,PMT(LeasingHab!$E$17,LeasingHab!$C$18,-LeasingHab!$C$15,,)-PMT(LeasingHab!$E$17,LeasingHab!$C$18,-LeasingHab!$C$22)+LeasingHab!$C$22*LeasingHab!$E$17)</f>
        <v>#VALUE!</v>
      </c>
      <c r="M357" s="9" t="e">
        <f t="shared" si="34"/>
        <v>#VALUE!</v>
      </c>
      <c r="N357" s="7" t="e">
        <f>IF((C356-1)&lt;$E$17,0,LeasingHab!$C$39)</f>
        <v>#VALUE!</v>
      </c>
      <c r="O357" s="9" t="e">
        <f t="shared" si="35"/>
        <v>#VALUE!</v>
      </c>
    </row>
    <row r="358" spans="2:15" ht="15.5" hidden="1" x14ac:dyDescent="0.35">
      <c r="B358" s="6" t="e">
        <f t="shared" si="36"/>
        <v>#VALUE!</v>
      </c>
      <c r="C358" s="7" t="e">
        <f t="shared" si="31"/>
        <v>#VALUE!</v>
      </c>
      <c r="D358" s="7" t="e">
        <f t="shared" si="32"/>
        <v>#VALUE!</v>
      </c>
      <c r="E358" s="7" t="e">
        <f>IF((C357-1)&lt;$E$17,0,C357*LeasingHab!$E$17)</f>
        <v>#VALUE!</v>
      </c>
      <c r="F358" s="8" t="e">
        <f>IF((C357-1)&lt;$E$17,"0",IF(LeasingHab!$D$27="Si",($C$19*(VLOOKUP(LeasingHab!$C$23,Seguros_Oblig!$A$3:$F$55,6,FALSE))),IF(LeasingHab!$C$10="TARIFA 1",(C357*(VLOOKUP(LeasingHab!$C$23,Seguros_Oblig!$A$3:$B$55,2,FALSE))),(C357*(VLOOKUP(LeasingHab!$C$23,Seguros_Oblig!$A$3:$D$55,4,FALSE))))))</f>
        <v>#VALUE!</v>
      </c>
      <c r="G358" s="8" t="e">
        <f>IF(LeasingHab!$C$10="TARIFA 1",(C357*(VLOOKUP(LeasingHab!$C$24,Seguros_Oblig!$A$3:$B$55,2,FALSE))),(C357*(VLOOKUP(LeasingHab!$C$24,Seguros_Oblig!$A$3:$D$55,4,FALSE))))</f>
        <v>#VALUE!</v>
      </c>
      <c r="H358" s="8" t="e">
        <f>IF(LeasingHab!$C$10="TARIFA 1",(C357*(VLOOKUP(LeasingHab!$C$25,Seguros_Oblig!$A$3:$B$55,2,FALSE))),(C357*(VLOOKUP(LeasingHab!$C$25,Seguros_Oblig!$A$3:$D$55,4,FALSE))))</f>
        <v>#VALUE!</v>
      </c>
      <c r="I358" s="8" t="e">
        <f>IF(LeasingHab!$C$10="TARIFA 1",(C357*(VLOOKUP(LeasingHab!$C$26,Seguros_Oblig!$A$3:$B$55,2,FALSE))),(C357*(VLOOKUP(LeasingHab!$C$26,Seguros_Oblig!$A$3:$D$55,4,FALSE))))</f>
        <v>#VALUE!</v>
      </c>
      <c r="J358" s="10">
        <f t="shared" si="33"/>
        <v>0</v>
      </c>
      <c r="K358" s="7" t="e">
        <f>IF((C357-1)&lt;$E$17,0,Seguros_Oblig!$K$2*(LeasingHab!$C$12*90%))</f>
        <v>#VALUE!</v>
      </c>
      <c r="L358" s="7" t="e">
        <f>IF(B358&gt;LeasingHab!$C$18,0,PMT(LeasingHab!$E$17,LeasingHab!$C$18,-LeasingHab!$C$15,,)-PMT(LeasingHab!$E$17,LeasingHab!$C$18,-LeasingHab!$C$22)+LeasingHab!$C$22*LeasingHab!$E$17)</f>
        <v>#VALUE!</v>
      </c>
      <c r="M358" s="9" t="e">
        <f t="shared" si="34"/>
        <v>#VALUE!</v>
      </c>
      <c r="N358" s="7" t="e">
        <f>IF((C357-1)&lt;$E$17,0,LeasingHab!$C$39)</f>
        <v>#VALUE!</v>
      </c>
      <c r="O358" s="9" t="e">
        <f t="shared" si="35"/>
        <v>#VALUE!</v>
      </c>
    </row>
    <row r="359" spans="2:15" ht="15.5" hidden="1" x14ac:dyDescent="0.35">
      <c r="B359" s="6" t="e">
        <f t="shared" si="36"/>
        <v>#VALUE!</v>
      </c>
      <c r="C359" s="7" t="e">
        <f t="shared" si="31"/>
        <v>#VALUE!</v>
      </c>
      <c r="D359" s="7" t="e">
        <f t="shared" si="32"/>
        <v>#VALUE!</v>
      </c>
      <c r="E359" s="7" t="e">
        <f>IF((C358-1)&lt;$E$17,0,C358*LeasingHab!$E$17)</f>
        <v>#VALUE!</v>
      </c>
      <c r="F359" s="8" t="e">
        <f>IF((C358-1)&lt;$E$17,"0",IF(LeasingHab!$D$27="Si",($C$19*(VLOOKUP(LeasingHab!$C$23,Seguros_Oblig!$A$3:$F$55,6,FALSE))),IF(LeasingHab!$C$10="TARIFA 1",(C358*(VLOOKUP(LeasingHab!$C$23,Seguros_Oblig!$A$3:$B$55,2,FALSE))),(C358*(VLOOKUP(LeasingHab!$C$23,Seguros_Oblig!$A$3:$D$55,4,FALSE))))))</f>
        <v>#VALUE!</v>
      </c>
      <c r="G359" s="8" t="e">
        <f>IF(LeasingHab!$C$10="TARIFA 1",(C358*(VLOOKUP(LeasingHab!$C$24,Seguros_Oblig!$A$3:$B$55,2,FALSE))),(C358*(VLOOKUP(LeasingHab!$C$24,Seguros_Oblig!$A$3:$D$55,4,FALSE))))</f>
        <v>#VALUE!</v>
      </c>
      <c r="H359" s="8" t="e">
        <f>IF(LeasingHab!$C$10="TARIFA 1",(C358*(VLOOKUP(LeasingHab!$C$25,Seguros_Oblig!$A$3:$B$55,2,FALSE))),(C358*(VLOOKUP(LeasingHab!$C$25,Seguros_Oblig!$A$3:$D$55,4,FALSE))))</f>
        <v>#VALUE!</v>
      </c>
      <c r="I359" s="8" t="e">
        <f>IF(LeasingHab!$C$10="TARIFA 1",(C358*(VLOOKUP(LeasingHab!$C$26,Seguros_Oblig!$A$3:$B$55,2,FALSE))),(C358*(VLOOKUP(LeasingHab!$C$26,Seguros_Oblig!$A$3:$D$55,4,FALSE))))</f>
        <v>#VALUE!</v>
      </c>
      <c r="J359" s="10">
        <f t="shared" si="33"/>
        <v>0</v>
      </c>
      <c r="K359" s="7" t="e">
        <f>IF((C358-1)&lt;$E$17,0,Seguros_Oblig!$K$2*(LeasingHab!$C$12*90%))</f>
        <v>#VALUE!</v>
      </c>
      <c r="L359" s="7" t="e">
        <f>IF(B359&gt;LeasingHab!$C$18,0,PMT(LeasingHab!$E$17,LeasingHab!$C$18,-LeasingHab!$C$15,,)-PMT(LeasingHab!$E$17,LeasingHab!$C$18,-LeasingHab!$C$22)+LeasingHab!$C$22*LeasingHab!$E$17)</f>
        <v>#VALUE!</v>
      </c>
      <c r="M359" s="9" t="e">
        <f t="shared" si="34"/>
        <v>#VALUE!</v>
      </c>
      <c r="N359" s="7" t="e">
        <f>IF((C358-1)&lt;$E$17,0,LeasingHab!$C$39)</f>
        <v>#VALUE!</v>
      </c>
      <c r="O359" s="9" t="e">
        <f t="shared" si="35"/>
        <v>#VALUE!</v>
      </c>
    </row>
    <row r="360" spans="2:15" ht="15.5" hidden="1" x14ac:dyDescent="0.35">
      <c r="B360" s="6" t="e">
        <f t="shared" si="36"/>
        <v>#VALUE!</v>
      </c>
      <c r="C360" s="7" t="e">
        <f t="shared" si="31"/>
        <v>#VALUE!</v>
      </c>
      <c r="D360" s="7" t="e">
        <f t="shared" si="32"/>
        <v>#VALUE!</v>
      </c>
      <c r="E360" s="7" t="e">
        <f>IF((C359-1)&lt;$E$17,0,C359*LeasingHab!$E$17)</f>
        <v>#VALUE!</v>
      </c>
      <c r="F360" s="8" t="e">
        <f>IF((C359-1)&lt;$E$17,"0",IF(LeasingHab!$D$27="Si",($C$19*(VLOOKUP(LeasingHab!$C$23,Seguros_Oblig!$A$3:$F$55,6,FALSE))),IF(LeasingHab!$C$10="TARIFA 1",(C359*(VLOOKUP(LeasingHab!$C$23,Seguros_Oblig!$A$3:$B$55,2,FALSE))),(C359*(VLOOKUP(LeasingHab!$C$23,Seguros_Oblig!$A$3:$D$55,4,FALSE))))))</f>
        <v>#VALUE!</v>
      </c>
      <c r="G360" s="8" t="e">
        <f>IF(LeasingHab!$C$10="TARIFA 1",(C359*(VLOOKUP(LeasingHab!$C$24,Seguros_Oblig!$A$3:$B$55,2,FALSE))),(C359*(VLOOKUP(LeasingHab!$C$24,Seguros_Oblig!$A$3:$D$55,4,FALSE))))</f>
        <v>#VALUE!</v>
      </c>
      <c r="H360" s="8" t="e">
        <f>IF(LeasingHab!$C$10="TARIFA 1",(C359*(VLOOKUP(LeasingHab!$C$25,Seguros_Oblig!$A$3:$B$55,2,FALSE))),(C359*(VLOOKUP(LeasingHab!$C$25,Seguros_Oblig!$A$3:$D$55,4,FALSE))))</f>
        <v>#VALUE!</v>
      </c>
      <c r="I360" s="8" t="e">
        <f>IF(LeasingHab!$C$10="TARIFA 1",(C359*(VLOOKUP(LeasingHab!$C$26,Seguros_Oblig!$A$3:$B$55,2,FALSE))),(C359*(VLOOKUP(LeasingHab!$C$26,Seguros_Oblig!$A$3:$D$55,4,FALSE))))</f>
        <v>#VALUE!</v>
      </c>
      <c r="J360" s="10">
        <f t="shared" si="33"/>
        <v>0</v>
      </c>
      <c r="K360" s="7" t="e">
        <f>IF((C359-1)&lt;$E$17,0,Seguros_Oblig!$K$2*(LeasingHab!$C$12*90%))</f>
        <v>#VALUE!</v>
      </c>
      <c r="L360" s="7" t="e">
        <f>IF(B360&gt;LeasingHab!$C$18,0,PMT(LeasingHab!$E$17,LeasingHab!$C$18,-LeasingHab!$C$15,,)-PMT(LeasingHab!$E$17,LeasingHab!$C$18,-LeasingHab!$C$22)+LeasingHab!$C$22*LeasingHab!$E$17)</f>
        <v>#VALUE!</v>
      </c>
      <c r="M360" s="9" t="e">
        <f t="shared" si="34"/>
        <v>#VALUE!</v>
      </c>
      <c r="N360" s="7" t="e">
        <f>IF((C359-1)&lt;$E$17,0,LeasingHab!$C$39)</f>
        <v>#VALUE!</v>
      </c>
      <c r="O360" s="9" t="e">
        <f t="shared" si="35"/>
        <v>#VALUE!</v>
      </c>
    </row>
    <row r="361" spans="2:15" ht="15.5" hidden="1" x14ac:dyDescent="0.35">
      <c r="B361" s="6" t="e">
        <f t="shared" si="36"/>
        <v>#VALUE!</v>
      </c>
      <c r="C361" s="7" t="e">
        <f t="shared" si="31"/>
        <v>#VALUE!</v>
      </c>
      <c r="D361" s="7" t="e">
        <f t="shared" si="32"/>
        <v>#VALUE!</v>
      </c>
      <c r="E361" s="7" t="e">
        <f>IF((C360-1)&lt;$E$17,0,C360*LeasingHab!$E$17)</f>
        <v>#VALUE!</v>
      </c>
      <c r="F361" s="8" t="e">
        <f>IF((C360-1)&lt;$E$17,"0",IF(LeasingHab!$D$27="Si",($C$19*(VLOOKUP(LeasingHab!$C$23,Seguros_Oblig!$A$3:$F$55,6,FALSE))),IF(LeasingHab!$C$10="TARIFA 1",(C360*(VLOOKUP(LeasingHab!$C$23,Seguros_Oblig!$A$3:$B$55,2,FALSE))),(C360*(VLOOKUP(LeasingHab!$C$23,Seguros_Oblig!$A$3:$D$55,4,FALSE))))))</f>
        <v>#VALUE!</v>
      </c>
      <c r="G361" s="8" t="e">
        <f>IF(LeasingHab!$C$10="TARIFA 1",(C360*(VLOOKUP(LeasingHab!$C$24,Seguros_Oblig!$A$3:$B$55,2,FALSE))),(C360*(VLOOKUP(LeasingHab!$C$24,Seguros_Oblig!$A$3:$D$55,4,FALSE))))</f>
        <v>#VALUE!</v>
      </c>
      <c r="H361" s="8" t="e">
        <f>IF(LeasingHab!$C$10="TARIFA 1",(C360*(VLOOKUP(LeasingHab!$C$25,Seguros_Oblig!$A$3:$B$55,2,FALSE))),(C360*(VLOOKUP(LeasingHab!$C$25,Seguros_Oblig!$A$3:$D$55,4,FALSE))))</f>
        <v>#VALUE!</v>
      </c>
      <c r="I361" s="8" t="e">
        <f>IF(LeasingHab!$C$10="TARIFA 1",(C360*(VLOOKUP(LeasingHab!$C$26,Seguros_Oblig!$A$3:$B$55,2,FALSE))),(C360*(VLOOKUP(LeasingHab!$C$26,Seguros_Oblig!$A$3:$D$55,4,FALSE))))</f>
        <v>#VALUE!</v>
      </c>
      <c r="J361" s="10">
        <f t="shared" si="33"/>
        <v>0</v>
      </c>
      <c r="K361" s="7" t="e">
        <f>IF((C360-1)&lt;$E$17,0,Seguros_Oblig!$K$2*(LeasingHab!$C$12*90%))</f>
        <v>#VALUE!</v>
      </c>
      <c r="L361" s="7" t="e">
        <f>IF(B361&gt;LeasingHab!$C$18,0,PMT(LeasingHab!$E$17,LeasingHab!$C$18,-LeasingHab!$C$15,,)-PMT(LeasingHab!$E$17,LeasingHab!$C$18,-LeasingHab!$C$22)+LeasingHab!$C$22*LeasingHab!$E$17)</f>
        <v>#VALUE!</v>
      </c>
      <c r="M361" s="9" t="e">
        <f t="shared" si="34"/>
        <v>#VALUE!</v>
      </c>
      <c r="N361" s="7" t="e">
        <f>IF((C360-1)&lt;$E$17,0,LeasingHab!$C$39)</f>
        <v>#VALUE!</v>
      </c>
      <c r="O361" s="9" t="e">
        <f t="shared" si="35"/>
        <v>#VALUE!</v>
      </c>
    </row>
    <row r="362" spans="2:15" ht="15.5" hidden="1" x14ac:dyDescent="0.35">
      <c r="B362" s="6" t="e">
        <f t="shared" si="36"/>
        <v>#VALUE!</v>
      </c>
      <c r="C362" s="7" t="e">
        <f t="shared" si="31"/>
        <v>#VALUE!</v>
      </c>
      <c r="D362" s="7" t="e">
        <f t="shared" si="32"/>
        <v>#VALUE!</v>
      </c>
      <c r="E362" s="7" t="e">
        <f>IF((C361-1)&lt;$E$17,0,C361*LeasingHab!$E$17)</f>
        <v>#VALUE!</v>
      </c>
      <c r="F362" s="8" t="e">
        <f>IF((C361-1)&lt;$E$17,"0",IF(LeasingHab!$D$27="Si",($C$19*(VLOOKUP(LeasingHab!$C$23,Seguros_Oblig!$A$3:$F$55,6,FALSE))),IF(LeasingHab!$C$10="TARIFA 1",(C361*(VLOOKUP(LeasingHab!$C$23,Seguros_Oblig!$A$3:$B$55,2,FALSE))),(C361*(VLOOKUP(LeasingHab!$C$23,Seguros_Oblig!$A$3:$D$55,4,FALSE))))))</f>
        <v>#VALUE!</v>
      </c>
      <c r="G362" s="8" t="e">
        <f>IF(LeasingHab!$C$10="TARIFA 1",(C361*(VLOOKUP(LeasingHab!$C$24,Seguros_Oblig!$A$3:$B$55,2,FALSE))),(C361*(VLOOKUP(LeasingHab!$C$24,Seguros_Oblig!$A$3:$D$55,4,FALSE))))</f>
        <v>#VALUE!</v>
      </c>
      <c r="H362" s="8" t="e">
        <f>IF(LeasingHab!$C$10="TARIFA 1",(C361*(VLOOKUP(LeasingHab!$C$25,Seguros_Oblig!$A$3:$B$55,2,FALSE))),(C361*(VLOOKUP(LeasingHab!$C$25,Seguros_Oblig!$A$3:$D$55,4,FALSE))))</f>
        <v>#VALUE!</v>
      </c>
      <c r="I362" s="8" t="e">
        <f>IF(LeasingHab!$C$10="TARIFA 1",(C361*(VLOOKUP(LeasingHab!$C$26,Seguros_Oblig!$A$3:$B$55,2,FALSE))),(C361*(VLOOKUP(LeasingHab!$C$26,Seguros_Oblig!$A$3:$D$55,4,FALSE))))</f>
        <v>#VALUE!</v>
      </c>
      <c r="J362" s="10">
        <f t="shared" si="33"/>
        <v>0</v>
      </c>
      <c r="K362" s="7" t="e">
        <f>IF((C361-1)&lt;$E$17,0,Seguros_Oblig!$K$2*(LeasingHab!$C$12*90%))</f>
        <v>#VALUE!</v>
      </c>
      <c r="L362" s="7" t="e">
        <f>IF(B362&gt;LeasingHab!$C$18,0,PMT(LeasingHab!$E$17,LeasingHab!$C$18,-LeasingHab!$C$15,,)-PMT(LeasingHab!$E$17,LeasingHab!$C$18,-LeasingHab!$C$22)+LeasingHab!$C$22*LeasingHab!$E$17)</f>
        <v>#VALUE!</v>
      </c>
      <c r="M362" s="9" t="e">
        <f t="shared" si="34"/>
        <v>#VALUE!</v>
      </c>
      <c r="N362" s="7" t="e">
        <f>IF((C361-1)&lt;$E$17,0,LeasingHab!$C$39)</f>
        <v>#VALUE!</v>
      </c>
      <c r="O362" s="9" t="e">
        <f t="shared" si="35"/>
        <v>#VALUE!</v>
      </c>
    </row>
    <row r="363" spans="2:15" ht="15.5" hidden="1" x14ac:dyDescent="0.35">
      <c r="B363" s="6" t="e">
        <f t="shared" si="36"/>
        <v>#VALUE!</v>
      </c>
      <c r="C363" s="7" t="e">
        <f t="shared" si="31"/>
        <v>#VALUE!</v>
      </c>
      <c r="D363" s="7" t="e">
        <f t="shared" si="32"/>
        <v>#VALUE!</v>
      </c>
      <c r="E363" s="7" t="e">
        <f>IF((C362-1)&lt;$E$17,0,C362*LeasingHab!$E$17)</f>
        <v>#VALUE!</v>
      </c>
      <c r="F363" s="8" t="e">
        <f>IF((C362-1)&lt;$E$17,"0",IF(LeasingHab!$D$27="Si",($C$19*(VLOOKUP(LeasingHab!$C$23,Seguros_Oblig!$A$3:$F$55,6,FALSE))),IF(LeasingHab!$C$10="TARIFA 1",(C362*(VLOOKUP(LeasingHab!$C$23,Seguros_Oblig!$A$3:$B$55,2,FALSE))),(C362*(VLOOKUP(LeasingHab!$C$23,Seguros_Oblig!$A$3:$D$55,4,FALSE))))))</f>
        <v>#VALUE!</v>
      </c>
      <c r="G363" s="8" t="e">
        <f>IF(LeasingHab!$C$10="TARIFA 1",(C362*(VLOOKUP(LeasingHab!$C$24,Seguros_Oblig!$A$3:$B$55,2,FALSE))),(C362*(VLOOKUP(LeasingHab!$C$24,Seguros_Oblig!$A$3:$D$55,4,FALSE))))</f>
        <v>#VALUE!</v>
      </c>
      <c r="H363" s="8" t="e">
        <f>IF(LeasingHab!$C$10="TARIFA 1",(C362*(VLOOKUP(LeasingHab!$C$25,Seguros_Oblig!$A$3:$B$55,2,FALSE))),(C362*(VLOOKUP(LeasingHab!$C$25,Seguros_Oblig!$A$3:$D$55,4,FALSE))))</f>
        <v>#VALUE!</v>
      </c>
      <c r="I363" s="8" t="e">
        <f>IF(LeasingHab!$C$10="TARIFA 1",(C362*(VLOOKUP(LeasingHab!$C$26,Seguros_Oblig!$A$3:$B$55,2,FALSE))),(C362*(VLOOKUP(LeasingHab!$C$26,Seguros_Oblig!$A$3:$D$55,4,FALSE))))</f>
        <v>#VALUE!</v>
      </c>
      <c r="J363" s="10">
        <f t="shared" si="33"/>
        <v>0</v>
      </c>
      <c r="K363" s="7" t="e">
        <f>IF((C362-1)&lt;$E$17,0,Seguros_Oblig!$K$2*(LeasingHab!$C$12*90%))</f>
        <v>#VALUE!</v>
      </c>
      <c r="L363" s="7" t="e">
        <f>IF(B363&gt;LeasingHab!$C$18,0,PMT(LeasingHab!$E$17,LeasingHab!$C$18,-LeasingHab!$C$15,,)-PMT(LeasingHab!$E$17,LeasingHab!$C$18,-LeasingHab!$C$22)+LeasingHab!$C$22*LeasingHab!$E$17)</f>
        <v>#VALUE!</v>
      </c>
      <c r="M363" s="9" t="e">
        <f t="shared" si="34"/>
        <v>#VALUE!</v>
      </c>
      <c r="N363" s="7" t="e">
        <f>IF((C362-1)&lt;$E$17,0,LeasingHab!$C$39)</f>
        <v>#VALUE!</v>
      </c>
      <c r="O363" s="9" t="e">
        <f t="shared" si="35"/>
        <v>#VALUE!</v>
      </c>
    </row>
    <row r="364" spans="2:15" ht="15.5" hidden="1" x14ac:dyDescent="0.35">
      <c r="B364" s="6" t="e">
        <f t="shared" si="36"/>
        <v>#VALUE!</v>
      </c>
      <c r="C364" s="7" t="e">
        <f t="shared" si="31"/>
        <v>#VALUE!</v>
      </c>
      <c r="D364" s="7" t="e">
        <f t="shared" si="32"/>
        <v>#VALUE!</v>
      </c>
      <c r="E364" s="7" t="e">
        <f>IF((C363-1)&lt;$E$17,0,C363*LeasingHab!$E$17)</f>
        <v>#VALUE!</v>
      </c>
      <c r="F364" s="8" t="e">
        <f>IF((C363-1)&lt;$E$17,"0",IF(LeasingHab!$D$27="Si",($C$19*(VLOOKUP(LeasingHab!$C$23,Seguros_Oblig!$A$3:$F$55,6,FALSE))),IF(LeasingHab!$C$10="TARIFA 1",(C363*(VLOOKUP(LeasingHab!$C$23,Seguros_Oblig!$A$3:$B$55,2,FALSE))),(C363*(VLOOKUP(LeasingHab!$C$23,Seguros_Oblig!$A$3:$D$55,4,FALSE))))))</f>
        <v>#VALUE!</v>
      </c>
      <c r="G364" s="8" t="e">
        <f>IF(LeasingHab!$C$10="TARIFA 1",(C363*(VLOOKUP(LeasingHab!$C$24,Seguros_Oblig!$A$3:$B$55,2,FALSE))),(C363*(VLOOKUP(LeasingHab!$C$24,Seguros_Oblig!$A$3:$D$55,4,FALSE))))</f>
        <v>#VALUE!</v>
      </c>
      <c r="H364" s="8" t="e">
        <f>IF(LeasingHab!$C$10="TARIFA 1",(C363*(VLOOKUP(LeasingHab!$C$25,Seguros_Oblig!$A$3:$B$55,2,FALSE))),(C363*(VLOOKUP(LeasingHab!$C$25,Seguros_Oblig!$A$3:$D$55,4,FALSE))))</f>
        <v>#VALUE!</v>
      </c>
      <c r="I364" s="8" t="e">
        <f>IF(LeasingHab!$C$10="TARIFA 1",(C363*(VLOOKUP(LeasingHab!$C$26,Seguros_Oblig!$A$3:$B$55,2,FALSE))),(C363*(VLOOKUP(LeasingHab!$C$26,Seguros_Oblig!$A$3:$D$55,4,FALSE))))</f>
        <v>#VALUE!</v>
      </c>
      <c r="J364" s="10">
        <f t="shared" si="33"/>
        <v>0</v>
      </c>
      <c r="K364" s="7" t="e">
        <f>IF((C363-1)&lt;$E$17,0,Seguros_Oblig!$K$2*(LeasingHab!$C$12*90%))</f>
        <v>#VALUE!</v>
      </c>
      <c r="L364" s="7" t="e">
        <f>IF(B364&gt;LeasingHab!$C$18,0,PMT(LeasingHab!$E$17,LeasingHab!$C$18,-LeasingHab!$C$15,,)-PMT(LeasingHab!$E$17,LeasingHab!$C$18,-LeasingHab!$C$22)+LeasingHab!$C$22*LeasingHab!$E$17)</f>
        <v>#VALUE!</v>
      </c>
      <c r="M364" s="9" t="e">
        <f t="shared" si="34"/>
        <v>#VALUE!</v>
      </c>
      <c r="N364" s="7" t="e">
        <f>IF((C363-1)&lt;$E$17,0,LeasingHab!$C$39)</f>
        <v>#VALUE!</v>
      </c>
      <c r="O364" s="9" t="e">
        <f t="shared" si="35"/>
        <v>#VALUE!</v>
      </c>
    </row>
    <row r="365" spans="2:15" ht="15.5" hidden="1" x14ac:dyDescent="0.35">
      <c r="B365" s="6" t="e">
        <f t="shared" si="36"/>
        <v>#VALUE!</v>
      </c>
      <c r="C365" s="7" t="e">
        <f t="shared" si="31"/>
        <v>#VALUE!</v>
      </c>
      <c r="D365" s="7" t="e">
        <f t="shared" si="32"/>
        <v>#VALUE!</v>
      </c>
      <c r="E365" s="7" t="e">
        <f>IF((C364-1)&lt;$E$17,0,C364*LeasingHab!$E$17)</f>
        <v>#VALUE!</v>
      </c>
      <c r="F365" s="8" t="e">
        <f>IF((C364-1)&lt;$E$17,"0",IF(LeasingHab!$D$27="Si",($C$19*(VLOOKUP(LeasingHab!$C$23,Seguros_Oblig!$A$3:$F$55,6,FALSE))),IF(LeasingHab!$C$10="TARIFA 1",(C364*(VLOOKUP(LeasingHab!$C$23,Seguros_Oblig!$A$3:$B$55,2,FALSE))),(C364*(VLOOKUP(LeasingHab!$C$23,Seguros_Oblig!$A$3:$D$55,4,FALSE))))))</f>
        <v>#VALUE!</v>
      </c>
      <c r="G365" s="8" t="e">
        <f>IF(LeasingHab!$C$10="TARIFA 1",(C364*(VLOOKUP(LeasingHab!$C$24,Seguros_Oblig!$A$3:$B$55,2,FALSE))),(C364*(VLOOKUP(LeasingHab!$C$24,Seguros_Oblig!$A$3:$D$55,4,FALSE))))</f>
        <v>#VALUE!</v>
      </c>
      <c r="H365" s="8" t="e">
        <f>IF(LeasingHab!$C$10="TARIFA 1",(C364*(VLOOKUP(LeasingHab!$C$25,Seguros_Oblig!$A$3:$B$55,2,FALSE))),(C364*(VLOOKUP(LeasingHab!$C$25,Seguros_Oblig!$A$3:$D$55,4,FALSE))))</f>
        <v>#VALUE!</v>
      </c>
      <c r="I365" s="8" t="e">
        <f>IF(LeasingHab!$C$10="TARIFA 1",(C364*(VLOOKUP(LeasingHab!$C$26,Seguros_Oblig!$A$3:$B$55,2,FALSE))),(C364*(VLOOKUP(LeasingHab!$C$26,Seguros_Oblig!$A$3:$D$55,4,FALSE))))</f>
        <v>#VALUE!</v>
      </c>
      <c r="J365" s="10">
        <f t="shared" si="33"/>
        <v>0</v>
      </c>
      <c r="K365" s="7" t="e">
        <f>IF((C364-1)&lt;$E$17,0,Seguros_Oblig!$K$2*(LeasingHab!$C$12*90%))</f>
        <v>#VALUE!</v>
      </c>
      <c r="L365" s="7" t="e">
        <f>IF(B365&gt;LeasingHab!$C$18,0,PMT(LeasingHab!$E$17,LeasingHab!$C$18,-LeasingHab!$C$15,,)-PMT(LeasingHab!$E$17,LeasingHab!$C$18,-LeasingHab!$C$22)+LeasingHab!$C$22*LeasingHab!$E$17)</f>
        <v>#VALUE!</v>
      </c>
      <c r="M365" s="9" t="e">
        <f t="shared" si="34"/>
        <v>#VALUE!</v>
      </c>
      <c r="N365" s="7" t="e">
        <f>IF((C364-1)&lt;$E$17,0,LeasingHab!$C$39)</f>
        <v>#VALUE!</v>
      </c>
      <c r="O365" s="9" t="e">
        <f t="shared" si="35"/>
        <v>#VALUE!</v>
      </c>
    </row>
    <row r="366" spans="2:15" ht="15.5" hidden="1" x14ac:dyDescent="0.35">
      <c r="B366" s="6" t="e">
        <f t="shared" si="36"/>
        <v>#VALUE!</v>
      </c>
      <c r="C366" s="7" t="e">
        <f t="shared" si="31"/>
        <v>#VALUE!</v>
      </c>
      <c r="D366" s="7" t="e">
        <f t="shared" si="32"/>
        <v>#VALUE!</v>
      </c>
      <c r="E366" s="7" t="e">
        <f>IF((C365-1)&lt;$E$17,0,C365*LeasingHab!$E$17)</f>
        <v>#VALUE!</v>
      </c>
      <c r="F366" s="8" t="e">
        <f>IF((C365-1)&lt;$E$17,"0",IF(LeasingHab!$D$27="Si",($C$19*(VLOOKUP(LeasingHab!$C$23,Seguros_Oblig!$A$3:$F$55,6,FALSE))),IF(LeasingHab!$C$10="TARIFA 1",(C365*(VLOOKUP(LeasingHab!$C$23,Seguros_Oblig!$A$3:$B$55,2,FALSE))),(C365*(VLOOKUP(LeasingHab!$C$23,Seguros_Oblig!$A$3:$D$55,4,FALSE))))))</f>
        <v>#VALUE!</v>
      </c>
      <c r="G366" s="8" t="e">
        <f>IF(LeasingHab!$C$10="TARIFA 1",(C365*(VLOOKUP(LeasingHab!$C$24,Seguros_Oblig!$A$3:$B$55,2,FALSE))),(C365*(VLOOKUP(LeasingHab!$C$24,Seguros_Oblig!$A$3:$D$55,4,FALSE))))</f>
        <v>#VALUE!</v>
      </c>
      <c r="H366" s="8" t="e">
        <f>IF(LeasingHab!$C$10="TARIFA 1",(C365*(VLOOKUP(LeasingHab!$C$25,Seguros_Oblig!$A$3:$B$55,2,FALSE))),(C365*(VLOOKUP(LeasingHab!$C$25,Seguros_Oblig!$A$3:$D$55,4,FALSE))))</f>
        <v>#VALUE!</v>
      </c>
      <c r="I366" s="8" t="e">
        <f>IF(LeasingHab!$C$10="TARIFA 1",(C365*(VLOOKUP(LeasingHab!$C$26,Seguros_Oblig!$A$3:$B$55,2,FALSE))),(C365*(VLOOKUP(LeasingHab!$C$26,Seguros_Oblig!$A$3:$D$55,4,FALSE))))</f>
        <v>#VALUE!</v>
      </c>
      <c r="J366" s="10">
        <f t="shared" si="33"/>
        <v>0</v>
      </c>
      <c r="K366" s="7" t="e">
        <f>IF((C365-1)&lt;$E$17,0,Seguros_Oblig!$K$2*(LeasingHab!$C$12*90%))</f>
        <v>#VALUE!</v>
      </c>
      <c r="L366" s="7" t="e">
        <f>IF(B366&gt;LeasingHab!$C$18,0,PMT(LeasingHab!$E$17,LeasingHab!$C$18,-LeasingHab!$C$15,,)-PMT(LeasingHab!$E$17,LeasingHab!$C$18,-LeasingHab!$C$22)+LeasingHab!$C$22*LeasingHab!$E$17)</f>
        <v>#VALUE!</v>
      </c>
      <c r="M366" s="9" t="e">
        <f t="shared" si="34"/>
        <v>#VALUE!</v>
      </c>
      <c r="N366" s="7" t="e">
        <f>IF((C365-1)&lt;$E$17,0,LeasingHab!$C$39)</f>
        <v>#VALUE!</v>
      </c>
      <c r="O366" s="9" t="e">
        <f t="shared" si="35"/>
        <v>#VALUE!</v>
      </c>
    </row>
    <row r="367" spans="2:15" ht="15.5" hidden="1" x14ac:dyDescent="0.35">
      <c r="B367" s="6" t="e">
        <f t="shared" si="36"/>
        <v>#VALUE!</v>
      </c>
      <c r="C367" s="7" t="e">
        <f t="shared" si="31"/>
        <v>#VALUE!</v>
      </c>
      <c r="D367" s="7" t="e">
        <f t="shared" si="32"/>
        <v>#VALUE!</v>
      </c>
      <c r="E367" s="7" t="e">
        <f>IF((C366-1)&lt;$E$17,0,C366*LeasingHab!$E$17)</f>
        <v>#VALUE!</v>
      </c>
      <c r="F367" s="8" t="e">
        <f>IF((C366-1)&lt;$E$17,"0",IF(LeasingHab!$D$27="Si",($C$19*(VLOOKUP(LeasingHab!$C$23,Seguros_Oblig!$A$3:$F$55,6,FALSE))),IF(LeasingHab!$C$10="TARIFA 1",(C366*(VLOOKUP(LeasingHab!$C$23,Seguros_Oblig!$A$3:$B$55,2,FALSE))),(C366*(VLOOKUP(LeasingHab!$C$23,Seguros_Oblig!$A$3:$D$55,4,FALSE))))))</f>
        <v>#VALUE!</v>
      </c>
      <c r="G367" s="8" t="e">
        <f>IF(LeasingHab!$C$10="TARIFA 1",(C366*(VLOOKUP(LeasingHab!$C$24,Seguros_Oblig!$A$3:$B$55,2,FALSE))),(C366*(VLOOKUP(LeasingHab!$C$24,Seguros_Oblig!$A$3:$D$55,4,FALSE))))</f>
        <v>#VALUE!</v>
      </c>
      <c r="H367" s="8" t="e">
        <f>IF(LeasingHab!$C$10="TARIFA 1",(C366*(VLOOKUP(LeasingHab!$C$25,Seguros_Oblig!$A$3:$B$55,2,FALSE))),(C366*(VLOOKUP(LeasingHab!$C$25,Seguros_Oblig!$A$3:$D$55,4,FALSE))))</f>
        <v>#VALUE!</v>
      </c>
      <c r="I367" s="8" t="e">
        <f>IF(LeasingHab!$C$10="TARIFA 1",(C366*(VLOOKUP(LeasingHab!$C$26,Seguros_Oblig!$A$3:$B$55,2,FALSE))),(C366*(VLOOKUP(LeasingHab!$C$26,Seguros_Oblig!$A$3:$D$55,4,FALSE))))</f>
        <v>#VALUE!</v>
      </c>
      <c r="J367" s="10">
        <f t="shared" si="33"/>
        <v>0</v>
      </c>
      <c r="K367" s="7" t="e">
        <f>IF((C366-1)&lt;$E$17,0,Seguros_Oblig!$K$2*(LeasingHab!$C$12*90%))</f>
        <v>#VALUE!</v>
      </c>
      <c r="L367" s="7" t="e">
        <f>IF(B367&gt;LeasingHab!$C$18,0,PMT(LeasingHab!$E$17,LeasingHab!$C$18,-LeasingHab!$C$15,,)-PMT(LeasingHab!$E$17,LeasingHab!$C$18,-LeasingHab!$C$22)+LeasingHab!$C$22*LeasingHab!$E$17)</f>
        <v>#VALUE!</v>
      </c>
      <c r="M367" s="9" t="e">
        <f t="shared" si="34"/>
        <v>#VALUE!</v>
      </c>
      <c r="N367" s="7" t="e">
        <f>IF((C366-1)&lt;$E$17,0,LeasingHab!$C$39)</f>
        <v>#VALUE!</v>
      </c>
      <c r="O367" s="9" t="e">
        <f t="shared" si="35"/>
        <v>#VALUE!</v>
      </c>
    </row>
    <row r="368" spans="2:15" ht="15.5" hidden="1" x14ac:dyDescent="0.35">
      <c r="B368" s="6" t="e">
        <f t="shared" si="36"/>
        <v>#VALUE!</v>
      </c>
      <c r="C368" s="7" t="e">
        <f t="shared" si="31"/>
        <v>#VALUE!</v>
      </c>
      <c r="D368" s="7" t="e">
        <f t="shared" si="32"/>
        <v>#VALUE!</v>
      </c>
      <c r="E368" s="7" t="e">
        <f>IF((C367-1)&lt;$E$17,0,C367*LeasingHab!$E$17)</f>
        <v>#VALUE!</v>
      </c>
      <c r="F368" s="8" t="e">
        <f>IF((C367-1)&lt;$E$17,"0",IF(LeasingHab!$D$27="Si",($C$19*(VLOOKUP(LeasingHab!$C$23,Seguros_Oblig!$A$3:$F$55,6,FALSE))),IF(LeasingHab!$C$10="TARIFA 1",(C367*(VLOOKUP(LeasingHab!$C$23,Seguros_Oblig!$A$3:$B$55,2,FALSE))),(C367*(VLOOKUP(LeasingHab!$C$23,Seguros_Oblig!$A$3:$D$55,4,FALSE))))))</f>
        <v>#VALUE!</v>
      </c>
      <c r="G368" s="8" t="e">
        <f>IF(LeasingHab!$C$10="TARIFA 1",(C367*(VLOOKUP(LeasingHab!$C$24,Seguros_Oblig!$A$3:$B$55,2,FALSE))),(C367*(VLOOKUP(LeasingHab!$C$24,Seguros_Oblig!$A$3:$D$55,4,FALSE))))</f>
        <v>#VALUE!</v>
      </c>
      <c r="H368" s="8" t="e">
        <f>IF(LeasingHab!$C$10="TARIFA 1",(C367*(VLOOKUP(LeasingHab!$C$25,Seguros_Oblig!$A$3:$B$55,2,FALSE))),(C367*(VLOOKUP(LeasingHab!$C$25,Seguros_Oblig!$A$3:$D$55,4,FALSE))))</f>
        <v>#VALUE!</v>
      </c>
      <c r="I368" s="8" t="e">
        <f>IF(LeasingHab!$C$10="TARIFA 1",(C367*(VLOOKUP(LeasingHab!$C$26,Seguros_Oblig!$A$3:$B$55,2,FALSE))),(C367*(VLOOKUP(LeasingHab!$C$26,Seguros_Oblig!$A$3:$D$55,4,FALSE))))</f>
        <v>#VALUE!</v>
      </c>
      <c r="J368" s="10">
        <f t="shared" si="33"/>
        <v>0</v>
      </c>
      <c r="K368" s="7" t="e">
        <f>IF((C367-1)&lt;$E$17,0,Seguros_Oblig!$K$2*(LeasingHab!$C$12*90%))</f>
        <v>#VALUE!</v>
      </c>
      <c r="L368" s="7" t="e">
        <f>IF(B368&gt;LeasingHab!$C$18,0,PMT(LeasingHab!$E$17,LeasingHab!$C$18,-LeasingHab!$C$15,,)-PMT(LeasingHab!$E$17,LeasingHab!$C$18,-LeasingHab!$C$22)+LeasingHab!$C$22*LeasingHab!$E$17)</f>
        <v>#VALUE!</v>
      </c>
      <c r="M368" s="9" t="e">
        <f t="shared" si="34"/>
        <v>#VALUE!</v>
      </c>
      <c r="N368" s="7" t="e">
        <f>IF((C367-1)&lt;$E$17,0,LeasingHab!$C$39)</f>
        <v>#VALUE!</v>
      </c>
      <c r="O368" s="9" t="e">
        <f t="shared" si="35"/>
        <v>#VALUE!</v>
      </c>
    </row>
    <row r="369" spans="2:15" ht="15.5" hidden="1" x14ac:dyDescent="0.35">
      <c r="B369" s="6" t="e">
        <f t="shared" si="36"/>
        <v>#VALUE!</v>
      </c>
      <c r="C369" s="7" t="e">
        <f t="shared" si="31"/>
        <v>#VALUE!</v>
      </c>
      <c r="D369" s="7" t="e">
        <f t="shared" si="32"/>
        <v>#VALUE!</v>
      </c>
      <c r="E369" s="7" t="e">
        <f>IF((C368-1)&lt;$E$17,0,C368*LeasingHab!$E$17)</f>
        <v>#VALUE!</v>
      </c>
      <c r="F369" s="8" t="e">
        <f>IF((C368-1)&lt;$E$17,"0",IF(LeasingHab!$D$27="Si",($C$19*(VLOOKUP(LeasingHab!$C$23,Seguros_Oblig!$A$3:$F$55,6,FALSE))),IF(LeasingHab!$C$10="TARIFA 1",(C368*(VLOOKUP(LeasingHab!$C$23,Seguros_Oblig!$A$3:$B$55,2,FALSE))),(C368*(VLOOKUP(LeasingHab!$C$23,Seguros_Oblig!$A$3:$D$55,4,FALSE))))))</f>
        <v>#VALUE!</v>
      </c>
      <c r="G369" s="8" t="e">
        <f>IF(LeasingHab!$C$10="TARIFA 1",(C368*(VLOOKUP(LeasingHab!$C$24,Seguros_Oblig!$A$3:$B$55,2,FALSE))),(C368*(VLOOKUP(LeasingHab!$C$24,Seguros_Oblig!$A$3:$D$55,4,FALSE))))</f>
        <v>#VALUE!</v>
      </c>
      <c r="H369" s="8" t="e">
        <f>IF(LeasingHab!$C$10="TARIFA 1",(C368*(VLOOKUP(LeasingHab!$C$25,Seguros_Oblig!$A$3:$B$55,2,FALSE))),(C368*(VLOOKUP(LeasingHab!$C$25,Seguros_Oblig!$A$3:$D$55,4,FALSE))))</f>
        <v>#VALUE!</v>
      </c>
      <c r="I369" s="8" t="e">
        <f>IF(LeasingHab!$C$10="TARIFA 1",(C368*(VLOOKUP(LeasingHab!$C$26,Seguros_Oblig!$A$3:$B$55,2,FALSE))),(C368*(VLOOKUP(LeasingHab!$C$26,Seguros_Oblig!$A$3:$D$55,4,FALSE))))</f>
        <v>#VALUE!</v>
      </c>
      <c r="J369" s="10">
        <f t="shared" si="33"/>
        <v>0</v>
      </c>
      <c r="K369" s="7" t="e">
        <f>IF((C368-1)&lt;$E$17,0,Seguros_Oblig!$K$2*(LeasingHab!$C$12*90%))</f>
        <v>#VALUE!</v>
      </c>
      <c r="L369" s="7" t="e">
        <f>IF(B369&gt;LeasingHab!$C$18,0,PMT(LeasingHab!$E$17,LeasingHab!$C$18,-LeasingHab!$C$15,,)-PMT(LeasingHab!$E$17,LeasingHab!$C$18,-LeasingHab!$C$22)+LeasingHab!$C$22*LeasingHab!$E$17)</f>
        <v>#VALUE!</v>
      </c>
      <c r="M369" s="9" t="e">
        <f t="shared" si="34"/>
        <v>#VALUE!</v>
      </c>
      <c r="N369" s="7" t="e">
        <f>IF((C368-1)&lt;$E$17,0,LeasingHab!$C$39)</f>
        <v>#VALUE!</v>
      </c>
      <c r="O369" s="9" t="e">
        <f t="shared" si="35"/>
        <v>#VALUE!</v>
      </c>
    </row>
    <row r="370" spans="2:15" ht="15.5" hidden="1" x14ac:dyDescent="0.35">
      <c r="B370" s="6" t="e">
        <f t="shared" si="36"/>
        <v>#VALUE!</v>
      </c>
      <c r="C370" s="7" t="e">
        <f t="shared" si="31"/>
        <v>#VALUE!</v>
      </c>
      <c r="D370" s="7" t="e">
        <f t="shared" si="32"/>
        <v>#VALUE!</v>
      </c>
      <c r="E370" s="7" t="e">
        <f>IF((C369-1)&lt;$E$17,0,C369*LeasingHab!$E$17)</f>
        <v>#VALUE!</v>
      </c>
      <c r="F370" s="8" t="e">
        <f>IF((C369-1)&lt;$E$17,"0",IF(LeasingHab!$D$27="Si",($C$19*(VLOOKUP(LeasingHab!$C$23,Seguros_Oblig!$A$3:$F$55,6,FALSE))),IF(LeasingHab!$C$10="TARIFA 1",(C369*(VLOOKUP(LeasingHab!$C$23,Seguros_Oblig!$A$3:$B$55,2,FALSE))),(C369*(VLOOKUP(LeasingHab!$C$23,Seguros_Oblig!$A$3:$D$55,4,FALSE))))))</f>
        <v>#VALUE!</v>
      </c>
      <c r="G370" s="8" t="e">
        <f>IF(LeasingHab!$C$10="TARIFA 1",(C369*(VLOOKUP(LeasingHab!$C$24,Seguros_Oblig!$A$3:$B$55,2,FALSE))),(C369*(VLOOKUP(LeasingHab!$C$24,Seguros_Oblig!$A$3:$D$55,4,FALSE))))</f>
        <v>#VALUE!</v>
      </c>
      <c r="H370" s="8" t="e">
        <f>IF(LeasingHab!$C$10="TARIFA 1",(C369*(VLOOKUP(LeasingHab!$C$25,Seguros_Oblig!$A$3:$B$55,2,FALSE))),(C369*(VLOOKUP(LeasingHab!$C$25,Seguros_Oblig!$A$3:$D$55,4,FALSE))))</f>
        <v>#VALUE!</v>
      </c>
      <c r="I370" s="8" t="e">
        <f>IF(LeasingHab!$C$10="TARIFA 1",(C369*(VLOOKUP(LeasingHab!$C$26,Seguros_Oblig!$A$3:$B$55,2,FALSE))),(C369*(VLOOKUP(LeasingHab!$C$26,Seguros_Oblig!$A$3:$D$55,4,FALSE))))</f>
        <v>#VALUE!</v>
      </c>
      <c r="J370" s="10">
        <f t="shared" si="33"/>
        <v>0</v>
      </c>
      <c r="K370" s="7" t="e">
        <f>IF((C369-1)&lt;$E$17,0,Seguros_Oblig!$K$2*(LeasingHab!$C$12*90%))</f>
        <v>#VALUE!</v>
      </c>
      <c r="L370" s="7" t="e">
        <f>IF(B370&gt;LeasingHab!$C$18,0,PMT(LeasingHab!$E$17,LeasingHab!$C$18,-LeasingHab!$C$15,,)-PMT(LeasingHab!$E$17,LeasingHab!$C$18,-LeasingHab!$C$22)+LeasingHab!$C$22*LeasingHab!$E$17)</f>
        <v>#VALUE!</v>
      </c>
      <c r="M370" s="9" t="e">
        <f t="shared" si="34"/>
        <v>#VALUE!</v>
      </c>
      <c r="N370" s="7" t="e">
        <f>IF((C369-1)&lt;$E$17,0,LeasingHab!$C$39)</f>
        <v>#VALUE!</v>
      </c>
      <c r="O370" s="9" t="e">
        <f t="shared" si="35"/>
        <v>#VALUE!</v>
      </c>
    </row>
    <row r="371" spans="2:15" ht="15.5" hidden="1" x14ac:dyDescent="0.35">
      <c r="B371" s="6" t="e">
        <f t="shared" si="36"/>
        <v>#VALUE!</v>
      </c>
      <c r="C371" s="7" t="e">
        <f t="shared" si="31"/>
        <v>#VALUE!</v>
      </c>
      <c r="D371" s="7" t="e">
        <f t="shared" si="32"/>
        <v>#VALUE!</v>
      </c>
      <c r="E371" s="7" t="e">
        <f>IF((C370-1)&lt;$E$17,0,C370*LeasingHab!$E$17)</f>
        <v>#VALUE!</v>
      </c>
      <c r="F371" s="8" t="e">
        <f>IF((C370-1)&lt;$E$17,"0",IF(LeasingHab!$D$27="Si",($C$19*(VLOOKUP(LeasingHab!$C$23,Seguros_Oblig!$A$3:$F$55,6,FALSE))),IF(LeasingHab!$C$10="TARIFA 1",(C370*(VLOOKUP(LeasingHab!$C$23,Seguros_Oblig!$A$3:$B$55,2,FALSE))),(C370*(VLOOKUP(LeasingHab!$C$23,Seguros_Oblig!$A$3:$D$55,4,FALSE))))))</f>
        <v>#VALUE!</v>
      </c>
      <c r="G371" s="8" t="e">
        <f>IF(LeasingHab!$C$10="TARIFA 1",(C370*(VLOOKUP(LeasingHab!$C$24,Seguros_Oblig!$A$3:$B$55,2,FALSE))),(C370*(VLOOKUP(LeasingHab!$C$24,Seguros_Oblig!$A$3:$D$55,4,FALSE))))</f>
        <v>#VALUE!</v>
      </c>
      <c r="H371" s="8" t="e">
        <f>IF(LeasingHab!$C$10="TARIFA 1",(C370*(VLOOKUP(LeasingHab!$C$25,Seguros_Oblig!$A$3:$B$55,2,FALSE))),(C370*(VLOOKUP(LeasingHab!$C$25,Seguros_Oblig!$A$3:$D$55,4,FALSE))))</f>
        <v>#VALUE!</v>
      </c>
      <c r="I371" s="8" t="e">
        <f>IF(LeasingHab!$C$10="TARIFA 1",(C370*(VLOOKUP(LeasingHab!$C$26,Seguros_Oblig!$A$3:$B$55,2,FALSE))),(C370*(VLOOKUP(LeasingHab!$C$26,Seguros_Oblig!$A$3:$D$55,4,FALSE))))</f>
        <v>#VALUE!</v>
      </c>
      <c r="J371" s="10">
        <f t="shared" si="33"/>
        <v>0</v>
      </c>
      <c r="K371" s="7" t="e">
        <f>IF((C370-1)&lt;$E$17,0,Seguros_Oblig!$K$2*(LeasingHab!$C$12*90%))</f>
        <v>#VALUE!</v>
      </c>
      <c r="L371" s="7" t="e">
        <f>IF(B371&gt;LeasingHab!$C$18,0,PMT(LeasingHab!$E$17,LeasingHab!$C$18,-LeasingHab!$C$15,,)-PMT(LeasingHab!$E$17,LeasingHab!$C$18,-LeasingHab!$C$22)+LeasingHab!$C$22*LeasingHab!$E$17)</f>
        <v>#VALUE!</v>
      </c>
      <c r="M371" s="9" t="e">
        <f t="shared" si="34"/>
        <v>#VALUE!</v>
      </c>
      <c r="N371" s="7" t="e">
        <f>IF((C370-1)&lt;$E$17,0,LeasingHab!$C$39)</f>
        <v>#VALUE!</v>
      </c>
      <c r="O371" s="9" t="e">
        <f t="shared" si="35"/>
        <v>#VALUE!</v>
      </c>
    </row>
    <row r="372" spans="2:15" ht="15.5" hidden="1" x14ac:dyDescent="0.35">
      <c r="B372" s="6" t="e">
        <f t="shared" si="36"/>
        <v>#VALUE!</v>
      </c>
      <c r="C372" s="7" t="e">
        <f t="shared" si="31"/>
        <v>#VALUE!</v>
      </c>
      <c r="D372" s="7" t="e">
        <f t="shared" si="32"/>
        <v>#VALUE!</v>
      </c>
      <c r="E372" s="7" t="e">
        <f>IF((C371-1)&lt;$E$17,0,C371*LeasingHab!$E$17)</f>
        <v>#VALUE!</v>
      </c>
      <c r="F372" s="8" t="e">
        <f>IF((C371-1)&lt;$E$17,"0",IF(LeasingHab!$D$27="Si",($C$19*(VLOOKUP(LeasingHab!$C$23,Seguros_Oblig!$A$3:$F$55,6,FALSE))),IF(LeasingHab!$C$10="TARIFA 1",(C371*(VLOOKUP(LeasingHab!$C$23,Seguros_Oblig!$A$3:$B$55,2,FALSE))),(C371*(VLOOKUP(LeasingHab!$C$23,Seguros_Oblig!$A$3:$D$55,4,FALSE))))))</f>
        <v>#VALUE!</v>
      </c>
      <c r="G372" s="8" t="e">
        <f>IF(LeasingHab!$C$10="TARIFA 1",(C371*(VLOOKUP(LeasingHab!$C$24,Seguros_Oblig!$A$3:$B$55,2,FALSE))),(C371*(VLOOKUP(LeasingHab!$C$24,Seguros_Oblig!$A$3:$D$55,4,FALSE))))</f>
        <v>#VALUE!</v>
      </c>
      <c r="H372" s="8" t="e">
        <f>IF(LeasingHab!$C$10="TARIFA 1",(C371*(VLOOKUP(LeasingHab!$C$25,Seguros_Oblig!$A$3:$B$55,2,FALSE))),(C371*(VLOOKUP(LeasingHab!$C$25,Seguros_Oblig!$A$3:$D$55,4,FALSE))))</f>
        <v>#VALUE!</v>
      </c>
      <c r="I372" s="8" t="e">
        <f>IF(LeasingHab!$C$10="TARIFA 1",(C371*(VLOOKUP(LeasingHab!$C$26,Seguros_Oblig!$A$3:$B$55,2,FALSE))),(C371*(VLOOKUP(LeasingHab!$C$26,Seguros_Oblig!$A$3:$D$55,4,FALSE))))</f>
        <v>#VALUE!</v>
      </c>
      <c r="J372" s="10">
        <f t="shared" si="33"/>
        <v>0</v>
      </c>
      <c r="K372" s="7" t="e">
        <f>IF((C371-1)&lt;$E$17,0,Seguros_Oblig!$K$2*(LeasingHab!$C$12*90%))</f>
        <v>#VALUE!</v>
      </c>
      <c r="L372" s="7" t="e">
        <f>IF(B372&gt;LeasingHab!$C$18,0,PMT(LeasingHab!$E$17,LeasingHab!$C$18,-LeasingHab!$C$15,,)-PMT(LeasingHab!$E$17,LeasingHab!$C$18,-LeasingHab!$C$22)+LeasingHab!$C$22*LeasingHab!$E$17)</f>
        <v>#VALUE!</v>
      </c>
      <c r="M372" s="9" t="e">
        <f t="shared" si="34"/>
        <v>#VALUE!</v>
      </c>
      <c r="N372" s="7" t="e">
        <f>IF((C371-1)&lt;$E$17,0,LeasingHab!$C$39)</f>
        <v>#VALUE!</v>
      </c>
      <c r="O372" s="9" t="e">
        <f t="shared" si="35"/>
        <v>#VALUE!</v>
      </c>
    </row>
    <row r="373" spans="2:15" ht="15.5" hidden="1" x14ac:dyDescent="0.35">
      <c r="B373" s="6" t="e">
        <f t="shared" si="36"/>
        <v>#VALUE!</v>
      </c>
      <c r="C373" s="7" t="e">
        <f t="shared" si="31"/>
        <v>#VALUE!</v>
      </c>
      <c r="D373" s="7" t="e">
        <f t="shared" si="32"/>
        <v>#VALUE!</v>
      </c>
      <c r="E373" s="7" t="e">
        <f>IF((C372-1)&lt;$E$17,0,C372*LeasingHab!$E$17)</f>
        <v>#VALUE!</v>
      </c>
      <c r="F373" s="8" t="e">
        <f>IF((C372-1)&lt;$E$17,"0",IF(LeasingHab!$D$27="Si",($C$19*(VLOOKUP(LeasingHab!$C$23,Seguros_Oblig!$A$3:$F$55,6,FALSE))),IF(LeasingHab!$C$10="TARIFA 1",(C372*(VLOOKUP(LeasingHab!$C$23,Seguros_Oblig!$A$3:$B$55,2,FALSE))),(C372*(VLOOKUP(LeasingHab!$C$23,Seguros_Oblig!$A$3:$D$55,4,FALSE))))))</f>
        <v>#VALUE!</v>
      </c>
      <c r="G373" s="8" t="e">
        <f>IF(LeasingHab!$C$10="TARIFA 1",(C372*(VLOOKUP(LeasingHab!$C$24,Seguros_Oblig!$A$3:$B$55,2,FALSE))),(C372*(VLOOKUP(LeasingHab!$C$24,Seguros_Oblig!$A$3:$D$55,4,FALSE))))</f>
        <v>#VALUE!</v>
      </c>
      <c r="H373" s="8" t="e">
        <f>IF(LeasingHab!$C$10="TARIFA 1",(C372*(VLOOKUP(LeasingHab!$C$25,Seguros_Oblig!$A$3:$B$55,2,FALSE))),(C372*(VLOOKUP(LeasingHab!$C$25,Seguros_Oblig!$A$3:$D$55,4,FALSE))))</f>
        <v>#VALUE!</v>
      </c>
      <c r="I373" s="8" t="e">
        <f>IF(LeasingHab!$C$10="TARIFA 1",(C372*(VLOOKUP(LeasingHab!$C$26,Seguros_Oblig!$A$3:$B$55,2,FALSE))),(C372*(VLOOKUP(LeasingHab!$C$26,Seguros_Oblig!$A$3:$D$55,4,FALSE))))</f>
        <v>#VALUE!</v>
      </c>
      <c r="J373" s="10">
        <f t="shared" si="33"/>
        <v>0</v>
      </c>
      <c r="K373" s="7" t="e">
        <f>IF((C372-1)&lt;$E$17,0,Seguros_Oblig!$K$2*(LeasingHab!$C$12*90%))</f>
        <v>#VALUE!</v>
      </c>
      <c r="L373" s="7" t="e">
        <f>IF(B373&gt;LeasingHab!$C$18,0,PMT(LeasingHab!$E$17,LeasingHab!$C$18,-LeasingHab!$C$15,,)-PMT(LeasingHab!$E$17,LeasingHab!$C$18,-LeasingHab!$C$22)+LeasingHab!$C$22*LeasingHab!$E$17)</f>
        <v>#VALUE!</v>
      </c>
      <c r="M373" s="9" t="e">
        <f t="shared" si="34"/>
        <v>#VALUE!</v>
      </c>
      <c r="N373" s="7" t="e">
        <f>IF((C372-1)&lt;$E$17,0,LeasingHab!$C$39)</f>
        <v>#VALUE!</v>
      </c>
      <c r="O373" s="9" t="e">
        <f t="shared" si="35"/>
        <v>#VALUE!</v>
      </c>
    </row>
    <row r="374" spans="2:15" ht="15.5" hidden="1" x14ac:dyDescent="0.35">
      <c r="B374" s="6" t="e">
        <f t="shared" si="36"/>
        <v>#VALUE!</v>
      </c>
      <c r="C374" s="7" t="e">
        <f t="shared" si="31"/>
        <v>#VALUE!</v>
      </c>
      <c r="D374" s="7" t="e">
        <f t="shared" si="32"/>
        <v>#VALUE!</v>
      </c>
      <c r="E374" s="7" t="e">
        <f>IF((C373-1)&lt;$E$17,0,C373*LeasingHab!$E$17)</f>
        <v>#VALUE!</v>
      </c>
      <c r="F374" s="8" t="e">
        <f>IF((C373-1)&lt;$E$17,"0",IF(LeasingHab!$D$27="Si",($C$19*(VLOOKUP(LeasingHab!$C$23,Seguros_Oblig!$A$3:$F$55,6,FALSE))),IF(LeasingHab!$C$10="TARIFA 1",(C373*(VLOOKUP(LeasingHab!$C$23,Seguros_Oblig!$A$3:$B$55,2,FALSE))),(C373*(VLOOKUP(LeasingHab!$C$23,Seguros_Oblig!$A$3:$D$55,4,FALSE))))))</f>
        <v>#VALUE!</v>
      </c>
      <c r="G374" s="8" t="e">
        <f>IF(LeasingHab!$C$10="TARIFA 1",(C373*(VLOOKUP(LeasingHab!$C$24,Seguros_Oblig!$A$3:$B$55,2,FALSE))),(C373*(VLOOKUP(LeasingHab!$C$24,Seguros_Oblig!$A$3:$D$55,4,FALSE))))</f>
        <v>#VALUE!</v>
      </c>
      <c r="H374" s="8" t="e">
        <f>IF(LeasingHab!$C$10="TARIFA 1",(C373*(VLOOKUP(LeasingHab!$C$25,Seguros_Oblig!$A$3:$B$55,2,FALSE))),(C373*(VLOOKUP(LeasingHab!$C$25,Seguros_Oblig!$A$3:$D$55,4,FALSE))))</f>
        <v>#VALUE!</v>
      </c>
      <c r="I374" s="8" t="e">
        <f>IF(LeasingHab!$C$10="TARIFA 1",(C373*(VLOOKUP(LeasingHab!$C$26,Seguros_Oblig!$A$3:$B$55,2,FALSE))),(C373*(VLOOKUP(LeasingHab!$C$26,Seguros_Oblig!$A$3:$D$55,4,FALSE))))</f>
        <v>#VALUE!</v>
      </c>
      <c r="J374" s="10">
        <f t="shared" si="33"/>
        <v>0</v>
      </c>
      <c r="K374" s="7" t="e">
        <f>IF((C373-1)&lt;$E$17,0,Seguros_Oblig!$K$2*(LeasingHab!$C$12*90%))</f>
        <v>#VALUE!</v>
      </c>
      <c r="L374" s="7" t="e">
        <f>IF(B374&gt;LeasingHab!$C$18,0,PMT(LeasingHab!$E$17,LeasingHab!$C$18,-LeasingHab!$C$15,,)-PMT(LeasingHab!$E$17,LeasingHab!$C$18,-LeasingHab!$C$22)+LeasingHab!$C$22*LeasingHab!$E$17)</f>
        <v>#VALUE!</v>
      </c>
      <c r="M374" s="9" t="e">
        <f t="shared" si="34"/>
        <v>#VALUE!</v>
      </c>
      <c r="N374" s="7" t="e">
        <f>IF((C373-1)&lt;$E$17,0,LeasingHab!$C$39)</f>
        <v>#VALUE!</v>
      </c>
      <c r="O374" s="9" t="e">
        <f t="shared" si="35"/>
        <v>#VALUE!</v>
      </c>
    </row>
    <row r="375" spans="2:15" ht="15.5" hidden="1" x14ac:dyDescent="0.35">
      <c r="B375" s="6" t="e">
        <f t="shared" si="36"/>
        <v>#VALUE!</v>
      </c>
      <c r="C375" s="7" t="e">
        <f t="shared" si="31"/>
        <v>#VALUE!</v>
      </c>
      <c r="D375" s="7" t="e">
        <f t="shared" si="32"/>
        <v>#VALUE!</v>
      </c>
      <c r="E375" s="7" t="e">
        <f>IF((C374-1)&lt;$E$17,0,C374*LeasingHab!$E$17)</f>
        <v>#VALUE!</v>
      </c>
      <c r="F375" s="8" t="e">
        <f>IF((C374-1)&lt;$E$17,"0",IF(LeasingHab!$D$27="Si",($C$19*(VLOOKUP(LeasingHab!$C$23,Seguros_Oblig!$A$3:$F$55,6,FALSE))),IF(LeasingHab!$C$10="TARIFA 1",(C374*(VLOOKUP(LeasingHab!$C$23,Seguros_Oblig!$A$3:$B$55,2,FALSE))),(C374*(VLOOKUP(LeasingHab!$C$23,Seguros_Oblig!$A$3:$D$55,4,FALSE))))))</f>
        <v>#VALUE!</v>
      </c>
      <c r="G375" s="8" t="e">
        <f>IF(LeasingHab!$C$10="TARIFA 1",(C374*(VLOOKUP(LeasingHab!$C$24,Seguros_Oblig!$A$3:$B$55,2,FALSE))),(C374*(VLOOKUP(LeasingHab!$C$24,Seguros_Oblig!$A$3:$D$55,4,FALSE))))</f>
        <v>#VALUE!</v>
      </c>
      <c r="H375" s="8" t="e">
        <f>IF(LeasingHab!$C$10="TARIFA 1",(C374*(VLOOKUP(LeasingHab!$C$25,Seguros_Oblig!$A$3:$B$55,2,FALSE))),(C374*(VLOOKUP(LeasingHab!$C$25,Seguros_Oblig!$A$3:$D$55,4,FALSE))))</f>
        <v>#VALUE!</v>
      </c>
      <c r="I375" s="8" t="e">
        <f>IF(LeasingHab!$C$10="TARIFA 1",(C374*(VLOOKUP(LeasingHab!$C$26,Seguros_Oblig!$A$3:$B$55,2,FALSE))),(C374*(VLOOKUP(LeasingHab!$C$26,Seguros_Oblig!$A$3:$D$55,4,FALSE))))</f>
        <v>#VALUE!</v>
      </c>
      <c r="J375" s="10">
        <f t="shared" si="33"/>
        <v>0</v>
      </c>
      <c r="K375" s="7" t="e">
        <f>IF((C374-1)&lt;$E$17,0,Seguros_Oblig!$K$2*(LeasingHab!$C$12*90%))</f>
        <v>#VALUE!</v>
      </c>
      <c r="L375" s="7" t="e">
        <f>IF(B375&gt;LeasingHab!$C$18,0,PMT(LeasingHab!$E$17,LeasingHab!$C$18,-LeasingHab!$C$15,,)-PMT(LeasingHab!$E$17,LeasingHab!$C$18,-LeasingHab!$C$22)+LeasingHab!$C$22*LeasingHab!$E$17)</f>
        <v>#VALUE!</v>
      </c>
      <c r="M375" s="9" t="e">
        <f t="shared" si="34"/>
        <v>#VALUE!</v>
      </c>
      <c r="N375" s="7" t="e">
        <f>IF((C374-1)&lt;$E$17,0,LeasingHab!$C$39)</f>
        <v>#VALUE!</v>
      </c>
      <c r="O375" s="9" t="e">
        <f t="shared" si="35"/>
        <v>#VALUE!</v>
      </c>
    </row>
    <row r="376" spans="2:15" ht="15.5" hidden="1" x14ac:dyDescent="0.35">
      <c r="B376" s="6" t="e">
        <f t="shared" si="36"/>
        <v>#VALUE!</v>
      </c>
      <c r="C376" s="7" t="e">
        <f t="shared" si="31"/>
        <v>#VALUE!</v>
      </c>
      <c r="D376" s="7" t="e">
        <f t="shared" si="32"/>
        <v>#VALUE!</v>
      </c>
      <c r="E376" s="7" t="e">
        <f>IF((C375-1)&lt;$E$17,0,C375*LeasingHab!$E$17)</f>
        <v>#VALUE!</v>
      </c>
      <c r="F376" s="8" t="e">
        <f>IF((C375-1)&lt;$E$17,"0",IF(LeasingHab!$D$27="Si",($C$19*(VLOOKUP(LeasingHab!$C$23,Seguros_Oblig!$A$3:$F$55,6,FALSE))),IF(LeasingHab!$C$10="TARIFA 1",(C375*(VLOOKUP(LeasingHab!$C$23,Seguros_Oblig!$A$3:$B$55,2,FALSE))),(C375*(VLOOKUP(LeasingHab!$C$23,Seguros_Oblig!$A$3:$D$55,4,FALSE))))))</f>
        <v>#VALUE!</v>
      </c>
      <c r="G376" s="8" t="e">
        <f>IF(LeasingHab!$C$10="TARIFA 1",(C375*(VLOOKUP(LeasingHab!$C$24,Seguros_Oblig!$A$3:$B$55,2,FALSE))),(C375*(VLOOKUP(LeasingHab!$C$24,Seguros_Oblig!$A$3:$D$55,4,FALSE))))</f>
        <v>#VALUE!</v>
      </c>
      <c r="H376" s="8" t="e">
        <f>IF(LeasingHab!$C$10="TARIFA 1",(C375*(VLOOKUP(LeasingHab!$C$25,Seguros_Oblig!$A$3:$B$55,2,FALSE))),(C375*(VLOOKUP(LeasingHab!$C$25,Seguros_Oblig!$A$3:$D$55,4,FALSE))))</f>
        <v>#VALUE!</v>
      </c>
      <c r="I376" s="8" t="e">
        <f>IF(LeasingHab!$C$10="TARIFA 1",(C375*(VLOOKUP(LeasingHab!$C$26,Seguros_Oblig!$A$3:$B$55,2,FALSE))),(C375*(VLOOKUP(LeasingHab!$C$26,Seguros_Oblig!$A$3:$D$55,4,FALSE))))</f>
        <v>#VALUE!</v>
      </c>
      <c r="J376" s="10">
        <f t="shared" si="33"/>
        <v>0</v>
      </c>
      <c r="K376" s="7" t="e">
        <f>IF((C375-1)&lt;$E$17,0,Seguros_Oblig!$K$2*(LeasingHab!$C$12*90%))</f>
        <v>#VALUE!</v>
      </c>
      <c r="L376" s="7" t="e">
        <f>IF(B376&gt;LeasingHab!$C$18,0,PMT(LeasingHab!$E$17,LeasingHab!$C$18,-LeasingHab!$C$15,,)-PMT(LeasingHab!$E$17,LeasingHab!$C$18,-LeasingHab!$C$22)+LeasingHab!$C$22*LeasingHab!$E$17)</f>
        <v>#VALUE!</v>
      </c>
      <c r="M376" s="9" t="e">
        <f t="shared" si="34"/>
        <v>#VALUE!</v>
      </c>
      <c r="N376" s="7" t="e">
        <f>IF((C375-1)&lt;$E$17,0,LeasingHab!$C$39)</f>
        <v>#VALUE!</v>
      </c>
      <c r="O376" s="9" t="e">
        <f t="shared" si="35"/>
        <v>#VALUE!</v>
      </c>
    </row>
    <row r="377" spans="2:15" ht="15.5" hidden="1" x14ac:dyDescent="0.35">
      <c r="B377" s="6" t="e">
        <f t="shared" si="36"/>
        <v>#VALUE!</v>
      </c>
      <c r="C377" s="7" t="e">
        <f t="shared" si="31"/>
        <v>#VALUE!</v>
      </c>
      <c r="D377" s="7" t="e">
        <f t="shared" si="32"/>
        <v>#VALUE!</v>
      </c>
      <c r="E377" s="7" t="e">
        <f>IF((C376-1)&lt;$E$17,0,C376*LeasingHab!$E$17)</f>
        <v>#VALUE!</v>
      </c>
      <c r="F377" s="8" t="e">
        <f>IF((C376-1)&lt;$E$17,"0",IF(LeasingHab!$D$27="Si",($C$19*(VLOOKUP(LeasingHab!$C$23,Seguros_Oblig!$A$3:$F$55,6,FALSE))),IF(LeasingHab!$C$10="TARIFA 1",(C376*(VLOOKUP(LeasingHab!$C$23,Seguros_Oblig!$A$3:$B$55,2,FALSE))),(C376*(VLOOKUP(LeasingHab!$C$23,Seguros_Oblig!$A$3:$D$55,4,FALSE))))))</f>
        <v>#VALUE!</v>
      </c>
      <c r="G377" s="8" t="e">
        <f>IF(LeasingHab!$C$10="TARIFA 1",(C376*(VLOOKUP(LeasingHab!$C$24,Seguros_Oblig!$A$3:$B$55,2,FALSE))),(C376*(VLOOKUP(LeasingHab!$C$24,Seguros_Oblig!$A$3:$D$55,4,FALSE))))</f>
        <v>#VALUE!</v>
      </c>
      <c r="H377" s="8" t="e">
        <f>IF(LeasingHab!$C$10="TARIFA 1",(C376*(VLOOKUP(LeasingHab!$C$25,Seguros_Oblig!$A$3:$B$55,2,FALSE))),(C376*(VLOOKUP(LeasingHab!$C$25,Seguros_Oblig!$A$3:$D$55,4,FALSE))))</f>
        <v>#VALUE!</v>
      </c>
      <c r="I377" s="8" t="e">
        <f>IF(LeasingHab!$C$10="TARIFA 1",(C376*(VLOOKUP(LeasingHab!$C$26,Seguros_Oblig!$A$3:$B$55,2,FALSE))),(C376*(VLOOKUP(LeasingHab!$C$26,Seguros_Oblig!$A$3:$D$55,4,FALSE))))</f>
        <v>#VALUE!</v>
      </c>
      <c r="J377" s="10">
        <f t="shared" si="33"/>
        <v>0</v>
      </c>
      <c r="K377" s="7" t="e">
        <f>IF((C376-1)&lt;$E$17,0,Seguros_Oblig!$K$2*(LeasingHab!$C$12*90%))</f>
        <v>#VALUE!</v>
      </c>
      <c r="L377" s="7" t="e">
        <f>IF(B377&gt;LeasingHab!$C$18,0,PMT(LeasingHab!$E$17,LeasingHab!$C$18,-LeasingHab!$C$15,,)-PMT(LeasingHab!$E$17,LeasingHab!$C$18,-LeasingHab!$C$22)+LeasingHab!$C$22*LeasingHab!$E$17)</f>
        <v>#VALUE!</v>
      </c>
      <c r="M377" s="9" t="e">
        <f t="shared" si="34"/>
        <v>#VALUE!</v>
      </c>
      <c r="N377" s="7" t="e">
        <f>IF((C376-1)&lt;$E$17,0,LeasingHab!$C$39)</f>
        <v>#VALUE!</v>
      </c>
      <c r="O377" s="9" t="e">
        <f t="shared" si="35"/>
        <v>#VALUE!</v>
      </c>
    </row>
    <row r="378" spans="2:15" ht="15.5" hidden="1" x14ac:dyDescent="0.35">
      <c r="B378" s="6" t="e">
        <f t="shared" si="36"/>
        <v>#VALUE!</v>
      </c>
      <c r="C378" s="7" t="e">
        <f t="shared" si="31"/>
        <v>#VALUE!</v>
      </c>
      <c r="D378" s="7" t="e">
        <f t="shared" si="32"/>
        <v>#VALUE!</v>
      </c>
      <c r="E378" s="7" t="e">
        <f>IF((C377-1)&lt;$E$17,0,C377*LeasingHab!$E$17)</f>
        <v>#VALUE!</v>
      </c>
      <c r="F378" s="8" t="e">
        <f>IF((C377-1)&lt;$E$17,"0",IF(LeasingHab!$D$27="Si",($C$19*(VLOOKUP(LeasingHab!$C$23,Seguros_Oblig!$A$3:$F$55,6,FALSE))),IF(LeasingHab!$C$10="TARIFA 1",(C377*(VLOOKUP(LeasingHab!$C$23,Seguros_Oblig!$A$3:$B$55,2,FALSE))),(C377*(VLOOKUP(LeasingHab!$C$23,Seguros_Oblig!$A$3:$D$55,4,FALSE))))))</f>
        <v>#VALUE!</v>
      </c>
      <c r="G378" s="8" t="e">
        <f>IF(LeasingHab!$C$10="TARIFA 1",(C377*(VLOOKUP(LeasingHab!$C$24,Seguros_Oblig!$A$3:$B$55,2,FALSE))),(C377*(VLOOKUP(LeasingHab!$C$24,Seguros_Oblig!$A$3:$D$55,4,FALSE))))</f>
        <v>#VALUE!</v>
      </c>
      <c r="H378" s="8" t="e">
        <f>IF(LeasingHab!$C$10="TARIFA 1",(C377*(VLOOKUP(LeasingHab!$C$25,Seguros_Oblig!$A$3:$B$55,2,FALSE))),(C377*(VLOOKUP(LeasingHab!$C$25,Seguros_Oblig!$A$3:$D$55,4,FALSE))))</f>
        <v>#VALUE!</v>
      </c>
      <c r="I378" s="8" t="e">
        <f>IF(LeasingHab!$C$10="TARIFA 1",(C377*(VLOOKUP(LeasingHab!$C$26,Seguros_Oblig!$A$3:$B$55,2,FALSE))),(C377*(VLOOKUP(LeasingHab!$C$26,Seguros_Oblig!$A$3:$D$55,4,FALSE))))</f>
        <v>#VALUE!</v>
      </c>
      <c r="J378" s="10">
        <f t="shared" si="33"/>
        <v>0</v>
      </c>
      <c r="K378" s="7" t="e">
        <f>IF((C377-1)&lt;$E$17,0,Seguros_Oblig!$K$2*(LeasingHab!$C$12*90%))</f>
        <v>#VALUE!</v>
      </c>
      <c r="L378" s="7" t="e">
        <f>IF(B378&gt;LeasingHab!$C$18,0,PMT(LeasingHab!$E$17,LeasingHab!$C$18,-LeasingHab!$C$15,,)-PMT(LeasingHab!$E$17,LeasingHab!$C$18,-LeasingHab!$C$22)+LeasingHab!$C$22*LeasingHab!$E$17)</f>
        <v>#VALUE!</v>
      </c>
      <c r="M378" s="9" t="e">
        <f t="shared" si="34"/>
        <v>#VALUE!</v>
      </c>
      <c r="N378" s="7" t="e">
        <f>IF((C377-1)&lt;$E$17,0,LeasingHab!$C$39)</f>
        <v>#VALUE!</v>
      </c>
      <c r="O378" s="9" t="e">
        <f t="shared" si="35"/>
        <v>#VALUE!</v>
      </c>
    </row>
    <row r="379" spans="2:15" ht="15.5" hidden="1" x14ac:dyDescent="0.35">
      <c r="B379" s="6" t="e">
        <f t="shared" si="36"/>
        <v>#VALUE!</v>
      </c>
      <c r="C379" s="7" t="e">
        <f t="shared" si="31"/>
        <v>#VALUE!</v>
      </c>
      <c r="D379" s="7" t="e">
        <f t="shared" si="32"/>
        <v>#VALUE!</v>
      </c>
      <c r="E379" s="7" t="e">
        <f>IF((C378-1)&lt;$E$17,0,C378*LeasingHab!$E$17)</f>
        <v>#VALUE!</v>
      </c>
      <c r="F379" s="8" t="e">
        <f>IF((C378-1)&lt;$E$17,"0",IF(LeasingHab!$D$27="Si",($C$19*(VLOOKUP(LeasingHab!$C$23,Seguros_Oblig!$A$3:$F$55,6,FALSE))),IF(LeasingHab!$C$10="TARIFA 1",(C378*(VLOOKUP(LeasingHab!$C$23,Seguros_Oblig!$A$3:$B$55,2,FALSE))),(C378*(VLOOKUP(LeasingHab!$C$23,Seguros_Oblig!$A$3:$D$55,4,FALSE))))))</f>
        <v>#VALUE!</v>
      </c>
      <c r="G379" s="8" t="e">
        <f>IF(LeasingHab!$C$10="TARIFA 1",(C378*(VLOOKUP(LeasingHab!$C$24,Seguros_Oblig!$A$3:$B$55,2,FALSE))),(C378*(VLOOKUP(LeasingHab!$C$24,Seguros_Oblig!$A$3:$D$55,4,FALSE))))</f>
        <v>#VALUE!</v>
      </c>
      <c r="H379" s="8" t="e">
        <f>IF(LeasingHab!$C$10="TARIFA 1",(C378*(VLOOKUP(LeasingHab!$C$25,Seguros_Oblig!$A$3:$B$55,2,FALSE))),(C378*(VLOOKUP(LeasingHab!$C$25,Seguros_Oblig!$A$3:$D$55,4,FALSE))))</f>
        <v>#VALUE!</v>
      </c>
      <c r="I379" s="8" t="e">
        <f>IF(LeasingHab!$C$10="TARIFA 1",(C378*(VLOOKUP(LeasingHab!$C$26,Seguros_Oblig!$A$3:$B$55,2,FALSE))),(C378*(VLOOKUP(LeasingHab!$C$26,Seguros_Oblig!$A$3:$D$55,4,FALSE))))</f>
        <v>#VALUE!</v>
      </c>
      <c r="J379" s="10">
        <f t="shared" si="33"/>
        <v>0</v>
      </c>
      <c r="K379" s="7" t="e">
        <f>IF((C378-1)&lt;$E$17,0,Seguros_Oblig!$K$2*(LeasingHab!$C$12*90%))</f>
        <v>#VALUE!</v>
      </c>
      <c r="L379" s="7" t="e">
        <f>IF(B379&gt;LeasingHab!$C$18,0,PMT(LeasingHab!$E$17,LeasingHab!$C$18,-LeasingHab!$C$15,,)-PMT(LeasingHab!$E$17,LeasingHab!$C$18,-LeasingHab!$C$22)+LeasingHab!$C$22*LeasingHab!$E$17)</f>
        <v>#VALUE!</v>
      </c>
      <c r="M379" s="9" t="e">
        <f t="shared" si="34"/>
        <v>#VALUE!</v>
      </c>
      <c r="N379" s="7" t="e">
        <f>IF((C378-1)&lt;$E$17,0,LeasingHab!$C$39)</f>
        <v>#VALUE!</v>
      </c>
      <c r="O379" s="9" t="e">
        <f t="shared" si="35"/>
        <v>#VALUE!</v>
      </c>
    </row>
  </sheetData>
  <sheetProtection algorithmName="SHA-512" hashValue="9TkuPid+CZgKEYYAUJ1+xLoZ1svdPUIGaz4C2CJPqTyjdn2waUQb47fu55JiW0Ly7dMdWph2ttNeLmQ0WE8BAg==" saltValue="LV+RnYtEkY18YUGIBX46RA==" spinCount="100000" sheet="1" objects="1" scenarios="1"/>
  <mergeCells count="6">
    <mergeCell ref="N1:O4"/>
    <mergeCell ref="E2:L3"/>
    <mergeCell ref="B17:D17"/>
    <mergeCell ref="B5:O12"/>
    <mergeCell ref="B13:O14"/>
    <mergeCell ref="B15:D15"/>
  </mergeCells>
  <conditionalFormatting sqref="B19:B379">
    <cfRule type="cellIs" dxfId="43" priority="9" stopIfTrue="1" operator="greaterThan">
      <formula>$E$25</formula>
    </cfRule>
  </conditionalFormatting>
  <conditionalFormatting sqref="C19:C379">
    <cfRule type="cellIs" dxfId="42" priority="1" operator="lessThan">
      <formula>$E$17-2</formula>
    </cfRule>
    <cfRule type="cellIs" dxfId="41" priority="6" operator="lessThan">
      <formula>0</formula>
    </cfRule>
  </conditionalFormatting>
  <conditionalFormatting sqref="C260">
    <cfRule type="cellIs" dxfId="40" priority="7" operator="lessThan">
      <formula>0</formula>
    </cfRule>
    <cfRule type="cellIs" dxfId="39" priority="8" operator="lessThan">
      <formula>0</formula>
    </cfRule>
  </conditionalFormatting>
  <conditionalFormatting sqref="E19:E379">
    <cfRule type="cellIs" dxfId="38" priority="4" operator="lessThan">
      <formula>0</formula>
    </cfRule>
  </conditionalFormatting>
  <conditionalFormatting sqref="E17:F17">
    <cfRule type="cellIs" dxfId="37" priority="2" operator="lessThan">
      <formula>0</formula>
    </cfRule>
  </conditionalFormatting>
  <pageMargins left="0.7" right="0.7" top="0.75" bottom="0.75" header="0.3" footer="0.3"/>
  <pageSetup paperSize="9" scale="58" fitToHeight="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662D3-11F9-48EA-BB99-26799715B01B}">
  <sheetPr codeName="Hoja17"/>
  <dimension ref="A2:N55"/>
  <sheetViews>
    <sheetView showGridLines="0" zoomScale="55" zoomScaleNormal="55" workbookViewId="0">
      <selection activeCell="A28" sqref="A28"/>
    </sheetView>
  </sheetViews>
  <sheetFormatPr baseColWidth="10" defaultColWidth="11.453125" defaultRowHeight="14.5" x14ac:dyDescent="0.35"/>
  <cols>
    <col min="1" max="1" width="10.26953125" style="125" customWidth="1"/>
    <col min="2" max="5" width="11.453125" style="2"/>
    <col min="6" max="6" width="21.453125" style="2" bestFit="1" customWidth="1"/>
    <col min="7" max="7" width="2.453125" style="2" customWidth="1"/>
    <col min="8" max="8" width="3" style="2" customWidth="1"/>
    <col min="9" max="16384" width="11.453125" style="2"/>
  </cols>
  <sheetData>
    <row r="2" spans="1:14" x14ac:dyDescent="0.35">
      <c r="A2" s="125" t="e">
        <f>RM!B5&amp;RM!F14</f>
        <v>#N/A</v>
      </c>
    </row>
    <row r="3" spans="1:14" x14ac:dyDescent="0.35">
      <c r="A3" s="125" t="str">
        <f>RM!D24&amp;RM!D14&amp;RM!D10&amp;RM!F20&amp;RM!D22</f>
        <v>No&lt;789Asalariado y Pensionado</v>
      </c>
    </row>
    <row r="5" spans="1:14" x14ac:dyDescent="0.35">
      <c r="I5" s="2" t="s">
        <v>18</v>
      </c>
      <c r="J5" s="2" t="s">
        <v>19</v>
      </c>
      <c r="K5" s="2" t="s">
        <v>20</v>
      </c>
      <c r="L5" s="2" t="s">
        <v>21</v>
      </c>
      <c r="M5" s="2" t="s">
        <v>22</v>
      </c>
      <c r="N5" s="2" t="s">
        <v>23</v>
      </c>
    </row>
    <row r="6" spans="1:14" ht="18.5" x14ac:dyDescent="0.45">
      <c r="B6" s="126" t="s">
        <v>30</v>
      </c>
      <c r="I6" s="463" t="s">
        <v>34</v>
      </c>
      <c r="J6" s="463"/>
      <c r="K6" s="463"/>
      <c r="L6" s="463"/>
      <c r="M6" s="463"/>
      <c r="N6" s="463"/>
    </row>
    <row r="7" spans="1:14" ht="29" x14ac:dyDescent="0.35">
      <c r="B7" s="127" t="s">
        <v>37</v>
      </c>
      <c r="C7" s="127" t="s">
        <v>38</v>
      </c>
      <c r="D7" s="127" t="s">
        <v>39</v>
      </c>
      <c r="E7" s="127" t="s">
        <v>40</v>
      </c>
      <c r="F7" s="127" t="s">
        <v>41</v>
      </c>
      <c r="G7" s="128"/>
      <c r="I7" s="127" t="s">
        <v>42</v>
      </c>
      <c r="J7" s="127" t="s">
        <v>43</v>
      </c>
      <c r="K7" s="127" t="s">
        <v>44</v>
      </c>
      <c r="L7" s="127" t="s">
        <v>45</v>
      </c>
      <c r="M7" s="127" t="s">
        <v>46</v>
      </c>
      <c r="N7" s="127" t="s">
        <v>47</v>
      </c>
    </row>
    <row r="8" spans="1:14" x14ac:dyDescent="0.35">
      <c r="A8" s="125" t="s">
        <v>49</v>
      </c>
      <c r="B8" s="130" t="s">
        <v>50</v>
      </c>
      <c r="C8" s="130" t="s">
        <v>51</v>
      </c>
      <c r="D8" s="130" t="s">
        <v>52</v>
      </c>
      <c r="E8" s="130" t="s">
        <v>53</v>
      </c>
      <c r="F8" s="130" t="s">
        <v>54</v>
      </c>
      <c r="I8" s="220">
        <f>'Tasas inteligentes'!AC8</f>
        <v>0.15800608683458517</v>
      </c>
      <c r="J8" s="220">
        <f>'Tasas inteligentes'!AD8</f>
        <v>0.15937955571773355</v>
      </c>
      <c r="K8" s="220">
        <f>'Tasas inteligentes'!AE8</f>
        <v>0.16075451772299854</v>
      </c>
      <c r="L8" s="220">
        <f>'Tasas inteligentes'!AF8</f>
        <v>0.1621309743258661</v>
      </c>
      <c r="M8" s="220">
        <f>'Tasas inteligentes'!AG8</f>
        <v>0.16350892700314201</v>
      </c>
      <c r="N8" s="220">
        <f>'Tasas inteligentes'!AH8</f>
        <v>0.16488837723293726</v>
      </c>
    </row>
    <row r="9" spans="1:14" x14ac:dyDescent="0.35">
      <c r="A9" s="125" t="s">
        <v>55</v>
      </c>
      <c r="B9" s="130" t="s">
        <v>50</v>
      </c>
      <c r="C9" s="130" t="s">
        <v>51</v>
      </c>
      <c r="D9" s="130" t="s">
        <v>52</v>
      </c>
      <c r="E9" s="130" t="s">
        <v>53</v>
      </c>
      <c r="F9" s="130" t="s">
        <v>56</v>
      </c>
      <c r="I9" s="220">
        <f>'Tasas inteligentes'!AC9</f>
        <v>0.16075451772299854</v>
      </c>
      <c r="J9" s="220">
        <f>'Tasas inteligentes'!AD9</f>
        <v>0.1621309743258661</v>
      </c>
      <c r="K9" s="220">
        <f>'Tasas inteligentes'!AE9</f>
        <v>0.16350892700314201</v>
      </c>
      <c r="L9" s="220">
        <f>'Tasas inteligentes'!AF9</f>
        <v>0.16488837723293726</v>
      </c>
      <c r="M9" s="220">
        <f>'Tasas inteligentes'!AG9</f>
        <v>0.16626932649468618</v>
      </c>
      <c r="N9" s="220">
        <f>'Tasas inteligentes'!AH9</f>
        <v>0.16765177626913008</v>
      </c>
    </row>
    <row r="10" spans="1:14" x14ac:dyDescent="0.35">
      <c r="A10" s="125" t="s">
        <v>57</v>
      </c>
      <c r="B10" s="130" t="s">
        <v>50</v>
      </c>
      <c r="C10" s="130" t="s">
        <v>51</v>
      </c>
      <c r="D10" s="130" t="s">
        <v>52</v>
      </c>
      <c r="E10" s="130" t="s">
        <v>58</v>
      </c>
      <c r="F10" s="130" t="s">
        <v>54</v>
      </c>
      <c r="I10" s="220">
        <f>'Tasas inteligentes'!AC10</f>
        <v>0.1621309743258661</v>
      </c>
      <c r="J10" s="220">
        <f>'Tasas inteligentes'!AD10</f>
        <v>0.16350892700314201</v>
      </c>
      <c r="K10" s="220">
        <f>'Tasas inteligentes'!AE10</f>
        <v>0.16488837723293726</v>
      </c>
      <c r="L10" s="220">
        <f>'Tasas inteligentes'!AF10</f>
        <v>0.16626932649468618</v>
      </c>
      <c r="M10" s="220">
        <f>'Tasas inteligentes'!AG10</f>
        <v>0.16765177626913008</v>
      </c>
      <c r="N10" s="220">
        <f>'Tasas inteligentes'!AH10</f>
        <v>0.16903572803833167</v>
      </c>
    </row>
    <row r="11" spans="1:14" x14ac:dyDescent="0.35">
      <c r="A11" s="125" t="s">
        <v>59</v>
      </c>
      <c r="B11" s="130" t="s">
        <v>50</v>
      </c>
      <c r="C11" s="130" t="s">
        <v>51</v>
      </c>
      <c r="D11" s="130" t="s">
        <v>52</v>
      </c>
      <c r="E11" s="130" t="s">
        <v>58</v>
      </c>
      <c r="F11" s="130" t="s">
        <v>56</v>
      </c>
      <c r="I11" s="220">
        <f>'Tasas inteligentes'!AC11</f>
        <v>0.16488837723293726</v>
      </c>
      <c r="J11" s="220">
        <f>'Tasas inteligentes'!AD11</f>
        <v>0.16626932649468618</v>
      </c>
      <c r="K11" s="220">
        <f>'Tasas inteligentes'!AE11</f>
        <v>0.16765177626913008</v>
      </c>
      <c r="L11" s="220">
        <f>'Tasas inteligentes'!AF11</f>
        <v>0.16903572803833167</v>
      </c>
      <c r="M11" s="220">
        <f>'Tasas inteligentes'!AG11</f>
        <v>0.1704211832856668</v>
      </c>
      <c r="N11" s="220">
        <f>'Tasas inteligentes'!AH11</f>
        <v>0.17180814349583362</v>
      </c>
    </row>
    <row r="12" spans="1:14" x14ac:dyDescent="0.35">
      <c r="A12" s="125" t="s">
        <v>60</v>
      </c>
      <c r="B12" s="130" t="s">
        <v>50</v>
      </c>
      <c r="C12" s="130" t="s">
        <v>51</v>
      </c>
      <c r="D12" s="130" t="s">
        <v>61</v>
      </c>
      <c r="E12" s="130" t="s">
        <v>53</v>
      </c>
      <c r="F12" s="130" t="s">
        <v>54</v>
      </c>
      <c r="I12" s="220">
        <f>'Tasas inteligentes'!AC12</f>
        <v>0.16075451772299854</v>
      </c>
      <c r="J12" s="220">
        <f>'Tasas inteligentes'!AD12</f>
        <v>0.1621309743258661</v>
      </c>
      <c r="K12" s="220">
        <f>'Tasas inteligentes'!AE12</f>
        <v>0.16350892700314201</v>
      </c>
      <c r="L12" s="220">
        <f>'Tasas inteligentes'!AF12</f>
        <v>0.16488837723293726</v>
      </c>
      <c r="M12" s="220">
        <f>'Tasas inteligentes'!AG12</f>
        <v>0.16626932649468618</v>
      </c>
      <c r="N12" s="220">
        <f>'Tasas inteligentes'!AH12</f>
        <v>0.16765177626913008</v>
      </c>
    </row>
    <row r="13" spans="1:14" x14ac:dyDescent="0.35">
      <c r="A13" s="125" t="s">
        <v>62</v>
      </c>
      <c r="B13" s="130" t="s">
        <v>50</v>
      </c>
      <c r="C13" s="130" t="s">
        <v>51</v>
      </c>
      <c r="D13" s="130" t="s">
        <v>61</v>
      </c>
      <c r="E13" s="130" t="s">
        <v>53</v>
      </c>
      <c r="F13" s="130" t="s">
        <v>56</v>
      </c>
      <c r="I13" s="220">
        <f>'Tasas inteligentes'!AC13</f>
        <v>0.16350892700314201</v>
      </c>
      <c r="J13" s="220">
        <f>'Tasas inteligentes'!AD13</f>
        <v>0.16488837723293726</v>
      </c>
      <c r="K13" s="220">
        <f>'Tasas inteligentes'!AE13</f>
        <v>0.16626932649468618</v>
      </c>
      <c r="L13" s="220">
        <f>'Tasas inteligentes'!AF13</f>
        <v>0.16765177626913008</v>
      </c>
      <c r="M13" s="220">
        <f>'Tasas inteligentes'!AG13</f>
        <v>0.16903572803833167</v>
      </c>
      <c r="N13" s="220">
        <f>'Tasas inteligentes'!AH13</f>
        <v>0.1704211832856668</v>
      </c>
    </row>
    <row r="14" spans="1:14" x14ac:dyDescent="0.35">
      <c r="A14" s="125" t="s">
        <v>63</v>
      </c>
      <c r="B14" s="130" t="s">
        <v>50</v>
      </c>
      <c r="C14" s="130" t="s">
        <v>51</v>
      </c>
      <c r="D14" s="130" t="s">
        <v>61</v>
      </c>
      <c r="E14" s="130" t="s">
        <v>58</v>
      </c>
      <c r="F14" s="130" t="s">
        <v>54</v>
      </c>
      <c r="I14" s="220">
        <f>'Tasas inteligentes'!AC14</f>
        <v>0.16488837723293726</v>
      </c>
      <c r="J14" s="220">
        <f>'Tasas inteligentes'!AD14</f>
        <v>0.16626932649468618</v>
      </c>
      <c r="K14" s="220">
        <f>'Tasas inteligentes'!AE14</f>
        <v>0.16765177626913008</v>
      </c>
      <c r="L14" s="220">
        <f>'Tasas inteligentes'!AF14</f>
        <v>0.16903572803833167</v>
      </c>
      <c r="M14" s="220">
        <f>'Tasas inteligentes'!AG14</f>
        <v>0.1704211832856668</v>
      </c>
      <c r="N14" s="220">
        <f>'Tasas inteligentes'!AH14</f>
        <v>0.17180814349583362</v>
      </c>
    </row>
    <row r="15" spans="1:14" x14ac:dyDescent="0.35">
      <c r="A15" s="125" t="s">
        <v>64</v>
      </c>
      <c r="B15" s="130" t="s">
        <v>50</v>
      </c>
      <c r="C15" s="130" t="s">
        <v>51</v>
      </c>
      <c r="D15" s="130" t="s">
        <v>61</v>
      </c>
      <c r="E15" s="130" t="s">
        <v>58</v>
      </c>
      <c r="F15" s="130" t="s">
        <v>56</v>
      </c>
      <c r="I15" s="220">
        <f>'Tasas inteligentes'!AC15</f>
        <v>0.16488837723293726</v>
      </c>
      <c r="J15" s="220">
        <f>'Tasas inteligentes'!AD15</f>
        <v>0.16626932649468618</v>
      </c>
      <c r="K15" s="220">
        <f>'Tasas inteligentes'!AE15</f>
        <v>0.16765177626913008</v>
      </c>
      <c r="L15" s="220">
        <f>'Tasas inteligentes'!AF15</f>
        <v>0.16903572803833167</v>
      </c>
      <c r="M15" s="220">
        <f>'Tasas inteligentes'!AG15</f>
        <v>0.1704211832856668</v>
      </c>
      <c r="N15" s="220">
        <f>'Tasas inteligentes'!AH15</f>
        <v>0.17180814349583362</v>
      </c>
    </row>
    <row r="16" spans="1:14" x14ac:dyDescent="0.35">
      <c r="A16" s="125" t="s">
        <v>65</v>
      </c>
      <c r="B16" s="130" t="s">
        <v>50</v>
      </c>
      <c r="C16" s="130" t="s">
        <v>66</v>
      </c>
      <c r="D16" s="130" t="s">
        <v>52</v>
      </c>
      <c r="E16" s="130" t="s">
        <v>53</v>
      </c>
      <c r="F16" s="130" t="s">
        <v>54</v>
      </c>
      <c r="I16" s="220">
        <f>'Tasas inteligentes'!AC16</f>
        <v>0.14707191153891563</v>
      </c>
      <c r="J16" s="220">
        <f>'Tasas inteligentes'!AD16</f>
        <v>0.14843348840566883</v>
      </c>
      <c r="K16" s="220">
        <f>'Tasas inteligentes'!AE16</f>
        <v>0.1497965466377309</v>
      </c>
      <c r="L16" s="220">
        <f>'Tasas inteligentes'!AF16</f>
        <v>0.15116108770013081</v>
      </c>
      <c r="M16" s="220">
        <f>'Tasas inteligentes'!AG16</f>
        <v>0.15252711305920341</v>
      </c>
      <c r="N16" s="220">
        <f>'Tasas inteligentes'!AH16</f>
        <v>0.15526362253922477</v>
      </c>
    </row>
    <row r="17" spans="1:14" x14ac:dyDescent="0.35">
      <c r="A17" s="125" t="s">
        <v>67</v>
      </c>
      <c r="B17" s="130" t="s">
        <v>50</v>
      </c>
      <c r="C17" s="130" t="s">
        <v>66</v>
      </c>
      <c r="D17" s="130" t="s">
        <v>52</v>
      </c>
      <c r="E17" s="130" t="s">
        <v>53</v>
      </c>
      <c r="F17" s="130" t="s">
        <v>56</v>
      </c>
      <c r="I17" s="220">
        <f>'Tasas inteligentes'!AC17</f>
        <v>0.14843348840566883</v>
      </c>
      <c r="J17" s="220">
        <f>'Tasas inteligentes'!AD17</f>
        <v>0.1497965466377309</v>
      </c>
      <c r="K17" s="220">
        <f>'Tasas inteligentes'!AE17</f>
        <v>0.15116108770013081</v>
      </c>
      <c r="L17" s="220">
        <f>'Tasas inteligentes'!AF17</f>
        <v>0.15252711305920341</v>
      </c>
      <c r="M17" s="220">
        <f>'Tasas inteligentes'!AG17</f>
        <v>0.15389462418258582</v>
      </c>
      <c r="N17" s="220">
        <f>'Tasas inteligentes'!AH17</f>
        <v>0.15526362253922477</v>
      </c>
    </row>
    <row r="18" spans="1:14" x14ac:dyDescent="0.35">
      <c r="A18" s="125" t="s">
        <v>68</v>
      </c>
      <c r="B18" s="130" t="s">
        <v>50</v>
      </c>
      <c r="C18" s="130" t="s">
        <v>66</v>
      </c>
      <c r="D18" s="130" t="s">
        <v>52</v>
      </c>
      <c r="E18" s="130" t="s">
        <v>58</v>
      </c>
      <c r="F18" s="130" t="s">
        <v>54</v>
      </c>
      <c r="I18" s="220">
        <f>'Tasas inteligentes'!AC18</f>
        <v>0.1497965466377309</v>
      </c>
      <c r="J18" s="220">
        <f>'Tasas inteligentes'!AD18</f>
        <v>0.15116108770013081</v>
      </c>
      <c r="K18" s="220">
        <f>'Tasas inteligentes'!AE18</f>
        <v>0.15252711305920341</v>
      </c>
      <c r="L18" s="220">
        <f>'Tasas inteligentes'!AF18</f>
        <v>0.15389462418258582</v>
      </c>
      <c r="M18" s="220">
        <f>'Tasas inteligentes'!AG18</f>
        <v>0.15526362253922477</v>
      </c>
      <c r="N18" s="220">
        <f>'Tasas inteligentes'!AH18</f>
        <v>0.15526362253922477</v>
      </c>
    </row>
    <row r="19" spans="1:14" x14ac:dyDescent="0.35">
      <c r="A19" s="125" t="s">
        <v>69</v>
      </c>
      <c r="B19" s="130" t="s">
        <v>50</v>
      </c>
      <c r="C19" s="130" t="s">
        <v>66</v>
      </c>
      <c r="D19" s="130" t="s">
        <v>52</v>
      </c>
      <c r="E19" s="130" t="s">
        <v>58</v>
      </c>
      <c r="F19" s="130" t="s">
        <v>56</v>
      </c>
      <c r="I19" s="220">
        <f>'Tasas inteligentes'!AC19</f>
        <v>0.1497965466377309</v>
      </c>
      <c r="J19" s="220">
        <f>'Tasas inteligentes'!AD19</f>
        <v>0.15116108770013081</v>
      </c>
      <c r="K19" s="220">
        <f>'Tasas inteligentes'!AE19</f>
        <v>0.15252711305920341</v>
      </c>
      <c r="L19" s="220">
        <f>'Tasas inteligentes'!AF19</f>
        <v>0.15389462418258582</v>
      </c>
      <c r="M19" s="220">
        <f>'Tasas inteligentes'!AG19</f>
        <v>0.15526362253922477</v>
      </c>
      <c r="N19" s="220">
        <f>'Tasas inteligentes'!AH19</f>
        <v>0.15526362253922477</v>
      </c>
    </row>
    <row r="20" spans="1:14" x14ac:dyDescent="0.35">
      <c r="A20" s="125" t="s">
        <v>70</v>
      </c>
      <c r="B20" s="130" t="s">
        <v>50</v>
      </c>
      <c r="C20" s="130" t="s">
        <v>66</v>
      </c>
      <c r="D20" s="130" t="s">
        <v>61</v>
      </c>
      <c r="E20" s="130" t="s">
        <v>53</v>
      </c>
      <c r="F20" s="130" t="s">
        <v>54</v>
      </c>
      <c r="I20" s="220">
        <f>'Tasas inteligentes'!AC20</f>
        <v>0.14843348840566883</v>
      </c>
      <c r="J20" s="220">
        <f>'Tasas inteligentes'!AD20</f>
        <v>0.1497965466377309</v>
      </c>
      <c r="K20" s="220">
        <f>'Tasas inteligentes'!AE20</f>
        <v>0.15116108770013081</v>
      </c>
      <c r="L20" s="220">
        <f>'Tasas inteligentes'!AF20</f>
        <v>0.15252711305920341</v>
      </c>
      <c r="M20" s="220">
        <f>'Tasas inteligentes'!AG20</f>
        <v>0.15389462418258582</v>
      </c>
      <c r="N20" s="220">
        <f>'Tasas inteligentes'!AH20</f>
        <v>0.15526362253922477</v>
      </c>
    </row>
    <row r="21" spans="1:14" x14ac:dyDescent="0.35">
      <c r="A21" s="125" t="s">
        <v>71</v>
      </c>
      <c r="B21" s="130" t="s">
        <v>50</v>
      </c>
      <c r="C21" s="130" t="s">
        <v>66</v>
      </c>
      <c r="D21" s="130" t="s">
        <v>61</v>
      </c>
      <c r="E21" s="130" t="s">
        <v>53</v>
      </c>
      <c r="F21" s="130" t="s">
        <v>56</v>
      </c>
      <c r="I21" s="220">
        <f>'Tasas inteligentes'!AC21</f>
        <v>0.1497965466377309</v>
      </c>
      <c r="J21" s="220">
        <f>'Tasas inteligentes'!AD21</f>
        <v>0.15116108770013081</v>
      </c>
      <c r="K21" s="220">
        <f>'Tasas inteligentes'!AE21</f>
        <v>0.15252711305920341</v>
      </c>
      <c r="L21" s="220">
        <f>'Tasas inteligentes'!AF21</f>
        <v>0.15389462418258582</v>
      </c>
      <c r="M21" s="220">
        <f>'Tasas inteligentes'!AG21</f>
        <v>0.15526362253922477</v>
      </c>
      <c r="N21" s="220">
        <f>'Tasas inteligentes'!AH21</f>
        <v>0.15526362253922477</v>
      </c>
    </row>
    <row r="22" spans="1:14" x14ac:dyDescent="0.35">
      <c r="A22" s="125" t="s">
        <v>72</v>
      </c>
      <c r="B22" s="130" t="s">
        <v>50</v>
      </c>
      <c r="C22" s="130" t="s">
        <v>66</v>
      </c>
      <c r="D22" s="130" t="s">
        <v>61</v>
      </c>
      <c r="E22" s="130" t="s">
        <v>58</v>
      </c>
      <c r="F22" s="130" t="s">
        <v>54</v>
      </c>
      <c r="I22" s="220">
        <f>'Tasas inteligentes'!AC22</f>
        <v>0.1497965466377309</v>
      </c>
      <c r="J22" s="220">
        <f>'Tasas inteligentes'!AD22</f>
        <v>0.15116108770013081</v>
      </c>
      <c r="K22" s="220">
        <f>'Tasas inteligentes'!AE22</f>
        <v>0.15252711305920341</v>
      </c>
      <c r="L22" s="220">
        <f>'Tasas inteligentes'!AF22</f>
        <v>0.15389462418258582</v>
      </c>
      <c r="M22" s="220">
        <f>'Tasas inteligentes'!AG22</f>
        <v>0.15526362253922477</v>
      </c>
      <c r="N22" s="220">
        <f>'Tasas inteligentes'!AH22</f>
        <v>0.15526362253922477</v>
      </c>
    </row>
    <row r="23" spans="1:14" x14ac:dyDescent="0.35">
      <c r="A23" s="125" t="s">
        <v>73</v>
      </c>
      <c r="B23" s="130" t="s">
        <v>50</v>
      </c>
      <c r="C23" s="130" t="s">
        <v>66</v>
      </c>
      <c r="D23" s="130" t="s">
        <v>61</v>
      </c>
      <c r="E23" s="130" t="s">
        <v>58</v>
      </c>
      <c r="F23" s="130" t="s">
        <v>56</v>
      </c>
      <c r="I23" s="220">
        <f>'Tasas inteligentes'!AC23</f>
        <v>0.1497965466377309</v>
      </c>
      <c r="J23" s="220">
        <f>'Tasas inteligentes'!AD23</f>
        <v>0.15116108770013081</v>
      </c>
      <c r="K23" s="220">
        <f>'Tasas inteligentes'!AE23</f>
        <v>0.15252711305920341</v>
      </c>
      <c r="L23" s="220">
        <f>'Tasas inteligentes'!AF23</f>
        <v>0.15389462418258582</v>
      </c>
      <c r="M23" s="220">
        <f>'Tasas inteligentes'!AG23</f>
        <v>0.15526362253922477</v>
      </c>
      <c r="N23" s="220">
        <f>'Tasas inteligentes'!AH23</f>
        <v>0.15526362253922477</v>
      </c>
    </row>
    <row r="24" spans="1:14" x14ac:dyDescent="0.35">
      <c r="A24" s="125" t="s">
        <v>74</v>
      </c>
      <c r="B24" s="130" t="s">
        <v>75</v>
      </c>
      <c r="C24" s="130" t="s">
        <v>51</v>
      </c>
      <c r="D24" s="130" t="s">
        <v>52</v>
      </c>
      <c r="E24" s="130" t="s">
        <v>53</v>
      </c>
      <c r="F24" s="130" t="s">
        <v>54</v>
      </c>
      <c r="I24" s="220">
        <f>'Tasas inteligentes'!AC24</f>
        <v>0.14843348840566883</v>
      </c>
      <c r="J24" s="220">
        <f>'Tasas inteligentes'!AD24</f>
        <v>0.1497965466377309</v>
      </c>
      <c r="K24" s="220">
        <f>'Tasas inteligentes'!AE24</f>
        <v>0.15116108770013081</v>
      </c>
      <c r="L24" s="220">
        <f>'Tasas inteligentes'!AF24</f>
        <v>0.15252711305920341</v>
      </c>
      <c r="M24" s="220">
        <f>'Tasas inteligentes'!AG24</f>
        <v>0.15389462418258582</v>
      </c>
      <c r="N24" s="220">
        <f>'Tasas inteligentes'!AH24</f>
        <v>0.15526362253922477</v>
      </c>
    </row>
    <row r="25" spans="1:14" x14ac:dyDescent="0.35">
      <c r="A25" s="125" t="s">
        <v>76</v>
      </c>
      <c r="B25" s="130" t="s">
        <v>75</v>
      </c>
      <c r="C25" s="130" t="s">
        <v>51</v>
      </c>
      <c r="D25" s="130" t="s">
        <v>52</v>
      </c>
      <c r="E25" s="130" t="s">
        <v>53</v>
      </c>
      <c r="F25" s="130" t="s">
        <v>56</v>
      </c>
      <c r="I25" s="220">
        <f>'Tasas inteligentes'!AC25</f>
        <v>0.1497965466377309</v>
      </c>
      <c r="J25" s="220">
        <f>'Tasas inteligentes'!AD25</f>
        <v>0.15116108770013081</v>
      </c>
      <c r="K25" s="220">
        <f>'Tasas inteligentes'!AE25</f>
        <v>0.15252711305920341</v>
      </c>
      <c r="L25" s="220">
        <f>'Tasas inteligentes'!AF25</f>
        <v>0.15389462418258582</v>
      </c>
      <c r="M25" s="220">
        <f>'Tasas inteligentes'!AG25</f>
        <v>0.15526362253922477</v>
      </c>
      <c r="N25" s="220">
        <f>'Tasas inteligentes'!AH25</f>
        <v>0.15663410959937174</v>
      </c>
    </row>
    <row r="26" spans="1:14" x14ac:dyDescent="0.35">
      <c r="A26" s="125" t="s">
        <v>77</v>
      </c>
      <c r="B26" s="130" t="s">
        <v>75</v>
      </c>
      <c r="C26" s="130" t="s">
        <v>51</v>
      </c>
      <c r="D26" s="130" t="s">
        <v>52</v>
      </c>
      <c r="E26" s="130" t="s">
        <v>58</v>
      </c>
      <c r="F26" s="130" t="s">
        <v>54</v>
      </c>
      <c r="I26" s="220">
        <f>'Tasas inteligentes'!AC26</f>
        <v>0.15116108770013081</v>
      </c>
      <c r="J26" s="220">
        <f>'Tasas inteligentes'!AD26</f>
        <v>0.15252711305920341</v>
      </c>
      <c r="K26" s="220">
        <f>'Tasas inteligentes'!AE26</f>
        <v>0.15389462418258582</v>
      </c>
      <c r="L26" s="220">
        <f>'Tasas inteligentes'!AF26</f>
        <v>0.15526362253922477</v>
      </c>
      <c r="M26" s="220">
        <f>'Tasas inteligentes'!AG26</f>
        <v>0.15663410959937174</v>
      </c>
      <c r="N26" s="220">
        <f>'Tasas inteligentes'!AH26</f>
        <v>0.15800608683458517</v>
      </c>
    </row>
    <row r="27" spans="1:14" x14ac:dyDescent="0.35">
      <c r="A27" s="125" t="s">
        <v>78</v>
      </c>
      <c r="B27" s="130" t="s">
        <v>75</v>
      </c>
      <c r="C27" s="130" t="s">
        <v>51</v>
      </c>
      <c r="D27" s="130" t="s">
        <v>52</v>
      </c>
      <c r="E27" s="130" t="s">
        <v>58</v>
      </c>
      <c r="F27" s="130" t="s">
        <v>56</v>
      </c>
      <c r="I27" s="220">
        <f>'Tasas inteligentes'!AC27</f>
        <v>0.15937955571773355</v>
      </c>
      <c r="J27" s="220">
        <f>'Tasas inteligentes'!AD27</f>
        <v>0.16075451772299854</v>
      </c>
      <c r="K27" s="220">
        <f>'Tasas inteligentes'!AE27</f>
        <v>0.1621309743258661</v>
      </c>
      <c r="L27" s="220">
        <f>'Tasas inteligentes'!AF27</f>
        <v>0.16350892700314201</v>
      </c>
      <c r="M27" s="220">
        <f>'Tasas inteligentes'!AG27</f>
        <v>0.16488837723293726</v>
      </c>
      <c r="N27" s="220">
        <f>'Tasas inteligentes'!AH27</f>
        <v>0.16626932649468618</v>
      </c>
    </row>
    <row r="28" spans="1:14" x14ac:dyDescent="0.35">
      <c r="A28" s="125" t="s">
        <v>79</v>
      </c>
      <c r="B28" s="130" t="s">
        <v>75</v>
      </c>
      <c r="C28" s="130" t="s">
        <v>51</v>
      </c>
      <c r="D28" s="130" t="s">
        <v>61</v>
      </c>
      <c r="E28" s="130" t="s">
        <v>53</v>
      </c>
      <c r="F28" s="130" t="s">
        <v>54</v>
      </c>
      <c r="I28" s="220">
        <f>'Tasas inteligentes'!AC28</f>
        <v>0.1497965466377309</v>
      </c>
      <c r="J28" s="220">
        <f>'Tasas inteligentes'!AD28</f>
        <v>0.15116108770013081</v>
      </c>
      <c r="K28" s="220">
        <f>'Tasas inteligentes'!AE28</f>
        <v>0.15252711305920341</v>
      </c>
      <c r="L28" s="220">
        <f>'Tasas inteligentes'!AF28</f>
        <v>0.15389462418258582</v>
      </c>
      <c r="M28" s="220">
        <f>'Tasas inteligentes'!AG28</f>
        <v>0.15526362253922477</v>
      </c>
      <c r="N28" s="220">
        <f>'Tasas inteligentes'!AH28</f>
        <v>0.15663410959937174</v>
      </c>
    </row>
    <row r="29" spans="1:14" x14ac:dyDescent="0.35">
      <c r="A29" s="125" t="s">
        <v>80</v>
      </c>
      <c r="B29" s="130" t="s">
        <v>75</v>
      </c>
      <c r="C29" s="130" t="s">
        <v>51</v>
      </c>
      <c r="D29" s="130" t="s">
        <v>61</v>
      </c>
      <c r="E29" s="130" t="s">
        <v>53</v>
      </c>
      <c r="F29" s="130" t="s">
        <v>56</v>
      </c>
      <c r="I29" s="220">
        <f>'Tasas inteligentes'!AC29</f>
        <v>0.15252711305920341</v>
      </c>
      <c r="J29" s="220">
        <f>'Tasas inteligentes'!AD29</f>
        <v>0.15389462418258582</v>
      </c>
      <c r="K29" s="220">
        <f>'Tasas inteligentes'!AE29</f>
        <v>0.15526362253922477</v>
      </c>
      <c r="L29" s="220">
        <f>'Tasas inteligentes'!AF29</f>
        <v>0.15663410959937174</v>
      </c>
      <c r="M29" s="220">
        <f>'Tasas inteligentes'!AG29</f>
        <v>0.15800608683458517</v>
      </c>
      <c r="N29" s="220">
        <f>'Tasas inteligentes'!AH29</f>
        <v>0.15937955571773355</v>
      </c>
    </row>
    <row r="30" spans="1:14" x14ac:dyDescent="0.35">
      <c r="A30" s="125" t="s">
        <v>81</v>
      </c>
      <c r="B30" s="130" t="s">
        <v>75</v>
      </c>
      <c r="C30" s="130" t="s">
        <v>51</v>
      </c>
      <c r="D30" s="130" t="s">
        <v>61</v>
      </c>
      <c r="E30" s="130" t="s">
        <v>58</v>
      </c>
      <c r="F30" s="130" t="s">
        <v>54</v>
      </c>
      <c r="I30" s="220">
        <f>'Tasas inteligentes'!AC30</f>
        <v>0.15389462418258582</v>
      </c>
      <c r="J30" s="220">
        <f>'Tasas inteligentes'!AD30</f>
        <v>0.15526362253922477</v>
      </c>
      <c r="K30" s="220">
        <f>'Tasas inteligentes'!AE30</f>
        <v>0.15663410959937174</v>
      </c>
      <c r="L30" s="220">
        <f>'Tasas inteligentes'!AF30</f>
        <v>0.15800608683458517</v>
      </c>
      <c r="M30" s="220">
        <f>'Tasas inteligentes'!AG30</f>
        <v>0.15937955571773355</v>
      </c>
      <c r="N30" s="220">
        <f>'Tasas inteligentes'!AH30</f>
        <v>0.16075451772299854</v>
      </c>
    </row>
    <row r="31" spans="1:14" x14ac:dyDescent="0.35">
      <c r="A31" s="125" t="s">
        <v>82</v>
      </c>
      <c r="B31" s="130" t="s">
        <v>75</v>
      </c>
      <c r="C31" s="130" t="s">
        <v>51</v>
      </c>
      <c r="D31" s="130" t="s">
        <v>61</v>
      </c>
      <c r="E31" s="130" t="s">
        <v>58</v>
      </c>
      <c r="F31" s="130" t="s">
        <v>56</v>
      </c>
      <c r="I31" s="220">
        <f>'Tasas inteligentes'!AC31</f>
        <v>0.1621309743258661</v>
      </c>
      <c r="J31" s="220">
        <f>'Tasas inteligentes'!AD31</f>
        <v>0.16350892700314201</v>
      </c>
      <c r="K31" s="220">
        <f>'Tasas inteligentes'!AE31</f>
        <v>0.16488837723293726</v>
      </c>
      <c r="L31" s="220">
        <f>'Tasas inteligentes'!AF31</f>
        <v>0.16626932649468618</v>
      </c>
      <c r="M31" s="220">
        <f>'Tasas inteligentes'!AG31</f>
        <v>0.16765177626913008</v>
      </c>
      <c r="N31" s="220">
        <f>'Tasas inteligentes'!AH31</f>
        <v>0.16903572803833167</v>
      </c>
    </row>
    <row r="32" spans="1:14" x14ac:dyDescent="0.35">
      <c r="A32" s="125" t="s">
        <v>83</v>
      </c>
      <c r="B32" s="130" t="s">
        <v>75</v>
      </c>
      <c r="C32" s="130" t="s">
        <v>66</v>
      </c>
      <c r="D32" s="130" t="s">
        <v>52</v>
      </c>
      <c r="E32" s="130" t="s">
        <v>53</v>
      </c>
      <c r="F32" s="130" t="s">
        <v>54</v>
      </c>
      <c r="I32" s="220">
        <f>'Tasas inteligentes'!AC32</f>
        <v>0.14571181457374238</v>
      </c>
      <c r="J32" s="220">
        <f>'Tasas inteligentes'!AD32</f>
        <v>0.14707191153891563</v>
      </c>
      <c r="K32" s="220">
        <f>'Tasas inteligentes'!AE32</f>
        <v>0.14843348840566883</v>
      </c>
      <c r="L32" s="220">
        <f>'Tasas inteligentes'!AF32</f>
        <v>0.1497965466377309</v>
      </c>
      <c r="M32" s="220">
        <f>'Tasas inteligentes'!AG32</f>
        <v>0.15116108770013081</v>
      </c>
      <c r="N32" s="220">
        <f>'Tasas inteligentes'!AH32</f>
        <v>0.15526362253922477</v>
      </c>
    </row>
    <row r="33" spans="1:14" x14ac:dyDescent="0.35">
      <c r="A33" s="125" t="s">
        <v>84</v>
      </c>
      <c r="B33" s="130" t="s">
        <v>75</v>
      </c>
      <c r="C33" s="130" t="s">
        <v>66</v>
      </c>
      <c r="D33" s="130" t="s">
        <v>52</v>
      </c>
      <c r="E33" s="130" t="s">
        <v>53</v>
      </c>
      <c r="F33" s="130" t="s">
        <v>56</v>
      </c>
      <c r="I33" s="220">
        <f>'Tasas inteligentes'!AC33</f>
        <v>0.14707191153891563</v>
      </c>
      <c r="J33" s="220">
        <f>'Tasas inteligentes'!AD33</f>
        <v>0.14843348840566883</v>
      </c>
      <c r="K33" s="220">
        <f>'Tasas inteligentes'!AE33</f>
        <v>0.1497965466377309</v>
      </c>
      <c r="L33" s="220">
        <f>'Tasas inteligentes'!AF33</f>
        <v>0.15116108770013081</v>
      </c>
      <c r="M33" s="220">
        <f>'Tasas inteligentes'!AG33</f>
        <v>0.15252711305920341</v>
      </c>
      <c r="N33" s="220">
        <f>'Tasas inteligentes'!AH33</f>
        <v>0.15526362253922477</v>
      </c>
    </row>
    <row r="34" spans="1:14" x14ac:dyDescent="0.35">
      <c r="A34" s="125" t="s">
        <v>85</v>
      </c>
      <c r="B34" s="130" t="s">
        <v>75</v>
      </c>
      <c r="C34" s="130" t="s">
        <v>66</v>
      </c>
      <c r="D34" s="130" t="s">
        <v>52</v>
      </c>
      <c r="E34" s="130" t="s">
        <v>58</v>
      </c>
      <c r="F34" s="130" t="s">
        <v>54</v>
      </c>
      <c r="I34" s="220">
        <f>'Tasas inteligentes'!AC34</f>
        <v>0.14843348840566883</v>
      </c>
      <c r="J34" s="220">
        <f>'Tasas inteligentes'!AD34</f>
        <v>0.1497965466377309</v>
      </c>
      <c r="K34" s="220">
        <f>'Tasas inteligentes'!AE34</f>
        <v>0.15116108770013081</v>
      </c>
      <c r="L34" s="220">
        <f>'Tasas inteligentes'!AF34</f>
        <v>0.15252711305920341</v>
      </c>
      <c r="M34" s="220">
        <f>'Tasas inteligentes'!AG34</f>
        <v>0.15389462418258582</v>
      </c>
      <c r="N34" s="220">
        <f>'Tasas inteligentes'!AH34</f>
        <v>0.15526362253922477</v>
      </c>
    </row>
    <row r="35" spans="1:14" x14ac:dyDescent="0.35">
      <c r="A35" s="125" t="s">
        <v>86</v>
      </c>
      <c r="B35" s="130" t="s">
        <v>75</v>
      </c>
      <c r="C35" s="130" t="s">
        <v>66</v>
      </c>
      <c r="D35" s="130" t="s">
        <v>52</v>
      </c>
      <c r="E35" s="130" t="s">
        <v>58</v>
      </c>
      <c r="F35" s="130" t="s">
        <v>56</v>
      </c>
      <c r="I35" s="220">
        <f>'Tasas inteligentes'!AC35</f>
        <v>0.1497965466377309</v>
      </c>
      <c r="J35" s="220">
        <f>'Tasas inteligentes'!AD35</f>
        <v>0.15116108770013081</v>
      </c>
      <c r="K35" s="220">
        <f>'Tasas inteligentes'!AE35</f>
        <v>0.15252711305920341</v>
      </c>
      <c r="L35" s="220">
        <f>'Tasas inteligentes'!AF35</f>
        <v>0.15389462418258582</v>
      </c>
      <c r="M35" s="220">
        <f>'Tasas inteligentes'!AG35</f>
        <v>0.15526362253922477</v>
      </c>
      <c r="N35" s="220">
        <f>'Tasas inteligentes'!AH35</f>
        <v>0.15526362253922477</v>
      </c>
    </row>
    <row r="36" spans="1:14" x14ac:dyDescent="0.35">
      <c r="A36" s="125" t="s">
        <v>87</v>
      </c>
      <c r="B36" s="130" t="s">
        <v>75</v>
      </c>
      <c r="C36" s="130" t="s">
        <v>66</v>
      </c>
      <c r="D36" s="130" t="s">
        <v>61</v>
      </c>
      <c r="E36" s="130" t="s">
        <v>53</v>
      </c>
      <c r="F36" s="130" t="s">
        <v>54</v>
      </c>
      <c r="I36" s="220">
        <f>'Tasas inteligentes'!AC36</f>
        <v>0.14843348840566883</v>
      </c>
      <c r="J36" s="220">
        <f>'Tasas inteligentes'!AD36</f>
        <v>0.1497965466377309</v>
      </c>
      <c r="K36" s="220">
        <f>'Tasas inteligentes'!AE36</f>
        <v>0.15116108770013081</v>
      </c>
      <c r="L36" s="220">
        <f>'Tasas inteligentes'!AF36</f>
        <v>0.15252711305920341</v>
      </c>
      <c r="M36" s="220">
        <f>'Tasas inteligentes'!AG36</f>
        <v>0.15389462418258582</v>
      </c>
      <c r="N36" s="220">
        <f>'Tasas inteligentes'!AH36</f>
        <v>0.15526362253922477</v>
      </c>
    </row>
    <row r="37" spans="1:14" x14ac:dyDescent="0.35">
      <c r="A37" s="125" t="s">
        <v>88</v>
      </c>
      <c r="B37" s="130" t="s">
        <v>75</v>
      </c>
      <c r="C37" s="130" t="s">
        <v>66</v>
      </c>
      <c r="D37" s="130" t="s">
        <v>61</v>
      </c>
      <c r="E37" s="130" t="s">
        <v>53</v>
      </c>
      <c r="F37" s="130" t="s">
        <v>56</v>
      </c>
      <c r="I37" s="220">
        <f>'Tasas inteligentes'!AC37</f>
        <v>0.1497965466377309</v>
      </c>
      <c r="J37" s="220">
        <f>'Tasas inteligentes'!AD37</f>
        <v>0.15116108770013081</v>
      </c>
      <c r="K37" s="220">
        <f>'Tasas inteligentes'!AE37</f>
        <v>0.15252711305920341</v>
      </c>
      <c r="L37" s="220">
        <f>'Tasas inteligentes'!AF37</f>
        <v>0.15389462418258582</v>
      </c>
      <c r="M37" s="220">
        <f>'Tasas inteligentes'!AG37</f>
        <v>0.15526362253922477</v>
      </c>
      <c r="N37" s="220">
        <f>'Tasas inteligentes'!AH37</f>
        <v>0.15526362253922477</v>
      </c>
    </row>
    <row r="38" spans="1:14" x14ac:dyDescent="0.35">
      <c r="A38" s="125" t="s">
        <v>89</v>
      </c>
      <c r="B38" s="130" t="s">
        <v>75</v>
      </c>
      <c r="C38" s="130" t="s">
        <v>66</v>
      </c>
      <c r="D38" s="130" t="s">
        <v>61</v>
      </c>
      <c r="E38" s="130" t="s">
        <v>58</v>
      </c>
      <c r="F38" s="130" t="s">
        <v>54</v>
      </c>
      <c r="I38" s="220">
        <f>'Tasas inteligentes'!AC38</f>
        <v>0.1497965466377309</v>
      </c>
      <c r="J38" s="220">
        <f>'Tasas inteligentes'!AD38</f>
        <v>0.15116108770013081</v>
      </c>
      <c r="K38" s="220">
        <f>'Tasas inteligentes'!AE38</f>
        <v>0.15252711305920341</v>
      </c>
      <c r="L38" s="220">
        <f>'Tasas inteligentes'!AF38</f>
        <v>0.15389462418258582</v>
      </c>
      <c r="M38" s="220">
        <f>'Tasas inteligentes'!AG38</f>
        <v>0.15526362253922477</v>
      </c>
      <c r="N38" s="220">
        <f>'Tasas inteligentes'!AH38</f>
        <v>0.15526362253922477</v>
      </c>
    </row>
    <row r="39" spans="1:14" x14ac:dyDescent="0.35">
      <c r="A39" s="125" t="s">
        <v>90</v>
      </c>
      <c r="B39" s="130" t="s">
        <v>75</v>
      </c>
      <c r="C39" s="130" t="s">
        <v>66</v>
      </c>
      <c r="D39" s="130" t="s">
        <v>61</v>
      </c>
      <c r="E39" s="130" t="s">
        <v>58</v>
      </c>
      <c r="F39" s="130" t="s">
        <v>56</v>
      </c>
      <c r="I39" s="220">
        <f>'Tasas inteligentes'!AC39</f>
        <v>0.1497965466377309</v>
      </c>
      <c r="J39" s="220">
        <f>'Tasas inteligentes'!AD39</f>
        <v>0.15116108770013081</v>
      </c>
      <c r="K39" s="220">
        <f>'Tasas inteligentes'!AE39</f>
        <v>0.15252711305920341</v>
      </c>
      <c r="L39" s="220">
        <f>'Tasas inteligentes'!AF39</f>
        <v>0.15389462418258582</v>
      </c>
      <c r="M39" s="220">
        <f>'Tasas inteligentes'!AG39</f>
        <v>0.15526362253922477</v>
      </c>
      <c r="N39" s="220">
        <f>'Tasas inteligentes'!AH39</f>
        <v>0.15526362253922477</v>
      </c>
    </row>
    <row r="40" spans="1:14" x14ac:dyDescent="0.35">
      <c r="A40" s="125" t="s">
        <v>91</v>
      </c>
      <c r="B40" s="130" t="s">
        <v>92</v>
      </c>
      <c r="C40" s="130" t="s">
        <v>51</v>
      </c>
      <c r="D40" s="130" t="s">
        <v>52</v>
      </c>
      <c r="E40" s="130" t="s">
        <v>53</v>
      </c>
      <c r="F40" s="130" t="s">
        <v>54</v>
      </c>
      <c r="I40" s="220">
        <f>'Tasas inteligentes'!AC40</f>
        <v>0.14164038846995752</v>
      </c>
      <c r="J40" s="220">
        <f>'Tasas inteligentes'!AD40</f>
        <v>0.14299605449973818</v>
      </c>
      <c r="K40" s="220">
        <f>'Tasas inteligentes'!AE40</f>
        <v>0.1443531960477249</v>
      </c>
      <c r="L40" s="220">
        <f>'Tasas inteligentes'!AF40</f>
        <v>0.14571181457374238</v>
      </c>
      <c r="M40" s="220">
        <f>'Tasas inteligentes'!AG40</f>
        <v>0.14707191153891563</v>
      </c>
      <c r="N40" s="220">
        <f>'Tasas inteligentes'!AH40</f>
        <v>0.14843348840566883</v>
      </c>
    </row>
    <row r="41" spans="1:14" x14ac:dyDescent="0.35">
      <c r="A41" s="125" t="s">
        <v>93</v>
      </c>
      <c r="B41" s="130" t="s">
        <v>92</v>
      </c>
      <c r="C41" s="130" t="s">
        <v>51</v>
      </c>
      <c r="D41" s="130" t="s">
        <v>52</v>
      </c>
      <c r="E41" s="130" t="s">
        <v>53</v>
      </c>
      <c r="F41" s="130" t="s">
        <v>56</v>
      </c>
      <c r="I41" s="220">
        <f>'Tasas inteligentes'!AC41</f>
        <v>0.1443531960477249</v>
      </c>
      <c r="J41" s="220">
        <f>'Tasas inteligentes'!AD41</f>
        <v>0.14571181457374238</v>
      </c>
      <c r="K41" s="220">
        <f>'Tasas inteligentes'!AE41</f>
        <v>0.14707191153891563</v>
      </c>
      <c r="L41" s="220">
        <f>'Tasas inteligentes'!AF41</f>
        <v>0.14843348840566883</v>
      </c>
      <c r="M41" s="220">
        <f>'Tasas inteligentes'!AG41</f>
        <v>0.1497965466377309</v>
      </c>
      <c r="N41" s="220">
        <f>'Tasas inteligentes'!AH41</f>
        <v>0.15116108770013081</v>
      </c>
    </row>
    <row r="42" spans="1:14" x14ac:dyDescent="0.35">
      <c r="A42" s="125" t="s">
        <v>94</v>
      </c>
      <c r="B42" s="130" t="s">
        <v>92</v>
      </c>
      <c r="C42" s="130" t="s">
        <v>51</v>
      </c>
      <c r="D42" s="130" t="s">
        <v>52</v>
      </c>
      <c r="E42" s="130" t="s">
        <v>58</v>
      </c>
      <c r="F42" s="130" t="s">
        <v>54</v>
      </c>
      <c r="I42" s="220">
        <f>'Tasas inteligentes'!AC42</f>
        <v>0.14571181457374238</v>
      </c>
      <c r="J42" s="220">
        <f>'Tasas inteligentes'!AD42</f>
        <v>0.14707191153891563</v>
      </c>
      <c r="K42" s="220">
        <f>'Tasas inteligentes'!AE42</f>
        <v>0.14843348840566883</v>
      </c>
      <c r="L42" s="220">
        <f>'Tasas inteligentes'!AF42</f>
        <v>0.1497965466377309</v>
      </c>
      <c r="M42" s="220">
        <f>'Tasas inteligentes'!AG42</f>
        <v>0.15116108770013081</v>
      </c>
      <c r="N42" s="220">
        <f>'Tasas inteligentes'!AH42</f>
        <v>0.15252711305920341</v>
      </c>
    </row>
    <row r="43" spans="1:14" x14ac:dyDescent="0.35">
      <c r="A43" s="125" t="s">
        <v>95</v>
      </c>
      <c r="B43" s="130" t="s">
        <v>92</v>
      </c>
      <c r="C43" s="130" t="s">
        <v>51</v>
      </c>
      <c r="D43" s="130" t="s">
        <v>52</v>
      </c>
      <c r="E43" s="130" t="s">
        <v>58</v>
      </c>
      <c r="F43" s="130" t="s">
        <v>56</v>
      </c>
      <c r="I43" s="220">
        <f>'Tasas inteligentes'!AC43</f>
        <v>0.15389462418258582</v>
      </c>
      <c r="J43" s="220">
        <f>'Tasas inteligentes'!AD43</f>
        <v>0.15526362253922477</v>
      </c>
      <c r="K43" s="220">
        <f>'Tasas inteligentes'!AE43</f>
        <v>0.15663410959937174</v>
      </c>
      <c r="L43" s="220">
        <f>'Tasas inteligentes'!AF43</f>
        <v>0.15800608683458517</v>
      </c>
      <c r="M43" s="220">
        <f>'Tasas inteligentes'!AG43</f>
        <v>0.15937955571773355</v>
      </c>
      <c r="N43" s="220">
        <f>'Tasas inteligentes'!AH43</f>
        <v>0.16075451772299854</v>
      </c>
    </row>
    <row r="44" spans="1:14" x14ac:dyDescent="0.35">
      <c r="A44" s="125" t="s">
        <v>96</v>
      </c>
      <c r="B44" s="130" t="s">
        <v>92</v>
      </c>
      <c r="C44" s="130" t="s">
        <v>51</v>
      </c>
      <c r="D44" s="130" t="s">
        <v>61</v>
      </c>
      <c r="E44" s="130" t="s">
        <v>53</v>
      </c>
      <c r="F44" s="130" t="s">
        <v>54</v>
      </c>
      <c r="I44" s="220">
        <f>'Tasas inteligentes'!AC44</f>
        <v>0.14299605449973818</v>
      </c>
      <c r="J44" s="220">
        <f>'Tasas inteligentes'!AD44</f>
        <v>0.1443531960477249</v>
      </c>
      <c r="K44" s="220">
        <f>'Tasas inteligentes'!AE44</f>
        <v>0.14571181457374238</v>
      </c>
      <c r="L44" s="220">
        <f>'Tasas inteligentes'!AF44</f>
        <v>0.14707191153891563</v>
      </c>
      <c r="M44" s="220">
        <f>'Tasas inteligentes'!AG44</f>
        <v>0.14843348840566883</v>
      </c>
      <c r="N44" s="220">
        <f>'Tasas inteligentes'!AH44</f>
        <v>0.1497965466377309</v>
      </c>
    </row>
    <row r="45" spans="1:14" x14ac:dyDescent="0.35">
      <c r="A45" s="125" t="s">
        <v>97</v>
      </c>
      <c r="B45" s="130" t="s">
        <v>92</v>
      </c>
      <c r="C45" s="130" t="s">
        <v>51</v>
      </c>
      <c r="D45" s="130" t="s">
        <v>61</v>
      </c>
      <c r="E45" s="130" t="s">
        <v>53</v>
      </c>
      <c r="F45" s="130" t="s">
        <v>56</v>
      </c>
      <c r="I45" s="220">
        <f>'Tasas inteligentes'!AC45</f>
        <v>0.14571181457374238</v>
      </c>
      <c r="J45" s="220">
        <f>'Tasas inteligentes'!AD45</f>
        <v>0.14707191153891563</v>
      </c>
      <c r="K45" s="220">
        <f>'Tasas inteligentes'!AE45</f>
        <v>0.14843348840566883</v>
      </c>
      <c r="L45" s="220">
        <f>'Tasas inteligentes'!AF45</f>
        <v>0.1497965466377309</v>
      </c>
      <c r="M45" s="220">
        <f>'Tasas inteligentes'!AG45</f>
        <v>0.15116108770013081</v>
      </c>
      <c r="N45" s="220">
        <f>'Tasas inteligentes'!AH45</f>
        <v>0.15252711305920341</v>
      </c>
    </row>
    <row r="46" spans="1:14" x14ac:dyDescent="0.35">
      <c r="A46" s="125" t="s">
        <v>98</v>
      </c>
      <c r="B46" s="130" t="s">
        <v>92</v>
      </c>
      <c r="C46" s="130" t="s">
        <v>51</v>
      </c>
      <c r="D46" s="130" t="s">
        <v>61</v>
      </c>
      <c r="E46" s="130" t="s">
        <v>58</v>
      </c>
      <c r="F46" s="130" t="s">
        <v>54</v>
      </c>
      <c r="I46" s="220">
        <f>'Tasas inteligentes'!AC46</f>
        <v>0.14707191153891563</v>
      </c>
      <c r="J46" s="220">
        <f>'Tasas inteligentes'!AD46</f>
        <v>0.14843348840566883</v>
      </c>
      <c r="K46" s="220">
        <f>'Tasas inteligentes'!AE46</f>
        <v>0.1497965466377309</v>
      </c>
      <c r="L46" s="220">
        <f>'Tasas inteligentes'!AF46</f>
        <v>0.15116108770013081</v>
      </c>
      <c r="M46" s="220">
        <f>'Tasas inteligentes'!AG46</f>
        <v>0.15252711305920341</v>
      </c>
      <c r="N46" s="220">
        <f>'Tasas inteligentes'!AH46</f>
        <v>0.15389462418258582</v>
      </c>
    </row>
    <row r="47" spans="1:14" x14ac:dyDescent="0.35">
      <c r="A47" s="125" t="s">
        <v>99</v>
      </c>
      <c r="B47" s="130" t="s">
        <v>92</v>
      </c>
      <c r="C47" s="130" t="s">
        <v>51</v>
      </c>
      <c r="D47" s="130" t="s">
        <v>61</v>
      </c>
      <c r="E47" s="130" t="s">
        <v>58</v>
      </c>
      <c r="F47" s="130" t="s">
        <v>56</v>
      </c>
      <c r="I47" s="220">
        <f>'Tasas inteligentes'!AC47</f>
        <v>0.15526362253922477</v>
      </c>
      <c r="J47" s="220">
        <f>'Tasas inteligentes'!AD47</f>
        <v>0.15663410959937174</v>
      </c>
      <c r="K47" s="220">
        <f>'Tasas inteligentes'!AE47</f>
        <v>0.15800608683458517</v>
      </c>
      <c r="L47" s="220">
        <f>'Tasas inteligentes'!AF47</f>
        <v>0.15937955571773355</v>
      </c>
      <c r="M47" s="220">
        <f>'Tasas inteligentes'!AG47</f>
        <v>0.16075451772299854</v>
      </c>
      <c r="N47" s="220">
        <f>'Tasas inteligentes'!AH47</f>
        <v>0.1621309743258661</v>
      </c>
    </row>
    <row r="48" spans="1:14" x14ac:dyDescent="0.35">
      <c r="A48" s="125" t="s">
        <v>100</v>
      </c>
      <c r="B48" s="130" t="s">
        <v>92</v>
      </c>
      <c r="C48" s="130" t="s">
        <v>66</v>
      </c>
      <c r="D48" s="130" t="s">
        <v>52</v>
      </c>
      <c r="E48" s="130" t="s">
        <v>53</v>
      </c>
      <c r="F48" s="130" t="s">
        <v>54</v>
      </c>
      <c r="I48" s="220">
        <f>'Tasas inteligentes'!AC48</f>
        <v>0.14571181457374238</v>
      </c>
      <c r="J48" s="220">
        <f>'Tasas inteligentes'!AD48</f>
        <v>0.14707191153891563</v>
      </c>
      <c r="K48" s="220">
        <f>'Tasas inteligentes'!AE48</f>
        <v>0.14843348840566883</v>
      </c>
      <c r="L48" s="220">
        <f>'Tasas inteligentes'!AF48</f>
        <v>0.1497965466377309</v>
      </c>
      <c r="M48" s="220">
        <f>'Tasas inteligentes'!AG48</f>
        <v>0.15116108770013081</v>
      </c>
      <c r="N48" s="220">
        <f>'Tasas inteligentes'!AH48</f>
        <v>0.15526362253922477</v>
      </c>
    </row>
    <row r="49" spans="1:14" x14ac:dyDescent="0.35">
      <c r="A49" s="125" t="s">
        <v>101</v>
      </c>
      <c r="B49" s="130" t="s">
        <v>92</v>
      </c>
      <c r="C49" s="130" t="s">
        <v>66</v>
      </c>
      <c r="D49" s="130" t="s">
        <v>52</v>
      </c>
      <c r="E49" s="130" t="s">
        <v>53</v>
      </c>
      <c r="F49" s="130" t="s">
        <v>56</v>
      </c>
      <c r="I49" s="220">
        <f>'Tasas inteligentes'!AC49</f>
        <v>0.14707191153891563</v>
      </c>
      <c r="J49" s="220">
        <f>'Tasas inteligentes'!AD49</f>
        <v>0.14843348840566883</v>
      </c>
      <c r="K49" s="220">
        <f>'Tasas inteligentes'!AE49</f>
        <v>0.1497965466377309</v>
      </c>
      <c r="L49" s="220">
        <f>'Tasas inteligentes'!AF49</f>
        <v>0.15116108770013081</v>
      </c>
      <c r="M49" s="220">
        <f>'Tasas inteligentes'!AG49</f>
        <v>0.15252711305920341</v>
      </c>
      <c r="N49" s="220">
        <f>'Tasas inteligentes'!AH49</f>
        <v>0.15526362253922477</v>
      </c>
    </row>
    <row r="50" spans="1:14" x14ac:dyDescent="0.35">
      <c r="A50" s="125" t="s">
        <v>102</v>
      </c>
      <c r="B50" s="130" t="s">
        <v>92</v>
      </c>
      <c r="C50" s="130" t="s">
        <v>66</v>
      </c>
      <c r="D50" s="130" t="s">
        <v>52</v>
      </c>
      <c r="E50" s="130" t="s">
        <v>58</v>
      </c>
      <c r="F50" s="130" t="s">
        <v>54</v>
      </c>
      <c r="I50" s="220">
        <f>'Tasas inteligentes'!AC50</f>
        <v>0.14843348840566883</v>
      </c>
      <c r="J50" s="220">
        <f>'Tasas inteligentes'!AD50</f>
        <v>0.1497965466377309</v>
      </c>
      <c r="K50" s="220">
        <f>'Tasas inteligentes'!AE50</f>
        <v>0.15116108770013081</v>
      </c>
      <c r="L50" s="220">
        <f>'Tasas inteligentes'!AF50</f>
        <v>0.15252711305920341</v>
      </c>
      <c r="M50" s="220">
        <f>'Tasas inteligentes'!AG50</f>
        <v>0.15389462418258582</v>
      </c>
      <c r="N50" s="220">
        <f>'Tasas inteligentes'!AH50</f>
        <v>0.15526362253922477</v>
      </c>
    </row>
    <row r="51" spans="1:14" x14ac:dyDescent="0.35">
      <c r="A51" s="125" t="s">
        <v>103</v>
      </c>
      <c r="B51" s="130" t="s">
        <v>92</v>
      </c>
      <c r="C51" s="130" t="s">
        <v>66</v>
      </c>
      <c r="D51" s="130" t="s">
        <v>52</v>
      </c>
      <c r="E51" s="130" t="s">
        <v>58</v>
      </c>
      <c r="F51" s="130" t="s">
        <v>56</v>
      </c>
      <c r="I51" s="220">
        <f>'Tasas inteligentes'!AC51</f>
        <v>0.1497965466377309</v>
      </c>
      <c r="J51" s="220">
        <f>'Tasas inteligentes'!AD51</f>
        <v>0.15116108770013081</v>
      </c>
      <c r="K51" s="220">
        <f>'Tasas inteligentes'!AE51</f>
        <v>0.15252711305920341</v>
      </c>
      <c r="L51" s="220">
        <f>'Tasas inteligentes'!AF51</f>
        <v>0.15389462418258582</v>
      </c>
      <c r="M51" s="220">
        <f>'Tasas inteligentes'!AG51</f>
        <v>0.15526362253922477</v>
      </c>
      <c r="N51" s="220">
        <f>'Tasas inteligentes'!AH51</f>
        <v>0.15526362253922477</v>
      </c>
    </row>
    <row r="52" spans="1:14" x14ac:dyDescent="0.35">
      <c r="A52" s="125" t="s">
        <v>104</v>
      </c>
      <c r="B52" s="130" t="s">
        <v>92</v>
      </c>
      <c r="C52" s="130" t="s">
        <v>66</v>
      </c>
      <c r="D52" s="130" t="s">
        <v>61</v>
      </c>
      <c r="E52" s="130" t="s">
        <v>53</v>
      </c>
      <c r="F52" s="130" t="s">
        <v>54</v>
      </c>
      <c r="I52" s="220">
        <f>'Tasas inteligentes'!AC52</f>
        <v>0.14707191153891563</v>
      </c>
      <c r="J52" s="220">
        <f>'Tasas inteligentes'!AD52</f>
        <v>0.14843348840566883</v>
      </c>
      <c r="K52" s="220">
        <f>'Tasas inteligentes'!AE52</f>
        <v>0.1497965466377309</v>
      </c>
      <c r="L52" s="220">
        <f>'Tasas inteligentes'!AF52</f>
        <v>0.15116108770013081</v>
      </c>
      <c r="M52" s="220">
        <f>'Tasas inteligentes'!AG52</f>
        <v>0.15252711305920341</v>
      </c>
      <c r="N52" s="220">
        <f>'Tasas inteligentes'!AH52</f>
        <v>0.15526362253922477</v>
      </c>
    </row>
    <row r="53" spans="1:14" x14ac:dyDescent="0.35">
      <c r="A53" s="125" t="s">
        <v>105</v>
      </c>
      <c r="B53" s="130" t="s">
        <v>92</v>
      </c>
      <c r="C53" s="130" t="s">
        <v>66</v>
      </c>
      <c r="D53" s="130" t="s">
        <v>61</v>
      </c>
      <c r="E53" s="130" t="s">
        <v>53</v>
      </c>
      <c r="F53" s="130" t="s">
        <v>56</v>
      </c>
      <c r="I53" s="220">
        <f>'Tasas inteligentes'!AC53</f>
        <v>0.14843348840566883</v>
      </c>
      <c r="J53" s="220">
        <f>'Tasas inteligentes'!AD53</f>
        <v>0.1497965466377309</v>
      </c>
      <c r="K53" s="220">
        <f>'Tasas inteligentes'!AE53</f>
        <v>0.15116108770013081</v>
      </c>
      <c r="L53" s="220">
        <f>'Tasas inteligentes'!AF53</f>
        <v>0.15252711305920341</v>
      </c>
      <c r="M53" s="220">
        <f>'Tasas inteligentes'!AG53</f>
        <v>0.15389462418258582</v>
      </c>
      <c r="N53" s="220">
        <f>'Tasas inteligentes'!AH53</f>
        <v>0.15526362253922477</v>
      </c>
    </row>
    <row r="54" spans="1:14" x14ac:dyDescent="0.35">
      <c r="A54" s="125" t="s">
        <v>106</v>
      </c>
      <c r="B54" s="130" t="s">
        <v>92</v>
      </c>
      <c r="C54" s="130" t="s">
        <v>66</v>
      </c>
      <c r="D54" s="130" t="s">
        <v>61</v>
      </c>
      <c r="E54" s="130" t="s">
        <v>58</v>
      </c>
      <c r="F54" s="130" t="s">
        <v>54</v>
      </c>
      <c r="I54" s="220">
        <f>'Tasas inteligentes'!AC54</f>
        <v>0.1497965466377309</v>
      </c>
      <c r="J54" s="220">
        <f>'Tasas inteligentes'!AD54</f>
        <v>0.15116108770013081</v>
      </c>
      <c r="K54" s="220">
        <f>'Tasas inteligentes'!AE54</f>
        <v>0.15252711305920341</v>
      </c>
      <c r="L54" s="220">
        <f>'Tasas inteligentes'!AF54</f>
        <v>0.15389462418258582</v>
      </c>
      <c r="M54" s="220">
        <f>'Tasas inteligentes'!AG54</f>
        <v>0.15526362253922477</v>
      </c>
      <c r="N54" s="220">
        <f>'Tasas inteligentes'!AH54</f>
        <v>0.15526362253922477</v>
      </c>
    </row>
    <row r="55" spans="1:14" x14ac:dyDescent="0.35">
      <c r="A55" s="125" t="s">
        <v>107</v>
      </c>
      <c r="B55" s="130" t="s">
        <v>92</v>
      </c>
      <c r="C55" s="130" t="s">
        <v>66</v>
      </c>
      <c r="D55" s="130" t="s">
        <v>61</v>
      </c>
      <c r="E55" s="130" t="s">
        <v>58</v>
      </c>
      <c r="F55" s="130" t="s">
        <v>56</v>
      </c>
      <c r="I55" s="220">
        <f>'Tasas inteligentes'!AC55</f>
        <v>0.1497965466377309</v>
      </c>
      <c r="J55" s="220">
        <f>'Tasas inteligentes'!AD55</f>
        <v>0.15116108770013081</v>
      </c>
      <c r="K55" s="220">
        <f>'Tasas inteligentes'!AE55</f>
        <v>0.15252711305920341</v>
      </c>
      <c r="L55" s="220">
        <f>'Tasas inteligentes'!AF55</f>
        <v>0.15389462418258582</v>
      </c>
      <c r="M55" s="220">
        <f>'Tasas inteligentes'!AG55</f>
        <v>0.15526362253922477</v>
      </c>
      <c r="N55" s="220">
        <f>'Tasas inteligentes'!AH55</f>
        <v>0.15526362253922477</v>
      </c>
    </row>
  </sheetData>
  <sheetProtection algorithmName="SHA-512" hashValue="Kg2Dhjcnnq2coH3zQY13IyQRCAnbaUCgGFRlXTTmG5rbgs5EF6sHSyW5mEaJS8f5ZZgKqV4nYanF3a2UnpAqgg==" saltValue="8YAQki+W3HHpevFVwikVtQ==" spinCount="100000" sheet="1" objects="1" scenarios="1"/>
  <mergeCells count="1">
    <mergeCell ref="I6:N6"/>
  </mergeCells>
  <conditionalFormatting sqref="I8:N55">
    <cfRule type="containsText" dxfId="36" priority="1" operator="containsText" text="n">
      <formula>NOT(ISERROR(SEARCH("n",I8)))</formula>
    </cfRule>
  </conditionalFormatting>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21DFE-F939-4089-BAB7-A4693593FCE2}">
  <sheetPr codeName="Hoja18"/>
  <dimension ref="A1:AB32"/>
  <sheetViews>
    <sheetView showGridLines="0" zoomScale="80" zoomScaleNormal="80" workbookViewId="0"/>
  </sheetViews>
  <sheetFormatPr baseColWidth="10" defaultColWidth="11.453125" defaultRowHeight="14.5" x14ac:dyDescent="0.35"/>
  <cols>
    <col min="1" max="1" width="4.453125" style="2" customWidth="1"/>
    <col min="2" max="2" width="43.26953125" style="2" customWidth="1"/>
    <col min="3" max="3" width="11.54296875" style="2" customWidth="1"/>
    <col min="4" max="4" width="20.26953125" style="2" customWidth="1"/>
    <col min="5" max="5" width="5.81640625" style="2" customWidth="1"/>
    <col min="6" max="6" width="17.26953125" style="2" customWidth="1"/>
    <col min="7" max="7" width="17.54296875" style="2" customWidth="1"/>
    <col min="8" max="8" width="13.81640625" style="2" customWidth="1"/>
    <col min="9" max="9" width="16" style="2" customWidth="1"/>
    <col min="10" max="10" width="11.26953125" style="2" customWidth="1"/>
    <col min="11" max="11" width="16.453125" style="2" customWidth="1"/>
    <col min="12" max="12" width="11.7265625" style="2" hidden="1" customWidth="1"/>
    <col min="13" max="19" width="15.1796875" style="2" hidden="1" customWidth="1"/>
    <col min="20" max="28" width="11.453125" style="2" hidden="1" customWidth="1"/>
    <col min="29" max="16384" width="11.453125" style="2"/>
  </cols>
  <sheetData>
    <row r="1" spans="1:27" ht="15" customHeight="1" x14ac:dyDescent="0.35">
      <c r="C1" s="61"/>
      <c r="D1" s="61"/>
      <c r="E1" s="61"/>
      <c r="F1" s="61"/>
      <c r="G1" s="61"/>
      <c r="H1" s="430" t="str">
        <f>Pantalla_Inicio!J1</f>
        <v>Código: PCV_FOR_006
Versión: V02
Fecha de actualización: 04/05/2026</v>
      </c>
      <c r="I1" s="431"/>
      <c r="J1" s="112"/>
      <c r="K1" s="112"/>
      <c r="L1" s="112"/>
    </row>
    <row r="2" spans="1:27" ht="30.75" customHeight="1" x14ac:dyDescent="0.55000000000000004">
      <c r="C2" s="143"/>
      <c r="D2" s="143"/>
      <c r="E2" s="143"/>
      <c r="F2" s="143"/>
      <c r="G2" s="143"/>
      <c r="H2" s="432"/>
      <c r="I2" s="433"/>
      <c r="J2" s="112"/>
      <c r="K2" s="112"/>
      <c r="L2" s="112"/>
      <c r="N2" s="111" t="s">
        <v>37</v>
      </c>
      <c r="O2" s="111" t="s">
        <v>137</v>
      </c>
      <c r="P2" s="111"/>
      <c r="Q2" s="111" t="s">
        <v>38</v>
      </c>
      <c r="R2" s="111"/>
      <c r="S2" s="111"/>
      <c r="T2" s="111" t="s">
        <v>39</v>
      </c>
      <c r="U2" s="111"/>
      <c r="V2" s="111"/>
      <c r="W2" s="111" t="s">
        <v>41</v>
      </c>
      <c r="X2" s="111"/>
      <c r="Y2" s="111"/>
      <c r="Z2" s="111"/>
      <c r="AA2" s="111" t="s">
        <v>2528</v>
      </c>
    </row>
    <row r="3" spans="1:27" ht="24.75" customHeight="1" x14ac:dyDescent="0.35">
      <c r="A3" s="69"/>
      <c r="B3" s="69"/>
      <c r="C3" s="69"/>
      <c r="D3" s="69"/>
      <c r="E3" s="69"/>
      <c r="F3" s="69"/>
      <c r="G3" s="69"/>
      <c r="H3" s="434"/>
      <c r="I3" s="435"/>
      <c r="J3" s="96" t="s">
        <v>2346</v>
      </c>
      <c r="K3" s="112"/>
      <c r="L3" s="112"/>
      <c r="M3" s="11"/>
      <c r="N3" s="2" t="s">
        <v>50</v>
      </c>
      <c r="O3" s="2">
        <v>1160000</v>
      </c>
      <c r="Q3" s="2" t="s">
        <v>51</v>
      </c>
      <c r="T3" s="2" t="s">
        <v>52</v>
      </c>
      <c r="W3" s="2" t="s">
        <v>2529</v>
      </c>
      <c r="AA3" s="2" t="s">
        <v>31</v>
      </c>
    </row>
    <row r="4" spans="1:27" ht="10.5" customHeight="1" x14ac:dyDescent="0.35">
      <c r="A4" s="11"/>
      <c r="B4" s="11"/>
      <c r="C4" s="11"/>
      <c r="D4" s="11"/>
      <c r="E4" s="11"/>
      <c r="F4" s="11"/>
      <c r="G4" s="11"/>
      <c r="H4" s="144"/>
      <c r="I4" s="144"/>
      <c r="J4" s="112"/>
      <c r="K4" s="112"/>
      <c r="L4" s="144"/>
      <c r="M4" s="11"/>
      <c r="N4" s="2" t="s">
        <v>75</v>
      </c>
      <c r="Q4" s="2" t="s">
        <v>66</v>
      </c>
      <c r="T4" s="2" t="s">
        <v>61</v>
      </c>
      <c r="W4" s="2" t="s">
        <v>2530</v>
      </c>
      <c r="AA4" s="2" t="str">
        <f>IF(D14="NO VIS","Leasing Habitacional Familiar","")</f>
        <v/>
      </c>
    </row>
    <row r="5" spans="1:27" ht="17.5" customHeight="1" x14ac:dyDescent="0.55000000000000004">
      <c r="A5" s="11"/>
      <c r="B5" s="515" t="s">
        <v>34</v>
      </c>
      <c r="C5" s="515"/>
      <c r="D5" s="515"/>
      <c r="E5" s="16"/>
      <c r="F5" s="11"/>
      <c r="G5" s="11"/>
      <c r="H5" s="11"/>
      <c r="I5" s="11"/>
      <c r="J5" s="11"/>
      <c r="K5" s="144"/>
      <c r="L5" s="112"/>
      <c r="M5" s="11"/>
      <c r="N5" s="2" t="s">
        <v>92</v>
      </c>
      <c r="W5" s="2" t="s">
        <v>56</v>
      </c>
      <c r="AA5" s="2" t="s">
        <v>34</v>
      </c>
    </row>
    <row r="6" spans="1:27" ht="23.25" customHeight="1" x14ac:dyDescent="0.35">
      <c r="A6" s="145"/>
      <c r="B6" s="516" t="s">
        <v>2348</v>
      </c>
      <c r="C6" s="516"/>
      <c r="D6" s="516"/>
      <c r="E6" s="79"/>
      <c r="F6" s="59"/>
      <c r="G6" s="59"/>
      <c r="H6" s="59"/>
      <c r="I6" s="59"/>
      <c r="J6" s="59"/>
      <c r="K6" s="112"/>
      <c r="L6" s="112"/>
      <c r="M6" s="11"/>
      <c r="AA6" s="2" t="s">
        <v>2441</v>
      </c>
    </row>
    <row r="7" spans="1:27" ht="19.5" customHeight="1" x14ac:dyDescent="0.35">
      <c r="A7" s="145"/>
      <c r="B7" s="517" t="s">
        <v>2349</v>
      </c>
      <c r="C7" s="518"/>
      <c r="D7" s="519"/>
      <c r="E7" s="79"/>
      <c r="F7" s="59"/>
      <c r="G7" s="59"/>
      <c r="H7" s="59"/>
      <c r="I7" s="59"/>
      <c r="J7" s="59"/>
      <c r="K7" s="112"/>
      <c r="L7" s="112"/>
      <c r="M7" s="11"/>
    </row>
    <row r="8" spans="1:27" ht="14.25" customHeight="1" x14ac:dyDescent="0.35">
      <c r="A8" s="145"/>
      <c r="E8" s="79"/>
      <c r="F8" s="59"/>
      <c r="G8" s="59"/>
      <c r="H8" s="59"/>
      <c r="I8" s="59"/>
      <c r="J8" s="59"/>
      <c r="K8" s="112"/>
      <c r="L8" s="14"/>
      <c r="M8" s="14"/>
    </row>
    <row r="9" spans="1:27" ht="19.5" customHeight="1" x14ac:dyDescent="0.35">
      <c r="A9" s="145"/>
      <c r="B9" s="520" t="s">
        <v>2531</v>
      </c>
      <c r="C9" s="521"/>
      <c r="D9" s="522"/>
      <c r="E9" s="79"/>
      <c r="F9" s="516" t="s">
        <v>2532</v>
      </c>
      <c r="G9" s="516"/>
      <c r="H9" s="516"/>
      <c r="I9" s="59"/>
      <c r="J9" s="59"/>
      <c r="K9" s="14"/>
      <c r="L9" s="14"/>
      <c r="M9" s="14"/>
    </row>
    <row r="10" spans="1:27" ht="6" customHeight="1" thickBot="1" x14ac:dyDescent="0.4">
      <c r="A10" s="145"/>
      <c r="B10" s="54"/>
      <c r="C10" s="54"/>
      <c r="D10" s="54" t="s">
        <v>61</v>
      </c>
      <c r="E10" s="79"/>
      <c r="F10" s="59"/>
      <c r="G10" s="59"/>
      <c r="H10" s="59"/>
      <c r="I10" s="59"/>
      <c r="J10" s="59"/>
      <c r="K10" s="14"/>
      <c r="L10" s="120">
        <f>D11</f>
        <v>0</v>
      </c>
      <c r="M10" s="59"/>
      <c r="N10" s="111" t="s">
        <v>40</v>
      </c>
      <c r="P10" s="111"/>
    </row>
    <row r="11" spans="1:27" ht="16.5" customHeight="1" thickBot="1" x14ac:dyDescent="0.4">
      <c r="A11" s="145"/>
      <c r="B11" s="524" t="s">
        <v>2697</v>
      </c>
      <c r="C11" s="525"/>
      <c r="D11" s="173"/>
      <c r="E11" s="79"/>
      <c r="F11" s="223" t="s">
        <v>2534</v>
      </c>
      <c r="G11" s="224"/>
      <c r="H11" s="101" t="s">
        <v>61</v>
      </c>
      <c r="I11" s="106"/>
      <c r="K11" s="59"/>
      <c r="L11" s="79">
        <f>C12</f>
        <v>0</v>
      </c>
      <c r="M11" s="59"/>
      <c r="N11" s="2">
        <v>0</v>
      </c>
      <c r="O11" s="2">
        <f>N12-1</f>
        <v>788</v>
      </c>
      <c r="P11" s="2" t="s">
        <v>58</v>
      </c>
    </row>
    <row r="12" spans="1:27" ht="16.5" customHeight="1" thickBot="1" x14ac:dyDescent="0.4">
      <c r="A12" s="145"/>
      <c r="B12" s="71" t="s">
        <v>2363</v>
      </c>
      <c r="C12" s="526"/>
      <c r="D12" s="527"/>
      <c r="E12" s="79"/>
      <c r="F12" s="536" t="str">
        <f>IF(H11="Si","Indica tasa especial en terminos E.A.","")</f>
        <v/>
      </c>
      <c r="G12" s="537"/>
      <c r="H12" s="175"/>
      <c r="I12" s="106"/>
      <c r="K12" s="59"/>
      <c r="L12" s="120">
        <f>D13</f>
        <v>0</v>
      </c>
      <c r="M12" s="59"/>
      <c r="N12" s="2">
        <v>789</v>
      </c>
      <c r="P12" s="2" t="s">
        <v>53</v>
      </c>
    </row>
    <row r="13" spans="1:27" ht="15.75" customHeight="1" x14ac:dyDescent="0.35">
      <c r="A13" s="145"/>
      <c r="B13" s="529" t="s">
        <v>2365</v>
      </c>
      <c r="C13" s="530"/>
      <c r="D13" s="99"/>
      <c r="E13" s="169"/>
      <c r="F13" s="107"/>
      <c r="G13" s="107"/>
      <c r="H13" s="106"/>
      <c r="I13" s="106"/>
      <c r="K13" s="59"/>
      <c r="L13" s="120" t="str">
        <f>D14</f>
        <v/>
      </c>
      <c r="M13" s="59"/>
    </row>
    <row r="14" spans="1:27" ht="15.65" customHeight="1" x14ac:dyDescent="0.35">
      <c r="A14" s="145"/>
      <c r="B14" s="531" t="s">
        <v>2535</v>
      </c>
      <c r="C14" s="531"/>
      <c r="D14" s="113" t="str">
        <f>_xlfn.IFNA(IF(D13&gt;(VLOOKUP(C12,'Ciudades y SMMLV'!A1:E1119,5,0)),"NO VIS","VIS"),"")</f>
        <v/>
      </c>
      <c r="E14" s="79"/>
      <c r="F14" s="79" t="e" cm="1">
        <f t="array" ref="F14">_xlfn.IFS(D19=O16,P16,((D19&gt;=N17)*AND(D19&lt;=O17)),P17,((D19&gt;=N18)*AND(D19&lt;=O18)),P18,((D19&gt;=N19)*AND(D19&lt;=O19)),P19,((D19&gt;=N20)*AND(D19&lt;=O20)),P20,((D19&gt;=N21)*AND(D19&lt;=O21)),P21)</f>
        <v>#N/A</v>
      </c>
      <c r="G14" s="59"/>
      <c r="H14" s="59"/>
      <c r="I14" s="59"/>
      <c r="J14" s="59"/>
      <c r="K14" s="59"/>
      <c r="L14" s="120"/>
      <c r="M14" s="59"/>
    </row>
    <row r="15" spans="1:27" ht="15" customHeight="1" thickBot="1" x14ac:dyDescent="0.4">
      <c r="A15" s="145"/>
      <c r="B15" s="15"/>
      <c r="C15" s="15"/>
      <c r="D15" s="15"/>
      <c r="E15" s="109"/>
      <c r="F15" s="59"/>
      <c r="G15" s="59"/>
      <c r="H15" s="59"/>
      <c r="I15" s="59"/>
      <c r="J15" s="59"/>
      <c r="K15" s="59"/>
      <c r="L15" s="79"/>
      <c r="M15" s="59"/>
      <c r="N15" s="111" t="s">
        <v>2536</v>
      </c>
    </row>
    <row r="16" spans="1:27" ht="21" x14ac:dyDescent="0.5">
      <c r="A16" s="145"/>
      <c r="B16" s="512" t="s">
        <v>2537</v>
      </c>
      <c r="C16" s="513"/>
      <c r="D16" s="514"/>
      <c r="E16" s="79"/>
      <c r="F16" s="153"/>
      <c r="G16" s="153"/>
      <c r="H16" s="153"/>
      <c r="I16" s="153"/>
      <c r="J16" s="153"/>
      <c r="K16" s="59"/>
      <c r="L16" s="120">
        <f t="shared" ref="L16" si="0">D17</f>
        <v>0</v>
      </c>
      <c r="M16" s="59"/>
      <c r="N16" s="111">
        <v>0</v>
      </c>
      <c r="O16" s="2">
        <v>60</v>
      </c>
      <c r="P16" s="2" t="s">
        <v>42</v>
      </c>
    </row>
    <row r="17" spans="1:22" ht="6" customHeight="1" thickBot="1" x14ac:dyDescent="0.4">
      <c r="A17" s="145"/>
      <c r="B17" s="13"/>
      <c r="C17" s="13"/>
      <c r="D17" s="13"/>
      <c r="E17" s="79"/>
      <c r="K17" s="59"/>
      <c r="L17" s="121">
        <f>D18</f>
        <v>150000000</v>
      </c>
      <c r="M17" s="59"/>
      <c r="N17" s="111">
        <v>61</v>
      </c>
      <c r="O17" s="2">
        <v>84</v>
      </c>
      <c r="P17" s="2" t="s">
        <v>43</v>
      </c>
    </row>
    <row r="18" spans="1:22" ht="17.5" customHeight="1" thickBot="1" x14ac:dyDescent="0.45">
      <c r="A18" s="145"/>
      <c r="B18" s="534" t="s">
        <v>2538</v>
      </c>
      <c r="C18" s="535"/>
      <c r="D18" s="99">
        <v>150000000</v>
      </c>
      <c r="E18" s="104">
        <f>D13*50%</f>
        <v>0</v>
      </c>
      <c r="F18" s="536" t="s">
        <v>2539</v>
      </c>
      <c r="G18" s="537"/>
      <c r="H18" s="114" t="str">
        <f>IF(H11="No",IFERROR(INDEX('TI RM'!A5:O55,MATCH('TI RM'!A3,'TI RM'!A5:A55,0),MATCH('TI RM'!A2,'TI RM'!A5:O5,0)),""),"")</f>
        <v/>
      </c>
      <c r="I18" s="134" t="str">
        <f>IFERROR(INDEX('Tasas inteligentes'!A5:AA55,MATCH('Tasas inteligentes'!AA3,'Tasas inteligentes'!A5:A55,0),MATCH('Tasas inteligentes'!AA2,'Tasas inteligentes'!A5:AA5,0)),"")</f>
        <v/>
      </c>
      <c r="J18" s="119"/>
      <c r="K18" s="59"/>
      <c r="L18" s="122">
        <f t="shared" ref="L18" si="1">D19</f>
        <v>0</v>
      </c>
      <c r="M18" s="59"/>
      <c r="N18" s="2">
        <v>85</v>
      </c>
      <c r="O18" s="2">
        <v>120</v>
      </c>
      <c r="P18" s="2" t="s">
        <v>44</v>
      </c>
    </row>
    <row r="19" spans="1:22" ht="15.65" customHeight="1" thickBot="1" x14ac:dyDescent="0.45">
      <c r="A19" s="145"/>
      <c r="B19" s="534" t="s">
        <v>2540</v>
      </c>
      <c r="C19" s="535"/>
      <c r="D19" s="103"/>
      <c r="E19" s="79">
        <v>240</v>
      </c>
      <c r="G19" s="87" t="s">
        <v>2541</v>
      </c>
      <c r="H19" s="115" t="str">
        <f>IFERROR(NOMINAL(H18,12)/12,"")</f>
        <v/>
      </c>
      <c r="I19" s="135" t="str">
        <f>IFERROR(NOMINAL(I18,12)/12,"")</f>
        <v/>
      </c>
      <c r="J19" s="119"/>
      <c r="K19" s="59"/>
      <c r="L19" s="79" t="str">
        <f>IF(B5="Crédito de Vivienda","Leasing Habitacional Familiar","Crédito de Vivienda")</f>
        <v>Crédito de Vivienda</v>
      </c>
      <c r="M19" s="11"/>
      <c r="N19" s="2">
        <f>O18+1</f>
        <v>121</v>
      </c>
      <c r="O19" s="2">
        <v>180</v>
      </c>
      <c r="P19" s="2" t="s">
        <v>45</v>
      </c>
    </row>
    <row r="20" spans="1:22" ht="17.25" customHeight="1" thickBot="1" x14ac:dyDescent="0.4">
      <c r="A20" s="145"/>
      <c r="B20" s="13"/>
      <c r="C20" s="13"/>
      <c r="D20" s="13"/>
      <c r="E20" s="79"/>
      <c r="F20" s="79" t="str" cm="1">
        <f t="array" ref="F20">_xlfn.IFS(D25&lt;=O11,P11,D25&gt;=N12,P12)</f>
        <v>&lt;789</v>
      </c>
      <c r="G20" s="59"/>
      <c r="H20" s="59"/>
      <c r="I20" s="59"/>
      <c r="J20" s="59"/>
      <c r="K20" s="59"/>
      <c r="L20" s="120"/>
      <c r="N20" s="2">
        <f>O19+1</f>
        <v>181</v>
      </c>
      <c r="O20" s="2">
        <v>240</v>
      </c>
      <c r="P20" s="2" t="s">
        <v>46</v>
      </c>
    </row>
    <row r="21" spans="1:22" ht="18.75" customHeight="1" x14ac:dyDescent="0.35">
      <c r="A21" s="145"/>
      <c r="B21" s="512" t="s">
        <v>2542</v>
      </c>
      <c r="C21" s="513"/>
      <c r="D21" s="514"/>
      <c r="E21" s="79"/>
      <c r="F21" s="538" t="str">
        <f>IF(H18="","","La tasa aquí informada corresponde a las condiciones actuales de aprobación, la tasa que le aplicará al cliente será la que este vigente al momento del desembolso.")</f>
        <v/>
      </c>
      <c r="G21" s="538"/>
      <c r="H21" s="538"/>
      <c r="I21" s="538"/>
      <c r="J21" s="538"/>
      <c r="K21" s="11"/>
      <c r="L21" s="79"/>
      <c r="M21" s="59"/>
      <c r="N21" s="2">
        <f>O20+1</f>
        <v>241</v>
      </c>
      <c r="O21" s="2">
        <v>360</v>
      </c>
      <c r="P21" s="2" t="s">
        <v>47</v>
      </c>
    </row>
    <row r="22" spans="1:22" ht="6" customHeight="1" x14ac:dyDescent="0.35">
      <c r="A22" s="145"/>
      <c r="B22" s="72"/>
      <c r="C22" s="72"/>
      <c r="D22" s="156" t="str">
        <f>IF(D23="Otros","Otros","Asalariado y Pensionado")</f>
        <v>Asalariado y Pensionado</v>
      </c>
      <c r="E22" s="79"/>
      <c r="F22" s="538"/>
      <c r="G22" s="538"/>
      <c r="H22" s="538"/>
      <c r="I22" s="538"/>
      <c r="J22" s="538"/>
      <c r="L22" s="120"/>
      <c r="M22" s="59"/>
    </row>
    <row r="23" spans="1:22" ht="15.5" x14ac:dyDescent="0.35">
      <c r="A23" s="145"/>
      <c r="B23" s="532" t="s">
        <v>41</v>
      </c>
      <c r="C23" s="533" t="str" cm="1">
        <f t="array" ref="C23">IFERROR(_xlfn.IFS(AND(C13="NO VIS",D23="MI CASA YA"),"ERROR",AND(C13="VIS",D23="FRECH NO VIS"),"ERROR",AND(C13="VIS",D23="ECOBERTURA"),"ERROR"),"")</f>
        <v/>
      </c>
      <c r="D23" s="100"/>
      <c r="E23" s="79"/>
      <c r="F23" s="538"/>
      <c r="G23" s="538"/>
      <c r="H23" s="538"/>
      <c r="I23" s="538"/>
      <c r="J23" s="538"/>
      <c r="K23" s="59"/>
      <c r="L23" s="123">
        <f>D23</f>
        <v>0</v>
      </c>
      <c r="M23" s="59"/>
    </row>
    <row r="24" spans="1:22" ht="16.5" x14ac:dyDescent="0.35">
      <c r="A24" s="145"/>
      <c r="B24" s="532" t="s">
        <v>2543</v>
      </c>
      <c r="C24" s="533"/>
      <c r="D24" s="101"/>
      <c r="E24" s="79"/>
      <c r="F24" s="538"/>
      <c r="G24" s="538"/>
      <c r="H24" s="538"/>
      <c r="I24" s="538"/>
      <c r="J24" s="538"/>
      <c r="K24" s="59"/>
      <c r="L24" s="120">
        <f t="shared" ref="L24" si="2">D24</f>
        <v>0</v>
      </c>
      <c r="M24" s="59"/>
    </row>
    <row r="25" spans="1:22" ht="16.5" x14ac:dyDescent="0.35">
      <c r="A25" s="145"/>
      <c r="B25" s="532" t="s">
        <v>2544</v>
      </c>
      <c r="C25" s="533"/>
      <c r="D25" s="102"/>
      <c r="E25" s="170"/>
      <c r="K25" s="59"/>
      <c r="L25" s="124">
        <f>D25</f>
        <v>0</v>
      </c>
      <c r="M25" s="59"/>
      <c r="N25" s="33"/>
      <c r="O25" s="33"/>
      <c r="P25" s="33"/>
      <c r="Q25" s="33"/>
      <c r="R25" s="33"/>
      <c r="V25" s="52">
        <v>0.3</v>
      </c>
    </row>
    <row r="26" spans="1:22" ht="15.75" customHeight="1" x14ac:dyDescent="0.35">
      <c r="A26" s="145"/>
      <c r="C26" s="145"/>
      <c r="D26" s="145"/>
      <c r="E26" s="171"/>
      <c r="K26" s="59"/>
      <c r="L26" s="59"/>
      <c r="M26" s="33"/>
    </row>
    <row r="27" spans="1:22" ht="15.75" customHeight="1" x14ac:dyDescent="0.35">
      <c r="A27" s="145"/>
      <c r="C27" s="145"/>
      <c r="D27" s="145"/>
      <c r="E27" s="171"/>
      <c r="K27" s="58"/>
    </row>
    <row r="28" spans="1:22" ht="18" customHeight="1" x14ac:dyDescent="0.35">
      <c r="A28" s="145"/>
      <c r="C28" s="145"/>
      <c r="D28" s="145"/>
      <c r="E28" s="145"/>
      <c r="K28" s="58"/>
    </row>
    <row r="29" spans="1:22" x14ac:dyDescent="0.35">
      <c r="C29" s="145"/>
      <c r="D29" s="145"/>
      <c r="E29" s="154"/>
    </row>
    <row r="30" spans="1:22" x14ac:dyDescent="0.35">
      <c r="C30" s="145"/>
      <c r="D30" s="145"/>
      <c r="E30" s="109"/>
    </row>
    <row r="31" spans="1:22" x14ac:dyDescent="0.35">
      <c r="C31" s="145"/>
      <c r="D31" s="145"/>
      <c r="E31" s="145"/>
    </row>
    <row r="32" spans="1:22" x14ac:dyDescent="0.35">
      <c r="C32" s="145"/>
      <c r="D32" s="145"/>
      <c r="E32" s="145"/>
    </row>
  </sheetData>
  <sheetProtection algorithmName="SHA-512" hashValue="TKgBVMPr+CvTpFMN7wZJLYX4xu4lz+YHFKCSad3skM7a4NHj235f9TUhsUb2nq54t+8r+VOm0oB9sbnEEQ4Arw==" saltValue="C3GQSXTflHMXcEdIQQ7Ltw==" spinCount="100000" sheet="1" objects="1" scenarios="1"/>
  <mergeCells count="20">
    <mergeCell ref="B11:C11"/>
    <mergeCell ref="H1:I3"/>
    <mergeCell ref="B5:D5"/>
    <mergeCell ref="B6:D6"/>
    <mergeCell ref="B7:D7"/>
    <mergeCell ref="B9:D9"/>
    <mergeCell ref="F9:H9"/>
    <mergeCell ref="F21:J24"/>
    <mergeCell ref="B23:C23"/>
    <mergeCell ref="B24:C24"/>
    <mergeCell ref="B25:C25"/>
    <mergeCell ref="C12:D12"/>
    <mergeCell ref="B13:C13"/>
    <mergeCell ref="B14:C14"/>
    <mergeCell ref="B16:D16"/>
    <mergeCell ref="B18:C18"/>
    <mergeCell ref="B19:C19"/>
    <mergeCell ref="B21:D21"/>
    <mergeCell ref="F18:G18"/>
    <mergeCell ref="F12:G12"/>
  </mergeCells>
  <conditionalFormatting sqref="D18">
    <cfRule type="cellIs" dxfId="35" priority="8" operator="greaterThan">
      <formula>$E$18</formula>
    </cfRule>
  </conditionalFormatting>
  <conditionalFormatting sqref="D19">
    <cfRule type="cellIs" dxfId="34" priority="7" operator="greaterThan">
      <formula>$E$19</formula>
    </cfRule>
  </conditionalFormatting>
  <conditionalFormatting sqref="F21 K27:K28">
    <cfRule type="containsText" dxfId="32" priority="3" operator="containsText" text="&quot;La tasa aquí informada corresponde a las condiciones actuales de aprobación, la tasa que le aplicará al cliente será la que este vigente al momento del desembolso&quot;">
      <formula>NOT(ISERROR(SEARCH("""La tasa aquí informada corresponde a las condiciones actuales de aprobación, la tasa que le aplicará al cliente será la que este vigente al momento del desembolso""",F21)))</formula>
    </cfRule>
    <cfRule type="containsText" dxfId="31" priority="4" operator="containsText" text="&quot;La tasa aquí informada corresponde a las condiciones actuales de aprobación, la tasa que le aplicará al cliente sera la que este vigente al momento del desembolso&quot;">
      <formula>NOT(ISERROR(SEARCH("""La tasa aquí informada corresponde a las condiciones actuales de aprobación, la tasa que le aplicará al cliente sera la que este vigente al momento del desembolso""",F21)))</formula>
    </cfRule>
  </conditionalFormatting>
  <conditionalFormatting sqref="F16:J16">
    <cfRule type="containsText" dxfId="30" priority="5" operator="containsText" text="Escoje la opción que aplique">
      <formula>NOT(ISERROR(SEARCH("Escoje la opción que aplique",F16)))</formula>
    </cfRule>
  </conditionalFormatting>
  <conditionalFormatting sqref="H12">
    <cfRule type="expression" dxfId="29" priority="1">
      <formula>$H$11="No"</formula>
    </cfRule>
  </conditionalFormatting>
  <conditionalFormatting sqref="H18:H19">
    <cfRule type="containsBlanks" dxfId="28" priority="6">
      <formula>LEN(TRIM(H18))=0</formula>
    </cfRule>
  </conditionalFormatting>
  <dataValidations count="8">
    <dataValidation type="whole" operator="greaterThan" allowBlank="1" showInputMessage="1" showErrorMessage="1" errorTitle="Valor debe ser superior a 5MM" error="El valor ingresado debe ser superior a 5 Millones" sqref="D13" xr:uid="{1865A807-55DD-4858-B7BB-AAB39F4D7319}">
      <formula1>5000000</formula1>
    </dataValidation>
    <dataValidation type="whole" allowBlank="1" showInputMessage="1" showErrorMessage="1" errorTitle="Plazo NO corresponde" error="El plazo ingresado no aplica para el tipo de vivienda" sqref="D19" xr:uid="{0A16ABA6-864E-4B35-A863-C2D251158DFB}">
      <formula1>60</formula1>
      <formula2>E19</formula2>
    </dataValidation>
    <dataValidation type="whole" allowBlank="1" showInputMessage="1" showErrorMessage="1" errorTitle="Valor NO corresponde" error="El valor ingresado supera el porcentaje máximo de financiación" sqref="D18" xr:uid="{9BD44873-3C53-4E58-924C-2D348727FDD2}">
      <formula1>0</formula1>
      <formula2>E18</formula2>
    </dataValidation>
    <dataValidation type="list" allowBlank="1" showInputMessage="1" showErrorMessage="1" errorTitle="Programa no aplica" error="El programa de Gobierno NO aplica según el tipo de vivienda. Por favor corregir" sqref="D24" xr:uid="{A3F25F8A-8478-4B29-AA90-F1EF58289FCD}">
      <formula1>$N$3:$N$5</formula1>
    </dataValidation>
    <dataValidation type="list" allowBlank="1" showInputMessage="1" showErrorMessage="1" errorTitle="Programa no aplica" error="El programa de Gobierno NO aplica según el tipo de vivienda. Por favor corregir" sqref="D23" xr:uid="{B13F0132-CDA1-4B20-BEC9-927E5C0B1C2C}">
      <formula1>$W$3:$W$5</formula1>
    </dataValidation>
    <dataValidation type="list" allowBlank="1" showInputMessage="1" showErrorMessage="1" sqref="D24" xr:uid="{60F748CD-25B9-4219-B7AD-0DBFE52C9D34}">
      <formula1>$N$3:$N$5</formula1>
    </dataValidation>
    <dataValidation type="list" allowBlank="1" showInputMessage="1" showErrorMessage="1" sqref="D11 H11" xr:uid="{5F4C576E-0C1B-4BDF-BC34-AAC575703E46}">
      <formula1>$T$3:$T$4</formula1>
    </dataValidation>
    <dataValidation type="decimal" allowBlank="1" showInputMessage="1" showErrorMessage="1" sqref="H12" xr:uid="{01908475-FCA2-4908-90DC-E87412A0FFD7}">
      <formula1>0.04</formula1>
      <formula2>0.2</formula2>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2" operator="containsText" id="{83B999FB-533A-4061-92A8-A628ED80FD8F}">
            <xm:f>NOT(ISERROR(SEARCH($F$21,F21)))</xm:f>
            <xm:f>$F$21</xm:f>
            <x14:dxf>
              <font>
                <color rgb="FF006100"/>
              </font>
              <fill>
                <patternFill>
                  <bgColor rgb="FFC6EFCE"/>
                </patternFill>
              </fill>
            </x14:dxf>
          </x14:cfRule>
          <xm:sqref>F21 K27:K28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7BF5A0D-5DE3-4218-8D48-56301BFB0AEB}">
          <x14:formula1>
            <xm:f>'Ciudades y SMMLV'!$A$2:$A$1119</xm:f>
          </x14:formula1>
          <xm:sqref>C12:D12</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AFC5E-A875-4136-B77C-F23069642EB4}">
  <sheetPr codeName="Hoja19"/>
  <dimension ref="A1:L45"/>
  <sheetViews>
    <sheetView showGridLines="0" zoomScale="85" zoomScaleNormal="85" workbookViewId="0">
      <pane ySplit="6" topLeftCell="A7" activePane="bottomLeft" state="frozen"/>
      <selection activeCell="B24" sqref="B24"/>
      <selection pane="bottomLeft" activeCell="B24" sqref="B24"/>
    </sheetView>
  </sheetViews>
  <sheetFormatPr baseColWidth="10" defaultColWidth="11.453125" defaultRowHeight="15" customHeight="1" x14ac:dyDescent="0.35"/>
  <cols>
    <col min="1" max="1" width="43.26953125" style="2" customWidth="1"/>
    <col min="2" max="2" width="7.54296875" style="2" customWidth="1"/>
    <col min="3" max="3" width="20.26953125" style="2" customWidth="1"/>
    <col min="4" max="4" width="13.1796875" style="2" customWidth="1"/>
    <col min="5" max="5" width="17.26953125" style="2" customWidth="1"/>
    <col min="6" max="9" width="15.1796875" style="2" customWidth="1"/>
    <col min="10" max="12" width="11.453125" style="2" hidden="1" customWidth="1"/>
    <col min="13" max="15" width="0" style="2" hidden="1" customWidth="1"/>
    <col min="16" max="16384" width="11.453125" style="2"/>
  </cols>
  <sheetData>
    <row r="1" spans="1:10" ht="26.25" customHeight="1" x14ac:dyDescent="0.35">
      <c r="A1" s="60"/>
      <c r="B1" s="61"/>
      <c r="C1" s="61"/>
      <c r="G1" s="430" t="str">
        <f>CV!H1</f>
        <v>Código: PCV_FOR_006
Versión: V02
Fecha de actualización: 04/05/2026</v>
      </c>
      <c r="H1" s="431"/>
    </row>
    <row r="2" spans="1:10" ht="23.25" customHeight="1" x14ac:dyDescent="0.55000000000000004">
      <c r="A2" s="63"/>
      <c r="D2" s="545" t="s">
        <v>2545</v>
      </c>
      <c r="E2" s="545"/>
      <c r="F2" s="545"/>
      <c r="G2" s="432"/>
      <c r="H2" s="433"/>
    </row>
    <row r="3" spans="1:10" ht="24" customHeight="1" x14ac:dyDescent="0.35">
      <c r="A3" s="68"/>
      <c r="B3" s="69"/>
      <c r="C3" s="69"/>
      <c r="D3" s="69"/>
      <c r="E3" s="69"/>
      <c r="F3" s="69"/>
      <c r="G3" s="434"/>
      <c r="H3" s="435"/>
      <c r="I3" s="96" t="s">
        <v>2546</v>
      </c>
      <c r="J3" s="11"/>
    </row>
    <row r="4" spans="1:10" ht="23.25" customHeight="1" thickBot="1" x14ac:dyDescent="0.4">
      <c r="A4" s="516" t="s">
        <v>2698</v>
      </c>
      <c r="B4" s="516"/>
      <c r="C4" s="516"/>
      <c r="D4" s="59"/>
      <c r="E4" s="59"/>
      <c r="F4" s="57"/>
      <c r="G4" s="11"/>
      <c r="H4" s="11"/>
      <c r="I4" s="11"/>
      <c r="J4" s="11"/>
    </row>
    <row r="5" spans="1:10" ht="6" customHeight="1" x14ac:dyDescent="0.35">
      <c r="A5" s="539" t="s">
        <v>2548</v>
      </c>
      <c r="B5" s="540"/>
      <c r="C5" s="541"/>
      <c r="D5" s="59"/>
      <c r="E5" s="59"/>
      <c r="F5" s="57"/>
      <c r="G5" s="11"/>
      <c r="H5" s="11"/>
      <c r="I5" s="11"/>
      <c r="J5" s="12"/>
    </row>
    <row r="6" spans="1:10" ht="10.5" customHeight="1" x14ac:dyDescent="0.35">
      <c r="A6" s="546"/>
      <c r="B6" s="547"/>
      <c r="C6" s="548"/>
      <c r="D6" s="13">
        <v>24556798.854714327</v>
      </c>
      <c r="E6" s="57"/>
      <c r="F6" s="57"/>
      <c r="G6" s="14"/>
      <c r="H6" s="14"/>
      <c r="I6" s="14"/>
      <c r="J6" s="14"/>
    </row>
    <row r="7" spans="1:10" ht="7" customHeight="1" thickBot="1" x14ac:dyDescent="0.4">
      <c r="A7" s="54"/>
      <c r="B7" s="54"/>
      <c r="C7" s="54"/>
      <c r="D7" s="13"/>
      <c r="E7" s="57"/>
      <c r="F7" s="57"/>
      <c r="G7" s="14"/>
      <c r="H7" s="14"/>
      <c r="I7" s="14"/>
      <c r="J7" s="14"/>
    </row>
    <row r="8" spans="1:10" ht="15" customHeight="1" thickBot="1" x14ac:dyDescent="0.4">
      <c r="A8" s="74" t="s">
        <v>2699</v>
      </c>
      <c r="B8" s="75"/>
      <c r="C8" s="81">
        <f>_xlfn.IFNA(RM!D11,0)</f>
        <v>0</v>
      </c>
      <c r="D8" s="158"/>
      <c r="E8" s="57"/>
      <c r="F8" s="57"/>
      <c r="G8" s="14"/>
      <c r="H8" s="14"/>
      <c r="I8" s="14"/>
      <c r="J8" s="14"/>
    </row>
    <row r="9" spans="1:10" ht="18" customHeight="1" thickBot="1" x14ac:dyDescent="0.4">
      <c r="A9" s="532" t="s">
        <v>2363</v>
      </c>
      <c r="B9" s="542"/>
      <c r="C9" s="146">
        <f>_xlfn.IFNA(RM!C12,0)</f>
        <v>0</v>
      </c>
      <c r="D9" s="158"/>
      <c r="E9" s="57"/>
      <c r="F9" s="57"/>
      <c r="G9" s="14"/>
      <c r="H9" s="14"/>
      <c r="I9" s="14"/>
      <c r="J9" s="14"/>
    </row>
    <row r="10" spans="1:10" ht="8.25" hidden="1" customHeight="1" thickBot="1" x14ac:dyDescent="0.4">
      <c r="A10" s="54"/>
      <c r="B10" s="76"/>
      <c r="C10" s="76" t="str">
        <f>IF(B12="Vis","TARIFA 1","TARIFA 2")</f>
        <v>TARIFA 2</v>
      </c>
      <c r="D10" s="50"/>
      <c r="E10" s="12"/>
      <c r="F10" s="14"/>
      <c r="G10" s="14"/>
      <c r="H10" s="14"/>
      <c r="I10" s="14"/>
      <c r="J10" s="14"/>
    </row>
    <row r="11" spans="1:10" ht="18.5" thickBot="1" x14ac:dyDescent="0.4">
      <c r="A11" s="532" t="s">
        <v>2543</v>
      </c>
      <c r="B11" s="542"/>
      <c r="C11" s="82">
        <f>_xlfn.IFNA(RM!D24,0)</f>
        <v>0</v>
      </c>
      <c r="D11" s="50"/>
      <c r="G11" s="14"/>
      <c r="H11" s="14"/>
      <c r="I11" s="14"/>
      <c r="J11" s="14"/>
    </row>
    <row r="12" spans="1:10" ht="16" thickBot="1" x14ac:dyDescent="0.4">
      <c r="A12" s="74" t="s">
        <v>2365</v>
      </c>
      <c r="B12" s="78" t="str">
        <f>RM!D14</f>
        <v/>
      </c>
      <c r="C12" s="81">
        <f>_xlfn.IFNA(RM!D13,0)</f>
        <v>0</v>
      </c>
      <c r="D12" s="160"/>
      <c r="G12" s="27"/>
      <c r="H12" s="27"/>
      <c r="J12" s="14"/>
    </row>
    <row r="13" spans="1:10" ht="17.25" customHeight="1" thickBot="1" x14ac:dyDescent="0.4">
      <c r="A13" s="532" t="s">
        <v>2535</v>
      </c>
      <c r="B13" s="542"/>
      <c r="C13" s="81" t="str">
        <f>_xlfn.IFNA(RM!D14,0)</f>
        <v/>
      </c>
      <c r="D13" s="158"/>
      <c r="G13" s="27"/>
      <c r="H13" s="27"/>
      <c r="I13" s="27"/>
      <c r="J13" s="14"/>
    </row>
    <row r="14" spans="1:10" ht="16" thickBot="1" x14ac:dyDescent="0.4">
      <c r="A14" s="534" t="s">
        <v>2549</v>
      </c>
      <c r="B14" s="543"/>
      <c r="C14" s="86">
        <f>_xlfn.IFNA(RM!D23,0)</f>
        <v>0</v>
      </c>
      <c r="D14" s="183" t="str">
        <f>IF(C14="Asalariado","Asalariados","Independiente-Pensionado")</f>
        <v>Independiente-Pensionado</v>
      </c>
      <c r="F14" s="84"/>
      <c r="G14" s="27"/>
      <c r="H14" s="27"/>
      <c r="I14" s="27"/>
      <c r="J14" s="14" t="str">
        <f>IF(C13="NO VIS"," ","Mi Casa Ya")</f>
        <v>Mi Casa Ya</v>
      </c>
    </row>
    <row r="15" spans="1:10" ht="16.5" customHeight="1" thickBot="1" x14ac:dyDescent="0.4">
      <c r="A15" s="529" t="s">
        <v>2551</v>
      </c>
      <c r="B15" s="544"/>
      <c r="C15" s="76">
        <f>IF(D15&gt;=RM!D18,RM!D18,Remodelacion!D15)</f>
        <v>0</v>
      </c>
      <c r="D15" s="185">
        <f>C12*50%</f>
        <v>0</v>
      </c>
      <c r="E15" s="84"/>
      <c r="F15" s="84"/>
      <c r="G15" s="27"/>
      <c r="H15" s="27"/>
      <c r="I15" s="27"/>
      <c r="J15" s="14" t="str">
        <f>IF(C13="VIS"," "," ")</f>
        <v xml:space="preserve"> </v>
      </c>
    </row>
    <row r="16" spans="1:10" ht="16.5" hidden="1" customHeight="1" thickBot="1" x14ac:dyDescent="0.4">
      <c r="A16" s="105" t="s">
        <v>2553</v>
      </c>
      <c r="B16" s="80" t="str">
        <f>IFERROR(C16/C12,"")</f>
        <v/>
      </c>
      <c r="C16" s="76">
        <f>C12-C15</f>
        <v>0</v>
      </c>
      <c r="D16" s="84"/>
      <c r="E16" s="77"/>
      <c r="F16" s="77"/>
      <c r="G16" s="28"/>
      <c r="H16" s="28"/>
      <c r="I16" s="28"/>
      <c r="J16" s="2" t="str">
        <f>IF(C13="VIS"," "," ")</f>
        <v xml:space="preserve"> </v>
      </c>
    </row>
    <row r="17" spans="1:12" ht="16.5" customHeight="1" thickBot="1" x14ac:dyDescent="0.4">
      <c r="A17" s="534" t="str">
        <f>IF(RM!H11="No","Tasa Inteligente","Tasa Especial")</f>
        <v>Tasa Inteligente</v>
      </c>
      <c r="B17" s="576"/>
      <c r="C17" s="85" t="str">
        <f>IF(RM!H11="No",_xlfn.IFNA(RM!H18,0),RM!H12)</f>
        <v/>
      </c>
      <c r="D17" s="84"/>
      <c r="E17" s="184" t="e">
        <f>NOMINAL((C17),12)/12</f>
        <v>#VALUE!</v>
      </c>
      <c r="F17" s="77"/>
      <c r="G17" s="28"/>
      <c r="H17" s="28"/>
      <c r="I17" s="28"/>
    </row>
    <row r="18" spans="1:12" ht="16" thickBot="1" x14ac:dyDescent="0.4">
      <c r="A18" s="534" t="s">
        <v>2536</v>
      </c>
      <c r="B18" s="535"/>
      <c r="C18" s="89">
        <f>_xlfn.IFNA(RM!D19,0)</f>
        <v>0</v>
      </c>
      <c r="D18" s="161"/>
      <c r="E18" s="83"/>
      <c r="F18" s="83"/>
      <c r="G18" s="11"/>
      <c r="H18" s="11"/>
      <c r="I18" s="11"/>
    </row>
    <row r="19" spans="1:12" ht="16.5" customHeight="1" thickBot="1" x14ac:dyDescent="0.4">
      <c r="A19" s="83"/>
      <c r="B19" s="83"/>
      <c r="C19" s="83"/>
      <c r="D19" s="77"/>
      <c r="E19" s="83"/>
      <c r="F19" s="118"/>
      <c r="H19" s="11"/>
      <c r="I19" s="11"/>
    </row>
    <row r="20" spans="1:12" ht="16.5" customHeight="1" x14ac:dyDescent="0.35">
      <c r="A20" s="539" t="s">
        <v>2558</v>
      </c>
      <c r="B20" s="540"/>
      <c r="C20" s="541"/>
      <c r="D20" s="162"/>
      <c r="E20" s="611" t="s">
        <v>2561</v>
      </c>
      <c r="F20" s="73"/>
      <c r="G20" s="172"/>
      <c r="H20" s="172"/>
      <c r="I20" s="172"/>
      <c r="J20" s="2" t="s">
        <v>2559</v>
      </c>
    </row>
    <row r="21" spans="1:12" s="83" customFormat="1" ht="6" hidden="1" customHeight="1" x14ac:dyDescent="0.35">
      <c r="C21" s="88" t="e">
        <f>IF(#REF!="Mi Casa Ya","si","no")</f>
        <v>#REF!</v>
      </c>
      <c r="D21" s="162"/>
      <c r="E21" s="611"/>
      <c r="F21" s="2"/>
      <c r="G21" s="172"/>
      <c r="H21" s="172"/>
      <c r="I21" s="172"/>
    </row>
    <row r="22" spans="1:12" s="83" customFormat="1" ht="16" thickBot="1" x14ac:dyDescent="0.4">
      <c r="A22" s="552" t="s">
        <v>2560</v>
      </c>
      <c r="B22" s="553"/>
      <c r="C22" s="44"/>
      <c r="D22" s="163" t="str" cm="1">
        <f t="array" ref="D22">IFERROR(_xlfn.IFS(AND(B12="NO VIS",#REF!="MI CASA YA"),"Programa NO corresponde",AND(B12="VIS",#REF!="FRECH NO VIS"),"Programa NO corresponde",AND(B12="VIS",#REF!="ECOBERTURA"),"Programa NO corresponde"),"")</f>
        <v/>
      </c>
      <c r="E22" s="612"/>
      <c r="F22" s="2"/>
      <c r="G22" s="172"/>
      <c r="H22" s="172"/>
      <c r="I22" s="172"/>
    </row>
    <row r="23" spans="1:12" ht="15.5" x14ac:dyDescent="0.35">
      <c r="A23" s="556" t="s">
        <v>2562</v>
      </c>
      <c r="B23" s="557"/>
      <c r="C23" s="44"/>
      <c r="D23" s="164"/>
      <c r="E23" s="558">
        <f>COUNT(C22,C23,C24,C25)</f>
        <v>0</v>
      </c>
      <c r="G23" s="172"/>
      <c r="H23" s="172"/>
      <c r="I23" s="172"/>
      <c r="J23" s="12"/>
      <c r="K23" s="2" t="s">
        <v>2563</v>
      </c>
      <c r="L23" s="2" t="s">
        <v>2563</v>
      </c>
    </row>
    <row r="24" spans="1:12" ht="16" thickBot="1" x14ac:dyDescent="0.4">
      <c r="A24" s="556" t="s">
        <v>2564</v>
      </c>
      <c r="B24" s="557"/>
      <c r="C24" s="44"/>
      <c r="D24" s="49"/>
      <c r="E24" s="559"/>
      <c r="G24" s="172"/>
      <c r="H24" s="172"/>
      <c r="I24" s="172"/>
      <c r="J24" s="11"/>
      <c r="K24" s="2" t="s">
        <v>2565</v>
      </c>
      <c r="L24" s="2" t="s">
        <v>2566</v>
      </c>
    </row>
    <row r="25" spans="1:12" ht="15.5" x14ac:dyDescent="0.35">
      <c r="A25" s="556" t="s">
        <v>2567</v>
      </c>
      <c r="B25" s="557"/>
      <c r="C25" s="44"/>
      <c r="D25" s="165"/>
      <c r="G25" s="172"/>
      <c r="H25" s="172"/>
      <c r="I25" s="172"/>
      <c r="J25" s="11"/>
      <c r="K25" s="2" t="s">
        <v>2568</v>
      </c>
      <c r="L25" s="2" t="s">
        <v>2569</v>
      </c>
    </row>
    <row r="26" spans="1:12" ht="15.5" x14ac:dyDescent="0.35">
      <c r="A26" s="583" t="str">
        <f>IF(C22="","",IF(AND($B$12="NO VIS",$C$22&gt;47),"","¿Cliente desea adquirir el combo Protección Vida y Hogar?"))</f>
        <v/>
      </c>
      <c r="B26" s="583"/>
      <c r="C26" s="243"/>
      <c r="D26" s="16" t="str">
        <f>IF(AND(A26="¿Cliente desea adquirir el combo Protección Vida y Hogar?",C26="Si"),"Si","No")</f>
        <v>No</v>
      </c>
      <c r="E26" s="244"/>
      <c r="G26" s="172"/>
      <c r="H26" s="172"/>
      <c r="I26" s="172"/>
      <c r="J26" s="11"/>
      <c r="K26" s="2" t="s">
        <v>2577</v>
      </c>
      <c r="L26" s="2" t="s">
        <v>2578</v>
      </c>
    </row>
    <row r="27" spans="1:12" ht="15" customHeight="1" thickBot="1" x14ac:dyDescent="0.4">
      <c r="A27" s="23"/>
      <c r="B27" s="23"/>
      <c r="C27" s="23"/>
      <c r="D27" s="159"/>
      <c r="G27" s="172"/>
      <c r="H27" s="172"/>
      <c r="I27" s="172"/>
      <c r="J27" s="11"/>
      <c r="K27" s="2" t="s">
        <v>2570</v>
      </c>
      <c r="L27" s="2" t="s">
        <v>2571</v>
      </c>
    </row>
    <row r="28" spans="1:12" ht="15.65" customHeight="1" x14ac:dyDescent="0.35">
      <c r="A28" s="539" t="s">
        <v>2572</v>
      </c>
      <c r="B28" s="540"/>
      <c r="C28" s="541"/>
      <c r="D28" s="159"/>
      <c r="E28" s="561" t="s">
        <v>2580</v>
      </c>
      <c r="F28" s="563">
        <f>(C32-C29-C30)/30%</f>
        <v>0</v>
      </c>
      <c r="G28" s="172"/>
      <c r="H28" s="172"/>
      <c r="I28" s="172"/>
      <c r="J28" s="11"/>
      <c r="K28" s="2" t="s">
        <v>2573</v>
      </c>
      <c r="L28" s="2" t="s">
        <v>2574</v>
      </c>
    </row>
    <row r="29" spans="1:12" ht="17.25" customHeight="1" thickBot="1" x14ac:dyDescent="0.4">
      <c r="A29" s="560" t="s">
        <v>2579</v>
      </c>
      <c r="B29" s="560"/>
      <c r="C29" s="24">
        <f>'Plan de pagos RM'!J18</f>
        <v>0</v>
      </c>
      <c r="D29" s="50"/>
      <c r="E29" s="562"/>
      <c r="F29" s="564"/>
      <c r="G29" s="172"/>
      <c r="H29" s="172"/>
      <c r="I29" s="172"/>
      <c r="J29" s="11"/>
      <c r="K29" s="2" t="s">
        <v>2577</v>
      </c>
      <c r="L29" s="2" t="s">
        <v>2578</v>
      </c>
    </row>
    <row r="30" spans="1:12" ht="16.5" customHeight="1" x14ac:dyDescent="0.35">
      <c r="A30" s="560" t="s">
        <v>2583</v>
      </c>
      <c r="B30" s="560"/>
      <c r="C30" s="24">
        <f>'Plan de pagos RM'!$K$18</f>
        <v>0</v>
      </c>
      <c r="D30" s="51"/>
      <c r="E30" s="1"/>
      <c r="F30" s="1"/>
      <c r="G30" s="172"/>
      <c r="H30" s="172"/>
      <c r="I30" s="172"/>
      <c r="J30" s="11"/>
      <c r="K30" s="2" t="s">
        <v>2581</v>
      </c>
      <c r="L30" s="2" t="s">
        <v>2582</v>
      </c>
    </row>
    <row r="31" spans="1:12" ht="16" thickBot="1" x14ac:dyDescent="0.4">
      <c r="A31" s="560" t="s">
        <v>2630</v>
      </c>
      <c r="B31" s="560"/>
      <c r="C31" s="25">
        <f>IFERROR(PMT($E$17,$C$18,-$C$15),0)</f>
        <v>0</v>
      </c>
      <c r="D31" s="51"/>
      <c r="E31" s="116"/>
      <c r="F31" s="43"/>
      <c r="G31" s="23"/>
      <c r="H31" s="23"/>
      <c r="I31" s="23"/>
      <c r="J31" s="11"/>
      <c r="K31" s="2" t="s">
        <v>2584</v>
      </c>
      <c r="L31" s="2" t="s">
        <v>2584</v>
      </c>
    </row>
    <row r="32" spans="1:12" ht="18" customHeight="1" thickBot="1" x14ac:dyDescent="0.4">
      <c r="A32" s="549" t="s">
        <v>2700</v>
      </c>
      <c r="B32" s="550"/>
      <c r="C32" s="53">
        <f>IFERROR(SUM(C29:C31),0)</f>
        <v>0</v>
      </c>
      <c r="D32" s="159"/>
      <c r="E32" s="19"/>
      <c r="F32" s="1"/>
      <c r="G32" s="11"/>
      <c r="H32" s="11"/>
      <c r="I32" s="11"/>
      <c r="J32" s="11"/>
      <c r="K32" s="2" t="s">
        <v>2586</v>
      </c>
      <c r="L32" s="2" t="s">
        <v>2586</v>
      </c>
    </row>
    <row r="33" spans="1:12" ht="17.25" customHeight="1" thickBot="1" x14ac:dyDescent="0.4">
      <c r="D33" s="17"/>
      <c r="E33" s="166"/>
      <c r="F33" s="20"/>
      <c r="G33" s="1"/>
      <c r="H33" s="1"/>
      <c r="I33" s="1"/>
      <c r="J33" s="11" t="s">
        <v>52</v>
      </c>
      <c r="K33" s="2" t="s">
        <v>2587</v>
      </c>
      <c r="L33" s="2" t="s">
        <v>2587</v>
      </c>
    </row>
    <row r="34" spans="1:12" ht="15.75" customHeight="1" x14ac:dyDescent="0.35">
      <c r="A34" s="539" t="s">
        <v>2631</v>
      </c>
      <c r="B34" s="540"/>
      <c r="C34" s="541"/>
      <c r="D34" s="17"/>
      <c r="E34" s="142"/>
      <c r="F34" s="20"/>
      <c r="H34" s="29"/>
      <c r="I34" s="29"/>
      <c r="J34" s="11" t="s">
        <v>61</v>
      </c>
      <c r="K34" s="2" t="s">
        <v>2632</v>
      </c>
      <c r="L34" s="2" t="s">
        <v>2632</v>
      </c>
    </row>
    <row r="35" spans="1:12" ht="15.75" customHeight="1" x14ac:dyDescent="0.35">
      <c r="A35" s="560" t="s">
        <v>2633</v>
      </c>
      <c r="B35" s="560"/>
      <c r="C35" s="44"/>
      <c r="D35" s="18"/>
      <c r="E35" s="167"/>
      <c r="F35" s="22"/>
      <c r="G35" s="30"/>
      <c r="H35" s="30"/>
      <c r="I35" s="30"/>
      <c r="J35" s="11"/>
      <c r="K35" s="2" t="s">
        <v>2634</v>
      </c>
      <c r="L35" s="2" t="s">
        <v>2634</v>
      </c>
    </row>
    <row r="36" spans="1:12" ht="25" customHeight="1" x14ac:dyDescent="0.35">
      <c r="A36" s="560" t="s">
        <v>2635</v>
      </c>
      <c r="B36" s="560"/>
      <c r="C36" s="157"/>
      <c r="D36" s="166"/>
      <c r="G36" s="31"/>
      <c r="H36" s="31"/>
      <c r="I36" s="31"/>
      <c r="J36" s="11"/>
    </row>
    <row r="37" spans="1:12" ht="17.25" customHeight="1" x14ac:dyDescent="0.35">
      <c r="A37" s="560" t="s">
        <v>2636</v>
      </c>
      <c r="B37" s="560"/>
      <c r="C37" s="44"/>
      <c r="D37" s="186" t="str">
        <f>C36&amp;C37&amp;D14</f>
        <v>Independiente-Pensionado</v>
      </c>
      <c r="G37" s="31"/>
      <c r="H37" s="31"/>
      <c r="I37" s="31"/>
      <c r="J37" s="11">
        <v>1</v>
      </c>
    </row>
    <row r="38" spans="1:12" ht="17.149999999999999" customHeight="1" thickBot="1" x14ac:dyDescent="0.4">
      <c r="A38" s="560" t="s">
        <v>2637</v>
      </c>
      <c r="B38" s="560"/>
      <c r="C38" s="24">
        <f>_xlfn.IFNA(VLOOKUP(D37,Oferta_Seguros!F:G,2,FALSE),0)</f>
        <v>0</v>
      </c>
      <c r="D38" s="21"/>
      <c r="G38" s="32"/>
      <c r="H38" s="32"/>
      <c r="I38" s="32"/>
      <c r="J38" s="11">
        <v>2</v>
      </c>
    </row>
    <row r="39" spans="1:12" ht="15" customHeight="1" thickBot="1" x14ac:dyDescent="0.4">
      <c r="A39" s="560" t="s">
        <v>2638</v>
      </c>
      <c r="B39" s="560"/>
      <c r="C39" s="168">
        <f>$C$32+$C$38</f>
        <v>0</v>
      </c>
      <c r="G39" s="31"/>
      <c r="H39" s="31"/>
      <c r="I39" s="31"/>
      <c r="J39" s="11">
        <v>3</v>
      </c>
    </row>
    <row r="40" spans="1:12" ht="15" customHeight="1" x14ac:dyDescent="0.35">
      <c r="G40" s="33"/>
      <c r="H40" s="33"/>
      <c r="I40" s="33"/>
      <c r="J40" s="2">
        <v>4</v>
      </c>
    </row>
    <row r="41" spans="1:12" ht="15" customHeight="1" x14ac:dyDescent="0.35">
      <c r="E41" s="58"/>
      <c r="F41" s="57"/>
      <c r="G41" s="33"/>
      <c r="H41" s="33"/>
      <c r="I41" s="33"/>
    </row>
    <row r="42" spans="1:12" ht="15" customHeight="1" x14ac:dyDescent="0.35">
      <c r="G42" s="33"/>
      <c r="H42" s="33"/>
      <c r="I42" s="33"/>
    </row>
    <row r="43" spans="1:12" ht="15" customHeight="1" x14ac:dyDescent="0.35">
      <c r="G43" s="33"/>
      <c r="H43" s="33"/>
      <c r="I43" s="33"/>
    </row>
    <row r="44" spans="1:12" ht="15" customHeight="1" x14ac:dyDescent="0.35">
      <c r="D44" s="58"/>
      <c r="G44" s="33"/>
      <c r="H44" s="33"/>
      <c r="I44" s="33"/>
    </row>
    <row r="45" spans="1:12" ht="15" customHeight="1" x14ac:dyDescent="0.35">
      <c r="G45" s="33"/>
      <c r="H45" s="33"/>
      <c r="I45" s="33"/>
    </row>
  </sheetData>
  <sheetProtection algorithmName="SHA-512" hashValue="2HdqA8MiFH2WybsI6/cNJ91eb9pgq9jMayA6lf7gKYD2YK4DawN6Lj4QaS4lgZlVqHnBq1vARZ1RxNt+jGTZdQ==" saltValue="jt7NRBtJUpUZXbcmetRiLA==" spinCount="100000" sheet="1" objects="1" scenarios="1"/>
  <mergeCells count="32">
    <mergeCell ref="A13:B13"/>
    <mergeCell ref="A14:B14"/>
    <mergeCell ref="A15:B15"/>
    <mergeCell ref="A17:B17"/>
    <mergeCell ref="A18:B18"/>
    <mergeCell ref="A11:B11"/>
    <mergeCell ref="G1:H3"/>
    <mergeCell ref="D2:F2"/>
    <mergeCell ref="A4:C4"/>
    <mergeCell ref="A5:C6"/>
    <mergeCell ref="A9:B9"/>
    <mergeCell ref="A25:B25"/>
    <mergeCell ref="E20:E22"/>
    <mergeCell ref="A20:C20"/>
    <mergeCell ref="A39:B39"/>
    <mergeCell ref="A29:B29"/>
    <mergeCell ref="E28:E29"/>
    <mergeCell ref="A34:C34"/>
    <mergeCell ref="A35:B35"/>
    <mergeCell ref="A36:B36"/>
    <mergeCell ref="A37:B37"/>
    <mergeCell ref="A38:B38"/>
    <mergeCell ref="A26:B26"/>
    <mergeCell ref="A22:B22"/>
    <mergeCell ref="A23:B23"/>
    <mergeCell ref="A24:B24"/>
    <mergeCell ref="E23:E24"/>
    <mergeCell ref="F28:F29"/>
    <mergeCell ref="A30:B30"/>
    <mergeCell ref="A31:B31"/>
    <mergeCell ref="A32:B32"/>
    <mergeCell ref="A28:C28"/>
  </mergeCells>
  <conditionalFormatting sqref="G20:I30">
    <cfRule type="containsText" dxfId="27" priority="1" operator="containsText" text="Los subsidios otorgados por el Gobierno Nacional aplican unicamente al momento del desembolso, conforme el cliente cumpla con los requisitos para acceder al programa seleccionado y haya existencia de cupos. El valor descontado por este beneficio en este s">
      <formula>NOT(ISERROR(SEARCH("Los subsidios otorgados por el Gobierno Nacional aplican unicamente al momento del desembolso, conforme el cliente cumpla con los requisitos para acceder al programa seleccionado y haya existencia de cupos. El valor descontado por este beneficio en este s",G20)))</formula>
    </cfRule>
  </conditionalFormatting>
  <dataValidations count="6">
    <dataValidation type="list" allowBlank="1" showInputMessage="1" showErrorMessage="1" sqref="C35" xr:uid="{919C551E-B2C0-4A6E-A4C5-8F59451592FF}">
      <formula1>$J$33:$J$34</formula1>
    </dataValidation>
    <dataValidation type="whole" allowBlank="1" showInputMessage="1" showErrorMessage="1" errorTitle="Edad NO correponde" error="La edad ingresada no aplica por política de crédito" sqref="C23" xr:uid="{895E4970-9A41-4974-B686-D51FDB26B07A}">
      <formula1>18</formula1>
      <formula2>70</formula2>
    </dataValidation>
    <dataValidation type="whole" allowBlank="1" showInputMessage="1" showErrorMessage="1" errorTitle="Edad NO corresponde" error="La edad ingresada no aplica por política de crédito" sqref="C22 C24:C25" xr:uid="{8CE90F3E-DEA1-4C67-8132-AA2D591D564D}">
      <formula1>18</formula1>
      <formula2>70</formula2>
    </dataValidation>
    <dataValidation type="list" allowBlank="1" showInputMessage="1" showErrorMessage="1" sqref="C37" xr:uid="{152F9C54-FF4F-4E71-9AC0-7DDE42CB5E40}">
      <formula1>IF($C$35="Si",$J$37:$J$40,$J$36)</formula1>
    </dataValidation>
    <dataValidation type="list" allowBlank="1" showInputMessage="1" showErrorMessage="1" sqref="C36" xr:uid="{CD1296AF-E0B9-4FCF-B2F0-B9C838924134}">
      <formula1>IF($C$35="No",$K$23,IF(AND($C$35="Si",$D$14="Asalariados"),$K$24:$K$35,$L$24:$L$35))</formula1>
    </dataValidation>
    <dataValidation type="list" allowBlank="1" showInputMessage="1" showErrorMessage="1" errorTitle="Valor Errado" sqref="C26" xr:uid="{9CCBFBDF-D021-4FB1-B91F-81A3E209F0A8}">
      <formula1>IF(A26="",$J$32,$J$33:$J$34)</formula1>
    </dataValidation>
  </dataValidation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DAE9F-CB43-484D-B0F3-5505390BD2D6}">
  <sheetPr codeName="Hoja20">
    <pageSetUpPr fitToPage="1"/>
  </sheetPr>
  <dimension ref="A1:XFA377"/>
  <sheetViews>
    <sheetView showGridLines="0" view="pageBreakPreview" zoomScale="70" zoomScaleNormal="70" zoomScaleSheetLayoutView="70" workbookViewId="0">
      <pane ySplit="16" topLeftCell="A17" activePane="bottomLeft" state="frozen"/>
      <selection activeCell="B24" sqref="B24"/>
      <selection pane="bottomLeft" activeCell="B24" sqref="B24"/>
    </sheetView>
  </sheetViews>
  <sheetFormatPr baseColWidth="10" defaultColWidth="0" defaultRowHeight="15" customHeight="1" x14ac:dyDescent="0.35"/>
  <cols>
    <col min="1" max="1" width="3" style="2" customWidth="1"/>
    <col min="2" max="2" width="11.453125" style="2" customWidth="1"/>
    <col min="3" max="3" width="16.7265625" style="2" bestFit="1" customWidth="1"/>
    <col min="4" max="5" width="13.81640625" style="2" bestFit="1" customWidth="1"/>
    <col min="6" max="6" width="15.7265625" style="2" hidden="1" customWidth="1"/>
    <col min="7" max="9" width="12.54296875" style="2" hidden="1" customWidth="1"/>
    <col min="10" max="10" width="14.7265625" style="2" bestFit="1" customWidth="1"/>
    <col min="11" max="11" width="12.81640625" style="2" bestFit="1" customWidth="1"/>
    <col min="12" max="12" width="13.81640625" style="2" bestFit="1" customWidth="1"/>
    <col min="13" max="13" width="15" style="2" bestFit="1" customWidth="1"/>
    <col min="14" max="14" width="15.81640625" style="2" bestFit="1" customWidth="1"/>
    <col min="15" max="15" width="13.81640625" style="2" bestFit="1" customWidth="1"/>
    <col min="16" max="16" width="5.1796875" style="2" customWidth="1"/>
    <col min="17" max="17" width="11.453125" style="2" hidden="1"/>
    <col min="18" max="23" width="3.7265625" style="2" hidden="1"/>
    <col min="24" max="24" width="11.453125" style="2" hidden="1"/>
    <col min="25" max="16381" width="3.7265625" style="2" hidden="1"/>
    <col min="16382" max="16384" width="2.81640625" style="2" hidden="1"/>
  </cols>
  <sheetData>
    <row r="1" spans="1:16" ht="15" customHeight="1" x14ac:dyDescent="0.35">
      <c r="A1" s="60"/>
      <c r="B1" s="61"/>
      <c r="C1" s="61"/>
      <c r="D1" s="61"/>
      <c r="E1" s="61"/>
      <c r="F1" s="61"/>
      <c r="G1" s="61"/>
      <c r="H1" s="61"/>
      <c r="I1" s="61"/>
      <c r="J1" s="61"/>
      <c r="K1" s="61"/>
      <c r="L1" s="61"/>
      <c r="M1" s="61"/>
      <c r="N1" s="430" t="str">
        <f>Pantalla_Inicio!J1</f>
        <v>Código: PCV_FOR_006
Versión: V02
Fecha de actualización: 04/05/2026</v>
      </c>
      <c r="O1" s="431"/>
    </row>
    <row r="2" spans="1:16" ht="21.75" customHeight="1" x14ac:dyDescent="0.35">
      <c r="A2" s="63"/>
      <c r="E2" s="565" t="s">
        <v>2701</v>
      </c>
      <c r="F2" s="565"/>
      <c r="G2" s="565"/>
      <c r="H2" s="565"/>
      <c r="I2" s="565"/>
      <c r="J2" s="565"/>
      <c r="K2" s="565"/>
      <c r="L2" s="565"/>
      <c r="M2" s="140"/>
      <c r="N2" s="432"/>
      <c r="O2" s="433"/>
    </row>
    <row r="3" spans="1:16" ht="16.5" customHeight="1" x14ac:dyDescent="0.35">
      <c r="A3" s="63"/>
      <c r="E3" s="565"/>
      <c r="F3" s="565"/>
      <c r="G3" s="565"/>
      <c r="H3" s="565"/>
      <c r="I3" s="565"/>
      <c r="J3" s="565"/>
      <c r="K3" s="565"/>
      <c r="L3" s="565"/>
      <c r="M3" s="140"/>
      <c r="N3" s="432"/>
      <c r="O3" s="433"/>
    </row>
    <row r="4" spans="1:16" ht="15.75" customHeight="1" x14ac:dyDescent="0.45">
      <c r="A4" s="64"/>
      <c r="B4" s="97" t="s">
        <v>2589</v>
      </c>
      <c r="C4" s="65"/>
      <c r="D4" s="65"/>
      <c r="E4" s="66"/>
      <c r="F4" s="66"/>
      <c r="G4" s="66"/>
      <c r="H4" s="66"/>
      <c r="I4" s="66"/>
      <c r="J4" s="66"/>
      <c r="K4" s="66"/>
      <c r="L4" s="66"/>
      <c r="M4" s="66"/>
      <c r="N4" s="434"/>
      <c r="O4" s="435"/>
    </row>
    <row r="5" spans="1:16" ht="18" customHeight="1" x14ac:dyDescent="0.35">
      <c r="B5" s="570" t="s">
        <v>2646</v>
      </c>
      <c r="C5" s="570"/>
      <c r="D5" s="570"/>
      <c r="E5" s="570"/>
      <c r="F5" s="570"/>
      <c r="G5" s="570"/>
      <c r="H5" s="570"/>
      <c r="I5" s="570"/>
      <c r="J5" s="570"/>
      <c r="K5" s="570"/>
      <c r="L5" s="570"/>
      <c r="M5" s="570"/>
      <c r="N5" s="570"/>
      <c r="O5" s="570"/>
      <c r="P5" s="139"/>
    </row>
    <row r="6" spans="1:16" ht="18" customHeight="1" x14ac:dyDescent="0.35">
      <c r="B6" s="571"/>
      <c r="C6" s="571"/>
      <c r="D6" s="571"/>
      <c r="E6" s="571"/>
      <c r="F6" s="571"/>
      <c r="G6" s="571"/>
      <c r="H6" s="571"/>
      <c r="I6" s="571"/>
      <c r="J6" s="571"/>
      <c r="K6" s="571"/>
      <c r="L6" s="571"/>
      <c r="M6" s="571"/>
      <c r="N6" s="571"/>
      <c r="O6" s="571"/>
      <c r="P6" s="139"/>
    </row>
    <row r="7" spans="1:16" ht="21.65" customHeight="1" x14ac:dyDescent="0.35">
      <c r="B7" s="571"/>
      <c r="C7" s="571"/>
      <c r="D7" s="571"/>
      <c r="E7" s="571"/>
      <c r="F7" s="571"/>
      <c r="G7" s="571"/>
      <c r="H7" s="571"/>
      <c r="I7" s="571"/>
      <c r="J7" s="571"/>
      <c r="K7" s="571"/>
      <c r="L7" s="571"/>
      <c r="M7" s="571"/>
      <c r="N7" s="571"/>
      <c r="O7" s="571"/>
      <c r="P7" s="139"/>
    </row>
    <row r="8" spans="1:16" ht="18.649999999999999" customHeight="1" x14ac:dyDescent="0.35">
      <c r="B8" s="571"/>
      <c r="C8" s="571"/>
      <c r="D8" s="571"/>
      <c r="E8" s="571"/>
      <c r="F8" s="571"/>
      <c r="G8" s="571"/>
      <c r="H8" s="571"/>
      <c r="I8" s="571"/>
      <c r="J8" s="571"/>
      <c r="K8" s="571"/>
      <c r="L8" s="571"/>
      <c r="M8" s="571"/>
      <c r="N8" s="571"/>
      <c r="O8" s="571"/>
      <c r="P8" s="139"/>
    </row>
    <row r="9" spans="1:16" ht="17.25" customHeight="1" x14ac:dyDescent="0.35">
      <c r="B9" s="571"/>
      <c r="C9" s="571"/>
      <c r="D9" s="571"/>
      <c r="E9" s="571"/>
      <c r="F9" s="571"/>
      <c r="G9" s="571"/>
      <c r="H9" s="571"/>
      <c r="I9" s="571"/>
      <c r="J9" s="571"/>
      <c r="K9" s="571"/>
      <c r="L9" s="571"/>
      <c r="M9" s="571"/>
      <c r="N9" s="571"/>
      <c r="O9" s="571"/>
      <c r="P9" s="139"/>
    </row>
    <row r="10" spans="1:16" ht="21.75" customHeight="1" x14ac:dyDescent="0.35">
      <c r="B10" s="571"/>
      <c r="C10" s="571"/>
      <c r="D10" s="571"/>
      <c r="E10" s="571"/>
      <c r="F10" s="571"/>
      <c r="G10" s="571"/>
      <c r="H10" s="571"/>
      <c r="I10" s="571"/>
      <c r="J10" s="571"/>
      <c r="K10" s="571"/>
      <c r="L10" s="571"/>
      <c r="M10" s="571"/>
      <c r="N10" s="571"/>
      <c r="O10" s="571"/>
      <c r="P10" s="139"/>
    </row>
    <row r="11" spans="1:16" ht="21.75" customHeight="1" x14ac:dyDescent="0.35">
      <c r="B11" s="571"/>
      <c r="C11" s="571"/>
      <c r="D11" s="571"/>
      <c r="E11" s="571"/>
      <c r="F11" s="571"/>
      <c r="G11" s="571"/>
      <c r="H11" s="571"/>
      <c r="I11" s="571"/>
      <c r="J11" s="571"/>
      <c r="K11" s="571"/>
      <c r="L11" s="571"/>
      <c r="M11" s="571"/>
      <c r="N11" s="571"/>
      <c r="O11" s="571"/>
      <c r="P11" s="139"/>
    </row>
    <row r="12" spans="1:16" ht="21.75" customHeight="1" x14ac:dyDescent="0.35">
      <c r="B12" s="571" t="s">
        <v>2647</v>
      </c>
      <c r="C12" s="571"/>
      <c r="D12" s="571"/>
      <c r="E12" s="571"/>
      <c r="F12" s="571"/>
      <c r="G12" s="571"/>
      <c r="H12" s="571"/>
      <c r="I12" s="571"/>
      <c r="J12" s="571"/>
      <c r="K12" s="571"/>
      <c r="L12" s="571"/>
      <c r="M12" s="571"/>
      <c r="N12" s="571"/>
      <c r="O12" s="571"/>
      <c r="P12" s="139"/>
    </row>
    <row r="13" spans="1:16" ht="21" customHeight="1" x14ac:dyDescent="0.35">
      <c r="B13" s="571"/>
      <c r="C13" s="571"/>
      <c r="D13" s="571"/>
      <c r="E13" s="571"/>
      <c r="F13" s="571"/>
      <c r="G13" s="571"/>
      <c r="H13" s="571"/>
      <c r="I13" s="571"/>
      <c r="J13" s="571"/>
      <c r="K13" s="571"/>
      <c r="L13" s="571"/>
      <c r="M13" s="571"/>
      <c r="N13" s="571"/>
      <c r="O13" s="571"/>
      <c r="P13" s="139"/>
    </row>
    <row r="14" spans="1:16" ht="19.5" customHeight="1" x14ac:dyDescent="0.35">
      <c r="B14" s="571" t="s">
        <v>2696</v>
      </c>
      <c r="C14" s="571"/>
      <c r="D14" s="571"/>
      <c r="E14" s="339" t="s">
        <v>2592</v>
      </c>
      <c r="F14" s="340">
        <f>SUM(P18:P377)</f>
        <v>0</v>
      </c>
      <c r="G14" s="341"/>
      <c r="H14" s="341"/>
      <c r="I14" s="341"/>
      <c r="J14" s="342" t="e">
        <f>SUM(O18:O257)</f>
        <v>#VALUE!</v>
      </c>
      <c r="K14" s="339" t="s">
        <v>2593</v>
      </c>
      <c r="L14" s="343" t="e">
        <f>EFFECT((IRR(O17:O257,0))*12,12)</f>
        <v>#VALUE!</v>
      </c>
      <c r="M14" s="139"/>
      <c r="N14" s="139"/>
      <c r="O14" s="139"/>
      <c r="P14" s="139"/>
    </row>
    <row r="15" spans="1:16" ht="8.25" customHeight="1" x14ac:dyDescent="0.35">
      <c r="B15" s="5"/>
    </row>
    <row r="16" spans="1:16" ht="58.5" customHeight="1" x14ac:dyDescent="0.35">
      <c r="B16" s="41" t="s">
        <v>2596</v>
      </c>
      <c r="C16" s="42" t="s">
        <v>2650</v>
      </c>
      <c r="D16" s="42" t="s">
        <v>2651</v>
      </c>
      <c r="E16" s="42" t="str">
        <f>IF('Crédito de Vivienda'!C22="Mi Casa Ya","Interés con Beneficio MCY", "Interés")</f>
        <v>Interés</v>
      </c>
      <c r="F16" s="42" t="s">
        <v>2600</v>
      </c>
      <c r="G16" s="42" t="s">
        <v>2601</v>
      </c>
      <c r="H16" s="42" t="s">
        <v>2602</v>
      </c>
      <c r="I16" s="42" t="s">
        <v>2603</v>
      </c>
      <c r="J16" s="42" t="s">
        <v>2604</v>
      </c>
      <c r="K16" s="42" t="s">
        <v>2605</v>
      </c>
      <c r="L16" s="42" t="s">
        <v>2661</v>
      </c>
      <c r="M16" s="42" t="s">
        <v>2662</v>
      </c>
      <c r="N16" s="42" t="s">
        <v>2631</v>
      </c>
      <c r="O16" s="42" t="s">
        <v>2663</v>
      </c>
    </row>
    <row r="17" spans="2:15" ht="15.5" x14ac:dyDescent="0.35">
      <c r="B17" s="34">
        <v>0</v>
      </c>
      <c r="C17" s="35">
        <f>Remodelacion!C15</f>
        <v>0</v>
      </c>
      <c r="D17" s="35"/>
      <c r="E17" s="7"/>
      <c r="F17" s="36"/>
      <c r="G17" s="36"/>
      <c r="H17" s="36"/>
      <c r="I17" s="36"/>
      <c r="J17" s="37"/>
      <c r="K17" s="37"/>
      <c r="L17" s="7"/>
      <c r="M17" s="38"/>
      <c r="N17" s="39"/>
      <c r="O17" s="329">
        <f>-C17</f>
        <v>0</v>
      </c>
    </row>
    <row r="18" spans="2:15" ht="15.5" x14ac:dyDescent="0.35">
      <c r="B18" s="6">
        <v>1</v>
      </c>
      <c r="C18" s="7" t="e">
        <f>C17-D18</f>
        <v>#VALUE!</v>
      </c>
      <c r="D18" s="7" t="e">
        <f>L18-E18</f>
        <v>#VALUE!</v>
      </c>
      <c r="E18" s="7" t="e">
        <f>C17*Remodelacion!$E$17</f>
        <v>#VALUE!</v>
      </c>
      <c r="F18" s="8" t="e">
        <f>+IF(Remodelacion!$D$26="Si",($C$17*(VLOOKUP(Remodelacion!$C$22,Seguros_Oblig!$A$3:$F$55,6,FALSE))),IF(Remodelacion!$C$10="TARIFA 1",(C17*(VLOOKUP(Remodelacion!$C$22,Seguros_Oblig!$A$3:$B$55,2,FALSE))),(C17*(VLOOKUP(Remodelacion!$C$22,Seguros_Oblig!$A$3:$D$55,4,FALSE)))))</f>
        <v>#N/A</v>
      </c>
      <c r="G18" s="8" t="e">
        <f>IF(Remodelacion!$C$10="TARIFA 1",(C17*(VLOOKUP(Remodelacion!$C$23,Seguros_Oblig!$A$3:$B$55,2,FALSE))),(C17*(VLOOKUP(Remodelacion!$C$23,Seguros_Oblig!$A$3:$D$55,4,FALSE))))</f>
        <v>#N/A</v>
      </c>
      <c r="H18" s="8" t="e">
        <f>IF(Remodelacion!$C$10="TARIFA 1",(C17*(VLOOKUP(Remodelacion!$C$24,Seguros_Oblig!$A$3:$B$55,2,FALSE))),(C17*(VLOOKUP(Remodelacion!$C$24,Seguros_Oblig!$A$3:$D$55,4,FALSE))))</f>
        <v>#N/A</v>
      </c>
      <c r="I18" s="8" t="e">
        <f>IF(Remodelacion!$C$10="TARIFA 1",(C17*(VLOOKUP(Remodelacion!$C$25,Seguros_Oblig!$A$3:$B$55,2,FALSE))),(C17*(VLOOKUP(Remodelacion!$C$25,Seguros_Oblig!$A$3:$D$55,4,FALSE))))</f>
        <v>#N/A</v>
      </c>
      <c r="J18" s="10">
        <f>_xlfn.AGGREGATE(9,6,F18:I18)</f>
        <v>0</v>
      </c>
      <c r="K18" s="7">
        <f>IF(RM!$D$11="Si",0,Seguros_Oblig!$K$2*Remodelacion!$C$12)</f>
        <v>0</v>
      </c>
      <c r="L18" s="7" t="e">
        <f>PMT(Remodelacion!$E$17,Remodelacion!$C$18,-Remodelacion!$C$15,,)</f>
        <v>#VALUE!</v>
      </c>
      <c r="M18" s="9" t="e">
        <f>K18+L18+J18</f>
        <v>#VALUE!</v>
      </c>
      <c r="N18" s="7">
        <f>Remodelacion!$C$38</f>
        <v>0</v>
      </c>
      <c r="O18" s="9" t="e">
        <f>M18+N18</f>
        <v>#VALUE!</v>
      </c>
    </row>
    <row r="19" spans="2:15" ht="15.5" x14ac:dyDescent="0.35">
      <c r="B19" s="6" t="e">
        <f>IF(C18&gt;1,B18+1," ")</f>
        <v>#VALUE!</v>
      </c>
      <c r="C19" s="7" t="e">
        <f t="shared" ref="C19:C82" si="0">C18-D19</f>
        <v>#VALUE!</v>
      </c>
      <c r="D19" s="7" t="e">
        <f t="shared" ref="D19:D29" si="1">L19-E19</f>
        <v>#VALUE!</v>
      </c>
      <c r="E19" s="7" t="e">
        <f>C18*Remodelacion!$E$17</f>
        <v>#VALUE!</v>
      </c>
      <c r="F19" s="8" t="e">
        <f>+IF(Remodelacion!$D$26="Si",($C$17*(VLOOKUP(Remodelacion!$C$22,Seguros_Oblig!$A$3:$F$55,6,FALSE))),IF(Remodelacion!$C$10="TARIFA 1",(C18*(VLOOKUP(Remodelacion!$C$22,Seguros_Oblig!$A$3:$B$55,2,FALSE))),(C18*(VLOOKUP(Remodelacion!$C$22,Seguros_Oblig!$A$3:$D$55,4,FALSE)))))</f>
        <v>#VALUE!</v>
      </c>
      <c r="G19" s="8" t="e">
        <f>IF(Remodelacion!$C$10="TARIFA 1",(C18*(VLOOKUP(Remodelacion!$C$23,Seguros_Oblig!$A$3:$B$55,2,FALSE))),(C18*(VLOOKUP(Remodelacion!$C$23,Seguros_Oblig!$A$3:$D$55,4,FALSE))))</f>
        <v>#VALUE!</v>
      </c>
      <c r="H19" s="8" t="e">
        <f>IF(Remodelacion!$C$10="TARIFA 1",(C18*(VLOOKUP(Remodelacion!$C$24,Seguros_Oblig!$A$3:$B$55,2,FALSE))),(C18*(VLOOKUP(Remodelacion!$C$24,Seguros_Oblig!$A$3:$D$55,4,FALSE))))</f>
        <v>#VALUE!</v>
      </c>
      <c r="I19" s="8" t="e">
        <f>IF(Remodelacion!$C$10="TARIFA 1",(C18*(VLOOKUP(Remodelacion!$C$25,Seguros_Oblig!$A$3:$B$55,2,FALSE))),(C18*(VLOOKUP(Remodelacion!$C$25,Seguros_Oblig!$A$3:$D$55,4,FALSE))))</f>
        <v>#VALUE!</v>
      </c>
      <c r="J19" s="10">
        <f t="shared" ref="J19:J82" si="2">_xlfn.AGGREGATE(9,6,F19:I19)</f>
        <v>0</v>
      </c>
      <c r="K19" s="7">
        <f>IF(RM!$D$11="Si",0,Seguros_Oblig!$K$2*Remodelacion!$C$12)</f>
        <v>0</v>
      </c>
      <c r="L19" s="7" t="e">
        <f>PMT(Remodelacion!$E$17,Remodelacion!$C$18,-Remodelacion!$C$15,,)</f>
        <v>#VALUE!</v>
      </c>
      <c r="M19" s="9" t="e">
        <f t="shared" ref="M19:M82" si="3">K19+L19+J19</f>
        <v>#VALUE!</v>
      </c>
      <c r="N19" s="7">
        <f>Remodelacion!$C$38</f>
        <v>0</v>
      </c>
      <c r="O19" s="9" t="e">
        <f t="shared" ref="O19:O82" si="4">M19+N19</f>
        <v>#VALUE!</v>
      </c>
    </row>
    <row r="20" spans="2:15" ht="15.5" x14ac:dyDescent="0.35">
      <c r="B20" s="6" t="e">
        <f>IF(C19&gt;1,B19+1,"")</f>
        <v>#VALUE!</v>
      </c>
      <c r="C20" s="7" t="e">
        <f t="shared" si="0"/>
        <v>#VALUE!</v>
      </c>
      <c r="D20" s="7" t="e">
        <f t="shared" si="1"/>
        <v>#VALUE!</v>
      </c>
      <c r="E20" s="7" t="e">
        <f>C19*Remodelacion!$E$17</f>
        <v>#VALUE!</v>
      </c>
      <c r="F20" s="8" t="e">
        <f>+IF(Remodelacion!$D$26="Si",($C$17*(VLOOKUP(Remodelacion!$C$22,Seguros_Oblig!$A$3:$F$55,6,FALSE))),IF(Remodelacion!$C$10="TARIFA 1",(C19*(VLOOKUP(Remodelacion!$C$22,Seguros_Oblig!$A$3:$B$55,2,FALSE))),(C19*(VLOOKUP(Remodelacion!$C$22,Seguros_Oblig!$A$3:$D$55,4,FALSE)))))</f>
        <v>#VALUE!</v>
      </c>
      <c r="G20" s="8" t="e">
        <f>IF(Remodelacion!$C$10="TARIFA 1",(C19*(VLOOKUP(Remodelacion!$C$23,Seguros_Oblig!$A$3:$B$55,2,FALSE))),(C19*(VLOOKUP(Remodelacion!$C$23,Seguros_Oblig!$A$3:$D$55,4,FALSE))))</f>
        <v>#VALUE!</v>
      </c>
      <c r="H20" s="8" t="e">
        <f>IF(Remodelacion!$C$10="TARIFA 1",(C19*(VLOOKUP(Remodelacion!$C$24,Seguros_Oblig!$A$3:$B$55,2,FALSE))),(C19*(VLOOKUP(Remodelacion!$C$24,Seguros_Oblig!$A$3:$D$55,4,FALSE))))</f>
        <v>#VALUE!</v>
      </c>
      <c r="I20" s="8" t="e">
        <f>IF(Remodelacion!$C$10="TARIFA 1",(C19*(VLOOKUP(Remodelacion!$C$25,Seguros_Oblig!$A$3:$B$55,2,FALSE))),(C19*(VLOOKUP(Remodelacion!$C$25,Seguros_Oblig!$A$3:$D$55,4,FALSE))))</f>
        <v>#VALUE!</v>
      </c>
      <c r="J20" s="10">
        <f t="shared" si="2"/>
        <v>0</v>
      </c>
      <c r="K20" s="7">
        <f>IF(RM!$D$11="Si",0,Seguros_Oblig!$K$2*Remodelacion!$C$12)</f>
        <v>0</v>
      </c>
      <c r="L20" s="7" t="e">
        <f>PMT(Remodelacion!$E$17,Remodelacion!$C$18,-Remodelacion!$C$15,,)</f>
        <v>#VALUE!</v>
      </c>
      <c r="M20" s="9" t="e">
        <f t="shared" si="3"/>
        <v>#VALUE!</v>
      </c>
      <c r="N20" s="7">
        <f>Remodelacion!$C$38</f>
        <v>0</v>
      </c>
      <c r="O20" s="9" t="e">
        <f t="shared" si="4"/>
        <v>#VALUE!</v>
      </c>
    </row>
    <row r="21" spans="2:15" ht="15.5" x14ac:dyDescent="0.35">
      <c r="B21" s="6" t="e">
        <f>IF(C20&gt;1,B20+1," ")</f>
        <v>#VALUE!</v>
      </c>
      <c r="C21" s="7" t="e">
        <f t="shared" si="0"/>
        <v>#VALUE!</v>
      </c>
      <c r="D21" s="7" t="e">
        <f t="shared" si="1"/>
        <v>#VALUE!</v>
      </c>
      <c r="E21" s="7" t="e">
        <f>C20*Remodelacion!$E$17</f>
        <v>#VALUE!</v>
      </c>
      <c r="F21" s="8" t="e">
        <f>+IF(Remodelacion!$D$26="Si",($C$17*(VLOOKUP(Remodelacion!$C$22,Seguros_Oblig!$A$3:$F$55,6,FALSE))),IF(Remodelacion!$C$10="TARIFA 1",(C20*(VLOOKUP(Remodelacion!$C$22,Seguros_Oblig!$A$3:$B$55,2,FALSE))),(C20*(VLOOKUP(Remodelacion!$C$22,Seguros_Oblig!$A$3:$D$55,4,FALSE)))))</f>
        <v>#VALUE!</v>
      </c>
      <c r="G21" s="8" t="e">
        <f>IF(Remodelacion!$C$10="TARIFA 1",(C20*(VLOOKUP(Remodelacion!$C$23,Seguros_Oblig!$A$3:$B$55,2,FALSE))),(C20*(VLOOKUP(Remodelacion!$C$23,Seguros_Oblig!$A$3:$D$55,4,FALSE))))</f>
        <v>#VALUE!</v>
      </c>
      <c r="H21" s="8" t="e">
        <f>IF(Remodelacion!$C$10="TARIFA 1",(C20*(VLOOKUP(Remodelacion!$C$24,Seguros_Oblig!$A$3:$B$55,2,FALSE))),(C20*(VLOOKUP(Remodelacion!$C$24,Seguros_Oblig!$A$3:$D$55,4,FALSE))))</f>
        <v>#VALUE!</v>
      </c>
      <c r="I21" s="8" t="e">
        <f>IF(Remodelacion!$C$10="TARIFA 1",(C20*(VLOOKUP(Remodelacion!$C$25,Seguros_Oblig!$A$3:$B$55,2,FALSE))),(C20*(VLOOKUP(Remodelacion!$C$25,Seguros_Oblig!$A$3:$D$55,4,FALSE))))</f>
        <v>#VALUE!</v>
      </c>
      <c r="J21" s="10">
        <f t="shared" si="2"/>
        <v>0</v>
      </c>
      <c r="K21" s="7">
        <f>IF(RM!$D$11="Si",0,Seguros_Oblig!$K$2*Remodelacion!$C$12)</f>
        <v>0</v>
      </c>
      <c r="L21" s="7" t="e">
        <f>PMT(Remodelacion!$E$17,Remodelacion!$C$18,-Remodelacion!$C$15,,)</f>
        <v>#VALUE!</v>
      </c>
      <c r="M21" s="9" t="e">
        <f t="shared" si="3"/>
        <v>#VALUE!</v>
      </c>
      <c r="N21" s="7">
        <f>Remodelacion!$C$38</f>
        <v>0</v>
      </c>
      <c r="O21" s="9" t="e">
        <f t="shared" si="4"/>
        <v>#VALUE!</v>
      </c>
    </row>
    <row r="22" spans="2:15" ht="15.5" x14ac:dyDescent="0.35">
      <c r="B22" s="6" t="e">
        <f>IF(C21&gt;1,B21+1," ")</f>
        <v>#VALUE!</v>
      </c>
      <c r="C22" s="7" t="e">
        <f t="shared" si="0"/>
        <v>#VALUE!</v>
      </c>
      <c r="D22" s="7" t="e">
        <f t="shared" si="1"/>
        <v>#VALUE!</v>
      </c>
      <c r="E22" s="7" t="e">
        <f>C21*Remodelacion!$E$17</f>
        <v>#VALUE!</v>
      </c>
      <c r="F22" s="8" t="e">
        <f>+IF(Remodelacion!$D$26="Si",($C$17*(VLOOKUP(Remodelacion!$C$22,Seguros_Oblig!$A$3:$F$55,6,FALSE))),IF(Remodelacion!$C$10="TARIFA 1",(C21*(VLOOKUP(Remodelacion!$C$22,Seguros_Oblig!$A$3:$B$55,2,FALSE))),(C21*(VLOOKUP(Remodelacion!$C$22,Seguros_Oblig!$A$3:$D$55,4,FALSE)))))</f>
        <v>#VALUE!</v>
      </c>
      <c r="G22" s="8" t="e">
        <f>IF(Remodelacion!$C$10="TARIFA 1",(C21*(VLOOKUP(Remodelacion!$C$23,Seguros_Oblig!$A$3:$B$55,2,FALSE))),(C21*(VLOOKUP(Remodelacion!$C$23,Seguros_Oblig!$A$3:$D$55,4,FALSE))))</f>
        <v>#VALUE!</v>
      </c>
      <c r="H22" s="8" t="e">
        <f>IF(Remodelacion!$C$10="TARIFA 1",(C21*(VLOOKUP(Remodelacion!$C$24,Seguros_Oblig!$A$3:$B$55,2,FALSE))),(C21*(VLOOKUP(Remodelacion!$C$24,Seguros_Oblig!$A$3:$D$55,4,FALSE))))</f>
        <v>#VALUE!</v>
      </c>
      <c r="I22" s="8" t="e">
        <f>IF(Remodelacion!$C$10="TARIFA 1",(C21*(VLOOKUP(Remodelacion!$C$25,Seguros_Oblig!$A$3:$B$55,2,FALSE))),(C21*(VLOOKUP(Remodelacion!$C$25,Seguros_Oblig!$A$3:$D$55,4,FALSE))))</f>
        <v>#VALUE!</v>
      </c>
      <c r="J22" s="10">
        <f t="shared" si="2"/>
        <v>0</v>
      </c>
      <c r="K22" s="7">
        <f>IF(RM!$D$11="Si",0,Seguros_Oblig!$K$2*Remodelacion!$C$12)</f>
        <v>0</v>
      </c>
      <c r="L22" s="7" t="e">
        <f>PMT(Remodelacion!$E$17,Remodelacion!$C$18,-Remodelacion!$C$15,,)</f>
        <v>#VALUE!</v>
      </c>
      <c r="M22" s="9" t="e">
        <f t="shared" si="3"/>
        <v>#VALUE!</v>
      </c>
      <c r="N22" s="7">
        <f>Remodelacion!$C$38</f>
        <v>0</v>
      </c>
      <c r="O22" s="9" t="e">
        <f t="shared" si="4"/>
        <v>#VALUE!</v>
      </c>
    </row>
    <row r="23" spans="2:15" ht="15.5" x14ac:dyDescent="0.35">
      <c r="B23" s="6" t="e">
        <f>IF(C22&gt;1,B22+1," ")</f>
        <v>#VALUE!</v>
      </c>
      <c r="C23" s="7" t="e">
        <f t="shared" si="0"/>
        <v>#VALUE!</v>
      </c>
      <c r="D23" s="7" t="e">
        <f t="shared" si="1"/>
        <v>#VALUE!</v>
      </c>
      <c r="E23" s="7" t="e">
        <f>C22*Remodelacion!$E$17</f>
        <v>#VALUE!</v>
      </c>
      <c r="F23" s="8" t="e">
        <f>+IF(Remodelacion!$D$26="Si",($C$17*(VLOOKUP(Remodelacion!$C$22,Seguros_Oblig!$A$3:$F$55,6,FALSE))),IF(Remodelacion!$C$10="TARIFA 1",(C22*(VLOOKUP(Remodelacion!$C$22,Seguros_Oblig!$A$3:$B$55,2,FALSE))),(C22*(VLOOKUP(Remodelacion!$C$22,Seguros_Oblig!$A$3:$D$55,4,FALSE)))))</f>
        <v>#VALUE!</v>
      </c>
      <c r="G23" s="8" t="e">
        <f>IF(Remodelacion!$C$10="TARIFA 1",(C22*(VLOOKUP(Remodelacion!$C$23,Seguros_Oblig!$A$3:$B$55,2,FALSE))),(C22*(VLOOKUP(Remodelacion!$C$23,Seguros_Oblig!$A$3:$D$55,4,FALSE))))</f>
        <v>#VALUE!</v>
      </c>
      <c r="H23" s="8" t="e">
        <f>IF(Remodelacion!$C$10="TARIFA 1",(C22*(VLOOKUP(Remodelacion!$C$24,Seguros_Oblig!$A$3:$B$55,2,FALSE))),(C22*(VLOOKUP(Remodelacion!$C$24,Seguros_Oblig!$A$3:$D$55,4,FALSE))))</f>
        <v>#VALUE!</v>
      </c>
      <c r="I23" s="8" t="e">
        <f>IF(Remodelacion!$C$10="TARIFA 1",(C22*(VLOOKUP(Remodelacion!$C$25,Seguros_Oblig!$A$3:$B$55,2,FALSE))),(C22*(VLOOKUP(Remodelacion!$C$25,Seguros_Oblig!$A$3:$D$55,4,FALSE))))</f>
        <v>#VALUE!</v>
      </c>
      <c r="J23" s="10">
        <f t="shared" si="2"/>
        <v>0</v>
      </c>
      <c r="K23" s="7">
        <f>IF(RM!$D$11="Si",0,Seguros_Oblig!$K$2*Remodelacion!$C$12)</f>
        <v>0</v>
      </c>
      <c r="L23" s="7" t="e">
        <f>PMT(Remodelacion!$E$17,Remodelacion!$C$18,-Remodelacion!$C$15,,)</f>
        <v>#VALUE!</v>
      </c>
      <c r="M23" s="9" t="e">
        <f t="shared" si="3"/>
        <v>#VALUE!</v>
      </c>
      <c r="N23" s="7">
        <f>Remodelacion!$C$38</f>
        <v>0</v>
      </c>
      <c r="O23" s="9" t="e">
        <f t="shared" si="4"/>
        <v>#VALUE!</v>
      </c>
    </row>
    <row r="24" spans="2:15" ht="15.5" x14ac:dyDescent="0.35">
      <c r="B24" s="6" t="e">
        <f t="shared" ref="B24:B87" si="5">IF(C23&gt;1,B23+1," ")</f>
        <v>#VALUE!</v>
      </c>
      <c r="C24" s="7" t="e">
        <f t="shared" si="0"/>
        <v>#VALUE!</v>
      </c>
      <c r="D24" s="7" t="e">
        <f t="shared" si="1"/>
        <v>#VALUE!</v>
      </c>
      <c r="E24" s="7" t="e">
        <f>C23*Remodelacion!$E$17</f>
        <v>#VALUE!</v>
      </c>
      <c r="F24" s="8" t="e">
        <f>+IF(Remodelacion!$D$26="Si",($C$17*(VLOOKUP(Remodelacion!$C$22,Seguros_Oblig!$A$3:$F$55,6,FALSE))),IF(Remodelacion!$C$10="TARIFA 1",(C23*(VLOOKUP(Remodelacion!$C$22,Seguros_Oblig!$A$3:$B$55,2,FALSE))),(C23*(VLOOKUP(Remodelacion!$C$22,Seguros_Oblig!$A$3:$D$55,4,FALSE)))))</f>
        <v>#VALUE!</v>
      </c>
      <c r="G24" s="8" t="e">
        <f>IF(Remodelacion!$C$10="TARIFA 1",(C23*(VLOOKUP(Remodelacion!$C$23,Seguros_Oblig!$A$3:$B$55,2,FALSE))),(C23*(VLOOKUP(Remodelacion!$C$23,Seguros_Oblig!$A$3:$D$55,4,FALSE))))</f>
        <v>#VALUE!</v>
      </c>
      <c r="H24" s="8" t="e">
        <f>IF(Remodelacion!$C$10="TARIFA 1",(C23*(VLOOKUP(Remodelacion!$C$24,Seguros_Oblig!$A$3:$B$55,2,FALSE))),(C23*(VLOOKUP(Remodelacion!$C$24,Seguros_Oblig!$A$3:$D$55,4,FALSE))))</f>
        <v>#VALUE!</v>
      </c>
      <c r="I24" s="8" t="e">
        <f>IF(Remodelacion!$C$10="TARIFA 1",(C23*(VLOOKUP(Remodelacion!$C$25,Seguros_Oblig!$A$3:$B$55,2,FALSE))),(C23*(VLOOKUP(Remodelacion!$C$25,Seguros_Oblig!$A$3:$D$55,4,FALSE))))</f>
        <v>#VALUE!</v>
      </c>
      <c r="J24" s="10">
        <f t="shared" si="2"/>
        <v>0</v>
      </c>
      <c r="K24" s="7">
        <f>IF(RM!$D$11="Si",0,Seguros_Oblig!$K$2*Remodelacion!$C$12)</f>
        <v>0</v>
      </c>
      <c r="L24" s="7" t="e">
        <f>PMT(Remodelacion!$E$17,Remodelacion!$C$18,-Remodelacion!$C$15,,)</f>
        <v>#VALUE!</v>
      </c>
      <c r="M24" s="9" t="e">
        <f t="shared" si="3"/>
        <v>#VALUE!</v>
      </c>
      <c r="N24" s="7">
        <f>Remodelacion!$C$38</f>
        <v>0</v>
      </c>
      <c r="O24" s="9" t="e">
        <f t="shared" si="4"/>
        <v>#VALUE!</v>
      </c>
    </row>
    <row r="25" spans="2:15" ht="15.5" x14ac:dyDescent="0.35">
      <c r="B25" s="6" t="e">
        <f t="shared" si="5"/>
        <v>#VALUE!</v>
      </c>
      <c r="C25" s="7" t="e">
        <f t="shared" si="0"/>
        <v>#VALUE!</v>
      </c>
      <c r="D25" s="7" t="e">
        <f t="shared" si="1"/>
        <v>#VALUE!</v>
      </c>
      <c r="E25" s="7" t="e">
        <f>C24*Remodelacion!$E$17</f>
        <v>#VALUE!</v>
      </c>
      <c r="F25" s="8" t="e">
        <f>+IF(Remodelacion!$D$26="Si",($C$17*(VLOOKUP(Remodelacion!$C$22,Seguros_Oblig!$A$3:$F$55,6,FALSE))),IF(Remodelacion!$C$10="TARIFA 1",(C24*(VLOOKUP(Remodelacion!$C$22,Seguros_Oblig!$A$3:$B$55,2,FALSE))),(C24*(VLOOKUP(Remodelacion!$C$22,Seguros_Oblig!$A$3:$D$55,4,FALSE)))))</f>
        <v>#VALUE!</v>
      </c>
      <c r="G25" s="8" t="e">
        <f>IF(Remodelacion!$C$10="TARIFA 1",(C24*(VLOOKUP(Remodelacion!$C$23,Seguros_Oblig!$A$3:$B$55,2,FALSE))),(C24*(VLOOKUP(Remodelacion!$C$23,Seguros_Oblig!$A$3:$D$55,4,FALSE))))</f>
        <v>#VALUE!</v>
      </c>
      <c r="H25" s="8" t="e">
        <f>IF(Remodelacion!$C$10="TARIFA 1",(C24*(VLOOKUP(Remodelacion!$C$24,Seguros_Oblig!$A$3:$B$55,2,FALSE))),(C24*(VLOOKUP(Remodelacion!$C$24,Seguros_Oblig!$A$3:$D$55,4,FALSE))))</f>
        <v>#VALUE!</v>
      </c>
      <c r="I25" s="8" t="e">
        <f>IF(Remodelacion!$C$10="TARIFA 1",(C24*(VLOOKUP(Remodelacion!$C$25,Seguros_Oblig!$A$3:$B$55,2,FALSE))),(C24*(VLOOKUP(Remodelacion!$C$25,Seguros_Oblig!$A$3:$D$55,4,FALSE))))</f>
        <v>#VALUE!</v>
      </c>
      <c r="J25" s="10">
        <f t="shared" si="2"/>
        <v>0</v>
      </c>
      <c r="K25" s="7">
        <f>IF(RM!$D$11="Si",0,Seguros_Oblig!$K$2*Remodelacion!$C$12)</f>
        <v>0</v>
      </c>
      <c r="L25" s="7" t="e">
        <f>PMT(Remodelacion!$E$17,Remodelacion!$C$18,-Remodelacion!$C$15,,)</f>
        <v>#VALUE!</v>
      </c>
      <c r="M25" s="9" t="e">
        <f t="shared" si="3"/>
        <v>#VALUE!</v>
      </c>
      <c r="N25" s="7">
        <f>Remodelacion!$C$38</f>
        <v>0</v>
      </c>
      <c r="O25" s="9" t="e">
        <f t="shared" si="4"/>
        <v>#VALUE!</v>
      </c>
    </row>
    <row r="26" spans="2:15" ht="15.5" x14ac:dyDescent="0.35">
      <c r="B26" s="6" t="e">
        <f t="shared" si="5"/>
        <v>#VALUE!</v>
      </c>
      <c r="C26" s="7" t="e">
        <f t="shared" si="0"/>
        <v>#VALUE!</v>
      </c>
      <c r="D26" s="7" t="e">
        <f t="shared" si="1"/>
        <v>#VALUE!</v>
      </c>
      <c r="E26" s="7" t="e">
        <f>C25*Remodelacion!$E$17</f>
        <v>#VALUE!</v>
      </c>
      <c r="F26" s="8" t="e">
        <f>+IF(Remodelacion!$D$26="Si",($C$17*(VLOOKUP(Remodelacion!$C$22,Seguros_Oblig!$A$3:$F$55,6,FALSE))),IF(Remodelacion!$C$10="TARIFA 1",(C25*(VLOOKUP(Remodelacion!$C$22,Seguros_Oblig!$A$3:$B$55,2,FALSE))),(C25*(VLOOKUP(Remodelacion!$C$22,Seguros_Oblig!$A$3:$D$55,4,FALSE)))))</f>
        <v>#VALUE!</v>
      </c>
      <c r="G26" s="8" t="e">
        <f>IF(Remodelacion!$C$10="TARIFA 1",(C25*(VLOOKUP(Remodelacion!$C$23,Seguros_Oblig!$A$3:$B$55,2,FALSE))),(C25*(VLOOKUP(Remodelacion!$C$23,Seguros_Oblig!$A$3:$D$55,4,FALSE))))</f>
        <v>#VALUE!</v>
      </c>
      <c r="H26" s="8" t="e">
        <f>IF(Remodelacion!$C$10="TARIFA 1",(C25*(VLOOKUP(Remodelacion!$C$24,Seguros_Oblig!$A$3:$B$55,2,FALSE))),(C25*(VLOOKUP(Remodelacion!$C$24,Seguros_Oblig!$A$3:$D$55,4,FALSE))))</f>
        <v>#VALUE!</v>
      </c>
      <c r="I26" s="8" t="e">
        <f>IF(Remodelacion!$C$10="TARIFA 1",(C25*(VLOOKUP(Remodelacion!$C$25,Seguros_Oblig!$A$3:$B$55,2,FALSE))),(C25*(VLOOKUP(Remodelacion!$C$25,Seguros_Oblig!$A$3:$D$55,4,FALSE))))</f>
        <v>#VALUE!</v>
      </c>
      <c r="J26" s="10">
        <f t="shared" si="2"/>
        <v>0</v>
      </c>
      <c r="K26" s="7">
        <f>IF(RM!$D$11="Si",0,Seguros_Oblig!$K$2*Remodelacion!$C$12)</f>
        <v>0</v>
      </c>
      <c r="L26" s="7" t="e">
        <f>PMT(Remodelacion!$E$17,Remodelacion!$C$18,-Remodelacion!$C$15,,)</f>
        <v>#VALUE!</v>
      </c>
      <c r="M26" s="9" t="e">
        <f t="shared" si="3"/>
        <v>#VALUE!</v>
      </c>
      <c r="N26" s="7">
        <f>Remodelacion!$C$38</f>
        <v>0</v>
      </c>
      <c r="O26" s="9" t="e">
        <f t="shared" si="4"/>
        <v>#VALUE!</v>
      </c>
    </row>
    <row r="27" spans="2:15" ht="15.5" x14ac:dyDescent="0.35">
      <c r="B27" s="6" t="e">
        <f t="shared" si="5"/>
        <v>#VALUE!</v>
      </c>
      <c r="C27" s="7" t="e">
        <f t="shared" si="0"/>
        <v>#VALUE!</v>
      </c>
      <c r="D27" s="7" t="e">
        <f t="shared" si="1"/>
        <v>#VALUE!</v>
      </c>
      <c r="E27" s="7" t="e">
        <f>C26*Remodelacion!$E$17</f>
        <v>#VALUE!</v>
      </c>
      <c r="F27" s="8" t="e">
        <f>+IF(Remodelacion!$D$26="Si",($C$17*(VLOOKUP(Remodelacion!$C$22,Seguros_Oblig!$A$3:$F$55,6,FALSE))),IF(Remodelacion!$C$10="TARIFA 1",(C26*(VLOOKUP(Remodelacion!$C$22,Seguros_Oblig!$A$3:$B$55,2,FALSE))),(C26*(VLOOKUP(Remodelacion!$C$22,Seguros_Oblig!$A$3:$D$55,4,FALSE)))))</f>
        <v>#VALUE!</v>
      </c>
      <c r="G27" s="8" t="e">
        <f>IF(Remodelacion!$C$10="TARIFA 1",(C26*(VLOOKUP(Remodelacion!$C$23,Seguros_Oblig!$A$3:$B$55,2,FALSE))),(C26*(VLOOKUP(Remodelacion!$C$23,Seguros_Oblig!$A$3:$D$55,4,FALSE))))</f>
        <v>#VALUE!</v>
      </c>
      <c r="H27" s="8" t="e">
        <f>IF(Remodelacion!$C$10="TARIFA 1",(C26*(VLOOKUP(Remodelacion!$C$24,Seguros_Oblig!$A$3:$B$55,2,FALSE))),(C26*(VLOOKUP(Remodelacion!$C$24,Seguros_Oblig!$A$3:$D$55,4,FALSE))))</f>
        <v>#VALUE!</v>
      </c>
      <c r="I27" s="8" t="e">
        <f>IF(Remodelacion!$C$10="TARIFA 1",(C26*(VLOOKUP(Remodelacion!$C$25,Seguros_Oblig!$A$3:$B$55,2,FALSE))),(C26*(VLOOKUP(Remodelacion!$C$25,Seguros_Oblig!$A$3:$D$55,4,FALSE))))</f>
        <v>#VALUE!</v>
      </c>
      <c r="J27" s="10">
        <f t="shared" si="2"/>
        <v>0</v>
      </c>
      <c r="K27" s="7">
        <f>IF(RM!$D$11="Si",0,Seguros_Oblig!$K$2*Remodelacion!$C$12)</f>
        <v>0</v>
      </c>
      <c r="L27" s="7" t="e">
        <f>PMT(Remodelacion!$E$17,Remodelacion!$C$18,-Remodelacion!$C$15,,)</f>
        <v>#VALUE!</v>
      </c>
      <c r="M27" s="9" t="e">
        <f t="shared" si="3"/>
        <v>#VALUE!</v>
      </c>
      <c r="N27" s="7">
        <f>Remodelacion!$C$38</f>
        <v>0</v>
      </c>
      <c r="O27" s="9" t="e">
        <f t="shared" si="4"/>
        <v>#VALUE!</v>
      </c>
    </row>
    <row r="28" spans="2:15" ht="15.5" x14ac:dyDescent="0.35">
      <c r="B28" s="6" t="e">
        <f t="shared" si="5"/>
        <v>#VALUE!</v>
      </c>
      <c r="C28" s="7" t="e">
        <f t="shared" si="0"/>
        <v>#VALUE!</v>
      </c>
      <c r="D28" s="7" t="e">
        <f t="shared" si="1"/>
        <v>#VALUE!</v>
      </c>
      <c r="E28" s="7" t="e">
        <f>C27*Remodelacion!$E$17</f>
        <v>#VALUE!</v>
      </c>
      <c r="F28" s="8" t="e">
        <f>+IF(Remodelacion!$D$26="Si",($C$17*(VLOOKUP(Remodelacion!$C$22,Seguros_Oblig!$A$3:$F$55,6,FALSE))),IF(Remodelacion!$C$10="TARIFA 1",(C27*(VLOOKUP(Remodelacion!$C$22,Seguros_Oblig!$A$3:$B$55,2,FALSE))),(C27*(VLOOKUP(Remodelacion!$C$22,Seguros_Oblig!$A$3:$D$55,4,FALSE)))))</f>
        <v>#VALUE!</v>
      </c>
      <c r="G28" s="8" t="e">
        <f>IF(Remodelacion!$C$10="TARIFA 1",(C27*(VLOOKUP(Remodelacion!$C$23,Seguros_Oblig!$A$3:$B$55,2,FALSE))),(C27*(VLOOKUP(Remodelacion!$C$23,Seguros_Oblig!$A$3:$D$55,4,FALSE))))</f>
        <v>#VALUE!</v>
      </c>
      <c r="H28" s="8" t="e">
        <f>IF(Remodelacion!$C$10="TARIFA 1",(C27*(VLOOKUP(Remodelacion!$C$24,Seguros_Oblig!$A$3:$B$55,2,FALSE))),(C27*(VLOOKUP(Remodelacion!$C$24,Seguros_Oblig!$A$3:$D$55,4,FALSE))))</f>
        <v>#VALUE!</v>
      </c>
      <c r="I28" s="8" t="e">
        <f>IF(Remodelacion!$C$10="TARIFA 1",(C27*(VLOOKUP(Remodelacion!$C$25,Seguros_Oblig!$A$3:$B$55,2,FALSE))),(C27*(VLOOKUP(Remodelacion!$C$25,Seguros_Oblig!$A$3:$D$55,4,FALSE))))</f>
        <v>#VALUE!</v>
      </c>
      <c r="J28" s="10">
        <f t="shared" si="2"/>
        <v>0</v>
      </c>
      <c r="K28" s="7">
        <f>IF(RM!$D$11="Si",0,Seguros_Oblig!$K$2*Remodelacion!$C$12)</f>
        <v>0</v>
      </c>
      <c r="L28" s="7" t="e">
        <f>PMT(Remodelacion!$E$17,Remodelacion!$C$18,-Remodelacion!$C$15,,)</f>
        <v>#VALUE!</v>
      </c>
      <c r="M28" s="9" t="e">
        <f t="shared" si="3"/>
        <v>#VALUE!</v>
      </c>
      <c r="N28" s="7">
        <f>Remodelacion!$C$38</f>
        <v>0</v>
      </c>
      <c r="O28" s="9" t="e">
        <f t="shared" si="4"/>
        <v>#VALUE!</v>
      </c>
    </row>
    <row r="29" spans="2:15" ht="15.5" x14ac:dyDescent="0.35">
      <c r="B29" s="6" t="e">
        <f t="shared" si="5"/>
        <v>#VALUE!</v>
      </c>
      <c r="C29" s="7" t="e">
        <f t="shared" si="0"/>
        <v>#VALUE!</v>
      </c>
      <c r="D29" s="7" t="e">
        <f t="shared" si="1"/>
        <v>#VALUE!</v>
      </c>
      <c r="E29" s="7" t="e">
        <f>C28*Remodelacion!$E$17</f>
        <v>#VALUE!</v>
      </c>
      <c r="F29" s="8" t="e">
        <f>+IF(Remodelacion!$D$26="Si",($C$17*(VLOOKUP(Remodelacion!$C$22,Seguros_Oblig!$A$3:$F$55,6,FALSE))),IF(Remodelacion!$C$10="TARIFA 1",(C28*(VLOOKUP(Remodelacion!$C$22,Seguros_Oblig!$A$3:$B$55,2,FALSE))),(C28*(VLOOKUP(Remodelacion!$C$22,Seguros_Oblig!$A$3:$D$55,4,FALSE)))))</f>
        <v>#VALUE!</v>
      </c>
      <c r="G29" s="8" t="e">
        <f>IF(Remodelacion!$C$10="TARIFA 1",(C28*(VLOOKUP(Remodelacion!$C$23,Seguros_Oblig!$A$3:$B$55,2,FALSE))),(C28*(VLOOKUP(Remodelacion!$C$23,Seguros_Oblig!$A$3:$D$55,4,FALSE))))</f>
        <v>#VALUE!</v>
      </c>
      <c r="H29" s="8" t="e">
        <f>IF(Remodelacion!$C$10="TARIFA 1",(C28*(VLOOKUP(Remodelacion!$C$24,Seguros_Oblig!$A$3:$B$55,2,FALSE))),(C28*(VLOOKUP(Remodelacion!$C$24,Seguros_Oblig!$A$3:$D$55,4,FALSE))))</f>
        <v>#VALUE!</v>
      </c>
      <c r="I29" s="8" t="e">
        <f>IF(Remodelacion!$C$10="TARIFA 1",(C28*(VLOOKUP(Remodelacion!$C$25,Seguros_Oblig!$A$3:$B$55,2,FALSE))),(C28*(VLOOKUP(Remodelacion!$C$25,Seguros_Oblig!$A$3:$D$55,4,FALSE))))</f>
        <v>#VALUE!</v>
      </c>
      <c r="J29" s="10">
        <f t="shared" si="2"/>
        <v>0</v>
      </c>
      <c r="K29" s="7">
        <f>IF(RM!$D$11="Si",0,Seguros_Oblig!$K$2*Remodelacion!$C$12)</f>
        <v>0</v>
      </c>
      <c r="L29" s="7" t="e">
        <f>PMT(Remodelacion!$E$17,Remodelacion!$C$18,-Remodelacion!$C$15,,)</f>
        <v>#VALUE!</v>
      </c>
      <c r="M29" s="9" t="e">
        <f t="shared" si="3"/>
        <v>#VALUE!</v>
      </c>
      <c r="N29" s="7">
        <f>Remodelacion!$C$38</f>
        <v>0</v>
      </c>
      <c r="O29" s="9" t="e">
        <f t="shared" si="4"/>
        <v>#VALUE!</v>
      </c>
    </row>
    <row r="30" spans="2:15" ht="15.5" x14ac:dyDescent="0.35">
      <c r="B30" s="6" t="e">
        <f t="shared" si="5"/>
        <v>#VALUE!</v>
      </c>
      <c r="C30" s="7" t="e">
        <f t="shared" si="0"/>
        <v>#VALUE!</v>
      </c>
      <c r="D30" s="7" t="e">
        <f>IF(C29&lt;1,"0",L30-E30)</f>
        <v>#VALUE!</v>
      </c>
      <c r="E30" s="7" t="e">
        <f>C29*Remodelacion!$E$17</f>
        <v>#VALUE!</v>
      </c>
      <c r="F30" s="8" t="e">
        <f>+IF(Remodelacion!$D$26="Si",($C$17*(VLOOKUP(Remodelacion!$C$22,Seguros_Oblig!$A$3:$F$55,6,FALSE))),IF(Remodelacion!$C$10="TARIFA 1",(C29*(VLOOKUP(Remodelacion!$C$22,Seguros_Oblig!$A$3:$B$55,2,FALSE))),(C29*(VLOOKUP(Remodelacion!$C$22,Seguros_Oblig!$A$3:$D$55,4,FALSE)))))</f>
        <v>#VALUE!</v>
      </c>
      <c r="G30" s="8" t="e">
        <f>IF(Remodelacion!$C$10="TARIFA 1",(C29*(VLOOKUP(Remodelacion!$C$23,Seguros_Oblig!$A$3:$B$55,2,FALSE))),(C29*(VLOOKUP(Remodelacion!$C$23,Seguros_Oblig!$A$3:$D$55,4,FALSE))))</f>
        <v>#VALUE!</v>
      </c>
      <c r="H30" s="8" t="e">
        <f>IF(Remodelacion!$C$10="TARIFA 1",(C29*(VLOOKUP(Remodelacion!$C$24,Seguros_Oblig!$A$3:$B$55,2,FALSE))),(C29*(VLOOKUP(Remodelacion!$C$24,Seguros_Oblig!$A$3:$D$55,4,FALSE))))</f>
        <v>#VALUE!</v>
      </c>
      <c r="I30" s="8" t="e">
        <f>IF(Remodelacion!$C$10="TARIFA 1",(C29*(VLOOKUP(Remodelacion!$C$25,Seguros_Oblig!$A$3:$B$55,2,FALSE))),(C29*(VLOOKUP(Remodelacion!$C$25,Seguros_Oblig!$A$3:$D$55,4,FALSE))))</f>
        <v>#VALUE!</v>
      </c>
      <c r="J30" s="10">
        <f t="shared" si="2"/>
        <v>0</v>
      </c>
      <c r="K30" s="7" t="e">
        <f>IF(RM!$D$11="Si",0,IF(C29&lt;1,"0",Seguros_Oblig!$K$2*Remodelacion!$C$12))</f>
        <v>#VALUE!</v>
      </c>
      <c r="L30" s="7" t="e">
        <f>PMT(Remodelacion!$E$17,Remodelacion!$C$18,-Remodelacion!$C$15,,)</f>
        <v>#VALUE!</v>
      </c>
      <c r="M30" s="9" t="e">
        <f t="shared" si="3"/>
        <v>#VALUE!</v>
      </c>
      <c r="N30" s="7" t="e">
        <f>IF(C29&lt;1,"0",Remodelacion!$C$38)</f>
        <v>#VALUE!</v>
      </c>
      <c r="O30" s="9" t="e">
        <f t="shared" si="4"/>
        <v>#VALUE!</v>
      </c>
    </row>
    <row r="31" spans="2:15" ht="15.5" x14ac:dyDescent="0.35">
      <c r="B31" s="6" t="e">
        <f t="shared" si="5"/>
        <v>#VALUE!</v>
      </c>
      <c r="C31" s="7" t="e">
        <f t="shared" si="0"/>
        <v>#VALUE!</v>
      </c>
      <c r="D31" s="7" t="e">
        <f t="shared" ref="D31:D94" si="6">IF(C30&lt;1,"0",L31-E31)</f>
        <v>#VALUE!</v>
      </c>
      <c r="E31" s="7" t="e">
        <f>C30*Remodelacion!$E$17</f>
        <v>#VALUE!</v>
      </c>
      <c r="F31" s="8" t="e">
        <f>+IF(Remodelacion!$D$26="Si",($C$17*(VLOOKUP(Remodelacion!$C$22,Seguros_Oblig!$A$3:$F$55,6,FALSE))),IF(Remodelacion!$C$10="TARIFA 1",(C30*(VLOOKUP(Remodelacion!$C$22,Seguros_Oblig!$A$3:$B$55,2,FALSE))),(C30*(VLOOKUP(Remodelacion!$C$22,Seguros_Oblig!$A$3:$D$55,4,FALSE)))))</f>
        <v>#VALUE!</v>
      </c>
      <c r="G31" s="8" t="e">
        <f>IF(Remodelacion!$C$10="TARIFA 1",(C30*(VLOOKUP(Remodelacion!$C$23,Seguros_Oblig!$A$3:$B$55,2,FALSE))),(C30*(VLOOKUP(Remodelacion!$C$23,Seguros_Oblig!$A$3:$D$55,4,FALSE))))</f>
        <v>#VALUE!</v>
      </c>
      <c r="H31" s="8" t="e">
        <f>IF(Remodelacion!$C$10="TARIFA 1",(C30*(VLOOKUP(Remodelacion!$C$24,Seguros_Oblig!$A$3:$B$55,2,FALSE))),(C30*(VLOOKUP(Remodelacion!$C$24,Seguros_Oblig!$A$3:$D$55,4,FALSE))))</f>
        <v>#VALUE!</v>
      </c>
      <c r="I31" s="8" t="e">
        <f>IF(Remodelacion!$C$10="TARIFA 1",(C30*(VLOOKUP(Remodelacion!$C$25,Seguros_Oblig!$A$3:$B$55,2,FALSE))),(C30*(VLOOKUP(Remodelacion!$C$25,Seguros_Oblig!$A$3:$D$55,4,FALSE))))</f>
        <v>#VALUE!</v>
      </c>
      <c r="J31" s="10">
        <f t="shared" si="2"/>
        <v>0</v>
      </c>
      <c r="K31" s="7" t="e">
        <f>IF(RM!$D$11="Si",0,IF(C30&lt;1,"0",Seguros_Oblig!$K$2*Remodelacion!$C$12))</f>
        <v>#VALUE!</v>
      </c>
      <c r="L31" s="7" t="e">
        <f>PMT(Remodelacion!$E$17,Remodelacion!$C$18,-Remodelacion!$C$15,,)</f>
        <v>#VALUE!</v>
      </c>
      <c r="M31" s="9" t="e">
        <f t="shared" si="3"/>
        <v>#VALUE!</v>
      </c>
      <c r="N31" s="7" t="e">
        <f>IF(C30&lt;1,"0",Remodelacion!$C$38)</f>
        <v>#VALUE!</v>
      </c>
      <c r="O31" s="9" t="e">
        <f t="shared" si="4"/>
        <v>#VALUE!</v>
      </c>
    </row>
    <row r="32" spans="2:15" ht="15.5" x14ac:dyDescent="0.35">
      <c r="B32" s="6" t="e">
        <f t="shared" si="5"/>
        <v>#VALUE!</v>
      </c>
      <c r="C32" s="7" t="e">
        <f t="shared" si="0"/>
        <v>#VALUE!</v>
      </c>
      <c r="D32" s="7" t="e">
        <f t="shared" si="6"/>
        <v>#VALUE!</v>
      </c>
      <c r="E32" s="7" t="e">
        <f>C31*Remodelacion!$E$17</f>
        <v>#VALUE!</v>
      </c>
      <c r="F32" s="8" t="e">
        <f>+IF(Remodelacion!$D$26="Si",($C$17*(VLOOKUP(Remodelacion!$C$22,Seguros_Oblig!$A$3:$F$55,6,FALSE))),IF(Remodelacion!$C$10="TARIFA 1",(C31*(VLOOKUP(Remodelacion!$C$22,Seguros_Oblig!$A$3:$B$55,2,FALSE))),(C31*(VLOOKUP(Remodelacion!$C$22,Seguros_Oblig!$A$3:$D$55,4,FALSE)))))</f>
        <v>#VALUE!</v>
      </c>
      <c r="G32" s="8" t="e">
        <f>IF(Remodelacion!$C$10="TARIFA 1",(C31*(VLOOKUP(Remodelacion!$C$23,Seguros_Oblig!$A$3:$B$55,2,FALSE))),(C31*(VLOOKUP(Remodelacion!$C$23,Seguros_Oblig!$A$3:$D$55,4,FALSE))))</f>
        <v>#VALUE!</v>
      </c>
      <c r="H32" s="8" t="e">
        <f>IF(Remodelacion!$C$10="TARIFA 1",(C31*(VLOOKUP(Remodelacion!$C$24,Seguros_Oblig!$A$3:$B$55,2,FALSE))),(C31*(VLOOKUP(Remodelacion!$C$24,Seguros_Oblig!$A$3:$D$55,4,FALSE))))</f>
        <v>#VALUE!</v>
      </c>
      <c r="I32" s="8" t="e">
        <f>IF(Remodelacion!$C$10="TARIFA 1",(C31*(VLOOKUP(Remodelacion!$C$25,Seguros_Oblig!$A$3:$B$55,2,FALSE))),(C31*(VLOOKUP(Remodelacion!$C$25,Seguros_Oblig!$A$3:$D$55,4,FALSE))))</f>
        <v>#VALUE!</v>
      </c>
      <c r="J32" s="10">
        <f t="shared" si="2"/>
        <v>0</v>
      </c>
      <c r="K32" s="7" t="e">
        <f>IF(RM!$D$11="Si",0,IF(C31&lt;1,"0",Seguros_Oblig!$K$2*Remodelacion!$C$12))</f>
        <v>#VALUE!</v>
      </c>
      <c r="L32" s="7" t="e">
        <f>PMT(Remodelacion!$E$17,Remodelacion!$C$18,-Remodelacion!$C$15,,)</f>
        <v>#VALUE!</v>
      </c>
      <c r="M32" s="9" t="e">
        <f t="shared" si="3"/>
        <v>#VALUE!</v>
      </c>
      <c r="N32" s="7" t="e">
        <f>IF(C31&lt;1,"0",Remodelacion!$C$38)</f>
        <v>#VALUE!</v>
      </c>
      <c r="O32" s="9" t="e">
        <f t="shared" si="4"/>
        <v>#VALUE!</v>
      </c>
    </row>
    <row r="33" spans="2:15" ht="15.5" x14ac:dyDescent="0.35">
      <c r="B33" s="6" t="e">
        <f t="shared" si="5"/>
        <v>#VALUE!</v>
      </c>
      <c r="C33" s="7" t="e">
        <f t="shared" si="0"/>
        <v>#VALUE!</v>
      </c>
      <c r="D33" s="7" t="e">
        <f t="shared" si="6"/>
        <v>#VALUE!</v>
      </c>
      <c r="E33" s="7" t="e">
        <f>C32*Remodelacion!$E$17</f>
        <v>#VALUE!</v>
      </c>
      <c r="F33" s="8" t="e">
        <f>+IF(Remodelacion!$D$26="Si",($C$17*(VLOOKUP(Remodelacion!$C$22,Seguros_Oblig!$A$3:$F$55,6,FALSE))),IF(Remodelacion!$C$10="TARIFA 1",(C32*(VLOOKUP(Remodelacion!$C$22,Seguros_Oblig!$A$3:$B$55,2,FALSE))),(C32*(VLOOKUP(Remodelacion!$C$22,Seguros_Oblig!$A$3:$D$55,4,FALSE)))))</f>
        <v>#VALUE!</v>
      </c>
      <c r="G33" s="8" t="e">
        <f>IF(Remodelacion!$C$10="TARIFA 1",(C32*(VLOOKUP(Remodelacion!$C$23,Seguros_Oblig!$A$3:$B$55,2,FALSE))),(C32*(VLOOKUP(Remodelacion!$C$23,Seguros_Oblig!$A$3:$D$55,4,FALSE))))</f>
        <v>#VALUE!</v>
      </c>
      <c r="H33" s="8" t="e">
        <f>IF(Remodelacion!$C$10="TARIFA 1",(C32*(VLOOKUP(Remodelacion!$C$24,Seguros_Oblig!$A$3:$B$55,2,FALSE))),(C32*(VLOOKUP(Remodelacion!$C$24,Seguros_Oblig!$A$3:$D$55,4,FALSE))))</f>
        <v>#VALUE!</v>
      </c>
      <c r="I33" s="8" t="e">
        <f>IF(Remodelacion!$C$10="TARIFA 1",(C32*(VLOOKUP(Remodelacion!$C$25,Seguros_Oblig!$A$3:$B$55,2,FALSE))),(C32*(VLOOKUP(Remodelacion!$C$25,Seguros_Oblig!$A$3:$D$55,4,FALSE))))</f>
        <v>#VALUE!</v>
      </c>
      <c r="J33" s="10">
        <f t="shared" si="2"/>
        <v>0</v>
      </c>
      <c r="K33" s="7" t="e">
        <f>IF(RM!$D$11="Si",0,IF(C32&lt;1,"0",Seguros_Oblig!$K$2*Remodelacion!$C$12))</f>
        <v>#VALUE!</v>
      </c>
      <c r="L33" s="7" t="e">
        <f>PMT(Remodelacion!$E$17,Remodelacion!$C$18,-Remodelacion!$C$15,,)</f>
        <v>#VALUE!</v>
      </c>
      <c r="M33" s="9" t="e">
        <f t="shared" si="3"/>
        <v>#VALUE!</v>
      </c>
      <c r="N33" s="7" t="e">
        <f>IF(C32&lt;1,"0",Remodelacion!$C$38)</f>
        <v>#VALUE!</v>
      </c>
      <c r="O33" s="9" t="e">
        <f t="shared" si="4"/>
        <v>#VALUE!</v>
      </c>
    </row>
    <row r="34" spans="2:15" ht="15.5" x14ac:dyDescent="0.35">
      <c r="B34" s="6" t="e">
        <f t="shared" si="5"/>
        <v>#VALUE!</v>
      </c>
      <c r="C34" s="7" t="e">
        <f t="shared" si="0"/>
        <v>#VALUE!</v>
      </c>
      <c r="D34" s="7" t="e">
        <f t="shared" si="6"/>
        <v>#VALUE!</v>
      </c>
      <c r="E34" s="7" t="e">
        <f>C33*Remodelacion!$E$17</f>
        <v>#VALUE!</v>
      </c>
      <c r="F34" s="8" t="e">
        <f>+IF(Remodelacion!$D$26="Si",($C$17*(VLOOKUP(Remodelacion!$C$22,Seguros_Oblig!$A$3:$F$55,6,FALSE))),IF(Remodelacion!$C$10="TARIFA 1",(C33*(VLOOKUP(Remodelacion!$C$22,Seguros_Oblig!$A$3:$B$55,2,FALSE))),(C33*(VLOOKUP(Remodelacion!$C$22,Seguros_Oblig!$A$3:$D$55,4,FALSE)))))</f>
        <v>#VALUE!</v>
      </c>
      <c r="G34" s="8" t="e">
        <f>IF(Remodelacion!$C$10="TARIFA 1",(C33*(VLOOKUP(Remodelacion!$C$23,Seguros_Oblig!$A$3:$B$55,2,FALSE))),(C33*(VLOOKUP(Remodelacion!$C$23,Seguros_Oblig!$A$3:$D$55,4,FALSE))))</f>
        <v>#VALUE!</v>
      </c>
      <c r="H34" s="8" t="e">
        <f>IF(Remodelacion!$C$10="TARIFA 1",(C33*(VLOOKUP(Remodelacion!$C$24,Seguros_Oblig!$A$3:$B$55,2,FALSE))),(C33*(VLOOKUP(Remodelacion!$C$24,Seguros_Oblig!$A$3:$D$55,4,FALSE))))</f>
        <v>#VALUE!</v>
      </c>
      <c r="I34" s="8" t="e">
        <f>IF(Remodelacion!$C$10="TARIFA 1",(C33*(VLOOKUP(Remodelacion!$C$25,Seguros_Oblig!$A$3:$B$55,2,FALSE))),(C33*(VLOOKUP(Remodelacion!$C$25,Seguros_Oblig!$A$3:$D$55,4,FALSE))))</f>
        <v>#VALUE!</v>
      </c>
      <c r="J34" s="10">
        <f t="shared" si="2"/>
        <v>0</v>
      </c>
      <c r="K34" s="7" t="e">
        <f>IF(RM!$D$11="Si",0,IF(C33&lt;1,"0",Seguros_Oblig!$K$2*Remodelacion!$C$12))</f>
        <v>#VALUE!</v>
      </c>
      <c r="L34" s="7" t="e">
        <f>PMT(Remodelacion!$E$17,Remodelacion!$C$18,-Remodelacion!$C$15,,)</f>
        <v>#VALUE!</v>
      </c>
      <c r="M34" s="9" t="e">
        <f t="shared" si="3"/>
        <v>#VALUE!</v>
      </c>
      <c r="N34" s="7" t="e">
        <f>IF(C33&lt;1,"0",Remodelacion!$C$38)</f>
        <v>#VALUE!</v>
      </c>
      <c r="O34" s="9" t="e">
        <f t="shared" si="4"/>
        <v>#VALUE!</v>
      </c>
    </row>
    <row r="35" spans="2:15" ht="15.5" x14ac:dyDescent="0.35">
      <c r="B35" s="6" t="e">
        <f t="shared" si="5"/>
        <v>#VALUE!</v>
      </c>
      <c r="C35" s="7" t="e">
        <f t="shared" si="0"/>
        <v>#VALUE!</v>
      </c>
      <c r="D35" s="7" t="e">
        <f t="shared" si="6"/>
        <v>#VALUE!</v>
      </c>
      <c r="E35" s="7" t="e">
        <f>C34*Remodelacion!$E$17</f>
        <v>#VALUE!</v>
      </c>
      <c r="F35" s="8" t="e">
        <f>+IF(Remodelacion!$D$26="Si",($C$17*(VLOOKUP(Remodelacion!$C$22,Seguros_Oblig!$A$3:$F$55,6,FALSE))),IF(Remodelacion!$C$10="TARIFA 1",(C34*(VLOOKUP(Remodelacion!$C$22,Seguros_Oblig!$A$3:$B$55,2,FALSE))),(C34*(VLOOKUP(Remodelacion!$C$22,Seguros_Oblig!$A$3:$D$55,4,FALSE)))))</f>
        <v>#VALUE!</v>
      </c>
      <c r="G35" s="8" t="e">
        <f>IF(Remodelacion!$C$10="TARIFA 1",(C34*(VLOOKUP(Remodelacion!$C$23,Seguros_Oblig!$A$3:$B$55,2,FALSE))),(C34*(VLOOKUP(Remodelacion!$C$23,Seguros_Oblig!$A$3:$D$55,4,FALSE))))</f>
        <v>#VALUE!</v>
      </c>
      <c r="H35" s="8" t="e">
        <f>IF(Remodelacion!$C$10="TARIFA 1",(C34*(VLOOKUP(Remodelacion!$C$24,Seguros_Oblig!$A$3:$B$55,2,FALSE))),(C34*(VLOOKUP(Remodelacion!$C$24,Seguros_Oblig!$A$3:$D$55,4,FALSE))))</f>
        <v>#VALUE!</v>
      </c>
      <c r="I35" s="8" t="e">
        <f>IF(Remodelacion!$C$10="TARIFA 1",(C34*(VLOOKUP(Remodelacion!$C$25,Seguros_Oblig!$A$3:$B$55,2,FALSE))),(C34*(VLOOKUP(Remodelacion!$C$25,Seguros_Oblig!$A$3:$D$55,4,FALSE))))</f>
        <v>#VALUE!</v>
      </c>
      <c r="J35" s="10">
        <f t="shared" si="2"/>
        <v>0</v>
      </c>
      <c r="K35" s="7" t="e">
        <f>IF(RM!$D$11="Si",0,IF(C34&lt;1,"0",Seguros_Oblig!$K$2*Remodelacion!$C$12))</f>
        <v>#VALUE!</v>
      </c>
      <c r="L35" s="7" t="e">
        <f>PMT(Remodelacion!$E$17,Remodelacion!$C$18,-Remodelacion!$C$15,,)</f>
        <v>#VALUE!</v>
      </c>
      <c r="M35" s="9" t="e">
        <f t="shared" si="3"/>
        <v>#VALUE!</v>
      </c>
      <c r="N35" s="7" t="e">
        <f>IF(C34&lt;1,"0",Remodelacion!$C$38)</f>
        <v>#VALUE!</v>
      </c>
      <c r="O35" s="9" t="e">
        <f t="shared" si="4"/>
        <v>#VALUE!</v>
      </c>
    </row>
    <row r="36" spans="2:15" ht="15.5" x14ac:dyDescent="0.35">
      <c r="B36" s="6" t="e">
        <f t="shared" si="5"/>
        <v>#VALUE!</v>
      </c>
      <c r="C36" s="7" t="e">
        <f t="shared" si="0"/>
        <v>#VALUE!</v>
      </c>
      <c r="D36" s="7" t="e">
        <f t="shared" si="6"/>
        <v>#VALUE!</v>
      </c>
      <c r="E36" s="7" t="e">
        <f>C35*Remodelacion!$E$17</f>
        <v>#VALUE!</v>
      </c>
      <c r="F36" s="8" t="e">
        <f>+IF(Remodelacion!$D$26="Si",($C$17*(VLOOKUP(Remodelacion!$C$22,Seguros_Oblig!$A$3:$F$55,6,FALSE))),IF(Remodelacion!$C$10="TARIFA 1",(C35*(VLOOKUP(Remodelacion!$C$22,Seguros_Oblig!$A$3:$B$55,2,FALSE))),(C35*(VLOOKUP(Remodelacion!$C$22,Seguros_Oblig!$A$3:$D$55,4,FALSE)))))</f>
        <v>#VALUE!</v>
      </c>
      <c r="G36" s="8" t="e">
        <f>IF(Remodelacion!$C$10="TARIFA 1",(C35*(VLOOKUP(Remodelacion!$C$23,Seguros_Oblig!$A$3:$B$55,2,FALSE))),(C35*(VLOOKUP(Remodelacion!$C$23,Seguros_Oblig!$A$3:$D$55,4,FALSE))))</f>
        <v>#VALUE!</v>
      </c>
      <c r="H36" s="8" t="e">
        <f>IF(Remodelacion!$C$10="TARIFA 1",(C35*(VLOOKUP(Remodelacion!$C$24,Seguros_Oblig!$A$3:$B$55,2,FALSE))),(C35*(VLOOKUP(Remodelacion!$C$24,Seguros_Oblig!$A$3:$D$55,4,FALSE))))</f>
        <v>#VALUE!</v>
      </c>
      <c r="I36" s="8" t="e">
        <f>IF(Remodelacion!$C$10="TARIFA 1",(C35*(VLOOKUP(Remodelacion!$C$25,Seguros_Oblig!$A$3:$B$55,2,FALSE))),(C35*(VLOOKUP(Remodelacion!$C$25,Seguros_Oblig!$A$3:$D$55,4,FALSE))))</f>
        <v>#VALUE!</v>
      </c>
      <c r="J36" s="10">
        <f t="shared" si="2"/>
        <v>0</v>
      </c>
      <c r="K36" s="7" t="e">
        <f>IF(RM!$D$11="Si",0,IF(C35&lt;1,"0",Seguros_Oblig!$K$2*Remodelacion!$C$12))</f>
        <v>#VALUE!</v>
      </c>
      <c r="L36" s="7" t="e">
        <f>PMT(Remodelacion!$E$17,Remodelacion!$C$18,-Remodelacion!$C$15,,)</f>
        <v>#VALUE!</v>
      </c>
      <c r="M36" s="9" t="e">
        <f t="shared" si="3"/>
        <v>#VALUE!</v>
      </c>
      <c r="N36" s="7" t="e">
        <f>IF(C35&lt;1,"0",Remodelacion!$C$38)</f>
        <v>#VALUE!</v>
      </c>
      <c r="O36" s="9" t="e">
        <f t="shared" si="4"/>
        <v>#VALUE!</v>
      </c>
    </row>
    <row r="37" spans="2:15" ht="15.5" x14ac:dyDescent="0.35">
      <c r="B37" s="6" t="e">
        <f t="shared" si="5"/>
        <v>#VALUE!</v>
      </c>
      <c r="C37" s="7" t="e">
        <f t="shared" si="0"/>
        <v>#VALUE!</v>
      </c>
      <c r="D37" s="7" t="e">
        <f t="shared" si="6"/>
        <v>#VALUE!</v>
      </c>
      <c r="E37" s="7" t="e">
        <f>C36*Remodelacion!$E$17</f>
        <v>#VALUE!</v>
      </c>
      <c r="F37" s="8" t="e">
        <f>+IF(Remodelacion!$D$26="Si",($C$17*(VLOOKUP(Remodelacion!$C$22,Seguros_Oblig!$A$3:$F$55,6,FALSE))),IF(Remodelacion!$C$10="TARIFA 1",(C36*(VLOOKUP(Remodelacion!$C$22,Seguros_Oblig!$A$3:$B$55,2,FALSE))),(C36*(VLOOKUP(Remodelacion!$C$22,Seguros_Oblig!$A$3:$D$55,4,FALSE)))))</f>
        <v>#VALUE!</v>
      </c>
      <c r="G37" s="8" t="e">
        <f>IF(Remodelacion!$C$10="TARIFA 1",(C36*(VLOOKUP(Remodelacion!$C$23,Seguros_Oblig!$A$3:$B$55,2,FALSE))),(C36*(VLOOKUP(Remodelacion!$C$23,Seguros_Oblig!$A$3:$D$55,4,FALSE))))</f>
        <v>#VALUE!</v>
      </c>
      <c r="H37" s="8" t="e">
        <f>IF(Remodelacion!$C$10="TARIFA 1",(C36*(VLOOKUP(Remodelacion!$C$24,Seguros_Oblig!$A$3:$B$55,2,FALSE))),(C36*(VLOOKUP(Remodelacion!$C$24,Seguros_Oblig!$A$3:$D$55,4,FALSE))))</f>
        <v>#VALUE!</v>
      </c>
      <c r="I37" s="8" t="e">
        <f>IF(Remodelacion!$C$10="TARIFA 1",(C36*(VLOOKUP(Remodelacion!$C$25,Seguros_Oblig!$A$3:$B$55,2,FALSE))),(C36*(VLOOKUP(Remodelacion!$C$25,Seguros_Oblig!$A$3:$D$55,4,FALSE))))</f>
        <v>#VALUE!</v>
      </c>
      <c r="J37" s="10">
        <f t="shared" si="2"/>
        <v>0</v>
      </c>
      <c r="K37" s="7" t="e">
        <f>IF(RM!$D$11="Si",0,IF(C36&lt;1,"0",Seguros_Oblig!$K$2*Remodelacion!$C$12))</f>
        <v>#VALUE!</v>
      </c>
      <c r="L37" s="7" t="e">
        <f>PMT(Remodelacion!$E$17,Remodelacion!$C$18,-Remodelacion!$C$15,,)</f>
        <v>#VALUE!</v>
      </c>
      <c r="M37" s="9" t="e">
        <f t="shared" si="3"/>
        <v>#VALUE!</v>
      </c>
      <c r="N37" s="7" t="e">
        <f>IF(C36&lt;1,"0",Remodelacion!$C$38)</f>
        <v>#VALUE!</v>
      </c>
      <c r="O37" s="9" t="e">
        <f t="shared" si="4"/>
        <v>#VALUE!</v>
      </c>
    </row>
    <row r="38" spans="2:15" ht="15.5" x14ac:dyDescent="0.35">
      <c r="B38" s="6" t="e">
        <f t="shared" si="5"/>
        <v>#VALUE!</v>
      </c>
      <c r="C38" s="7" t="e">
        <f t="shared" si="0"/>
        <v>#VALUE!</v>
      </c>
      <c r="D38" s="7" t="e">
        <f t="shared" si="6"/>
        <v>#VALUE!</v>
      </c>
      <c r="E38" s="7" t="e">
        <f>C37*Remodelacion!$E$17</f>
        <v>#VALUE!</v>
      </c>
      <c r="F38" s="8" t="e">
        <f>+IF(Remodelacion!$D$26="Si",($C$17*(VLOOKUP(Remodelacion!$C$22,Seguros_Oblig!$A$3:$F$55,6,FALSE))),IF(Remodelacion!$C$10="TARIFA 1",(C37*(VLOOKUP(Remodelacion!$C$22,Seguros_Oblig!$A$3:$B$55,2,FALSE))),(C37*(VLOOKUP(Remodelacion!$C$22,Seguros_Oblig!$A$3:$D$55,4,FALSE)))))</f>
        <v>#VALUE!</v>
      </c>
      <c r="G38" s="8" t="e">
        <f>IF(Remodelacion!$C$10="TARIFA 1",(C37*(VLOOKUP(Remodelacion!$C$23,Seguros_Oblig!$A$3:$B$55,2,FALSE))),(C37*(VLOOKUP(Remodelacion!$C$23,Seguros_Oblig!$A$3:$D$55,4,FALSE))))</f>
        <v>#VALUE!</v>
      </c>
      <c r="H38" s="8" t="e">
        <f>IF(Remodelacion!$C$10="TARIFA 1",(C37*(VLOOKUP(Remodelacion!$C$24,Seguros_Oblig!$A$3:$B$55,2,FALSE))),(C37*(VLOOKUP(Remodelacion!$C$24,Seguros_Oblig!$A$3:$D$55,4,FALSE))))</f>
        <v>#VALUE!</v>
      </c>
      <c r="I38" s="8" t="e">
        <f>IF(Remodelacion!$C$10="TARIFA 1",(C37*(VLOOKUP(Remodelacion!$C$25,Seguros_Oblig!$A$3:$B$55,2,FALSE))),(C37*(VLOOKUP(Remodelacion!$C$25,Seguros_Oblig!$A$3:$D$55,4,FALSE))))</f>
        <v>#VALUE!</v>
      </c>
      <c r="J38" s="10">
        <f t="shared" si="2"/>
        <v>0</v>
      </c>
      <c r="K38" s="7" t="e">
        <f>IF(RM!$D$11="Si",0,IF(C37&lt;1,"0",Seguros_Oblig!$K$2*Remodelacion!$C$12))</f>
        <v>#VALUE!</v>
      </c>
      <c r="L38" s="7" t="e">
        <f>PMT(Remodelacion!$E$17,Remodelacion!$C$18,-Remodelacion!$C$15,,)</f>
        <v>#VALUE!</v>
      </c>
      <c r="M38" s="9" t="e">
        <f t="shared" si="3"/>
        <v>#VALUE!</v>
      </c>
      <c r="N38" s="7" t="e">
        <f>IF(C37&lt;1,"0",Remodelacion!$C$38)</f>
        <v>#VALUE!</v>
      </c>
      <c r="O38" s="9" t="e">
        <f t="shared" si="4"/>
        <v>#VALUE!</v>
      </c>
    </row>
    <row r="39" spans="2:15" ht="15.5" x14ac:dyDescent="0.35">
      <c r="B39" s="6" t="e">
        <f t="shared" si="5"/>
        <v>#VALUE!</v>
      </c>
      <c r="C39" s="7" t="e">
        <f t="shared" si="0"/>
        <v>#VALUE!</v>
      </c>
      <c r="D39" s="7" t="e">
        <f t="shared" si="6"/>
        <v>#VALUE!</v>
      </c>
      <c r="E39" s="7" t="e">
        <f>C38*Remodelacion!$E$17</f>
        <v>#VALUE!</v>
      </c>
      <c r="F39" s="8" t="e">
        <f>+IF(Remodelacion!$D$26="Si",($C$17*(VLOOKUP(Remodelacion!$C$22,Seguros_Oblig!$A$3:$F$55,6,FALSE))),IF(Remodelacion!$C$10="TARIFA 1",(C38*(VLOOKUP(Remodelacion!$C$22,Seguros_Oblig!$A$3:$B$55,2,FALSE))),(C38*(VLOOKUP(Remodelacion!$C$22,Seguros_Oblig!$A$3:$D$55,4,FALSE)))))</f>
        <v>#VALUE!</v>
      </c>
      <c r="G39" s="8" t="e">
        <f>IF(Remodelacion!$C$10="TARIFA 1",(C38*(VLOOKUP(Remodelacion!$C$23,Seguros_Oblig!$A$3:$B$55,2,FALSE))),(C38*(VLOOKUP(Remodelacion!$C$23,Seguros_Oblig!$A$3:$D$55,4,FALSE))))</f>
        <v>#VALUE!</v>
      </c>
      <c r="H39" s="8" t="e">
        <f>IF(Remodelacion!$C$10="TARIFA 1",(C38*(VLOOKUP(Remodelacion!$C$24,Seguros_Oblig!$A$3:$B$55,2,FALSE))),(C38*(VLOOKUP(Remodelacion!$C$24,Seguros_Oblig!$A$3:$D$55,4,FALSE))))</f>
        <v>#VALUE!</v>
      </c>
      <c r="I39" s="8" t="e">
        <f>IF(Remodelacion!$C$10="TARIFA 1",(C38*(VLOOKUP(Remodelacion!$C$25,Seguros_Oblig!$A$3:$B$55,2,FALSE))),(C38*(VLOOKUP(Remodelacion!$C$25,Seguros_Oblig!$A$3:$D$55,4,FALSE))))</f>
        <v>#VALUE!</v>
      </c>
      <c r="J39" s="10">
        <f t="shared" si="2"/>
        <v>0</v>
      </c>
      <c r="K39" s="7" t="e">
        <f>IF(RM!$D$11="Si",0,IF(C38&lt;1,"0",Seguros_Oblig!$K$2*Remodelacion!$C$12))</f>
        <v>#VALUE!</v>
      </c>
      <c r="L39" s="7" t="e">
        <f>PMT(Remodelacion!$E$17,Remodelacion!$C$18,-Remodelacion!$C$15,,)</f>
        <v>#VALUE!</v>
      </c>
      <c r="M39" s="9" t="e">
        <f t="shared" si="3"/>
        <v>#VALUE!</v>
      </c>
      <c r="N39" s="7" t="e">
        <f>IF(C38&lt;1,"0",Remodelacion!$C$38)</f>
        <v>#VALUE!</v>
      </c>
      <c r="O39" s="9" t="e">
        <f t="shared" si="4"/>
        <v>#VALUE!</v>
      </c>
    </row>
    <row r="40" spans="2:15" ht="15.5" x14ac:dyDescent="0.35">
      <c r="B40" s="6" t="e">
        <f t="shared" si="5"/>
        <v>#VALUE!</v>
      </c>
      <c r="C40" s="7" t="e">
        <f t="shared" si="0"/>
        <v>#VALUE!</v>
      </c>
      <c r="D40" s="7" t="e">
        <f t="shared" si="6"/>
        <v>#VALUE!</v>
      </c>
      <c r="E40" s="7" t="e">
        <f>C39*Remodelacion!$E$17</f>
        <v>#VALUE!</v>
      </c>
      <c r="F40" s="8" t="e">
        <f>+IF(Remodelacion!$D$26="Si",($C$17*(VLOOKUP(Remodelacion!$C$22,Seguros_Oblig!$A$3:$F$55,6,FALSE))),IF(Remodelacion!$C$10="TARIFA 1",(C39*(VLOOKUP(Remodelacion!$C$22,Seguros_Oblig!$A$3:$B$55,2,FALSE))),(C39*(VLOOKUP(Remodelacion!$C$22,Seguros_Oblig!$A$3:$D$55,4,FALSE)))))</f>
        <v>#VALUE!</v>
      </c>
      <c r="G40" s="8" t="e">
        <f>IF(Remodelacion!$C$10="TARIFA 1",(C39*(VLOOKUP(Remodelacion!$C$23,Seguros_Oblig!$A$3:$B$55,2,FALSE))),(C39*(VLOOKUP(Remodelacion!$C$23,Seguros_Oblig!$A$3:$D$55,4,FALSE))))</f>
        <v>#VALUE!</v>
      </c>
      <c r="H40" s="8" t="e">
        <f>IF(Remodelacion!$C$10="TARIFA 1",(C39*(VLOOKUP(Remodelacion!$C$24,Seguros_Oblig!$A$3:$B$55,2,FALSE))),(C39*(VLOOKUP(Remodelacion!$C$24,Seguros_Oblig!$A$3:$D$55,4,FALSE))))</f>
        <v>#VALUE!</v>
      </c>
      <c r="I40" s="8" t="e">
        <f>IF(Remodelacion!$C$10="TARIFA 1",(C39*(VLOOKUP(Remodelacion!$C$25,Seguros_Oblig!$A$3:$B$55,2,FALSE))),(C39*(VLOOKUP(Remodelacion!$C$25,Seguros_Oblig!$A$3:$D$55,4,FALSE))))</f>
        <v>#VALUE!</v>
      </c>
      <c r="J40" s="10">
        <f t="shared" si="2"/>
        <v>0</v>
      </c>
      <c r="K40" s="7" t="e">
        <f>IF(RM!$D$11="Si",0,IF(C39&lt;1,"0",Seguros_Oblig!$K$2*Remodelacion!$C$12))</f>
        <v>#VALUE!</v>
      </c>
      <c r="L40" s="7" t="e">
        <f>PMT(Remodelacion!$E$17,Remodelacion!$C$18,-Remodelacion!$C$15,,)</f>
        <v>#VALUE!</v>
      </c>
      <c r="M40" s="9" t="e">
        <f t="shared" si="3"/>
        <v>#VALUE!</v>
      </c>
      <c r="N40" s="7" t="e">
        <f>IF(C39&lt;1,"0",Remodelacion!$C$38)</f>
        <v>#VALUE!</v>
      </c>
      <c r="O40" s="9" t="e">
        <f t="shared" si="4"/>
        <v>#VALUE!</v>
      </c>
    </row>
    <row r="41" spans="2:15" ht="15.5" x14ac:dyDescent="0.35">
      <c r="B41" s="6" t="e">
        <f t="shared" si="5"/>
        <v>#VALUE!</v>
      </c>
      <c r="C41" s="7" t="e">
        <f t="shared" si="0"/>
        <v>#VALUE!</v>
      </c>
      <c r="D41" s="7" t="e">
        <f t="shared" si="6"/>
        <v>#VALUE!</v>
      </c>
      <c r="E41" s="7" t="e">
        <f>C40*Remodelacion!$E$17</f>
        <v>#VALUE!</v>
      </c>
      <c r="F41" s="8" t="e">
        <f>+IF(Remodelacion!$D$26="Si",($C$17*(VLOOKUP(Remodelacion!$C$22,Seguros_Oblig!$A$3:$F$55,6,FALSE))),IF(Remodelacion!$C$10="TARIFA 1",(C40*(VLOOKUP(Remodelacion!$C$22,Seguros_Oblig!$A$3:$B$55,2,FALSE))),(C40*(VLOOKUP(Remodelacion!$C$22,Seguros_Oblig!$A$3:$D$55,4,FALSE)))))</f>
        <v>#VALUE!</v>
      </c>
      <c r="G41" s="8" t="e">
        <f>IF(Remodelacion!$C$10="TARIFA 1",(C40*(VLOOKUP(Remodelacion!$C$23,Seguros_Oblig!$A$3:$B$55,2,FALSE))),(C40*(VLOOKUP(Remodelacion!$C$23,Seguros_Oblig!$A$3:$D$55,4,FALSE))))</f>
        <v>#VALUE!</v>
      </c>
      <c r="H41" s="8" t="e">
        <f>IF(Remodelacion!$C$10="TARIFA 1",(C40*(VLOOKUP(Remodelacion!$C$24,Seguros_Oblig!$A$3:$B$55,2,FALSE))),(C40*(VLOOKUP(Remodelacion!$C$24,Seguros_Oblig!$A$3:$D$55,4,FALSE))))</f>
        <v>#VALUE!</v>
      </c>
      <c r="I41" s="8" t="e">
        <f>IF(Remodelacion!$C$10="TARIFA 1",(C40*(VLOOKUP(Remodelacion!$C$25,Seguros_Oblig!$A$3:$B$55,2,FALSE))),(C40*(VLOOKUP(Remodelacion!$C$25,Seguros_Oblig!$A$3:$D$55,4,FALSE))))</f>
        <v>#VALUE!</v>
      </c>
      <c r="J41" s="10">
        <f t="shared" si="2"/>
        <v>0</v>
      </c>
      <c r="K41" s="7" t="e">
        <f>IF(RM!$D$11="Si",0,IF(C40&lt;1,"0",Seguros_Oblig!$K$2*Remodelacion!$C$12))</f>
        <v>#VALUE!</v>
      </c>
      <c r="L41" s="7" t="e">
        <f>PMT(Remodelacion!$E$17,Remodelacion!$C$18,-Remodelacion!$C$15,,)</f>
        <v>#VALUE!</v>
      </c>
      <c r="M41" s="9" t="e">
        <f t="shared" si="3"/>
        <v>#VALUE!</v>
      </c>
      <c r="N41" s="7" t="e">
        <f>IF(C40&lt;1,"0",Remodelacion!$C$38)</f>
        <v>#VALUE!</v>
      </c>
      <c r="O41" s="9" t="e">
        <f t="shared" si="4"/>
        <v>#VALUE!</v>
      </c>
    </row>
    <row r="42" spans="2:15" ht="15.5" x14ac:dyDescent="0.35">
      <c r="B42" s="6" t="e">
        <f t="shared" si="5"/>
        <v>#VALUE!</v>
      </c>
      <c r="C42" s="7" t="e">
        <f t="shared" si="0"/>
        <v>#VALUE!</v>
      </c>
      <c r="D42" s="7" t="e">
        <f t="shared" si="6"/>
        <v>#VALUE!</v>
      </c>
      <c r="E42" s="7" t="e">
        <f>C41*Remodelacion!$E$17</f>
        <v>#VALUE!</v>
      </c>
      <c r="F42" s="8" t="e">
        <f>+IF(Remodelacion!$D$26="Si",($C$17*(VLOOKUP(Remodelacion!$C$22,Seguros_Oblig!$A$3:$F$55,6,FALSE))),IF(Remodelacion!$C$10="TARIFA 1",(C41*(VLOOKUP(Remodelacion!$C$22,Seguros_Oblig!$A$3:$B$55,2,FALSE))),(C41*(VLOOKUP(Remodelacion!$C$22,Seguros_Oblig!$A$3:$D$55,4,FALSE)))))</f>
        <v>#VALUE!</v>
      </c>
      <c r="G42" s="8" t="e">
        <f>IF(Remodelacion!$C$10="TARIFA 1",(C41*(VLOOKUP(Remodelacion!$C$23,Seguros_Oblig!$A$3:$B$55,2,FALSE))),(C41*(VLOOKUP(Remodelacion!$C$23,Seguros_Oblig!$A$3:$D$55,4,FALSE))))</f>
        <v>#VALUE!</v>
      </c>
      <c r="H42" s="8" t="e">
        <f>IF(Remodelacion!$C$10="TARIFA 1",(C41*(VLOOKUP(Remodelacion!$C$24,Seguros_Oblig!$A$3:$B$55,2,FALSE))),(C41*(VLOOKUP(Remodelacion!$C$24,Seguros_Oblig!$A$3:$D$55,4,FALSE))))</f>
        <v>#VALUE!</v>
      </c>
      <c r="I42" s="8" t="e">
        <f>IF(Remodelacion!$C$10="TARIFA 1",(C41*(VLOOKUP(Remodelacion!$C$25,Seguros_Oblig!$A$3:$B$55,2,FALSE))),(C41*(VLOOKUP(Remodelacion!$C$25,Seguros_Oblig!$A$3:$D$55,4,FALSE))))</f>
        <v>#VALUE!</v>
      </c>
      <c r="J42" s="10">
        <f t="shared" si="2"/>
        <v>0</v>
      </c>
      <c r="K42" s="7" t="e">
        <f>IF(RM!$D$11="Si",0,IF(C41&lt;1,"0",Seguros_Oblig!$K$2*Remodelacion!$C$12))</f>
        <v>#VALUE!</v>
      </c>
      <c r="L42" s="7" t="e">
        <f>PMT(Remodelacion!$E$17,Remodelacion!$C$18,-Remodelacion!$C$15,,)</f>
        <v>#VALUE!</v>
      </c>
      <c r="M42" s="9" t="e">
        <f t="shared" si="3"/>
        <v>#VALUE!</v>
      </c>
      <c r="N42" s="7" t="e">
        <f>IF(C41&lt;1,"0",Remodelacion!$C$38)</f>
        <v>#VALUE!</v>
      </c>
      <c r="O42" s="9" t="e">
        <f t="shared" si="4"/>
        <v>#VALUE!</v>
      </c>
    </row>
    <row r="43" spans="2:15" ht="15.5" x14ac:dyDescent="0.35">
      <c r="B43" s="6" t="e">
        <f t="shared" si="5"/>
        <v>#VALUE!</v>
      </c>
      <c r="C43" s="7" t="e">
        <f t="shared" si="0"/>
        <v>#VALUE!</v>
      </c>
      <c r="D43" s="7" t="e">
        <f t="shared" si="6"/>
        <v>#VALUE!</v>
      </c>
      <c r="E43" s="7" t="e">
        <f>C42*Remodelacion!$E$17</f>
        <v>#VALUE!</v>
      </c>
      <c r="F43" s="8" t="e">
        <f>+IF(Remodelacion!$D$26="Si",($C$17*(VLOOKUP(Remodelacion!$C$22,Seguros_Oblig!$A$3:$F$55,6,FALSE))),IF(Remodelacion!$C$10="TARIFA 1",(C42*(VLOOKUP(Remodelacion!$C$22,Seguros_Oblig!$A$3:$B$55,2,FALSE))),(C42*(VLOOKUP(Remodelacion!$C$22,Seguros_Oblig!$A$3:$D$55,4,FALSE)))))</f>
        <v>#VALUE!</v>
      </c>
      <c r="G43" s="8" t="e">
        <f>IF(Remodelacion!$C$10="TARIFA 1",(C42*(VLOOKUP(Remodelacion!$C$23,Seguros_Oblig!$A$3:$B$55,2,FALSE))),(C42*(VLOOKUP(Remodelacion!$C$23,Seguros_Oblig!$A$3:$D$55,4,FALSE))))</f>
        <v>#VALUE!</v>
      </c>
      <c r="H43" s="8" t="e">
        <f>IF(Remodelacion!$C$10="TARIFA 1",(C42*(VLOOKUP(Remodelacion!$C$24,Seguros_Oblig!$A$3:$B$55,2,FALSE))),(C42*(VLOOKUP(Remodelacion!$C$24,Seguros_Oblig!$A$3:$D$55,4,FALSE))))</f>
        <v>#VALUE!</v>
      </c>
      <c r="I43" s="8" t="e">
        <f>IF(Remodelacion!$C$10="TARIFA 1",(C42*(VLOOKUP(Remodelacion!$C$25,Seguros_Oblig!$A$3:$B$55,2,FALSE))),(C42*(VLOOKUP(Remodelacion!$C$25,Seguros_Oblig!$A$3:$D$55,4,FALSE))))</f>
        <v>#VALUE!</v>
      </c>
      <c r="J43" s="10">
        <f t="shared" si="2"/>
        <v>0</v>
      </c>
      <c r="K43" s="7" t="e">
        <f>IF(RM!$D$11="Si",0,IF(C42&lt;1,"0",Seguros_Oblig!$K$2*Remodelacion!$C$12))</f>
        <v>#VALUE!</v>
      </c>
      <c r="L43" s="7" t="e">
        <f>PMT(Remodelacion!$E$17,Remodelacion!$C$18,-Remodelacion!$C$15,,)</f>
        <v>#VALUE!</v>
      </c>
      <c r="M43" s="9" t="e">
        <f t="shared" si="3"/>
        <v>#VALUE!</v>
      </c>
      <c r="N43" s="7" t="e">
        <f>IF(C42&lt;1,"0",Remodelacion!$C$38)</f>
        <v>#VALUE!</v>
      </c>
      <c r="O43" s="9" t="e">
        <f t="shared" si="4"/>
        <v>#VALUE!</v>
      </c>
    </row>
    <row r="44" spans="2:15" ht="15.5" x14ac:dyDescent="0.35">
      <c r="B44" s="6" t="e">
        <f t="shared" si="5"/>
        <v>#VALUE!</v>
      </c>
      <c r="C44" s="7" t="e">
        <f t="shared" si="0"/>
        <v>#VALUE!</v>
      </c>
      <c r="D44" s="7" t="e">
        <f t="shared" si="6"/>
        <v>#VALUE!</v>
      </c>
      <c r="E44" s="7" t="e">
        <f>C43*Remodelacion!$E$17</f>
        <v>#VALUE!</v>
      </c>
      <c r="F44" s="8" t="e">
        <f>+IF(Remodelacion!$D$26="Si",($C$17*(VLOOKUP(Remodelacion!$C$22,Seguros_Oblig!$A$3:$F$55,6,FALSE))),IF(Remodelacion!$C$10="TARIFA 1",(C43*(VLOOKUP(Remodelacion!$C$22,Seguros_Oblig!$A$3:$B$55,2,FALSE))),(C43*(VLOOKUP(Remodelacion!$C$22,Seguros_Oblig!$A$3:$D$55,4,FALSE)))))</f>
        <v>#VALUE!</v>
      </c>
      <c r="G44" s="8" t="e">
        <f>IF(Remodelacion!$C$10="TARIFA 1",(C43*(VLOOKUP(Remodelacion!$C$23,Seguros_Oblig!$A$3:$B$55,2,FALSE))),(C43*(VLOOKUP(Remodelacion!$C$23,Seguros_Oblig!$A$3:$D$55,4,FALSE))))</f>
        <v>#VALUE!</v>
      </c>
      <c r="H44" s="8" t="e">
        <f>IF(Remodelacion!$C$10="TARIFA 1",(C43*(VLOOKUP(Remodelacion!$C$24,Seguros_Oblig!$A$3:$B$55,2,FALSE))),(C43*(VLOOKUP(Remodelacion!$C$24,Seguros_Oblig!$A$3:$D$55,4,FALSE))))</f>
        <v>#VALUE!</v>
      </c>
      <c r="I44" s="8" t="e">
        <f>IF(Remodelacion!$C$10="TARIFA 1",(C43*(VLOOKUP(Remodelacion!$C$25,Seguros_Oblig!$A$3:$B$55,2,FALSE))),(C43*(VLOOKUP(Remodelacion!$C$25,Seguros_Oblig!$A$3:$D$55,4,FALSE))))</f>
        <v>#VALUE!</v>
      </c>
      <c r="J44" s="10">
        <f t="shared" si="2"/>
        <v>0</v>
      </c>
      <c r="K44" s="7" t="e">
        <f>IF(RM!$D$11="Si",0,IF(C43&lt;1,"0",Seguros_Oblig!$K$2*Remodelacion!$C$12))</f>
        <v>#VALUE!</v>
      </c>
      <c r="L44" s="7" t="e">
        <f>PMT(Remodelacion!$E$17,Remodelacion!$C$18,-Remodelacion!$C$15,,)</f>
        <v>#VALUE!</v>
      </c>
      <c r="M44" s="9" t="e">
        <f t="shared" si="3"/>
        <v>#VALUE!</v>
      </c>
      <c r="N44" s="7" t="e">
        <f>IF(C43&lt;1,"0",Remodelacion!$C$38)</f>
        <v>#VALUE!</v>
      </c>
      <c r="O44" s="9" t="e">
        <f t="shared" si="4"/>
        <v>#VALUE!</v>
      </c>
    </row>
    <row r="45" spans="2:15" ht="15.5" x14ac:dyDescent="0.35">
      <c r="B45" s="6" t="e">
        <f t="shared" si="5"/>
        <v>#VALUE!</v>
      </c>
      <c r="C45" s="7" t="e">
        <f t="shared" si="0"/>
        <v>#VALUE!</v>
      </c>
      <c r="D45" s="7" t="e">
        <f t="shared" si="6"/>
        <v>#VALUE!</v>
      </c>
      <c r="E45" s="7" t="e">
        <f>C44*Remodelacion!$E$17</f>
        <v>#VALUE!</v>
      </c>
      <c r="F45" s="8" t="e">
        <f>+IF(Remodelacion!$D$26="Si",($C$17*(VLOOKUP(Remodelacion!$C$22,Seguros_Oblig!$A$3:$F$55,6,FALSE))),IF(Remodelacion!$C$10="TARIFA 1",(C44*(VLOOKUP(Remodelacion!$C$22,Seguros_Oblig!$A$3:$B$55,2,FALSE))),(C44*(VLOOKUP(Remodelacion!$C$22,Seguros_Oblig!$A$3:$D$55,4,FALSE)))))</f>
        <v>#VALUE!</v>
      </c>
      <c r="G45" s="8" t="e">
        <f>IF(Remodelacion!$C$10="TARIFA 1",(C44*(VLOOKUP(Remodelacion!$C$23,Seguros_Oblig!$A$3:$B$55,2,FALSE))),(C44*(VLOOKUP(Remodelacion!$C$23,Seguros_Oblig!$A$3:$D$55,4,FALSE))))</f>
        <v>#VALUE!</v>
      </c>
      <c r="H45" s="8" t="e">
        <f>IF(Remodelacion!$C$10="TARIFA 1",(C44*(VLOOKUP(Remodelacion!$C$24,Seguros_Oblig!$A$3:$B$55,2,FALSE))),(C44*(VLOOKUP(Remodelacion!$C$24,Seguros_Oblig!$A$3:$D$55,4,FALSE))))</f>
        <v>#VALUE!</v>
      </c>
      <c r="I45" s="8" t="e">
        <f>IF(Remodelacion!$C$10="TARIFA 1",(C44*(VLOOKUP(Remodelacion!$C$25,Seguros_Oblig!$A$3:$B$55,2,FALSE))),(C44*(VLOOKUP(Remodelacion!$C$25,Seguros_Oblig!$A$3:$D$55,4,FALSE))))</f>
        <v>#VALUE!</v>
      </c>
      <c r="J45" s="10">
        <f t="shared" si="2"/>
        <v>0</v>
      </c>
      <c r="K45" s="7" t="e">
        <f>IF(RM!$D$11="Si",0,IF(C44&lt;1,"0",Seguros_Oblig!$K$2*Remodelacion!$C$12))</f>
        <v>#VALUE!</v>
      </c>
      <c r="L45" s="7" t="e">
        <f>PMT(Remodelacion!$E$17,Remodelacion!$C$18,-Remodelacion!$C$15,,)</f>
        <v>#VALUE!</v>
      </c>
      <c r="M45" s="9" t="e">
        <f t="shared" si="3"/>
        <v>#VALUE!</v>
      </c>
      <c r="N45" s="7" t="e">
        <f>IF(C44&lt;1,"0",Remodelacion!$C$38)</f>
        <v>#VALUE!</v>
      </c>
      <c r="O45" s="9" t="e">
        <f t="shared" si="4"/>
        <v>#VALUE!</v>
      </c>
    </row>
    <row r="46" spans="2:15" ht="15.5" x14ac:dyDescent="0.35">
      <c r="B46" s="6" t="e">
        <f t="shared" si="5"/>
        <v>#VALUE!</v>
      </c>
      <c r="C46" s="7" t="e">
        <f t="shared" si="0"/>
        <v>#VALUE!</v>
      </c>
      <c r="D46" s="7" t="e">
        <f t="shared" si="6"/>
        <v>#VALUE!</v>
      </c>
      <c r="E46" s="7" t="e">
        <f>C45*Remodelacion!$E$17</f>
        <v>#VALUE!</v>
      </c>
      <c r="F46" s="8" t="e">
        <f>+IF(Remodelacion!$D$26="Si",($C$17*(VLOOKUP(Remodelacion!$C$22,Seguros_Oblig!$A$3:$F$55,6,FALSE))),IF(Remodelacion!$C$10="TARIFA 1",(C45*(VLOOKUP(Remodelacion!$C$22,Seguros_Oblig!$A$3:$B$55,2,FALSE))),(C45*(VLOOKUP(Remodelacion!$C$22,Seguros_Oblig!$A$3:$D$55,4,FALSE)))))</f>
        <v>#VALUE!</v>
      </c>
      <c r="G46" s="8" t="e">
        <f>IF(Remodelacion!$C$10="TARIFA 1",(C45*(VLOOKUP(Remodelacion!$C$23,Seguros_Oblig!$A$3:$B$55,2,FALSE))),(C45*(VLOOKUP(Remodelacion!$C$23,Seguros_Oblig!$A$3:$D$55,4,FALSE))))</f>
        <v>#VALUE!</v>
      </c>
      <c r="H46" s="8" t="e">
        <f>IF(Remodelacion!$C$10="TARIFA 1",(C45*(VLOOKUP(Remodelacion!$C$24,Seguros_Oblig!$A$3:$B$55,2,FALSE))),(C45*(VLOOKUP(Remodelacion!$C$24,Seguros_Oblig!$A$3:$D$55,4,FALSE))))</f>
        <v>#VALUE!</v>
      </c>
      <c r="I46" s="8" t="e">
        <f>IF(Remodelacion!$C$10="TARIFA 1",(C45*(VLOOKUP(Remodelacion!$C$25,Seguros_Oblig!$A$3:$B$55,2,FALSE))),(C45*(VLOOKUP(Remodelacion!$C$25,Seguros_Oblig!$A$3:$D$55,4,FALSE))))</f>
        <v>#VALUE!</v>
      </c>
      <c r="J46" s="10">
        <f t="shared" si="2"/>
        <v>0</v>
      </c>
      <c r="K46" s="7" t="e">
        <f>IF(RM!$D$11="Si",0,IF(C45&lt;1,"0",Seguros_Oblig!$K$2*Remodelacion!$C$12))</f>
        <v>#VALUE!</v>
      </c>
      <c r="L46" s="7" t="e">
        <f>PMT(Remodelacion!$E$17,Remodelacion!$C$18,-Remodelacion!$C$15,,)</f>
        <v>#VALUE!</v>
      </c>
      <c r="M46" s="9" t="e">
        <f t="shared" si="3"/>
        <v>#VALUE!</v>
      </c>
      <c r="N46" s="7" t="e">
        <f>IF(C45&lt;1,"0",Remodelacion!$C$38)</f>
        <v>#VALUE!</v>
      </c>
      <c r="O46" s="9" t="e">
        <f t="shared" si="4"/>
        <v>#VALUE!</v>
      </c>
    </row>
    <row r="47" spans="2:15" ht="15.5" x14ac:dyDescent="0.35">
      <c r="B47" s="6" t="e">
        <f t="shared" si="5"/>
        <v>#VALUE!</v>
      </c>
      <c r="C47" s="7" t="e">
        <f t="shared" si="0"/>
        <v>#VALUE!</v>
      </c>
      <c r="D47" s="7" t="e">
        <f t="shared" si="6"/>
        <v>#VALUE!</v>
      </c>
      <c r="E47" s="7" t="e">
        <f>C46*Remodelacion!$E$17</f>
        <v>#VALUE!</v>
      </c>
      <c r="F47" s="8" t="e">
        <f>+IF(Remodelacion!$D$26="Si",($C$17*(VLOOKUP(Remodelacion!$C$22,Seguros_Oblig!$A$3:$F$55,6,FALSE))),IF(Remodelacion!$C$10="TARIFA 1",(C46*(VLOOKUP(Remodelacion!$C$22,Seguros_Oblig!$A$3:$B$55,2,FALSE))),(C46*(VLOOKUP(Remodelacion!$C$22,Seguros_Oblig!$A$3:$D$55,4,FALSE)))))</f>
        <v>#VALUE!</v>
      </c>
      <c r="G47" s="8" t="e">
        <f>IF(Remodelacion!$C$10="TARIFA 1",(C46*(VLOOKUP(Remodelacion!$C$23,Seguros_Oblig!$A$3:$B$55,2,FALSE))),(C46*(VLOOKUP(Remodelacion!$C$23,Seguros_Oblig!$A$3:$D$55,4,FALSE))))</f>
        <v>#VALUE!</v>
      </c>
      <c r="H47" s="8" t="e">
        <f>IF(Remodelacion!$C$10="TARIFA 1",(C46*(VLOOKUP(Remodelacion!$C$24,Seguros_Oblig!$A$3:$B$55,2,FALSE))),(C46*(VLOOKUP(Remodelacion!$C$24,Seguros_Oblig!$A$3:$D$55,4,FALSE))))</f>
        <v>#VALUE!</v>
      </c>
      <c r="I47" s="8" t="e">
        <f>IF(Remodelacion!$C$10="TARIFA 1",(C46*(VLOOKUP(Remodelacion!$C$25,Seguros_Oblig!$A$3:$B$55,2,FALSE))),(C46*(VLOOKUP(Remodelacion!$C$25,Seguros_Oblig!$A$3:$D$55,4,FALSE))))</f>
        <v>#VALUE!</v>
      </c>
      <c r="J47" s="10">
        <f t="shared" si="2"/>
        <v>0</v>
      </c>
      <c r="K47" s="7" t="e">
        <f>IF(RM!$D$11="Si",0,IF(C46&lt;1,"0",Seguros_Oblig!$K$2*Remodelacion!$C$12))</f>
        <v>#VALUE!</v>
      </c>
      <c r="L47" s="7" t="e">
        <f>PMT(Remodelacion!$E$17,Remodelacion!$C$18,-Remodelacion!$C$15,,)</f>
        <v>#VALUE!</v>
      </c>
      <c r="M47" s="9" t="e">
        <f t="shared" si="3"/>
        <v>#VALUE!</v>
      </c>
      <c r="N47" s="7" t="e">
        <f>IF(C46&lt;1,"0",Remodelacion!$C$38)</f>
        <v>#VALUE!</v>
      </c>
      <c r="O47" s="9" t="e">
        <f t="shared" si="4"/>
        <v>#VALUE!</v>
      </c>
    </row>
    <row r="48" spans="2:15" ht="15.5" x14ac:dyDescent="0.35">
      <c r="B48" s="6" t="e">
        <f t="shared" si="5"/>
        <v>#VALUE!</v>
      </c>
      <c r="C48" s="7" t="e">
        <f t="shared" si="0"/>
        <v>#VALUE!</v>
      </c>
      <c r="D48" s="7" t="e">
        <f t="shared" si="6"/>
        <v>#VALUE!</v>
      </c>
      <c r="E48" s="7" t="e">
        <f>C47*Remodelacion!$E$17</f>
        <v>#VALUE!</v>
      </c>
      <c r="F48" s="8" t="e">
        <f>+IF(Remodelacion!$D$26="Si",($C$17*(VLOOKUP(Remodelacion!$C$22,Seguros_Oblig!$A$3:$F$55,6,FALSE))),IF(Remodelacion!$C$10="TARIFA 1",(C47*(VLOOKUP(Remodelacion!$C$22,Seguros_Oblig!$A$3:$B$55,2,FALSE))),(C47*(VLOOKUP(Remodelacion!$C$22,Seguros_Oblig!$A$3:$D$55,4,FALSE)))))</f>
        <v>#VALUE!</v>
      </c>
      <c r="G48" s="8" t="e">
        <f>IF(Remodelacion!$C$10="TARIFA 1",(C47*(VLOOKUP(Remodelacion!$C$23,Seguros_Oblig!$A$3:$B$55,2,FALSE))),(C47*(VLOOKUP(Remodelacion!$C$23,Seguros_Oblig!$A$3:$D$55,4,FALSE))))</f>
        <v>#VALUE!</v>
      </c>
      <c r="H48" s="8" t="e">
        <f>IF(Remodelacion!$C$10="TARIFA 1",(C47*(VLOOKUP(Remodelacion!$C$24,Seguros_Oblig!$A$3:$B$55,2,FALSE))),(C47*(VLOOKUP(Remodelacion!$C$24,Seguros_Oblig!$A$3:$D$55,4,FALSE))))</f>
        <v>#VALUE!</v>
      </c>
      <c r="I48" s="8" t="e">
        <f>IF(Remodelacion!$C$10="TARIFA 1",(C47*(VLOOKUP(Remodelacion!$C$25,Seguros_Oblig!$A$3:$B$55,2,FALSE))),(C47*(VLOOKUP(Remodelacion!$C$25,Seguros_Oblig!$A$3:$D$55,4,FALSE))))</f>
        <v>#VALUE!</v>
      </c>
      <c r="J48" s="10">
        <f t="shared" si="2"/>
        <v>0</v>
      </c>
      <c r="K48" s="7" t="e">
        <f>IF(RM!$D$11="Si",0,IF(C47&lt;1,"0",Seguros_Oblig!$K$2*Remodelacion!$C$12))</f>
        <v>#VALUE!</v>
      </c>
      <c r="L48" s="7" t="e">
        <f>PMT(Remodelacion!$E$17,Remodelacion!$C$18,-Remodelacion!$C$15,,)</f>
        <v>#VALUE!</v>
      </c>
      <c r="M48" s="9" t="e">
        <f t="shared" si="3"/>
        <v>#VALUE!</v>
      </c>
      <c r="N48" s="7" t="e">
        <f>IF(C47&lt;1,"0",Remodelacion!$C$38)</f>
        <v>#VALUE!</v>
      </c>
      <c r="O48" s="9" t="e">
        <f t="shared" si="4"/>
        <v>#VALUE!</v>
      </c>
    </row>
    <row r="49" spans="2:15" ht="15.5" x14ac:dyDescent="0.35">
      <c r="B49" s="6" t="e">
        <f t="shared" si="5"/>
        <v>#VALUE!</v>
      </c>
      <c r="C49" s="7" t="e">
        <f t="shared" si="0"/>
        <v>#VALUE!</v>
      </c>
      <c r="D49" s="7" t="e">
        <f t="shared" si="6"/>
        <v>#VALUE!</v>
      </c>
      <c r="E49" s="7" t="e">
        <f>C48*Remodelacion!$E$17</f>
        <v>#VALUE!</v>
      </c>
      <c r="F49" s="8" t="e">
        <f>+IF(Remodelacion!$D$26="Si",($C$17*(VLOOKUP(Remodelacion!$C$22,Seguros_Oblig!$A$3:$F$55,6,FALSE))),IF(Remodelacion!$C$10="TARIFA 1",(C48*(VLOOKUP(Remodelacion!$C$22,Seguros_Oblig!$A$3:$B$55,2,FALSE))),(C48*(VLOOKUP(Remodelacion!$C$22,Seguros_Oblig!$A$3:$D$55,4,FALSE)))))</f>
        <v>#VALUE!</v>
      </c>
      <c r="G49" s="8" t="e">
        <f>IF(Remodelacion!$C$10="TARIFA 1",(C48*(VLOOKUP(Remodelacion!$C$23,Seguros_Oblig!$A$3:$B$55,2,FALSE))),(C48*(VLOOKUP(Remodelacion!$C$23,Seguros_Oblig!$A$3:$D$55,4,FALSE))))</f>
        <v>#VALUE!</v>
      </c>
      <c r="H49" s="8" t="e">
        <f>IF(Remodelacion!$C$10="TARIFA 1",(C48*(VLOOKUP(Remodelacion!$C$24,Seguros_Oblig!$A$3:$B$55,2,FALSE))),(C48*(VLOOKUP(Remodelacion!$C$24,Seguros_Oblig!$A$3:$D$55,4,FALSE))))</f>
        <v>#VALUE!</v>
      </c>
      <c r="I49" s="8" t="e">
        <f>IF(Remodelacion!$C$10="TARIFA 1",(C48*(VLOOKUP(Remodelacion!$C$25,Seguros_Oblig!$A$3:$B$55,2,FALSE))),(C48*(VLOOKUP(Remodelacion!$C$25,Seguros_Oblig!$A$3:$D$55,4,FALSE))))</f>
        <v>#VALUE!</v>
      </c>
      <c r="J49" s="10">
        <f t="shared" si="2"/>
        <v>0</v>
      </c>
      <c r="K49" s="7" t="e">
        <f>IF(RM!$D$11="Si",0,IF(C48&lt;1,"0",Seguros_Oblig!$K$2*Remodelacion!$C$12))</f>
        <v>#VALUE!</v>
      </c>
      <c r="L49" s="7" t="e">
        <f>PMT(Remodelacion!$E$17,Remodelacion!$C$18,-Remodelacion!$C$15,,)</f>
        <v>#VALUE!</v>
      </c>
      <c r="M49" s="9" t="e">
        <f t="shared" si="3"/>
        <v>#VALUE!</v>
      </c>
      <c r="N49" s="7" t="e">
        <f>IF(C48&lt;1,"0",Remodelacion!$C$38)</f>
        <v>#VALUE!</v>
      </c>
      <c r="O49" s="9" t="e">
        <f t="shared" si="4"/>
        <v>#VALUE!</v>
      </c>
    </row>
    <row r="50" spans="2:15" ht="15.5" x14ac:dyDescent="0.35">
      <c r="B50" s="6" t="e">
        <f t="shared" si="5"/>
        <v>#VALUE!</v>
      </c>
      <c r="C50" s="7" t="e">
        <f t="shared" si="0"/>
        <v>#VALUE!</v>
      </c>
      <c r="D50" s="7" t="e">
        <f t="shared" si="6"/>
        <v>#VALUE!</v>
      </c>
      <c r="E50" s="7" t="e">
        <f>C49*Remodelacion!$E$17</f>
        <v>#VALUE!</v>
      </c>
      <c r="F50" s="8" t="e">
        <f>+IF(Remodelacion!$D$26="Si",($C$17*(VLOOKUP(Remodelacion!$C$22,Seguros_Oblig!$A$3:$F$55,6,FALSE))),IF(Remodelacion!$C$10="TARIFA 1",(C49*(VLOOKUP(Remodelacion!$C$22,Seguros_Oblig!$A$3:$B$55,2,FALSE))),(C49*(VLOOKUP(Remodelacion!$C$22,Seguros_Oblig!$A$3:$D$55,4,FALSE)))))</f>
        <v>#VALUE!</v>
      </c>
      <c r="G50" s="8" t="e">
        <f>IF(Remodelacion!$C$10="TARIFA 1",(C49*(VLOOKUP(Remodelacion!$C$23,Seguros_Oblig!$A$3:$B$55,2,FALSE))),(C49*(VLOOKUP(Remodelacion!$C$23,Seguros_Oblig!$A$3:$D$55,4,FALSE))))</f>
        <v>#VALUE!</v>
      </c>
      <c r="H50" s="8" t="e">
        <f>IF(Remodelacion!$C$10="TARIFA 1",(C49*(VLOOKUP(Remodelacion!$C$24,Seguros_Oblig!$A$3:$B$55,2,FALSE))),(C49*(VLOOKUP(Remodelacion!$C$24,Seguros_Oblig!$A$3:$D$55,4,FALSE))))</f>
        <v>#VALUE!</v>
      </c>
      <c r="I50" s="8" t="e">
        <f>IF(Remodelacion!$C$10="TARIFA 1",(C49*(VLOOKUP(Remodelacion!$C$25,Seguros_Oblig!$A$3:$B$55,2,FALSE))),(C49*(VLOOKUP(Remodelacion!$C$25,Seguros_Oblig!$A$3:$D$55,4,FALSE))))</f>
        <v>#VALUE!</v>
      </c>
      <c r="J50" s="10">
        <f t="shared" si="2"/>
        <v>0</v>
      </c>
      <c r="K50" s="7" t="e">
        <f>IF(RM!$D$11="Si",0,IF(C49&lt;1,"0",Seguros_Oblig!$K$2*Remodelacion!$C$12))</f>
        <v>#VALUE!</v>
      </c>
      <c r="L50" s="7" t="e">
        <f>PMT(Remodelacion!$E$17,Remodelacion!$C$18,-Remodelacion!$C$15,,)</f>
        <v>#VALUE!</v>
      </c>
      <c r="M50" s="9" t="e">
        <f t="shared" si="3"/>
        <v>#VALUE!</v>
      </c>
      <c r="N50" s="7" t="e">
        <f>IF(C49&lt;1,"0",Remodelacion!$C$38)</f>
        <v>#VALUE!</v>
      </c>
      <c r="O50" s="9" t="e">
        <f t="shared" si="4"/>
        <v>#VALUE!</v>
      </c>
    </row>
    <row r="51" spans="2:15" ht="15.5" x14ac:dyDescent="0.35">
      <c r="B51" s="6" t="e">
        <f t="shared" si="5"/>
        <v>#VALUE!</v>
      </c>
      <c r="C51" s="7" t="e">
        <f t="shared" si="0"/>
        <v>#VALUE!</v>
      </c>
      <c r="D51" s="7" t="e">
        <f t="shared" si="6"/>
        <v>#VALUE!</v>
      </c>
      <c r="E51" s="7" t="e">
        <f>C50*Remodelacion!$E$17</f>
        <v>#VALUE!</v>
      </c>
      <c r="F51" s="8" t="e">
        <f>+IF(Remodelacion!$D$26="Si",($C$17*(VLOOKUP(Remodelacion!$C$22,Seguros_Oblig!$A$3:$F$55,6,FALSE))),IF(Remodelacion!$C$10="TARIFA 1",(C50*(VLOOKUP(Remodelacion!$C$22,Seguros_Oblig!$A$3:$B$55,2,FALSE))),(C50*(VLOOKUP(Remodelacion!$C$22,Seguros_Oblig!$A$3:$D$55,4,FALSE)))))</f>
        <v>#VALUE!</v>
      </c>
      <c r="G51" s="8" t="e">
        <f>IF(Remodelacion!$C$10="TARIFA 1",(C50*(VLOOKUP(Remodelacion!$C$23,Seguros_Oblig!$A$3:$B$55,2,FALSE))),(C50*(VLOOKUP(Remodelacion!$C$23,Seguros_Oblig!$A$3:$D$55,4,FALSE))))</f>
        <v>#VALUE!</v>
      </c>
      <c r="H51" s="8" t="e">
        <f>IF(Remodelacion!$C$10="TARIFA 1",(C50*(VLOOKUP(Remodelacion!$C$24,Seguros_Oblig!$A$3:$B$55,2,FALSE))),(C50*(VLOOKUP(Remodelacion!$C$24,Seguros_Oblig!$A$3:$D$55,4,FALSE))))</f>
        <v>#VALUE!</v>
      </c>
      <c r="I51" s="8" t="e">
        <f>IF(Remodelacion!$C$10="TARIFA 1",(C50*(VLOOKUP(Remodelacion!$C$25,Seguros_Oblig!$A$3:$B$55,2,FALSE))),(C50*(VLOOKUP(Remodelacion!$C$25,Seguros_Oblig!$A$3:$D$55,4,FALSE))))</f>
        <v>#VALUE!</v>
      </c>
      <c r="J51" s="10">
        <f t="shared" si="2"/>
        <v>0</v>
      </c>
      <c r="K51" s="7" t="e">
        <f>IF(RM!$D$11="Si",0,IF(C50&lt;1,"0",Seguros_Oblig!$K$2*Remodelacion!$C$12))</f>
        <v>#VALUE!</v>
      </c>
      <c r="L51" s="7" t="e">
        <f>PMT(Remodelacion!$E$17,Remodelacion!$C$18,-Remodelacion!$C$15,,)</f>
        <v>#VALUE!</v>
      </c>
      <c r="M51" s="9" t="e">
        <f t="shared" si="3"/>
        <v>#VALUE!</v>
      </c>
      <c r="N51" s="7" t="e">
        <f>IF(C50&lt;1,"0",Remodelacion!$C$38)</f>
        <v>#VALUE!</v>
      </c>
      <c r="O51" s="9" t="e">
        <f t="shared" si="4"/>
        <v>#VALUE!</v>
      </c>
    </row>
    <row r="52" spans="2:15" ht="15.5" x14ac:dyDescent="0.35">
      <c r="B52" s="6" t="e">
        <f t="shared" si="5"/>
        <v>#VALUE!</v>
      </c>
      <c r="C52" s="7" t="e">
        <f t="shared" si="0"/>
        <v>#VALUE!</v>
      </c>
      <c r="D52" s="7" t="e">
        <f t="shared" si="6"/>
        <v>#VALUE!</v>
      </c>
      <c r="E52" s="7" t="e">
        <f>C51*Remodelacion!$E$17</f>
        <v>#VALUE!</v>
      </c>
      <c r="F52" s="8" t="e">
        <f>+IF(Remodelacion!$D$26="Si",($C$17*(VLOOKUP(Remodelacion!$C$22,Seguros_Oblig!$A$3:$F$55,6,FALSE))),IF(Remodelacion!$C$10="TARIFA 1",(C51*(VLOOKUP(Remodelacion!$C$22,Seguros_Oblig!$A$3:$B$55,2,FALSE))),(C51*(VLOOKUP(Remodelacion!$C$22,Seguros_Oblig!$A$3:$D$55,4,FALSE)))))</f>
        <v>#VALUE!</v>
      </c>
      <c r="G52" s="8" t="e">
        <f>IF(Remodelacion!$C$10="TARIFA 1",(C51*(VLOOKUP(Remodelacion!$C$23,Seguros_Oblig!$A$3:$B$55,2,FALSE))),(C51*(VLOOKUP(Remodelacion!$C$23,Seguros_Oblig!$A$3:$D$55,4,FALSE))))</f>
        <v>#VALUE!</v>
      </c>
      <c r="H52" s="8" t="e">
        <f>IF(Remodelacion!$C$10="TARIFA 1",(C51*(VLOOKUP(Remodelacion!$C$24,Seguros_Oblig!$A$3:$B$55,2,FALSE))),(C51*(VLOOKUP(Remodelacion!$C$24,Seguros_Oblig!$A$3:$D$55,4,FALSE))))</f>
        <v>#VALUE!</v>
      </c>
      <c r="I52" s="8" t="e">
        <f>IF(Remodelacion!$C$10="TARIFA 1",(C51*(VLOOKUP(Remodelacion!$C$25,Seguros_Oblig!$A$3:$B$55,2,FALSE))),(C51*(VLOOKUP(Remodelacion!$C$25,Seguros_Oblig!$A$3:$D$55,4,FALSE))))</f>
        <v>#VALUE!</v>
      </c>
      <c r="J52" s="10">
        <f t="shared" si="2"/>
        <v>0</v>
      </c>
      <c r="K52" s="7" t="e">
        <f>IF(RM!$D$11="Si",0,IF(C51&lt;1,"0",Seguros_Oblig!$K$2*Remodelacion!$C$12))</f>
        <v>#VALUE!</v>
      </c>
      <c r="L52" s="7" t="e">
        <f>PMT(Remodelacion!$E$17,Remodelacion!$C$18,-Remodelacion!$C$15,,)</f>
        <v>#VALUE!</v>
      </c>
      <c r="M52" s="9" t="e">
        <f t="shared" si="3"/>
        <v>#VALUE!</v>
      </c>
      <c r="N52" s="7" t="e">
        <f>IF(C51&lt;1,"0",Remodelacion!$C$38)</f>
        <v>#VALUE!</v>
      </c>
      <c r="O52" s="9" t="e">
        <f t="shared" si="4"/>
        <v>#VALUE!</v>
      </c>
    </row>
    <row r="53" spans="2:15" ht="15.5" x14ac:dyDescent="0.35">
      <c r="B53" s="6" t="e">
        <f t="shared" si="5"/>
        <v>#VALUE!</v>
      </c>
      <c r="C53" s="7" t="e">
        <f t="shared" si="0"/>
        <v>#VALUE!</v>
      </c>
      <c r="D53" s="7" t="e">
        <f t="shared" si="6"/>
        <v>#VALUE!</v>
      </c>
      <c r="E53" s="7" t="e">
        <f>C52*Remodelacion!$E$17</f>
        <v>#VALUE!</v>
      </c>
      <c r="F53" s="8" t="e">
        <f>+IF(Remodelacion!$D$26="Si",($C$17*(VLOOKUP(Remodelacion!$C$22,Seguros_Oblig!$A$3:$F$55,6,FALSE))),IF(Remodelacion!$C$10="TARIFA 1",(C52*(VLOOKUP(Remodelacion!$C$22,Seguros_Oblig!$A$3:$B$55,2,FALSE))),(C52*(VLOOKUP(Remodelacion!$C$22,Seguros_Oblig!$A$3:$D$55,4,FALSE)))))</f>
        <v>#VALUE!</v>
      </c>
      <c r="G53" s="8" t="e">
        <f>IF(Remodelacion!$C$10="TARIFA 1",(C52*(VLOOKUP(Remodelacion!$C$23,Seguros_Oblig!$A$3:$B$55,2,FALSE))),(C52*(VLOOKUP(Remodelacion!$C$23,Seguros_Oblig!$A$3:$D$55,4,FALSE))))</f>
        <v>#VALUE!</v>
      </c>
      <c r="H53" s="8" t="e">
        <f>IF(Remodelacion!$C$10="TARIFA 1",(C52*(VLOOKUP(Remodelacion!$C$24,Seguros_Oblig!$A$3:$B$55,2,FALSE))),(C52*(VLOOKUP(Remodelacion!$C$24,Seguros_Oblig!$A$3:$D$55,4,FALSE))))</f>
        <v>#VALUE!</v>
      </c>
      <c r="I53" s="8" t="e">
        <f>IF(Remodelacion!$C$10="TARIFA 1",(C52*(VLOOKUP(Remodelacion!$C$25,Seguros_Oblig!$A$3:$B$55,2,FALSE))),(C52*(VLOOKUP(Remodelacion!$C$25,Seguros_Oblig!$A$3:$D$55,4,FALSE))))</f>
        <v>#VALUE!</v>
      </c>
      <c r="J53" s="10">
        <f t="shared" si="2"/>
        <v>0</v>
      </c>
      <c r="K53" s="7" t="e">
        <f>IF(RM!$D$11="Si",0,IF(C52&lt;1,"0",Seguros_Oblig!$K$2*Remodelacion!$C$12))</f>
        <v>#VALUE!</v>
      </c>
      <c r="L53" s="7" t="e">
        <f>PMT(Remodelacion!$E$17,Remodelacion!$C$18,-Remodelacion!$C$15,,)</f>
        <v>#VALUE!</v>
      </c>
      <c r="M53" s="9" t="e">
        <f t="shared" si="3"/>
        <v>#VALUE!</v>
      </c>
      <c r="N53" s="7" t="e">
        <f>IF(C52&lt;1,"0",Remodelacion!$C$38)</f>
        <v>#VALUE!</v>
      </c>
      <c r="O53" s="9" t="e">
        <f t="shared" si="4"/>
        <v>#VALUE!</v>
      </c>
    </row>
    <row r="54" spans="2:15" ht="15.5" x14ac:dyDescent="0.35">
      <c r="B54" s="6" t="e">
        <f t="shared" si="5"/>
        <v>#VALUE!</v>
      </c>
      <c r="C54" s="7" t="e">
        <f t="shared" si="0"/>
        <v>#VALUE!</v>
      </c>
      <c r="D54" s="7" t="e">
        <f t="shared" si="6"/>
        <v>#VALUE!</v>
      </c>
      <c r="E54" s="7" t="e">
        <f>C53*Remodelacion!$E$17</f>
        <v>#VALUE!</v>
      </c>
      <c r="F54" s="8" t="e">
        <f>+IF(Remodelacion!$D$26="Si",($C$17*(VLOOKUP(Remodelacion!$C$22,Seguros_Oblig!$A$3:$F$55,6,FALSE))),IF(Remodelacion!$C$10="TARIFA 1",(C53*(VLOOKUP(Remodelacion!$C$22,Seguros_Oblig!$A$3:$B$55,2,FALSE))),(C53*(VLOOKUP(Remodelacion!$C$22,Seguros_Oblig!$A$3:$D$55,4,FALSE)))))</f>
        <v>#VALUE!</v>
      </c>
      <c r="G54" s="8" t="e">
        <f>IF(Remodelacion!$C$10="TARIFA 1",(C53*(VLOOKUP(Remodelacion!$C$23,Seguros_Oblig!$A$3:$B$55,2,FALSE))),(C53*(VLOOKUP(Remodelacion!$C$23,Seguros_Oblig!$A$3:$D$55,4,FALSE))))</f>
        <v>#VALUE!</v>
      </c>
      <c r="H54" s="8" t="e">
        <f>IF(Remodelacion!$C$10="TARIFA 1",(C53*(VLOOKUP(Remodelacion!$C$24,Seguros_Oblig!$A$3:$B$55,2,FALSE))),(C53*(VLOOKUP(Remodelacion!$C$24,Seguros_Oblig!$A$3:$D$55,4,FALSE))))</f>
        <v>#VALUE!</v>
      </c>
      <c r="I54" s="8" t="e">
        <f>IF(Remodelacion!$C$10="TARIFA 1",(C53*(VLOOKUP(Remodelacion!$C$25,Seguros_Oblig!$A$3:$B$55,2,FALSE))),(C53*(VLOOKUP(Remodelacion!$C$25,Seguros_Oblig!$A$3:$D$55,4,FALSE))))</f>
        <v>#VALUE!</v>
      </c>
      <c r="J54" s="10">
        <f t="shared" si="2"/>
        <v>0</v>
      </c>
      <c r="K54" s="7" t="e">
        <f>IF(RM!$D$11="Si",0,IF(C53&lt;1,"0",Seguros_Oblig!$K$2*Remodelacion!$C$12))</f>
        <v>#VALUE!</v>
      </c>
      <c r="L54" s="7" t="e">
        <f>PMT(Remodelacion!$E$17,Remodelacion!$C$18,-Remodelacion!$C$15,,)</f>
        <v>#VALUE!</v>
      </c>
      <c r="M54" s="9" t="e">
        <f t="shared" si="3"/>
        <v>#VALUE!</v>
      </c>
      <c r="N54" s="7" t="e">
        <f>IF(C53&lt;1,"0",Remodelacion!$C$38)</f>
        <v>#VALUE!</v>
      </c>
      <c r="O54" s="9" t="e">
        <f t="shared" si="4"/>
        <v>#VALUE!</v>
      </c>
    </row>
    <row r="55" spans="2:15" ht="15.5" x14ac:dyDescent="0.35">
      <c r="B55" s="6" t="e">
        <f t="shared" si="5"/>
        <v>#VALUE!</v>
      </c>
      <c r="C55" s="7" t="e">
        <f t="shared" si="0"/>
        <v>#VALUE!</v>
      </c>
      <c r="D55" s="7" t="e">
        <f t="shared" si="6"/>
        <v>#VALUE!</v>
      </c>
      <c r="E55" s="7" t="e">
        <f>C54*Remodelacion!$E$17</f>
        <v>#VALUE!</v>
      </c>
      <c r="F55" s="8" t="e">
        <f>+IF(Remodelacion!$D$26="Si",($C$17*(VLOOKUP(Remodelacion!$C$22,Seguros_Oblig!$A$3:$F$55,6,FALSE))),IF(Remodelacion!$C$10="TARIFA 1",(C54*(VLOOKUP(Remodelacion!$C$22,Seguros_Oblig!$A$3:$B$55,2,FALSE))),(C54*(VLOOKUP(Remodelacion!$C$22,Seguros_Oblig!$A$3:$D$55,4,FALSE)))))</f>
        <v>#VALUE!</v>
      </c>
      <c r="G55" s="8" t="e">
        <f>IF(Remodelacion!$C$10="TARIFA 1",(C54*(VLOOKUP(Remodelacion!$C$23,Seguros_Oblig!$A$3:$B$55,2,FALSE))),(C54*(VLOOKUP(Remodelacion!$C$23,Seguros_Oblig!$A$3:$D$55,4,FALSE))))</f>
        <v>#VALUE!</v>
      </c>
      <c r="H55" s="8" t="e">
        <f>IF(Remodelacion!$C$10="TARIFA 1",(C54*(VLOOKUP(Remodelacion!$C$24,Seguros_Oblig!$A$3:$B$55,2,FALSE))),(C54*(VLOOKUP(Remodelacion!$C$24,Seguros_Oblig!$A$3:$D$55,4,FALSE))))</f>
        <v>#VALUE!</v>
      </c>
      <c r="I55" s="8" t="e">
        <f>IF(Remodelacion!$C$10="TARIFA 1",(C54*(VLOOKUP(Remodelacion!$C$25,Seguros_Oblig!$A$3:$B$55,2,FALSE))),(C54*(VLOOKUP(Remodelacion!$C$25,Seguros_Oblig!$A$3:$D$55,4,FALSE))))</f>
        <v>#VALUE!</v>
      </c>
      <c r="J55" s="10">
        <f t="shared" si="2"/>
        <v>0</v>
      </c>
      <c r="K55" s="7" t="e">
        <f>IF(RM!$D$11="Si",0,IF(C54&lt;1,"0",Seguros_Oblig!$K$2*Remodelacion!$C$12))</f>
        <v>#VALUE!</v>
      </c>
      <c r="L55" s="7" t="e">
        <f>PMT(Remodelacion!$E$17,Remodelacion!$C$18,-Remodelacion!$C$15,,)</f>
        <v>#VALUE!</v>
      </c>
      <c r="M55" s="9" t="e">
        <f t="shared" si="3"/>
        <v>#VALUE!</v>
      </c>
      <c r="N55" s="7" t="e">
        <f>IF(C54&lt;1,"0",Remodelacion!$C$38)</f>
        <v>#VALUE!</v>
      </c>
      <c r="O55" s="9" t="e">
        <f t="shared" si="4"/>
        <v>#VALUE!</v>
      </c>
    </row>
    <row r="56" spans="2:15" ht="15.5" x14ac:dyDescent="0.35">
      <c r="B56" s="6" t="e">
        <f t="shared" si="5"/>
        <v>#VALUE!</v>
      </c>
      <c r="C56" s="7" t="e">
        <f t="shared" si="0"/>
        <v>#VALUE!</v>
      </c>
      <c r="D56" s="7" t="e">
        <f t="shared" si="6"/>
        <v>#VALUE!</v>
      </c>
      <c r="E56" s="7" t="e">
        <f>C55*Remodelacion!$E$17</f>
        <v>#VALUE!</v>
      </c>
      <c r="F56" s="8" t="e">
        <f>+IF(Remodelacion!$D$26="Si",($C$17*(VLOOKUP(Remodelacion!$C$22,Seguros_Oblig!$A$3:$F$55,6,FALSE))),IF(Remodelacion!$C$10="TARIFA 1",(C55*(VLOOKUP(Remodelacion!$C$22,Seguros_Oblig!$A$3:$B$55,2,FALSE))),(C55*(VLOOKUP(Remodelacion!$C$22,Seguros_Oblig!$A$3:$D$55,4,FALSE)))))</f>
        <v>#VALUE!</v>
      </c>
      <c r="G56" s="8" t="e">
        <f>IF(Remodelacion!$C$10="TARIFA 1",(C55*(VLOOKUP(Remodelacion!$C$23,Seguros_Oblig!$A$3:$B$55,2,FALSE))),(C55*(VLOOKUP(Remodelacion!$C$23,Seguros_Oblig!$A$3:$D$55,4,FALSE))))</f>
        <v>#VALUE!</v>
      </c>
      <c r="H56" s="8" t="e">
        <f>IF(Remodelacion!$C$10="TARIFA 1",(C55*(VLOOKUP(Remodelacion!$C$24,Seguros_Oblig!$A$3:$B$55,2,FALSE))),(C55*(VLOOKUP(Remodelacion!$C$24,Seguros_Oblig!$A$3:$D$55,4,FALSE))))</f>
        <v>#VALUE!</v>
      </c>
      <c r="I56" s="8" t="e">
        <f>IF(Remodelacion!$C$10="TARIFA 1",(C55*(VLOOKUP(Remodelacion!$C$25,Seguros_Oblig!$A$3:$B$55,2,FALSE))),(C55*(VLOOKUP(Remodelacion!$C$25,Seguros_Oblig!$A$3:$D$55,4,FALSE))))</f>
        <v>#VALUE!</v>
      </c>
      <c r="J56" s="10">
        <f t="shared" si="2"/>
        <v>0</v>
      </c>
      <c r="K56" s="7" t="e">
        <f>IF(RM!$D$11="Si",0,IF(C55&lt;1,"0",Seguros_Oblig!$K$2*Remodelacion!$C$12))</f>
        <v>#VALUE!</v>
      </c>
      <c r="L56" s="7" t="e">
        <f>PMT(Remodelacion!$E$17,Remodelacion!$C$18,-Remodelacion!$C$15,,)</f>
        <v>#VALUE!</v>
      </c>
      <c r="M56" s="9" t="e">
        <f t="shared" si="3"/>
        <v>#VALUE!</v>
      </c>
      <c r="N56" s="7" t="e">
        <f>IF(C55&lt;1,"0",Remodelacion!$C$38)</f>
        <v>#VALUE!</v>
      </c>
      <c r="O56" s="9" t="e">
        <f t="shared" si="4"/>
        <v>#VALUE!</v>
      </c>
    </row>
    <row r="57" spans="2:15" ht="15.5" x14ac:dyDescent="0.35">
      <c r="B57" s="6" t="e">
        <f t="shared" si="5"/>
        <v>#VALUE!</v>
      </c>
      <c r="C57" s="7" t="e">
        <f t="shared" si="0"/>
        <v>#VALUE!</v>
      </c>
      <c r="D57" s="7" t="e">
        <f t="shared" si="6"/>
        <v>#VALUE!</v>
      </c>
      <c r="E57" s="7" t="e">
        <f>C56*Remodelacion!$E$17</f>
        <v>#VALUE!</v>
      </c>
      <c r="F57" s="8" t="e">
        <f>+IF(Remodelacion!$D$26="Si",($C$17*(VLOOKUP(Remodelacion!$C$22,Seguros_Oblig!$A$3:$F$55,6,FALSE))),IF(Remodelacion!$C$10="TARIFA 1",(C56*(VLOOKUP(Remodelacion!$C$22,Seguros_Oblig!$A$3:$B$55,2,FALSE))),(C56*(VLOOKUP(Remodelacion!$C$22,Seguros_Oblig!$A$3:$D$55,4,FALSE)))))</f>
        <v>#VALUE!</v>
      </c>
      <c r="G57" s="8" t="e">
        <f>IF(Remodelacion!$C$10="TARIFA 1",(C56*(VLOOKUP(Remodelacion!$C$23,Seguros_Oblig!$A$3:$B$55,2,FALSE))),(C56*(VLOOKUP(Remodelacion!$C$23,Seguros_Oblig!$A$3:$D$55,4,FALSE))))</f>
        <v>#VALUE!</v>
      </c>
      <c r="H57" s="8" t="e">
        <f>IF(Remodelacion!$C$10="TARIFA 1",(C56*(VLOOKUP(Remodelacion!$C$24,Seguros_Oblig!$A$3:$B$55,2,FALSE))),(C56*(VLOOKUP(Remodelacion!$C$24,Seguros_Oblig!$A$3:$D$55,4,FALSE))))</f>
        <v>#VALUE!</v>
      </c>
      <c r="I57" s="8" t="e">
        <f>IF(Remodelacion!$C$10="TARIFA 1",(C56*(VLOOKUP(Remodelacion!$C$25,Seguros_Oblig!$A$3:$B$55,2,FALSE))),(C56*(VLOOKUP(Remodelacion!$C$25,Seguros_Oblig!$A$3:$D$55,4,FALSE))))</f>
        <v>#VALUE!</v>
      </c>
      <c r="J57" s="10">
        <f t="shared" si="2"/>
        <v>0</v>
      </c>
      <c r="K57" s="7" t="e">
        <f>IF(RM!$D$11="Si",0,IF(C56&lt;1,"0",Seguros_Oblig!$K$2*Remodelacion!$C$12))</f>
        <v>#VALUE!</v>
      </c>
      <c r="L57" s="7" t="e">
        <f>PMT(Remodelacion!$E$17,Remodelacion!$C$18,-Remodelacion!$C$15,,)</f>
        <v>#VALUE!</v>
      </c>
      <c r="M57" s="9" t="e">
        <f t="shared" si="3"/>
        <v>#VALUE!</v>
      </c>
      <c r="N57" s="7" t="e">
        <f>IF(C56&lt;1,"0",Remodelacion!$C$38)</f>
        <v>#VALUE!</v>
      </c>
      <c r="O57" s="9" t="e">
        <f t="shared" si="4"/>
        <v>#VALUE!</v>
      </c>
    </row>
    <row r="58" spans="2:15" ht="15.5" x14ac:dyDescent="0.35">
      <c r="B58" s="6" t="e">
        <f t="shared" si="5"/>
        <v>#VALUE!</v>
      </c>
      <c r="C58" s="7" t="e">
        <f t="shared" si="0"/>
        <v>#VALUE!</v>
      </c>
      <c r="D58" s="7" t="e">
        <f t="shared" si="6"/>
        <v>#VALUE!</v>
      </c>
      <c r="E58" s="7" t="e">
        <f>C57*Remodelacion!$E$17</f>
        <v>#VALUE!</v>
      </c>
      <c r="F58" s="8" t="e">
        <f>+IF(Remodelacion!$D$26="Si",($C$17*(VLOOKUP(Remodelacion!$C$22,Seguros_Oblig!$A$3:$F$55,6,FALSE))),IF(Remodelacion!$C$10="TARIFA 1",(C57*(VLOOKUP(Remodelacion!$C$22,Seguros_Oblig!$A$3:$B$55,2,FALSE))),(C57*(VLOOKUP(Remodelacion!$C$22,Seguros_Oblig!$A$3:$D$55,4,FALSE)))))</f>
        <v>#VALUE!</v>
      </c>
      <c r="G58" s="8" t="e">
        <f>IF(Remodelacion!$C$10="TARIFA 1",(C57*(VLOOKUP(Remodelacion!$C$23,Seguros_Oblig!$A$3:$B$55,2,FALSE))),(C57*(VLOOKUP(Remodelacion!$C$23,Seguros_Oblig!$A$3:$D$55,4,FALSE))))</f>
        <v>#VALUE!</v>
      </c>
      <c r="H58" s="8" t="e">
        <f>IF(Remodelacion!$C$10="TARIFA 1",(C57*(VLOOKUP(Remodelacion!$C$24,Seguros_Oblig!$A$3:$B$55,2,FALSE))),(C57*(VLOOKUP(Remodelacion!$C$24,Seguros_Oblig!$A$3:$D$55,4,FALSE))))</f>
        <v>#VALUE!</v>
      </c>
      <c r="I58" s="8" t="e">
        <f>IF(Remodelacion!$C$10="TARIFA 1",(C57*(VLOOKUP(Remodelacion!$C$25,Seguros_Oblig!$A$3:$B$55,2,FALSE))),(C57*(VLOOKUP(Remodelacion!$C$25,Seguros_Oblig!$A$3:$D$55,4,FALSE))))</f>
        <v>#VALUE!</v>
      </c>
      <c r="J58" s="10">
        <f t="shared" si="2"/>
        <v>0</v>
      </c>
      <c r="K58" s="7" t="e">
        <f>IF(RM!$D$11="Si",0,IF(C57&lt;1,"0",Seguros_Oblig!$K$2*Remodelacion!$C$12))</f>
        <v>#VALUE!</v>
      </c>
      <c r="L58" s="7" t="e">
        <f>PMT(Remodelacion!$E$17,Remodelacion!$C$18,-Remodelacion!$C$15,,)</f>
        <v>#VALUE!</v>
      </c>
      <c r="M58" s="9" t="e">
        <f t="shared" si="3"/>
        <v>#VALUE!</v>
      </c>
      <c r="N58" s="7" t="e">
        <f>IF(C57&lt;1,"0",Remodelacion!$C$38)</f>
        <v>#VALUE!</v>
      </c>
      <c r="O58" s="9" t="e">
        <f t="shared" si="4"/>
        <v>#VALUE!</v>
      </c>
    </row>
    <row r="59" spans="2:15" ht="15.5" x14ac:dyDescent="0.35">
      <c r="B59" s="6" t="e">
        <f t="shared" si="5"/>
        <v>#VALUE!</v>
      </c>
      <c r="C59" s="7" t="e">
        <f t="shared" si="0"/>
        <v>#VALUE!</v>
      </c>
      <c r="D59" s="7" t="e">
        <f t="shared" si="6"/>
        <v>#VALUE!</v>
      </c>
      <c r="E59" s="7" t="e">
        <f>C58*Remodelacion!$E$17</f>
        <v>#VALUE!</v>
      </c>
      <c r="F59" s="8" t="e">
        <f>+IF(Remodelacion!$D$26="Si",($C$17*(VLOOKUP(Remodelacion!$C$22,Seguros_Oblig!$A$3:$F$55,6,FALSE))),IF(Remodelacion!$C$10="TARIFA 1",(C58*(VLOOKUP(Remodelacion!$C$22,Seguros_Oblig!$A$3:$B$55,2,FALSE))),(C58*(VLOOKUP(Remodelacion!$C$22,Seguros_Oblig!$A$3:$D$55,4,FALSE)))))</f>
        <v>#VALUE!</v>
      </c>
      <c r="G59" s="8" t="e">
        <f>IF(Remodelacion!$C$10="TARIFA 1",(C58*(VLOOKUP(Remodelacion!$C$23,Seguros_Oblig!$A$3:$B$55,2,FALSE))),(C58*(VLOOKUP(Remodelacion!$C$23,Seguros_Oblig!$A$3:$D$55,4,FALSE))))</f>
        <v>#VALUE!</v>
      </c>
      <c r="H59" s="8" t="e">
        <f>IF(Remodelacion!$C$10="TARIFA 1",(C58*(VLOOKUP(Remodelacion!$C$24,Seguros_Oblig!$A$3:$B$55,2,FALSE))),(C58*(VLOOKUP(Remodelacion!$C$24,Seguros_Oblig!$A$3:$D$55,4,FALSE))))</f>
        <v>#VALUE!</v>
      </c>
      <c r="I59" s="8" t="e">
        <f>IF(Remodelacion!$C$10="TARIFA 1",(C58*(VLOOKUP(Remodelacion!$C$25,Seguros_Oblig!$A$3:$B$55,2,FALSE))),(C58*(VLOOKUP(Remodelacion!$C$25,Seguros_Oblig!$A$3:$D$55,4,FALSE))))</f>
        <v>#VALUE!</v>
      </c>
      <c r="J59" s="10">
        <f t="shared" si="2"/>
        <v>0</v>
      </c>
      <c r="K59" s="7" t="e">
        <f>IF(RM!$D$11="Si",0,IF(C58&lt;1,"0",Seguros_Oblig!$K$2*Remodelacion!$C$12))</f>
        <v>#VALUE!</v>
      </c>
      <c r="L59" s="7" t="e">
        <f>PMT(Remodelacion!$E$17,Remodelacion!$C$18,-Remodelacion!$C$15,,)</f>
        <v>#VALUE!</v>
      </c>
      <c r="M59" s="9" t="e">
        <f t="shared" si="3"/>
        <v>#VALUE!</v>
      </c>
      <c r="N59" s="7" t="e">
        <f>IF(C58&lt;1,"0",Remodelacion!$C$38)</f>
        <v>#VALUE!</v>
      </c>
      <c r="O59" s="9" t="e">
        <f t="shared" si="4"/>
        <v>#VALUE!</v>
      </c>
    </row>
    <row r="60" spans="2:15" ht="15.5" x14ac:dyDescent="0.35">
      <c r="B60" s="6" t="e">
        <f t="shared" si="5"/>
        <v>#VALUE!</v>
      </c>
      <c r="C60" s="7" t="e">
        <f t="shared" si="0"/>
        <v>#VALUE!</v>
      </c>
      <c r="D60" s="7" t="e">
        <f t="shared" si="6"/>
        <v>#VALUE!</v>
      </c>
      <c r="E60" s="7" t="e">
        <f>C59*Remodelacion!$E$17</f>
        <v>#VALUE!</v>
      </c>
      <c r="F60" s="8" t="e">
        <f>+IF(Remodelacion!$D$26="Si",($C$17*(VLOOKUP(Remodelacion!$C$22,Seguros_Oblig!$A$3:$F$55,6,FALSE))),IF(Remodelacion!$C$10="TARIFA 1",(C59*(VLOOKUP(Remodelacion!$C$22,Seguros_Oblig!$A$3:$B$55,2,FALSE))),(C59*(VLOOKUP(Remodelacion!$C$22,Seguros_Oblig!$A$3:$D$55,4,FALSE)))))</f>
        <v>#VALUE!</v>
      </c>
      <c r="G60" s="8" t="e">
        <f>IF(Remodelacion!$C$10="TARIFA 1",(C59*(VLOOKUP(Remodelacion!$C$23,Seguros_Oblig!$A$3:$B$55,2,FALSE))),(C59*(VLOOKUP(Remodelacion!$C$23,Seguros_Oblig!$A$3:$D$55,4,FALSE))))</f>
        <v>#VALUE!</v>
      </c>
      <c r="H60" s="8" t="e">
        <f>IF(Remodelacion!$C$10="TARIFA 1",(C59*(VLOOKUP(Remodelacion!$C$24,Seguros_Oblig!$A$3:$B$55,2,FALSE))),(C59*(VLOOKUP(Remodelacion!$C$24,Seguros_Oblig!$A$3:$D$55,4,FALSE))))</f>
        <v>#VALUE!</v>
      </c>
      <c r="I60" s="8" t="e">
        <f>IF(Remodelacion!$C$10="TARIFA 1",(C59*(VLOOKUP(Remodelacion!$C$25,Seguros_Oblig!$A$3:$B$55,2,FALSE))),(C59*(VLOOKUP(Remodelacion!$C$25,Seguros_Oblig!$A$3:$D$55,4,FALSE))))</f>
        <v>#VALUE!</v>
      </c>
      <c r="J60" s="10">
        <f t="shared" si="2"/>
        <v>0</v>
      </c>
      <c r="K60" s="7" t="e">
        <f>IF(RM!$D$11="Si",0,IF(C59&lt;1,"0",Seguros_Oblig!$K$2*Remodelacion!$C$12))</f>
        <v>#VALUE!</v>
      </c>
      <c r="L60" s="7" t="e">
        <f>PMT(Remodelacion!$E$17,Remodelacion!$C$18,-Remodelacion!$C$15,,)</f>
        <v>#VALUE!</v>
      </c>
      <c r="M60" s="9" t="e">
        <f t="shared" si="3"/>
        <v>#VALUE!</v>
      </c>
      <c r="N60" s="7" t="e">
        <f>IF(C59&lt;1,"0",Remodelacion!$C$38)</f>
        <v>#VALUE!</v>
      </c>
      <c r="O60" s="9" t="e">
        <f t="shared" si="4"/>
        <v>#VALUE!</v>
      </c>
    </row>
    <row r="61" spans="2:15" ht="15.5" x14ac:dyDescent="0.35">
      <c r="B61" s="6" t="e">
        <f t="shared" si="5"/>
        <v>#VALUE!</v>
      </c>
      <c r="C61" s="7" t="e">
        <f t="shared" si="0"/>
        <v>#VALUE!</v>
      </c>
      <c r="D61" s="7" t="e">
        <f t="shared" si="6"/>
        <v>#VALUE!</v>
      </c>
      <c r="E61" s="7" t="e">
        <f>C60*Remodelacion!$E$17</f>
        <v>#VALUE!</v>
      </c>
      <c r="F61" s="8" t="e">
        <f>+IF(Remodelacion!$D$26="Si",($C$17*(VLOOKUP(Remodelacion!$C$22,Seguros_Oblig!$A$3:$F$55,6,FALSE))),IF(Remodelacion!$C$10="TARIFA 1",(C60*(VLOOKUP(Remodelacion!$C$22,Seguros_Oblig!$A$3:$B$55,2,FALSE))),(C60*(VLOOKUP(Remodelacion!$C$22,Seguros_Oblig!$A$3:$D$55,4,FALSE)))))</f>
        <v>#VALUE!</v>
      </c>
      <c r="G61" s="8" t="e">
        <f>IF(Remodelacion!$C$10="TARIFA 1",(C60*(VLOOKUP(Remodelacion!$C$23,Seguros_Oblig!$A$3:$B$55,2,FALSE))),(C60*(VLOOKUP(Remodelacion!$C$23,Seguros_Oblig!$A$3:$D$55,4,FALSE))))</f>
        <v>#VALUE!</v>
      </c>
      <c r="H61" s="8" t="e">
        <f>IF(Remodelacion!$C$10="TARIFA 1",(C60*(VLOOKUP(Remodelacion!$C$24,Seguros_Oblig!$A$3:$B$55,2,FALSE))),(C60*(VLOOKUP(Remodelacion!$C$24,Seguros_Oblig!$A$3:$D$55,4,FALSE))))</f>
        <v>#VALUE!</v>
      </c>
      <c r="I61" s="8" t="e">
        <f>IF(Remodelacion!$C$10="TARIFA 1",(C60*(VLOOKUP(Remodelacion!$C$25,Seguros_Oblig!$A$3:$B$55,2,FALSE))),(C60*(VLOOKUP(Remodelacion!$C$25,Seguros_Oblig!$A$3:$D$55,4,FALSE))))</f>
        <v>#VALUE!</v>
      </c>
      <c r="J61" s="10">
        <f t="shared" si="2"/>
        <v>0</v>
      </c>
      <c r="K61" s="7" t="e">
        <f>IF(RM!$D$11="Si",0,IF(C60&lt;1,"0",Seguros_Oblig!$K$2*Remodelacion!$C$12))</f>
        <v>#VALUE!</v>
      </c>
      <c r="L61" s="7" t="e">
        <f>PMT(Remodelacion!$E$17,Remodelacion!$C$18,-Remodelacion!$C$15,,)</f>
        <v>#VALUE!</v>
      </c>
      <c r="M61" s="9" t="e">
        <f t="shared" si="3"/>
        <v>#VALUE!</v>
      </c>
      <c r="N61" s="7" t="e">
        <f>IF(C60&lt;1,"0",Remodelacion!$C$38)</f>
        <v>#VALUE!</v>
      </c>
      <c r="O61" s="9" t="e">
        <f t="shared" si="4"/>
        <v>#VALUE!</v>
      </c>
    </row>
    <row r="62" spans="2:15" ht="15.5" x14ac:dyDescent="0.35">
      <c r="B62" s="6" t="e">
        <f t="shared" si="5"/>
        <v>#VALUE!</v>
      </c>
      <c r="C62" s="7" t="e">
        <f t="shared" si="0"/>
        <v>#VALUE!</v>
      </c>
      <c r="D62" s="7" t="e">
        <f t="shared" si="6"/>
        <v>#VALUE!</v>
      </c>
      <c r="E62" s="7" t="e">
        <f>C61*Remodelacion!$E$17</f>
        <v>#VALUE!</v>
      </c>
      <c r="F62" s="8" t="e">
        <f>+IF(Remodelacion!$D$26="Si",($C$17*(VLOOKUP(Remodelacion!$C$22,Seguros_Oblig!$A$3:$F$55,6,FALSE))),IF(Remodelacion!$C$10="TARIFA 1",(C61*(VLOOKUP(Remodelacion!$C$22,Seguros_Oblig!$A$3:$B$55,2,FALSE))),(C61*(VLOOKUP(Remodelacion!$C$22,Seguros_Oblig!$A$3:$D$55,4,FALSE)))))</f>
        <v>#VALUE!</v>
      </c>
      <c r="G62" s="8" t="e">
        <f>IF(Remodelacion!$C$10="TARIFA 1",(C61*(VLOOKUP(Remodelacion!$C$23,Seguros_Oblig!$A$3:$B$55,2,FALSE))),(C61*(VLOOKUP(Remodelacion!$C$23,Seguros_Oblig!$A$3:$D$55,4,FALSE))))</f>
        <v>#VALUE!</v>
      </c>
      <c r="H62" s="8" t="e">
        <f>IF(Remodelacion!$C$10="TARIFA 1",(C61*(VLOOKUP(Remodelacion!$C$24,Seguros_Oblig!$A$3:$B$55,2,FALSE))),(C61*(VLOOKUP(Remodelacion!$C$24,Seguros_Oblig!$A$3:$D$55,4,FALSE))))</f>
        <v>#VALUE!</v>
      </c>
      <c r="I62" s="8" t="e">
        <f>IF(Remodelacion!$C$10="TARIFA 1",(C61*(VLOOKUP(Remodelacion!$C$25,Seguros_Oblig!$A$3:$B$55,2,FALSE))),(C61*(VLOOKUP(Remodelacion!$C$25,Seguros_Oblig!$A$3:$D$55,4,FALSE))))</f>
        <v>#VALUE!</v>
      </c>
      <c r="J62" s="10">
        <f t="shared" si="2"/>
        <v>0</v>
      </c>
      <c r="K62" s="7" t="e">
        <f>IF(RM!$D$11="Si",0,IF(C61&lt;1,"0",Seguros_Oblig!$K$2*Remodelacion!$C$12))</f>
        <v>#VALUE!</v>
      </c>
      <c r="L62" s="7" t="e">
        <f>PMT(Remodelacion!$E$17,Remodelacion!$C$18,-Remodelacion!$C$15,,)</f>
        <v>#VALUE!</v>
      </c>
      <c r="M62" s="9" t="e">
        <f t="shared" si="3"/>
        <v>#VALUE!</v>
      </c>
      <c r="N62" s="7" t="e">
        <f>IF(C61&lt;1,"0",Remodelacion!$C$38)</f>
        <v>#VALUE!</v>
      </c>
      <c r="O62" s="9" t="e">
        <f t="shared" si="4"/>
        <v>#VALUE!</v>
      </c>
    </row>
    <row r="63" spans="2:15" ht="15.5" x14ac:dyDescent="0.35">
      <c r="B63" s="6" t="e">
        <f t="shared" si="5"/>
        <v>#VALUE!</v>
      </c>
      <c r="C63" s="7" t="e">
        <f t="shared" si="0"/>
        <v>#VALUE!</v>
      </c>
      <c r="D63" s="7" t="e">
        <f t="shared" si="6"/>
        <v>#VALUE!</v>
      </c>
      <c r="E63" s="7" t="e">
        <f>C62*Remodelacion!$E$17</f>
        <v>#VALUE!</v>
      </c>
      <c r="F63" s="8" t="e">
        <f>+IF(Remodelacion!$D$26="Si",($C$17*(VLOOKUP(Remodelacion!$C$22,Seguros_Oblig!$A$3:$F$55,6,FALSE))),IF(Remodelacion!$C$10="TARIFA 1",(C62*(VLOOKUP(Remodelacion!$C$22,Seguros_Oblig!$A$3:$B$55,2,FALSE))),(C62*(VLOOKUP(Remodelacion!$C$22,Seguros_Oblig!$A$3:$D$55,4,FALSE)))))</f>
        <v>#VALUE!</v>
      </c>
      <c r="G63" s="8" t="e">
        <f>IF(Remodelacion!$C$10="TARIFA 1",(C62*(VLOOKUP(Remodelacion!$C$23,Seguros_Oblig!$A$3:$B$55,2,FALSE))),(C62*(VLOOKUP(Remodelacion!$C$23,Seguros_Oblig!$A$3:$D$55,4,FALSE))))</f>
        <v>#VALUE!</v>
      </c>
      <c r="H63" s="8" t="e">
        <f>IF(Remodelacion!$C$10="TARIFA 1",(C62*(VLOOKUP(Remodelacion!$C$24,Seguros_Oblig!$A$3:$B$55,2,FALSE))),(C62*(VLOOKUP(Remodelacion!$C$24,Seguros_Oblig!$A$3:$D$55,4,FALSE))))</f>
        <v>#VALUE!</v>
      </c>
      <c r="I63" s="8" t="e">
        <f>IF(Remodelacion!$C$10="TARIFA 1",(C62*(VLOOKUP(Remodelacion!$C$25,Seguros_Oblig!$A$3:$B$55,2,FALSE))),(C62*(VLOOKUP(Remodelacion!$C$25,Seguros_Oblig!$A$3:$D$55,4,FALSE))))</f>
        <v>#VALUE!</v>
      </c>
      <c r="J63" s="10">
        <f t="shared" si="2"/>
        <v>0</v>
      </c>
      <c r="K63" s="7" t="e">
        <f>IF(RM!$D$11="Si",0,IF(C62&lt;1,"0",Seguros_Oblig!$K$2*Remodelacion!$C$12))</f>
        <v>#VALUE!</v>
      </c>
      <c r="L63" s="7" t="e">
        <f>PMT(Remodelacion!$E$17,Remodelacion!$C$18,-Remodelacion!$C$15,,)</f>
        <v>#VALUE!</v>
      </c>
      <c r="M63" s="9" t="e">
        <f t="shared" si="3"/>
        <v>#VALUE!</v>
      </c>
      <c r="N63" s="7" t="e">
        <f>IF(C62&lt;1,"0",Remodelacion!$C$38)</f>
        <v>#VALUE!</v>
      </c>
      <c r="O63" s="9" t="e">
        <f t="shared" si="4"/>
        <v>#VALUE!</v>
      </c>
    </row>
    <row r="64" spans="2:15" ht="15.5" x14ac:dyDescent="0.35">
      <c r="B64" s="6" t="e">
        <f t="shared" si="5"/>
        <v>#VALUE!</v>
      </c>
      <c r="C64" s="7" t="e">
        <f t="shared" si="0"/>
        <v>#VALUE!</v>
      </c>
      <c r="D64" s="7" t="e">
        <f t="shared" si="6"/>
        <v>#VALUE!</v>
      </c>
      <c r="E64" s="7" t="e">
        <f>C63*Remodelacion!$E$17</f>
        <v>#VALUE!</v>
      </c>
      <c r="F64" s="8" t="e">
        <f>+IF(Remodelacion!$D$26="Si",($C$17*(VLOOKUP(Remodelacion!$C$22,Seguros_Oblig!$A$3:$F$55,6,FALSE))),IF(Remodelacion!$C$10="TARIFA 1",(C63*(VLOOKUP(Remodelacion!$C$22,Seguros_Oblig!$A$3:$B$55,2,FALSE))),(C63*(VLOOKUP(Remodelacion!$C$22,Seguros_Oblig!$A$3:$D$55,4,FALSE)))))</f>
        <v>#VALUE!</v>
      </c>
      <c r="G64" s="8" t="e">
        <f>IF(Remodelacion!$C$10="TARIFA 1",(C63*(VLOOKUP(Remodelacion!$C$23,Seguros_Oblig!$A$3:$B$55,2,FALSE))),(C63*(VLOOKUP(Remodelacion!$C$23,Seguros_Oblig!$A$3:$D$55,4,FALSE))))</f>
        <v>#VALUE!</v>
      </c>
      <c r="H64" s="8" t="e">
        <f>IF(Remodelacion!$C$10="TARIFA 1",(C63*(VLOOKUP(Remodelacion!$C$24,Seguros_Oblig!$A$3:$B$55,2,FALSE))),(C63*(VLOOKUP(Remodelacion!$C$24,Seguros_Oblig!$A$3:$D$55,4,FALSE))))</f>
        <v>#VALUE!</v>
      </c>
      <c r="I64" s="8" t="e">
        <f>IF(Remodelacion!$C$10="TARIFA 1",(C63*(VLOOKUP(Remodelacion!$C$25,Seguros_Oblig!$A$3:$B$55,2,FALSE))),(C63*(VLOOKUP(Remodelacion!$C$25,Seguros_Oblig!$A$3:$D$55,4,FALSE))))</f>
        <v>#VALUE!</v>
      </c>
      <c r="J64" s="10">
        <f t="shared" si="2"/>
        <v>0</v>
      </c>
      <c r="K64" s="7" t="e">
        <f>IF(RM!$D$11="Si",0,IF(C63&lt;1,"0",Seguros_Oblig!$K$2*Remodelacion!$C$12))</f>
        <v>#VALUE!</v>
      </c>
      <c r="L64" s="7" t="e">
        <f>PMT(Remodelacion!$E$17,Remodelacion!$C$18,-Remodelacion!$C$15,,)</f>
        <v>#VALUE!</v>
      </c>
      <c r="M64" s="9" t="e">
        <f t="shared" si="3"/>
        <v>#VALUE!</v>
      </c>
      <c r="N64" s="7" t="e">
        <f>IF(C63&lt;1,"0",Remodelacion!$C$38)</f>
        <v>#VALUE!</v>
      </c>
      <c r="O64" s="9" t="e">
        <f t="shared" si="4"/>
        <v>#VALUE!</v>
      </c>
    </row>
    <row r="65" spans="2:15" ht="15.5" x14ac:dyDescent="0.35">
      <c r="B65" s="6" t="e">
        <f t="shared" si="5"/>
        <v>#VALUE!</v>
      </c>
      <c r="C65" s="7" t="e">
        <f t="shared" si="0"/>
        <v>#VALUE!</v>
      </c>
      <c r="D65" s="7" t="e">
        <f t="shared" si="6"/>
        <v>#VALUE!</v>
      </c>
      <c r="E65" s="7" t="e">
        <f>C64*Remodelacion!$E$17</f>
        <v>#VALUE!</v>
      </c>
      <c r="F65" s="8" t="e">
        <f>+IF(Remodelacion!$D$26="Si",($C$17*(VLOOKUP(Remodelacion!$C$22,Seguros_Oblig!$A$3:$F$55,6,FALSE))),IF(Remodelacion!$C$10="TARIFA 1",(C64*(VLOOKUP(Remodelacion!$C$22,Seguros_Oblig!$A$3:$B$55,2,FALSE))),(C64*(VLOOKUP(Remodelacion!$C$22,Seguros_Oblig!$A$3:$D$55,4,FALSE)))))</f>
        <v>#VALUE!</v>
      </c>
      <c r="G65" s="8" t="e">
        <f>IF(Remodelacion!$C$10="TARIFA 1",(C64*(VLOOKUP(Remodelacion!$C$23,Seguros_Oblig!$A$3:$B$55,2,FALSE))),(C64*(VLOOKUP(Remodelacion!$C$23,Seguros_Oblig!$A$3:$D$55,4,FALSE))))</f>
        <v>#VALUE!</v>
      </c>
      <c r="H65" s="8" t="e">
        <f>IF(Remodelacion!$C$10="TARIFA 1",(C64*(VLOOKUP(Remodelacion!$C$24,Seguros_Oblig!$A$3:$B$55,2,FALSE))),(C64*(VLOOKUP(Remodelacion!$C$24,Seguros_Oblig!$A$3:$D$55,4,FALSE))))</f>
        <v>#VALUE!</v>
      </c>
      <c r="I65" s="8" t="e">
        <f>IF(Remodelacion!$C$10="TARIFA 1",(C64*(VLOOKUP(Remodelacion!$C$25,Seguros_Oblig!$A$3:$B$55,2,FALSE))),(C64*(VLOOKUP(Remodelacion!$C$25,Seguros_Oblig!$A$3:$D$55,4,FALSE))))</f>
        <v>#VALUE!</v>
      </c>
      <c r="J65" s="10">
        <f t="shared" si="2"/>
        <v>0</v>
      </c>
      <c r="K65" s="7" t="e">
        <f>IF(RM!$D$11="Si",0,IF(C64&lt;1,"0",Seguros_Oblig!$K$2*Remodelacion!$C$12))</f>
        <v>#VALUE!</v>
      </c>
      <c r="L65" s="7" t="e">
        <f>PMT(Remodelacion!$E$17,Remodelacion!$C$18,-Remodelacion!$C$15,,)</f>
        <v>#VALUE!</v>
      </c>
      <c r="M65" s="9" t="e">
        <f t="shared" si="3"/>
        <v>#VALUE!</v>
      </c>
      <c r="N65" s="7" t="e">
        <f>IF(C64&lt;1,"0",Remodelacion!$C$38)</f>
        <v>#VALUE!</v>
      </c>
      <c r="O65" s="9" t="e">
        <f t="shared" si="4"/>
        <v>#VALUE!</v>
      </c>
    </row>
    <row r="66" spans="2:15" ht="15.5" x14ac:dyDescent="0.35">
      <c r="B66" s="6" t="e">
        <f t="shared" si="5"/>
        <v>#VALUE!</v>
      </c>
      <c r="C66" s="7" t="e">
        <f t="shared" si="0"/>
        <v>#VALUE!</v>
      </c>
      <c r="D66" s="7" t="e">
        <f t="shared" si="6"/>
        <v>#VALUE!</v>
      </c>
      <c r="E66" s="7" t="e">
        <f>C65*Remodelacion!$E$17</f>
        <v>#VALUE!</v>
      </c>
      <c r="F66" s="8" t="e">
        <f>+IF(Remodelacion!$D$26="Si",($C$17*(VLOOKUP(Remodelacion!$C$22,Seguros_Oblig!$A$3:$F$55,6,FALSE))),IF(Remodelacion!$C$10="TARIFA 1",(C65*(VLOOKUP(Remodelacion!$C$22,Seguros_Oblig!$A$3:$B$55,2,FALSE))),(C65*(VLOOKUP(Remodelacion!$C$22,Seguros_Oblig!$A$3:$D$55,4,FALSE)))))</f>
        <v>#VALUE!</v>
      </c>
      <c r="G66" s="8" t="e">
        <f>IF(Remodelacion!$C$10="TARIFA 1",(C65*(VLOOKUP(Remodelacion!$C$23,Seguros_Oblig!$A$3:$B$55,2,FALSE))),(C65*(VLOOKUP(Remodelacion!$C$23,Seguros_Oblig!$A$3:$D$55,4,FALSE))))</f>
        <v>#VALUE!</v>
      </c>
      <c r="H66" s="8" t="e">
        <f>IF(Remodelacion!$C$10="TARIFA 1",(C65*(VLOOKUP(Remodelacion!$C$24,Seguros_Oblig!$A$3:$B$55,2,FALSE))),(C65*(VLOOKUP(Remodelacion!$C$24,Seguros_Oblig!$A$3:$D$55,4,FALSE))))</f>
        <v>#VALUE!</v>
      </c>
      <c r="I66" s="8" t="e">
        <f>IF(Remodelacion!$C$10="TARIFA 1",(C65*(VLOOKUP(Remodelacion!$C$25,Seguros_Oblig!$A$3:$B$55,2,FALSE))),(C65*(VLOOKUP(Remodelacion!$C$25,Seguros_Oblig!$A$3:$D$55,4,FALSE))))</f>
        <v>#VALUE!</v>
      </c>
      <c r="J66" s="10">
        <f t="shared" si="2"/>
        <v>0</v>
      </c>
      <c r="K66" s="7" t="e">
        <f>IF(RM!$D$11="Si",0,IF(C65&lt;1,"0",Seguros_Oblig!$K$2*Remodelacion!$C$12))</f>
        <v>#VALUE!</v>
      </c>
      <c r="L66" s="7" t="e">
        <f>PMT(Remodelacion!$E$17,Remodelacion!$C$18,-Remodelacion!$C$15,,)</f>
        <v>#VALUE!</v>
      </c>
      <c r="M66" s="9" t="e">
        <f t="shared" si="3"/>
        <v>#VALUE!</v>
      </c>
      <c r="N66" s="7" t="e">
        <f>IF(C65&lt;1,"0",Remodelacion!$C$38)</f>
        <v>#VALUE!</v>
      </c>
      <c r="O66" s="9" t="e">
        <f t="shared" si="4"/>
        <v>#VALUE!</v>
      </c>
    </row>
    <row r="67" spans="2:15" ht="15.5" x14ac:dyDescent="0.35">
      <c r="B67" s="6" t="e">
        <f t="shared" si="5"/>
        <v>#VALUE!</v>
      </c>
      <c r="C67" s="7" t="e">
        <f t="shared" si="0"/>
        <v>#VALUE!</v>
      </c>
      <c r="D67" s="7" t="e">
        <f t="shared" si="6"/>
        <v>#VALUE!</v>
      </c>
      <c r="E67" s="7" t="e">
        <f>C66*Remodelacion!$E$17</f>
        <v>#VALUE!</v>
      </c>
      <c r="F67" s="8" t="e">
        <f>+IF(Remodelacion!$D$26="Si",($C$17*(VLOOKUP(Remodelacion!$C$22,Seguros_Oblig!$A$3:$F$55,6,FALSE))),IF(Remodelacion!$C$10="TARIFA 1",(C66*(VLOOKUP(Remodelacion!$C$22,Seguros_Oblig!$A$3:$B$55,2,FALSE))),(C66*(VLOOKUP(Remodelacion!$C$22,Seguros_Oblig!$A$3:$D$55,4,FALSE)))))</f>
        <v>#VALUE!</v>
      </c>
      <c r="G67" s="8" t="e">
        <f>IF(Remodelacion!$C$10="TARIFA 1",(C66*(VLOOKUP(Remodelacion!$C$23,Seguros_Oblig!$A$3:$B$55,2,FALSE))),(C66*(VLOOKUP(Remodelacion!$C$23,Seguros_Oblig!$A$3:$D$55,4,FALSE))))</f>
        <v>#VALUE!</v>
      </c>
      <c r="H67" s="8" t="e">
        <f>IF(Remodelacion!$C$10="TARIFA 1",(C66*(VLOOKUP(Remodelacion!$C$24,Seguros_Oblig!$A$3:$B$55,2,FALSE))),(C66*(VLOOKUP(Remodelacion!$C$24,Seguros_Oblig!$A$3:$D$55,4,FALSE))))</f>
        <v>#VALUE!</v>
      </c>
      <c r="I67" s="8" t="e">
        <f>IF(Remodelacion!$C$10="TARIFA 1",(C66*(VLOOKUP(Remodelacion!$C$25,Seguros_Oblig!$A$3:$B$55,2,FALSE))),(C66*(VLOOKUP(Remodelacion!$C$25,Seguros_Oblig!$A$3:$D$55,4,FALSE))))</f>
        <v>#VALUE!</v>
      </c>
      <c r="J67" s="10">
        <f t="shared" si="2"/>
        <v>0</v>
      </c>
      <c r="K67" s="7" t="e">
        <f>IF(RM!$D$11="Si",0,IF(C66&lt;1,"0",Seguros_Oblig!$K$2*Remodelacion!$C$12))</f>
        <v>#VALUE!</v>
      </c>
      <c r="L67" s="7" t="e">
        <f>PMT(Remodelacion!$E$17,Remodelacion!$C$18,-Remodelacion!$C$15,,)</f>
        <v>#VALUE!</v>
      </c>
      <c r="M67" s="9" t="e">
        <f t="shared" si="3"/>
        <v>#VALUE!</v>
      </c>
      <c r="N67" s="7" t="e">
        <f>IF(C66&lt;1,"0",Remodelacion!$C$38)</f>
        <v>#VALUE!</v>
      </c>
      <c r="O67" s="9" t="e">
        <f t="shared" si="4"/>
        <v>#VALUE!</v>
      </c>
    </row>
    <row r="68" spans="2:15" ht="15.5" x14ac:dyDescent="0.35">
      <c r="B68" s="6" t="e">
        <f t="shared" si="5"/>
        <v>#VALUE!</v>
      </c>
      <c r="C68" s="7" t="e">
        <f t="shared" si="0"/>
        <v>#VALUE!</v>
      </c>
      <c r="D68" s="7" t="e">
        <f t="shared" si="6"/>
        <v>#VALUE!</v>
      </c>
      <c r="E68" s="7" t="e">
        <f>C67*Remodelacion!$E$17</f>
        <v>#VALUE!</v>
      </c>
      <c r="F68" s="8" t="e">
        <f>+IF(Remodelacion!$D$26="Si",($C$17*(VLOOKUP(Remodelacion!$C$22,Seguros_Oblig!$A$3:$F$55,6,FALSE))),IF(Remodelacion!$C$10="TARIFA 1",(C67*(VLOOKUP(Remodelacion!$C$22,Seguros_Oblig!$A$3:$B$55,2,FALSE))),(C67*(VLOOKUP(Remodelacion!$C$22,Seguros_Oblig!$A$3:$D$55,4,FALSE)))))</f>
        <v>#VALUE!</v>
      </c>
      <c r="G68" s="8" t="e">
        <f>IF(Remodelacion!$C$10="TARIFA 1",(C67*(VLOOKUP(Remodelacion!$C$23,Seguros_Oblig!$A$3:$B$55,2,FALSE))),(C67*(VLOOKUP(Remodelacion!$C$23,Seguros_Oblig!$A$3:$D$55,4,FALSE))))</f>
        <v>#VALUE!</v>
      </c>
      <c r="H68" s="8" t="e">
        <f>IF(Remodelacion!$C$10="TARIFA 1",(C67*(VLOOKUP(Remodelacion!$C$24,Seguros_Oblig!$A$3:$B$55,2,FALSE))),(C67*(VLOOKUP(Remodelacion!$C$24,Seguros_Oblig!$A$3:$D$55,4,FALSE))))</f>
        <v>#VALUE!</v>
      </c>
      <c r="I68" s="8" t="e">
        <f>IF(Remodelacion!$C$10="TARIFA 1",(C67*(VLOOKUP(Remodelacion!$C$25,Seguros_Oblig!$A$3:$B$55,2,FALSE))),(C67*(VLOOKUP(Remodelacion!$C$25,Seguros_Oblig!$A$3:$D$55,4,FALSE))))</f>
        <v>#VALUE!</v>
      </c>
      <c r="J68" s="10">
        <f t="shared" si="2"/>
        <v>0</v>
      </c>
      <c r="K68" s="7" t="e">
        <f>IF(RM!$D$11="Si",0,IF(C67&lt;1,"0",Seguros_Oblig!$K$2*Remodelacion!$C$12))</f>
        <v>#VALUE!</v>
      </c>
      <c r="L68" s="7" t="e">
        <f>PMT(Remodelacion!$E$17,Remodelacion!$C$18,-Remodelacion!$C$15,,)</f>
        <v>#VALUE!</v>
      </c>
      <c r="M68" s="9" t="e">
        <f t="shared" si="3"/>
        <v>#VALUE!</v>
      </c>
      <c r="N68" s="7" t="e">
        <f>IF(C67&lt;1,"0",Remodelacion!$C$38)</f>
        <v>#VALUE!</v>
      </c>
      <c r="O68" s="9" t="e">
        <f t="shared" si="4"/>
        <v>#VALUE!</v>
      </c>
    </row>
    <row r="69" spans="2:15" ht="15.5" x14ac:dyDescent="0.35">
      <c r="B69" s="6" t="e">
        <f t="shared" si="5"/>
        <v>#VALUE!</v>
      </c>
      <c r="C69" s="7" t="e">
        <f t="shared" si="0"/>
        <v>#VALUE!</v>
      </c>
      <c r="D69" s="7" t="e">
        <f t="shared" si="6"/>
        <v>#VALUE!</v>
      </c>
      <c r="E69" s="7" t="e">
        <f>C68*Remodelacion!$E$17</f>
        <v>#VALUE!</v>
      </c>
      <c r="F69" s="8" t="e">
        <f>+IF(Remodelacion!$D$26="Si",($C$17*(VLOOKUP(Remodelacion!$C$22,Seguros_Oblig!$A$3:$F$55,6,FALSE))),IF(Remodelacion!$C$10="TARIFA 1",(C68*(VLOOKUP(Remodelacion!$C$22,Seguros_Oblig!$A$3:$B$55,2,FALSE))),(C68*(VLOOKUP(Remodelacion!$C$22,Seguros_Oblig!$A$3:$D$55,4,FALSE)))))</f>
        <v>#VALUE!</v>
      </c>
      <c r="G69" s="8" t="e">
        <f>IF(Remodelacion!$C$10="TARIFA 1",(C68*(VLOOKUP(Remodelacion!$C$23,Seguros_Oblig!$A$3:$B$55,2,FALSE))),(C68*(VLOOKUP(Remodelacion!$C$23,Seguros_Oblig!$A$3:$D$55,4,FALSE))))</f>
        <v>#VALUE!</v>
      </c>
      <c r="H69" s="8" t="e">
        <f>IF(Remodelacion!$C$10="TARIFA 1",(C68*(VLOOKUP(Remodelacion!$C$24,Seguros_Oblig!$A$3:$B$55,2,FALSE))),(C68*(VLOOKUP(Remodelacion!$C$24,Seguros_Oblig!$A$3:$D$55,4,FALSE))))</f>
        <v>#VALUE!</v>
      </c>
      <c r="I69" s="8" t="e">
        <f>IF(Remodelacion!$C$10="TARIFA 1",(C68*(VLOOKUP(Remodelacion!$C$25,Seguros_Oblig!$A$3:$B$55,2,FALSE))),(C68*(VLOOKUP(Remodelacion!$C$25,Seguros_Oblig!$A$3:$D$55,4,FALSE))))</f>
        <v>#VALUE!</v>
      </c>
      <c r="J69" s="10">
        <f t="shared" si="2"/>
        <v>0</v>
      </c>
      <c r="K69" s="7" t="e">
        <f>IF(RM!$D$11="Si",0,IF(C68&lt;1,"0",Seguros_Oblig!$K$2*Remodelacion!$C$12))</f>
        <v>#VALUE!</v>
      </c>
      <c r="L69" s="7" t="e">
        <f>PMT(Remodelacion!$E$17,Remodelacion!$C$18,-Remodelacion!$C$15,,)</f>
        <v>#VALUE!</v>
      </c>
      <c r="M69" s="9" t="e">
        <f t="shared" si="3"/>
        <v>#VALUE!</v>
      </c>
      <c r="N69" s="7" t="e">
        <f>IF(C68&lt;1,"0",Remodelacion!$C$38)</f>
        <v>#VALUE!</v>
      </c>
      <c r="O69" s="9" t="e">
        <f t="shared" si="4"/>
        <v>#VALUE!</v>
      </c>
    </row>
    <row r="70" spans="2:15" ht="15.5" x14ac:dyDescent="0.35">
      <c r="B70" s="6" t="e">
        <f t="shared" si="5"/>
        <v>#VALUE!</v>
      </c>
      <c r="C70" s="7" t="e">
        <f t="shared" si="0"/>
        <v>#VALUE!</v>
      </c>
      <c r="D70" s="7" t="e">
        <f t="shared" si="6"/>
        <v>#VALUE!</v>
      </c>
      <c r="E70" s="7" t="e">
        <f>C69*Remodelacion!$E$17</f>
        <v>#VALUE!</v>
      </c>
      <c r="F70" s="8" t="e">
        <f>+IF(Remodelacion!$D$26="Si",($C$17*(VLOOKUP(Remodelacion!$C$22,Seguros_Oblig!$A$3:$F$55,6,FALSE))),IF(Remodelacion!$C$10="TARIFA 1",(C69*(VLOOKUP(Remodelacion!$C$22,Seguros_Oblig!$A$3:$B$55,2,FALSE))),(C69*(VLOOKUP(Remodelacion!$C$22,Seguros_Oblig!$A$3:$D$55,4,FALSE)))))</f>
        <v>#VALUE!</v>
      </c>
      <c r="G70" s="8" t="e">
        <f>IF(Remodelacion!$C$10="TARIFA 1",(C69*(VLOOKUP(Remodelacion!$C$23,Seguros_Oblig!$A$3:$B$55,2,FALSE))),(C69*(VLOOKUP(Remodelacion!$C$23,Seguros_Oblig!$A$3:$D$55,4,FALSE))))</f>
        <v>#VALUE!</v>
      </c>
      <c r="H70" s="8" t="e">
        <f>IF(Remodelacion!$C$10="TARIFA 1",(C69*(VLOOKUP(Remodelacion!$C$24,Seguros_Oblig!$A$3:$B$55,2,FALSE))),(C69*(VLOOKUP(Remodelacion!$C$24,Seguros_Oblig!$A$3:$D$55,4,FALSE))))</f>
        <v>#VALUE!</v>
      </c>
      <c r="I70" s="8" t="e">
        <f>IF(Remodelacion!$C$10="TARIFA 1",(C69*(VLOOKUP(Remodelacion!$C$25,Seguros_Oblig!$A$3:$B$55,2,FALSE))),(C69*(VLOOKUP(Remodelacion!$C$25,Seguros_Oblig!$A$3:$D$55,4,FALSE))))</f>
        <v>#VALUE!</v>
      </c>
      <c r="J70" s="10">
        <f t="shared" si="2"/>
        <v>0</v>
      </c>
      <c r="K70" s="7" t="e">
        <f>IF(RM!$D$11="Si",0,IF(C69&lt;1,"0",Seguros_Oblig!$K$2*Remodelacion!$C$12))</f>
        <v>#VALUE!</v>
      </c>
      <c r="L70" s="7" t="e">
        <f>PMT(Remodelacion!$E$17,Remodelacion!$C$18,-Remodelacion!$C$15,,)</f>
        <v>#VALUE!</v>
      </c>
      <c r="M70" s="9" t="e">
        <f t="shared" si="3"/>
        <v>#VALUE!</v>
      </c>
      <c r="N70" s="7" t="e">
        <f>IF(C69&lt;1,"0",Remodelacion!$C$38)</f>
        <v>#VALUE!</v>
      </c>
      <c r="O70" s="9" t="e">
        <f t="shared" si="4"/>
        <v>#VALUE!</v>
      </c>
    </row>
    <row r="71" spans="2:15" ht="15.5" x14ac:dyDescent="0.35">
      <c r="B71" s="6" t="e">
        <f t="shared" si="5"/>
        <v>#VALUE!</v>
      </c>
      <c r="C71" s="7" t="e">
        <f t="shared" si="0"/>
        <v>#VALUE!</v>
      </c>
      <c r="D71" s="7" t="e">
        <f t="shared" si="6"/>
        <v>#VALUE!</v>
      </c>
      <c r="E71" s="7" t="e">
        <f>C70*Remodelacion!$E$17</f>
        <v>#VALUE!</v>
      </c>
      <c r="F71" s="8" t="e">
        <f>+IF(Remodelacion!$D$26="Si",($C$17*(VLOOKUP(Remodelacion!$C$22,Seguros_Oblig!$A$3:$F$55,6,FALSE))),IF(Remodelacion!$C$10="TARIFA 1",(C70*(VLOOKUP(Remodelacion!$C$22,Seguros_Oblig!$A$3:$B$55,2,FALSE))),(C70*(VLOOKUP(Remodelacion!$C$22,Seguros_Oblig!$A$3:$D$55,4,FALSE)))))</f>
        <v>#VALUE!</v>
      </c>
      <c r="G71" s="8" t="e">
        <f>IF(Remodelacion!$C$10="TARIFA 1",(C70*(VLOOKUP(Remodelacion!$C$23,Seguros_Oblig!$A$3:$B$55,2,FALSE))),(C70*(VLOOKUP(Remodelacion!$C$23,Seguros_Oblig!$A$3:$D$55,4,FALSE))))</f>
        <v>#VALUE!</v>
      </c>
      <c r="H71" s="8" t="e">
        <f>IF(Remodelacion!$C$10="TARIFA 1",(C70*(VLOOKUP(Remodelacion!$C$24,Seguros_Oblig!$A$3:$B$55,2,FALSE))),(C70*(VLOOKUP(Remodelacion!$C$24,Seguros_Oblig!$A$3:$D$55,4,FALSE))))</f>
        <v>#VALUE!</v>
      </c>
      <c r="I71" s="8" t="e">
        <f>IF(Remodelacion!$C$10="TARIFA 1",(C70*(VLOOKUP(Remodelacion!$C$25,Seguros_Oblig!$A$3:$B$55,2,FALSE))),(C70*(VLOOKUP(Remodelacion!$C$25,Seguros_Oblig!$A$3:$D$55,4,FALSE))))</f>
        <v>#VALUE!</v>
      </c>
      <c r="J71" s="10">
        <f t="shared" si="2"/>
        <v>0</v>
      </c>
      <c r="K71" s="7" t="e">
        <f>IF(RM!$D$11="Si",0,IF(C70&lt;1,"0",Seguros_Oblig!$K$2*Remodelacion!$C$12))</f>
        <v>#VALUE!</v>
      </c>
      <c r="L71" s="7" t="e">
        <f>PMT(Remodelacion!$E$17,Remodelacion!$C$18,-Remodelacion!$C$15,,)</f>
        <v>#VALUE!</v>
      </c>
      <c r="M71" s="9" t="e">
        <f t="shared" si="3"/>
        <v>#VALUE!</v>
      </c>
      <c r="N71" s="7" t="e">
        <f>IF(C70&lt;1,"0",Remodelacion!$C$38)</f>
        <v>#VALUE!</v>
      </c>
      <c r="O71" s="9" t="e">
        <f t="shared" si="4"/>
        <v>#VALUE!</v>
      </c>
    </row>
    <row r="72" spans="2:15" ht="15.5" x14ac:dyDescent="0.35">
      <c r="B72" s="6" t="e">
        <f t="shared" si="5"/>
        <v>#VALUE!</v>
      </c>
      <c r="C72" s="7" t="e">
        <f t="shared" si="0"/>
        <v>#VALUE!</v>
      </c>
      <c r="D72" s="7" t="e">
        <f t="shared" si="6"/>
        <v>#VALUE!</v>
      </c>
      <c r="E72" s="7" t="e">
        <f>C71*Remodelacion!$E$17</f>
        <v>#VALUE!</v>
      </c>
      <c r="F72" s="8" t="e">
        <f>+IF(Remodelacion!$D$26="Si",($C$17*(VLOOKUP(Remodelacion!$C$22,Seguros_Oblig!$A$3:$F$55,6,FALSE))),IF(Remodelacion!$C$10="TARIFA 1",(C71*(VLOOKUP(Remodelacion!$C$22,Seguros_Oblig!$A$3:$B$55,2,FALSE))),(C71*(VLOOKUP(Remodelacion!$C$22,Seguros_Oblig!$A$3:$D$55,4,FALSE)))))</f>
        <v>#VALUE!</v>
      </c>
      <c r="G72" s="8" t="e">
        <f>IF(Remodelacion!$C$10="TARIFA 1",(C71*(VLOOKUP(Remodelacion!$C$23,Seguros_Oblig!$A$3:$B$55,2,FALSE))),(C71*(VLOOKUP(Remodelacion!$C$23,Seguros_Oblig!$A$3:$D$55,4,FALSE))))</f>
        <v>#VALUE!</v>
      </c>
      <c r="H72" s="8" t="e">
        <f>IF(Remodelacion!$C$10="TARIFA 1",(C71*(VLOOKUP(Remodelacion!$C$24,Seguros_Oblig!$A$3:$B$55,2,FALSE))),(C71*(VLOOKUP(Remodelacion!$C$24,Seguros_Oblig!$A$3:$D$55,4,FALSE))))</f>
        <v>#VALUE!</v>
      </c>
      <c r="I72" s="8" t="e">
        <f>IF(Remodelacion!$C$10="TARIFA 1",(C71*(VLOOKUP(Remodelacion!$C$25,Seguros_Oblig!$A$3:$B$55,2,FALSE))),(C71*(VLOOKUP(Remodelacion!$C$25,Seguros_Oblig!$A$3:$D$55,4,FALSE))))</f>
        <v>#VALUE!</v>
      </c>
      <c r="J72" s="10">
        <f t="shared" si="2"/>
        <v>0</v>
      </c>
      <c r="K72" s="7" t="e">
        <f>IF(RM!$D$11="Si",0,IF(C71&lt;1,"0",Seguros_Oblig!$K$2*Remodelacion!$C$12))</f>
        <v>#VALUE!</v>
      </c>
      <c r="L72" s="7" t="e">
        <f>PMT(Remodelacion!$E$17,Remodelacion!$C$18,-Remodelacion!$C$15,,)</f>
        <v>#VALUE!</v>
      </c>
      <c r="M72" s="9" t="e">
        <f t="shared" si="3"/>
        <v>#VALUE!</v>
      </c>
      <c r="N72" s="7" t="e">
        <f>IF(C71&lt;1,"0",Remodelacion!$C$38)</f>
        <v>#VALUE!</v>
      </c>
      <c r="O72" s="9" t="e">
        <f t="shared" si="4"/>
        <v>#VALUE!</v>
      </c>
    </row>
    <row r="73" spans="2:15" ht="15.5" x14ac:dyDescent="0.35">
      <c r="B73" s="6" t="e">
        <f t="shared" si="5"/>
        <v>#VALUE!</v>
      </c>
      <c r="C73" s="7" t="e">
        <f t="shared" si="0"/>
        <v>#VALUE!</v>
      </c>
      <c r="D73" s="7" t="e">
        <f t="shared" si="6"/>
        <v>#VALUE!</v>
      </c>
      <c r="E73" s="7" t="e">
        <f>C72*Remodelacion!$E$17</f>
        <v>#VALUE!</v>
      </c>
      <c r="F73" s="8" t="e">
        <f>+IF(Remodelacion!$D$26="Si",($C$17*(VLOOKUP(Remodelacion!$C$22,Seguros_Oblig!$A$3:$F$55,6,FALSE))),IF(Remodelacion!$C$10="TARIFA 1",(C72*(VLOOKUP(Remodelacion!$C$22,Seguros_Oblig!$A$3:$B$55,2,FALSE))),(C72*(VLOOKUP(Remodelacion!$C$22,Seguros_Oblig!$A$3:$D$55,4,FALSE)))))</f>
        <v>#VALUE!</v>
      </c>
      <c r="G73" s="8" t="e">
        <f>IF(Remodelacion!$C$10="TARIFA 1",(C72*(VLOOKUP(Remodelacion!$C$23,Seguros_Oblig!$A$3:$B$55,2,FALSE))),(C72*(VLOOKUP(Remodelacion!$C$23,Seguros_Oblig!$A$3:$D$55,4,FALSE))))</f>
        <v>#VALUE!</v>
      </c>
      <c r="H73" s="8" t="e">
        <f>IF(Remodelacion!$C$10="TARIFA 1",(C72*(VLOOKUP(Remodelacion!$C$24,Seguros_Oblig!$A$3:$B$55,2,FALSE))),(C72*(VLOOKUP(Remodelacion!$C$24,Seguros_Oblig!$A$3:$D$55,4,FALSE))))</f>
        <v>#VALUE!</v>
      </c>
      <c r="I73" s="8" t="e">
        <f>IF(Remodelacion!$C$10="TARIFA 1",(C72*(VLOOKUP(Remodelacion!$C$25,Seguros_Oblig!$A$3:$B$55,2,FALSE))),(C72*(VLOOKUP(Remodelacion!$C$25,Seguros_Oblig!$A$3:$D$55,4,FALSE))))</f>
        <v>#VALUE!</v>
      </c>
      <c r="J73" s="10">
        <f t="shared" si="2"/>
        <v>0</v>
      </c>
      <c r="K73" s="7" t="e">
        <f>IF(RM!$D$11="Si",0,IF(C72&lt;1,"0",Seguros_Oblig!$K$2*Remodelacion!$C$12))</f>
        <v>#VALUE!</v>
      </c>
      <c r="L73" s="7" t="e">
        <f>PMT(Remodelacion!$E$17,Remodelacion!$C$18,-Remodelacion!$C$15,,)</f>
        <v>#VALUE!</v>
      </c>
      <c r="M73" s="9" t="e">
        <f t="shared" si="3"/>
        <v>#VALUE!</v>
      </c>
      <c r="N73" s="7" t="e">
        <f>IF(C72&lt;1,"0",Remodelacion!$C$38)</f>
        <v>#VALUE!</v>
      </c>
      <c r="O73" s="9" t="e">
        <f t="shared" si="4"/>
        <v>#VALUE!</v>
      </c>
    </row>
    <row r="74" spans="2:15" ht="15.5" x14ac:dyDescent="0.35">
      <c r="B74" s="6" t="e">
        <f t="shared" si="5"/>
        <v>#VALUE!</v>
      </c>
      <c r="C74" s="7" t="e">
        <f t="shared" si="0"/>
        <v>#VALUE!</v>
      </c>
      <c r="D74" s="7" t="e">
        <f t="shared" si="6"/>
        <v>#VALUE!</v>
      </c>
      <c r="E74" s="7" t="e">
        <f>C73*Remodelacion!$E$17</f>
        <v>#VALUE!</v>
      </c>
      <c r="F74" s="8" t="e">
        <f>+IF(Remodelacion!$D$26="Si",($C$17*(VLOOKUP(Remodelacion!$C$22,Seguros_Oblig!$A$3:$F$55,6,FALSE))),IF(Remodelacion!$C$10="TARIFA 1",(C73*(VLOOKUP(Remodelacion!$C$22,Seguros_Oblig!$A$3:$B$55,2,FALSE))),(C73*(VLOOKUP(Remodelacion!$C$22,Seguros_Oblig!$A$3:$D$55,4,FALSE)))))</f>
        <v>#VALUE!</v>
      </c>
      <c r="G74" s="8" t="e">
        <f>IF(Remodelacion!$C$10="TARIFA 1",(C73*(VLOOKUP(Remodelacion!$C$23,Seguros_Oblig!$A$3:$B$55,2,FALSE))),(C73*(VLOOKUP(Remodelacion!$C$23,Seguros_Oblig!$A$3:$D$55,4,FALSE))))</f>
        <v>#VALUE!</v>
      </c>
      <c r="H74" s="8" t="e">
        <f>IF(Remodelacion!$C$10="TARIFA 1",(C73*(VLOOKUP(Remodelacion!$C$24,Seguros_Oblig!$A$3:$B$55,2,FALSE))),(C73*(VLOOKUP(Remodelacion!$C$24,Seguros_Oblig!$A$3:$D$55,4,FALSE))))</f>
        <v>#VALUE!</v>
      </c>
      <c r="I74" s="8" t="e">
        <f>IF(Remodelacion!$C$10="TARIFA 1",(C73*(VLOOKUP(Remodelacion!$C$25,Seguros_Oblig!$A$3:$B$55,2,FALSE))),(C73*(VLOOKUP(Remodelacion!$C$25,Seguros_Oblig!$A$3:$D$55,4,FALSE))))</f>
        <v>#VALUE!</v>
      </c>
      <c r="J74" s="10">
        <f t="shared" si="2"/>
        <v>0</v>
      </c>
      <c r="K74" s="7" t="e">
        <f>IF(RM!$D$11="Si",0,IF(C73&lt;1,"0",Seguros_Oblig!$K$2*Remodelacion!$C$12))</f>
        <v>#VALUE!</v>
      </c>
      <c r="L74" s="7" t="e">
        <f>PMT(Remodelacion!$E$17,Remodelacion!$C$18,-Remodelacion!$C$15,,)</f>
        <v>#VALUE!</v>
      </c>
      <c r="M74" s="9" t="e">
        <f t="shared" si="3"/>
        <v>#VALUE!</v>
      </c>
      <c r="N74" s="7" t="e">
        <f>IF(C73&lt;1,"0",Remodelacion!$C$38)</f>
        <v>#VALUE!</v>
      </c>
      <c r="O74" s="9" t="e">
        <f t="shared" si="4"/>
        <v>#VALUE!</v>
      </c>
    </row>
    <row r="75" spans="2:15" ht="15.5" x14ac:dyDescent="0.35">
      <c r="B75" s="6" t="e">
        <f t="shared" si="5"/>
        <v>#VALUE!</v>
      </c>
      <c r="C75" s="7" t="e">
        <f t="shared" si="0"/>
        <v>#VALUE!</v>
      </c>
      <c r="D75" s="7" t="e">
        <f t="shared" si="6"/>
        <v>#VALUE!</v>
      </c>
      <c r="E75" s="7" t="e">
        <f>C74*Remodelacion!$E$17</f>
        <v>#VALUE!</v>
      </c>
      <c r="F75" s="8" t="e">
        <f>+IF(Remodelacion!$D$26="Si",($C$17*(VLOOKUP(Remodelacion!$C$22,Seguros_Oblig!$A$3:$F$55,6,FALSE))),IF(Remodelacion!$C$10="TARIFA 1",(C74*(VLOOKUP(Remodelacion!$C$22,Seguros_Oblig!$A$3:$B$55,2,FALSE))),(C74*(VLOOKUP(Remodelacion!$C$22,Seguros_Oblig!$A$3:$D$55,4,FALSE)))))</f>
        <v>#VALUE!</v>
      </c>
      <c r="G75" s="8" t="e">
        <f>IF(Remodelacion!$C$10="TARIFA 1",(C74*(VLOOKUP(Remodelacion!$C$23,Seguros_Oblig!$A$3:$B$55,2,FALSE))),(C74*(VLOOKUP(Remodelacion!$C$23,Seguros_Oblig!$A$3:$D$55,4,FALSE))))</f>
        <v>#VALUE!</v>
      </c>
      <c r="H75" s="8" t="e">
        <f>IF(Remodelacion!$C$10="TARIFA 1",(C74*(VLOOKUP(Remodelacion!$C$24,Seguros_Oblig!$A$3:$B$55,2,FALSE))),(C74*(VLOOKUP(Remodelacion!$C$24,Seguros_Oblig!$A$3:$D$55,4,FALSE))))</f>
        <v>#VALUE!</v>
      </c>
      <c r="I75" s="8" t="e">
        <f>IF(Remodelacion!$C$10="TARIFA 1",(C74*(VLOOKUP(Remodelacion!$C$25,Seguros_Oblig!$A$3:$B$55,2,FALSE))),(C74*(VLOOKUP(Remodelacion!$C$25,Seguros_Oblig!$A$3:$D$55,4,FALSE))))</f>
        <v>#VALUE!</v>
      </c>
      <c r="J75" s="10">
        <f t="shared" si="2"/>
        <v>0</v>
      </c>
      <c r="K75" s="7" t="e">
        <f>IF(RM!$D$11="Si",0,IF(C74&lt;1,"0",Seguros_Oblig!$K$2*Remodelacion!$C$12))</f>
        <v>#VALUE!</v>
      </c>
      <c r="L75" s="7" t="e">
        <f>PMT(Remodelacion!$E$17,Remodelacion!$C$18,-Remodelacion!$C$15,,)</f>
        <v>#VALUE!</v>
      </c>
      <c r="M75" s="9" t="e">
        <f t="shared" si="3"/>
        <v>#VALUE!</v>
      </c>
      <c r="N75" s="7" t="e">
        <f>IF(C74&lt;1,"0",Remodelacion!$C$38)</f>
        <v>#VALUE!</v>
      </c>
      <c r="O75" s="9" t="e">
        <f t="shared" si="4"/>
        <v>#VALUE!</v>
      </c>
    </row>
    <row r="76" spans="2:15" ht="15.5" x14ac:dyDescent="0.35">
      <c r="B76" s="6" t="e">
        <f t="shared" si="5"/>
        <v>#VALUE!</v>
      </c>
      <c r="C76" s="7" t="e">
        <f t="shared" si="0"/>
        <v>#VALUE!</v>
      </c>
      <c r="D76" s="7" t="e">
        <f t="shared" si="6"/>
        <v>#VALUE!</v>
      </c>
      <c r="E76" s="7" t="e">
        <f>C75*Remodelacion!$E$17</f>
        <v>#VALUE!</v>
      </c>
      <c r="F76" s="8" t="e">
        <f>+IF(Remodelacion!$D$26="Si",($C$17*(VLOOKUP(Remodelacion!$C$22,Seguros_Oblig!$A$3:$F$55,6,FALSE))),IF(Remodelacion!$C$10="TARIFA 1",(C75*(VLOOKUP(Remodelacion!$C$22,Seguros_Oblig!$A$3:$B$55,2,FALSE))),(C75*(VLOOKUP(Remodelacion!$C$22,Seguros_Oblig!$A$3:$D$55,4,FALSE)))))</f>
        <v>#VALUE!</v>
      </c>
      <c r="G76" s="8" t="e">
        <f>IF(Remodelacion!$C$10="TARIFA 1",(C75*(VLOOKUP(Remodelacion!$C$23,Seguros_Oblig!$A$3:$B$55,2,FALSE))),(C75*(VLOOKUP(Remodelacion!$C$23,Seguros_Oblig!$A$3:$D$55,4,FALSE))))</f>
        <v>#VALUE!</v>
      </c>
      <c r="H76" s="8" t="e">
        <f>IF(Remodelacion!$C$10="TARIFA 1",(C75*(VLOOKUP(Remodelacion!$C$24,Seguros_Oblig!$A$3:$B$55,2,FALSE))),(C75*(VLOOKUP(Remodelacion!$C$24,Seguros_Oblig!$A$3:$D$55,4,FALSE))))</f>
        <v>#VALUE!</v>
      </c>
      <c r="I76" s="8" t="e">
        <f>IF(Remodelacion!$C$10="TARIFA 1",(C75*(VLOOKUP(Remodelacion!$C$25,Seguros_Oblig!$A$3:$B$55,2,FALSE))),(C75*(VLOOKUP(Remodelacion!$C$25,Seguros_Oblig!$A$3:$D$55,4,FALSE))))</f>
        <v>#VALUE!</v>
      </c>
      <c r="J76" s="10">
        <f t="shared" si="2"/>
        <v>0</v>
      </c>
      <c r="K76" s="7" t="e">
        <f>IF(RM!$D$11="Si",0,IF(C75&lt;1,"0",Seguros_Oblig!$K$2*Remodelacion!$C$12))</f>
        <v>#VALUE!</v>
      </c>
      <c r="L76" s="7" t="e">
        <f>PMT(Remodelacion!$E$17,Remodelacion!$C$18,-Remodelacion!$C$15,,)</f>
        <v>#VALUE!</v>
      </c>
      <c r="M76" s="9" t="e">
        <f t="shared" si="3"/>
        <v>#VALUE!</v>
      </c>
      <c r="N76" s="7" t="e">
        <f>IF(C75&lt;1,"0",Remodelacion!$C$38)</f>
        <v>#VALUE!</v>
      </c>
      <c r="O76" s="9" t="e">
        <f t="shared" si="4"/>
        <v>#VALUE!</v>
      </c>
    </row>
    <row r="77" spans="2:15" ht="15.5" x14ac:dyDescent="0.35">
      <c r="B77" s="6" t="e">
        <f t="shared" si="5"/>
        <v>#VALUE!</v>
      </c>
      <c r="C77" s="7" t="e">
        <f>C76-D77</f>
        <v>#VALUE!</v>
      </c>
      <c r="D77" s="7" t="e">
        <f t="shared" si="6"/>
        <v>#VALUE!</v>
      </c>
      <c r="E77" s="7" t="e">
        <f>C76*Remodelacion!$E$17</f>
        <v>#VALUE!</v>
      </c>
      <c r="F77" s="8" t="e">
        <f>IF(C76&lt;1,0,IF(Remodelacion!$D$26="Si",($C$17*(VLOOKUP(Remodelacion!$C$22,Seguros_Oblig!$A$3:$F$55,6,FALSE))),IF(Remodelacion!$C$10="TARIFA 1",(C76*(VLOOKUP(Remodelacion!$C$22,Seguros_Oblig!$A$3:$B$55,2,FALSE))),(C76*(VLOOKUP(Remodelacion!$C$22,Seguros_Oblig!$A$3:$D$55,4,FALSE))))))</f>
        <v>#VALUE!</v>
      </c>
      <c r="G77" s="8" t="e">
        <f>IF(Remodelacion!$C$10="TARIFA 1",(C76*(VLOOKUP(Remodelacion!$C$23,Seguros_Oblig!$A$3:$B$55,2,FALSE))),(C76*(VLOOKUP(Remodelacion!$C$23,Seguros_Oblig!$A$3:$D$55,4,FALSE))))</f>
        <v>#VALUE!</v>
      </c>
      <c r="H77" s="8" t="e">
        <f>IF(Remodelacion!$C$10="TARIFA 1",(C76*(VLOOKUP(Remodelacion!$C$24,Seguros_Oblig!$A$3:$B$55,2,FALSE))),(C76*(VLOOKUP(Remodelacion!$C$24,Seguros_Oblig!$A$3:$D$55,4,FALSE))))</f>
        <v>#VALUE!</v>
      </c>
      <c r="I77" s="8" t="e">
        <f>IF(Remodelacion!$C$10="TARIFA 1",(C76*(VLOOKUP(Remodelacion!$C$25,Seguros_Oblig!$A$3:$B$55,2,FALSE))),(C76*(VLOOKUP(Remodelacion!$C$25,Seguros_Oblig!$A$3:$D$55,4,FALSE))))</f>
        <v>#VALUE!</v>
      </c>
      <c r="J77" s="10">
        <f t="shared" si="2"/>
        <v>0</v>
      </c>
      <c r="K77" s="7" t="e">
        <f>IF(RM!$D$11="Si",0,IF(C76&lt;1,"0",Seguros_Oblig!$K$2*Remodelacion!$C$12))</f>
        <v>#VALUE!</v>
      </c>
      <c r="L77" s="7" t="e">
        <f>IF(B77=" ","0",PMT(Remodelacion!$E$17,Remodelacion!$C$18,-Remodelacion!$C$15,,))</f>
        <v>#VALUE!</v>
      </c>
      <c r="M77" s="9" t="e">
        <f t="shared" si="3"/>
        <v>#VALUE!</v>
      </c>
      <c r="N77" s="7" t="e">
        <f>IF(C76&lt;1,"0",Remodelacion!$C$38)</f>
        <v>#VALUE!</v>
      </c>
      <c r="O77" s="9" t="e">
        <f t="shared" si="4"/>
        <v>#VALUE!</v>
      </c>
    </row>
    <row r="78" spans="2:15" ht="15.5" x14ac:dyDescent="0.35">
      <c r="B78" s="6" t="e">
        <f t="shared" si="5"/>
        <v>#VALUE!</v>
      </c>
      <c r="C78" s="7" t="e">
        <f t="shared" si="0"/>
        <v>#VALUE!</v>
      </c>
      <c r="D78" s="7" t="e">
        <f t="shared" si="6"/>
        <v>#VALUE!</v>
      </c>
      <c r="E78" s="7" t="e">
        <f>C77*Remodelacion!$E$17</f>
        <v>#VALUE!</v>
      </c>
      <c r="F78" s="8" t="e">
        <f>IF(C77&lt;1,0,IF(Remodelacion!$D$26="Si",($C$17*(VLOOKUP(Remodelacion!$C$22,Seguros_Oblig!$A$3:$F$55,6,FALSE))),IF(Remodelacion!$C$10="TARIFA 1",(C77*(VLOOKUP(Remodelacion!$C$22,Seguros_Oblig!$A$3:$B$55,2,FALSE))),(C77*(VLOOKUP(Remodelacion!$C$22,Seguros_Oblig!$A$3:$D$55,4,FALSE))))))</f>
        <v>#VALUE!</v>
      </c>
      <c r="G78" s="8" t="e">
        <f>IF(Remodelacion!$C$10="TARIFA 1",(C77*(VLOOKUP(Remodelacion!$C$23,Seguros_Oblig!$A$3:$B$55,2,FALSE))),(C77*(VLOOKUP(Remodelacion!$C$23,Seguros_Oblig!$A$3:$D$55,4,FALSE))))</f>
        <v>#VALUE!</v>
      </c>
      <c r="H78" s="8" t="e">
        <f>IF(Remodelacion!$C$10="TARIFA 1",(C77*(VLOOKUP(Remodelacion!$C$24,Seguros_Oblig!$A$3:$B$55,2,FALSE))),(C77*(VLOOKUP(Remodelacion!$C$24,Seguros_Oblig!$A$3:$D$55,4,FALSE))))</f>
        <v>#VALUE!</v>
      </c>
      <c r="I78" s="8" t="e">
        <f>IF(Remodelacion!$C$10="TARIFA 1",(C77*(VLOOKUP(Remodelacion!$C$25,Seguros_Oblig!$A$3:$B$55,2,FALSE))),(C77*(VLOOKUP(Remodelacion!$C$25,Seguros_Oblig!$A$3:$D$55,4,FALSE))))</f>
        <v>#VALUE!</v>
      </c>
      <c r="J78" s="10">
        <f t="shared" si="2"/>
        <v>0</v>
      </c>
      <c r="K78" s="7" t="e">
        <f>IF(RM!$D$11="Si",0,IF(C77&lt;1,"0",Seguros_Oblig!$K$2*Remodelacion!$C$12))</f>
        <v>#VALUE!</v>
      </c>
      <c r="L78" s="7" t="e">
        <f>IF(B78=" ","0",PMT(Remodelacion!$E$17,Remodelacion!$C$18,-Remodelacion!$C$15,,))</f>
        <v>#VALUE!</v>
      </c>
      <c r="M78" s="9" t="e">
        <f t="shared" si="3"/>
        <v>#VALUE!</v>
      </c>
      <c r="N78" s="7" t="e">
        <f>IF(C77&lt;1,"0",Remodelacion!$C$38)</f>
        <v>#VALUE!</v>
      </c>
      <c r="O78" s="9" t="e">
        <f t="shared" si="4"/>
        <v>#VALUE!</v>
      </c>
    </row>
    <row r="79" spans="2:15" ht="15.5" x14ac:dyDescent="0.35">
      <c r="B79" s="6" t="e">
        <f t="shared" si="5"/>
        <v>#VALUE!</v>
      </c>
      <c r="C79" s="7" t="e">
        <f t="shared" si="0"/>
        <v>#VALUE!</v>
      </c>
      <c r="D79" s="7" t="e">
        <f t="shared" si="6"/>
        <v>#VALUE!</v>
      </c>
      <c r="E79" s="7" t="e">
        <f>C78*Remodelacion!$E$17</f>
        <v>#VALUE!</v>
      </c>
      <c r="F79" s="8" t="e">
        <f>IF(C78&lt;1,0,IF(Remodelacion!$D$26="Si",($C$17*(VLOOKUP(Remodelacion!$C$22,Seguros_Oblig!$A$3:$F$55,6,FALSE))),IF(Remodelacion!$C$10="TARIFA 1",(C78*(VLOOKUP(Remodelacion!$C$22,Seguros_Oblig!$A$3:$B$55,2,FALSE))),(C78*(VLOOKUP(Remodelacion!$C$22,Seguros_Oblig!$A$3:$D$55,4,FALSE))))))</f>
        <v>#VALUE!</v>
      </c>
      <c r="G79" s="8" t="e">
        <f>IF(Remodelacion!$C$10="TARIFA 1",(C78*(VLOOKUP(Remodelacion!$C$23,Seguros_Oblig!$A$3:$B$55,2,FALSE))),(C78*(VLOOKUP(Remodelacion!$C$23,Seguros_Oblig!$A$3:$D$55,4,FALSE))))</f>
        <v>#VALUE!</v>
      </c>
      <c r="H79" s="8" t="e">
        <f>IF(Remodelacion!$C$10="TARIFA 1",(C78*(VLOOKUP(Remodelacion!$C$24,Seguros_Oblig!$A$3:$B$55,2,FALSE))),(C78*(VLOOKUP(Remodelacion!$C$24,Seguros_Oblig!$A$3:$D$55,4,FALSE))))</f>
        <v>#VALUE!</v>
      </c>
      <c r="I79" s="8" t="e">
        <f>IF(Remodelacion!$C$10="TARIFA 1",(C78*(VLOOKUP(Remodelacion!$C$25,Seguros_Oblig!$A$3:$B$55,2,FALSE))),(C78*(VLOOKUP(Remodelacion!$C$25,Seguros_Oblig!$A$3:$D$55,4,FALSE))))</f>
        <v>#VALUE!</v>
      </c>
      <c r="J79" s="10">
        <f t="shared" si="2"/>
        <v>0</v>
      </c>
      <c r="K79" s="7" t="e">
        <f>IF(RM!$D$11="Si",0,IF(C78&lt;1,"0",Seguros_Oblig!$K$2*Remodelacion!$C$12))</f>
        <v>#VALUE!</v>
      </c>
      <c r="L79" s="7" t="e">
        <f>IF(B79=" ","0",PMT(Remodelacion!$E$17,Remodelacion!$C$18,-Remodelacion!$C$15,,))</f>
        <v>#VALUE!</v>
      </c>
      <c r="M79" s="9" t="e">
        <f t="shared" si="3"/>
        <v>#VALUE!</v>
      </c>
      <c r="N79" s="7" t="e">
        <f>IF(C78&lt;1,"0",Remodelacion!$C$38)</f>
        <v>#VALUE!</v>
      </c>
      <c r="O79" s="9" t="e">
        <f t="shared" si="4"/>
        <v>#VALUE!</v>
      </c>
    </row>
    <row r="80" spans="2:15" ht="15.5" x14ac:dyDescent="0.35">
      <c r="B80" s="6" t="e">
        <f t="shared" si="5"/>
        <v>#VALUE!</v>
      </c>
      <c r="C80" s="7" t="e">
        <f t="shared" si="0"/>
        <v>#VALUE!</v>
      </c>
      <c r="D80" s="7" t="e">
        <f t="shared" si="6"/>
        <v>#VALUE!</v>
      </c>
      <c r="E80" s="7" t="e">
        <f>C79*Remodelacion!$E$17</f>
        <v>#VALUE!</v>
      </c>
      <c r="F80" s="8" t="e">
        <f>IF(C79&lt;1,0,IF(Remodelacion!$D$26="Si",($C$17*(VLOOKUP(Remodelacion!$C$22,Seguros_Oblig!$A$3:$F$55,6,FALSE))),IF(Remodelacion!$C$10="TARIFA 1",(C79*(VLOOKUP(Remodelacion!$C$22,Seguros_Oblig!$A$3:$B$55,2,FALSE))),(C79*(VLOOKUP(Remodelacion!$C$22,Seguros_Oblig!$A$3:$D$55,4,FALSE))))))</f>
        <v>#VALUE!</v>
      </c>
      <c r="G80" s="8" t="e">
        <f>IF(Remodelacion!$C$10="TARIFA 1",(C79*(VLOOKUP(Remodelacion!$C$23,Seguros_Oblig!$A$3:$B$55,2,FALSE))),(C79*(VLOOKUP(Remodelacion!$C$23,Seguros_Oblig!$A$3:$D$55,4,FALSE))))</f>
        <v>#VALUE!</v>
      </c>
      <c r="H80" s="8" t="e">
        <f>IF(Remodelacion!$C$10="TARIFA 1",(C79*(VLOOKUP(Remodelacion!$C$24,Seguros_Oblig!$A$3:$B$55,2,FALSE))),(C79*(VLOOKUP(Remodelacion!$C$24,Seguros_Oblig!$A$3:$D$55,4,FALSE))))</f>
        <v>#VALUE!</v>
      </c>
      <c r="I80" s="8" t="e">
        <f>IF(Remodelacion!$C$10="TARIFA 1",(C79*(VLOOKUP(Remodelacion!$C$25,Seguros_Oblig!$A$3:$B$55,2,FALSE))),(C79*(VLOOKUP(Remodelacion!$C$25,Seguros_Oblig!$A$3:$D$55,4,FALSE))))</f>
        <v>#VALUE!</v>
      </c>
      <c r="J80" s="10">
        <f t="shared" si="2"/>
        <v>0</v>
      </c>
      <c r="K80" s="7" t="e">
        <f>IF(RM!$D$11="Si",0,IF(C79&lt;1,"0",Seguros_Oblig!$K$2*Remodelacion!$C$12))</f>
        <v>#VALUE!</v>
      </c>
      <c r="L80" s="7" t="e">
        <f>IF(B80=" ","0",PMT(Remodelacion!$E$17,Remodelacion!$C$18,-Remodelacion!$C$15,,))</f>
        <v>#VALUE!</v>
      </c>
      <c r="M80" s="9" t="e">
        <f t="shared" si="3"/>
        <v>#VALUE!</v>
      </c>
      <c r="N80" s="7" t="e">
        <f>IF(C79&lt;1,"0",Remodelacion!$C$38)</f>
        <v>#VALUE!</v>
      </c>
      <c r="O80" s="9" t="e">
        <f t="shared" si="4"/>
        <v>#VALUE!</v>
      </c>
    </row>
    <row r="81" spans="2:15" ht="15.5" x14ac:dyDescent="0.35">
      <c r="B81" s="6" t="e">
        <f t="shared" si="5"/>
        <v>#VALUE!</v>
      </c>
      <c r="C81" s="7" t="e">
        <f t="shared" si="0"/>
        <v>#VALUE!</v>
      </c>
      <c r="D81" s="7" t="e">
        <f t="shared" si="6"/>
        <v>#VALUE!</v>
      </c>
      <c r="E81" s="7" t="e">
        <f>C80*Remodelacion!$E$17</f>
        <v>#VALUE!</v>
      </c>
      <c r="F81" s="8" t="e">
        <f>IF(C80&lt;1,0,IF(Remodelacion!$D$26="Si",($C$17*(VLOOKUP(Remodelacion!$C$22,Seguros_Oblig!$A$3:$F$55,6,FALSE))),IF(Remodelacion!$C$10="TARIFA 1",(C80*(VLOOKUP(Remodelacion!$C$22,Seguros_Oblig!$A$3:$B$55,2,FALSE))),(C80*(VLOOKUP(Remodelacion!$C$22,Seguros_Oblig!$A$3:$D$55,4,FALSE))))))</f>
        <v>#VALUE!</v>
      </c>
      <c r="G81" s="8" t="e">
        <f>IF(Remodelacion!$C$10="TARIFA 1",(C80*(VLOOKUP(Remodelacion!$C$23,Seguros_Oblig!$A$3:$B$55,2,FALSE))),(C80*(VLOOKUP(Remodelacion!$C$23,Seguros_Oblig!$A$3:$D$55,4,FALSE))))</f>
        <v>#VALUE!</v>
      </c>
      <c r="H81" s="8" t="e">
        <f>IF(Remodelacion!$C$10="TARIFA 1",(C80*(VLOOKUP(Remodelacion!$C$24,Seguros_Oblig!$A$3:$B$55,2,FALSE))),(C80*(VLOOKUP(Remodelacion!$C$24,Seguros_Oblig!$A$3:$D$55,4,FALSE))))</f>
        <v>#VALUE!</v>
      </c>
      <c r="I81" s="8" t="e">
        <f>IF(Remodelacion!$C$10="TARIFA 1",(C80*(VLOOKUP(Remodelacion!$C$25,Seguros_Oblig!$A$3:$B$55,2,FALSE))),(C80*(VLOOKUP(Remodelacion!$C$25,Seguros_Oblig!$A$3:$D$55,4,FALSE))))</f>
        <v>#VALUE!</v>
      </c>
      <c r="J81" s="10">
        <f t="shared" si="2"/>
        <v>0</v>
      </c>
      <c r="K81" s="7" t="e">
        <f>IF(RM!$D$11="Si",0,IF(C80&lt;1,"0",Seguros_Oblig!$K$2*Remodelacion!$C$12))</f>
        <v>#VALUE!</v>
      </c>
      <c r="L81" s="7" t="e">
        <f>IF(B81=" ","0",PMT(Remodelacion!$E$17,Remodelacion!$C$18,-Remodelacion!$C$15,,))</f>
        <v>#VALUE!</v>
      </c>
      <c r="M81" s="9" t="e">
        <f t="shared" si="3"/>
        <v>#VALUE!</v>
      </c>
      <c r="N81" s="7" t="e">
        <f>IF(C80&lt;1,"0",Remodelacion!$C$38)</f>
        <v>#VALUE!</v>
      </c>
      <c r="O81" s="9" t="e">
        <f t="shared" si="4"/>
        <v>#VALUE!</v>
      </c>
    </row>
    <row r="82" spans="2:15" ht="15.5" x14ac:dyDescent="0.35">
      <c r="B82" s="6" t="e">
        <f t="shared" si="5"/>
        <v>#VALUE!</v>
      </c>
      <c r="C82" s="7" t="e">
        <f t="shared" si="0"/>
        <v>#VALUE!</v>
      </c>
      <c r="D82" s="7" t="e">
        <f t="shared" si="6"/>
        <v>#VALUE!</v>
      </c>
      <c r="E82" s="7" t="e">
        <f>C81*Remodelacion!$E$17</f>
        <v>#VALUE!</v>
      </c>
      <c r="F82" s="8" t="e">
        <f>IF(C81&lt;1,0,IF(Remodelacion!$D$26="Si",($C$17*(VLOOKUP(Remodelacion!$C$22,Seguros_Oblig!$A$3:$F$55,6,FALSE))),IF(Remodelacion!$C$10="TARIFA 1",(C81*(VLOOKUP(Remodelacion!$C$22,Seguros_Oblig!$A$3:$B$55,2,FALSE))),(C81*(VLOOKUP(Remodelacion!$C$22,Seguros_Oblig!$A$3:$D$55,4,FALSE))))))</f>
        <v>#VALUE!</v>
      </c>
      <c r="G82" s="8" t="e">
        <f>IF(Remodelacion!$C$10="TARIFA 1",(C81*(VLOOKUP(Remodelacion!$C$23,Seguros_Oblig!$A$3:$B$55,2,FALSE))),(C81*(VLOOKUP(Remodelacion!$C$23,Seguros_Oblig!$A$3:$D$55,4,FALSE))))</f>
        <v>#VALUE!</v>
      </c>
      <c r="H82" s="8" t="e">
        <f>IF(Remodelacion!$C$10="TARIFA 1",(C81*(VLOOKUP(Remodelacion!$C$24,Seguros_Oblig!$A$3:$B$55,2,FALSE))),(C81*(VLOOKUP(Remodelacion!$C$24,Seguros_Oblig!$A$3:$D$55,4,FALSE))))</f>
        <v>#VALUE!</v>
      </c>
      <c r="I82" s="8" t="e">
        <f>IF(Remodelacion!$C$10="TARIFA 1",(C81*(VLOOKUP(Remodelacion!$C$25,Seguros_Oblig!$A$3:$B$55,2,FALSE))),(C81*(VLOOKUP(Remodelacion!$C$25,Seguros_Oblig!$A$3:$D$55,4,FALSE))))</f>
        <v>#VALUE!</v>
      </c>
      <c r="J82" s="10">
        <f t="shared" si="2"/>
        <v>0</v>
      </c>
      <c r="K82" s="7" t="e">
        <f>IF(RM!$D$11="Si",0,IF(C81&lt;1,"0",Seguros_Oblig!$K$2*Remodelacion!$C$12))</f>
        <v>#VALUE!</v>
      </c>
      <c r="L82" s="7" t="e">
        <f>IF(B82=" ","0",PMT(Remodelacion!$E$17,Remodelacion!$C$18,-Remodelacion!$C$15,,))</f>
        <v>#VALUE!</v>
      </c>
      <c r="M82" s="9" t="e">
        <f t="shared" si="3"/>
        <v>#VALUE!</v>
      </c>
      <c r="N82" s="7" t="e">
        <f>IF(C81&lt;1,"0",Remodelacion!$C$38)</f>
        <v>#VALUE!</v>
      </c>
      <c r="O82" s="9" t="e">
        <f t="shared" si="4"/>
        <v>#VALUE!</v>
      </c>
    </row>
    <row r="83" spans="2:15" ht="15.5" x14ac:dyDescent="0.35">
      <c r="B83" s="6" t="e">
        <f t="shared" si="5"/>
        <v>#VALUE!</v>
      </c>
      <c r="C83" s="7" t="e">
        <f t="shared" ref="C83:C146" si="7">C82-D83</f>
        <v>#VALUE!</v>
      </c>
      <c r="D83" s="7" t="e">
        <f t="shared" si="6"/>
        <v>#VALUE!</v>
      </c>
      <c r="E83" s="7" t="e">
        <f>C82*Remodelacion!$E$17</f>
        <v>#VALUE!</v>
      </c>
      <c r="F83" s="8" t="e">
        <f>IF(C82&lt;1,0,IF(Remodelacion!$D$26="Si",($C$17*(VLOOKUP(Remodelacion!$C$22,Seguros_Oblig!$A$3:$F$55,6,FALSE))),IF(Remodelacion!$C$10="TARIFA 1",(C82*(VLOOKUP(Remodelacion!$C$22,Seguros_Oblig!$A$3:$B$55,2,FALSE))),(C82*(VLOOKUP(Remodelacion!$C$22,Seguros_Oblig!$A$3:$D$55,4,FALSE))))))</f>
        <v>#VALUE!</v>
      </c>
      <c r="G83" s="8" t="e">
        <f>IF(Remodelacion!$C$10="TARIFA 1",(C82*(VLOOKUP(Remodelacion!$C$23,Seguros_Oblig!$A$3:$B$55,2,FALSE))),(C82*(VLOOKUP(Remodelacion!$C$23,Seguros_Oblig!$A$3:$D$55,4,FALSE))))</f>
        <v>#VALUE!</v>
      </c>
      <c r="H83" s="8" t="e">
        <f>IF(Remodelacion!$C$10="TARIFA 1",(C82*(VLOOKUP(Remodelacion!$C$24,Seguros_Oblig!$A$3:$B$55,2,FALSE))),(C82*(VLOOKUP(Remodelacion!$C$24,Seguros_Oblig!$A$3:$D$55,4,FALSE))))</f>
        <v>#VALUE!</v>
      </c>
      <c r="I83" s="8" t="e">
        <f>IF(Remodelacion!$C$10="TARIFA 1",(C82*(VLOOKUP(Remodelacion!$C$25,Seguros_Oblig!$A$3:$B$55,2,FALSE))),(C82*(VLOOKUP(Remodelacion!$C$25,Seguros_Oblig!$A$3:$D$55,4,FALSE))))</f>
        <v>#VALUE!</v>
      </c>
      <c r="J83" s="10">
        <f t="shared" ref="J83:J146" si="8">_xlfn.AGGREGATE(9,6,F83:I83)</f>
        <v>0</v>
      </c>
      <c r="K83" s="7" t="e">
        <f>IF(RM!$D$11="Si",0,IF(C82&lt;1,"0",Seguros_Oblig!$K$2*Remodelacion!$C$12))</f>
        <v>#VALUE!</v>
      </c>
      <c r="L83" s="7" t="e">
        <f>IF(B83=" ","0",PMT(Remodelacion!$E$17,Remodelacion!$C$18,-Remodelacion!$C$15,,))</f>
        <v>#VALUE!</v>
      </c>
      <c r="M83" s="9" t="e">
        <f t="shared" ref="M83:M146" si="9">K83+L83+J83</f>
        <v>#VALUE!</v>
      </c>
      <c r="N83" s="7" t="e">
        <f>IF(C82&lt;1,"0",Remodelacion!$C$38)</f>
        <v>#VALUE!</v>
      </c>
      <c r="O83" s="9" t="e">
        <f t="shared" ref="O83:O146" si="10">M83+N83</f>
        <v>#VALUE!</v>
      </c>
    </row>
    <row r="84" spans="2:15" ht="15.5" x14ac:dyDescent="0.35">
      <c r="B84" s="6" t="e">
        <f t="shared" si="5"/>
        <v>#VALUE!</v>
      </c>
      <c r="C84" s="7" t="e">
        <f t="shared" si="7"/>
        <v>#VALUE!</v>
      </c>
      <c r="D84" s="7" t="e">
        <f t="shared" si="6"/>
        <v>#VALUE!</v>
      </c>
      <c r="E84" s="7" t="e">
        <f>C83*Remodelacion!$E$17</f>
        <v>#VALUE!</v>
      </c>
      <c r="F84" s="8" t="e">
        <f>IF(C83&lt;1,0,IF(Remodelacion!$D$26="Si",($C$17*(VLOOKUP(Remodelacion!$C$22,Seguros_Oblig!$A$3:$F$55,6,FALSE))),IF(Remodelacion!$C$10="TARIFA 1",(C83*(VLOOKUP(Remodelacion!$C$22,Seguros_Oblig!$A$3:$B$55,2,FALSE))),(C83*(VLOOKUP(Remodelacion!$C$22,Seguros_Oblig!$A$3:$D$55,4,FALSE))))))</f>
        <v>#VALUE!</v>
      </c>
      <c r="G84" s="8" t="e">
        <f>IF(Remodelacion!$C$10="TARIFA 1",(C83*(VLOOKUP(Remodelacion!$C$23,Seguros_Oblig!$A$3:$B$55,2,FALSE))),(C83*(VLOOKUP(Remodelacion!$C$23,Seguros_Oblig!$A$3:$D$55,4,FALSE))))</f>
        <v>#VALUE!</v>
      </c>
      <c r="H84" s="8" t="e">
        <f>IF(Remodelacion!$C$10="TARIFA 1",(C83*(VLOOKUP(Remodelacion!$C$24,Seguros_Oblig!$A$3:$B$55,2,FALSE))),(C83*(VLOOKUP(Remodelacion!$C$24,Seguros_Oblig!$A$3:$D$55,4,FALSE))))</f>
        <v>#VALUE!</v>
      </c>
      <c r="I84" s="8" t="e">
        <f>IF(Remodelacion!$C$10="TARIFA 1",(C83*(VLOOKUP(Remodelacion!$C$25,Seguros_Oblig!$A$3:$B$55,2,FALSE))),(C83*(VLOOKUP(Remodelacion!$C$25,Seguros_Oblig!$A$3:$D$55,4,FALSE))))</f>
        <v>#VALUE!</v>
      </c>
      <c r="J84" s="10">
        <f t="shared" si="8"/>
        <v>0</v>
      </c>
      <c r="K84" s="7" t="e">
        <f>IF(RM!$D$11="Si",0,IF(C83&lt;1,"0",Seguros_Oblig!$K$2*Remodelacion!$C$12))</f>
        <v>#VALUE!</v>
      </c>
      <c r="L84" s="7" t="e">
        <f>IF(B84=" ","0",PMT(Remodelacion!$E$17,Remodelacion!$C$18,-Remodelacion!$C$15,,))</f>
        <v>#VALUE!</v>
      </c>
      <c r="M84" s="9" t="e">
        <f t="shared" si="9"/>
        <v>#VALUE!</v>
      </c>
      <c r="N84" s="7" t="e">
        <f>IF(C83&lt;1,"0",Remodelacion!$C$38)</f>
        <v>#VALUE!</v>
      </c>
      <c r="O84" s="9" t="e">
        <f t="shared" si="10"/>
        <v>#VALUE!</v>
      </c>
    </row>
    <row r="85" spans="2:15" ht="15.5" x14ac:dyDescent="0.35">
      <c r="B85" s="6" t="e">
        <f t="shared" si="5"/>
        <v>#VALUE!</v>
      </c>
      <c r="C85" s="7" t="e">
        <f t="shared" si="7"/>
        <v>#VALUE!</v>
      </c>
      <c r="D85" s="7" t="e">
        <f t="shared" si="6"/>
        <v>#VALUE!</v>
      </c>
      <c r="E85" s="7" t="e">
        <f>C84*Remodelacion!$E$17</f>
        <v>#VALUE!</v>
      </c>
      <c r="F85" s="8" t="e">
        <f>IF(C84&lt;1,0,IF(Remodelacion!$D$26="Si",($C$17*(VLOOKUP(Remodelacion!$C$22,Seguros_Oblig!$A$3:$F$55,6,FALSE))),IF(Remodelacion!$C$10="TARIFA 1",(C84*(VLOOKUP(Remodelacion!$C$22,Seguros_Oblig!$A$3:$B$55,2,FALSE))),(C84*(VLOOKUP(Remodelacion!$C$22,Seguros_Oblig!$A$3:$D$55,4,FALSE))))))</f>
        <v>#VALUE!</v>
      </c>
      <c r="G85" s="8" t="e">
        <f>IF(Remodelacion!$C$10="TARIFA 1",(C84*(VLOOKUP(Remodelacion!$C$23,Seguros_Oblig!$A$3:$B$55,2,FALSE))),(C84*(VLOOKUP(Remodelacion!$C$23,Seguros_Oblig!$A$3:$D$55,4,FALSE))))</f>
        <v>#VALUE!</v>
      </c>
      <c r="H85" s="8" t="e">
        <f>IF(Remodelacion!$C$10="TARIFA 1",(C84*(VLOOKUP(Remodelacion!$C$24,Seguros_Oblig!$A$3:$B$55,2,FALSE))),(C84*(VLOOKUP(Remodelacion!$C$24,Seguros_Oblig!$A$3:$D$55,4,FALSE))))</f>
        <v>#VALUE!</v>
      </c>
      <c r="I85" s="8" t="e">
        <f>IF(Remodelacion!$C$10="TARIFA 1",(C84*(VLOOKUP(Remodelacion!$C$25,Seguros_Oblig!$A$3:$B$55,2,FALSE))),(C84*(VLOOKUP(Remodelacion!$C$25,Seguros_Oblig!$A$3:$D$55,4,FALSE))))</f>
        <v>#VALUE!</v>
      </c>
      <c r="J85" s="10">
        <f t="shared" si="8"/>
        <v>0</v>
      </c>
      <c r="K85" s="7" t="e">
        <f>IF(RM!$D$11="Si",0,IF(C84&lt;1,"0",Seguros_Oblig!$K$2*Remodelacion!$C$12))</f>
        <v>#VALUE!</v>
      </c>
      <c r="L85" s="7" t="e">
        <f>IF(B85=" ","0",PMT(Remodelacion!$E$17,Remodelacion!$C$18,-Remodelacion!$C$15,,))</f>
        <v>#VALUE!</v>
      </c>
      <c r="M85" s="9" t="e">
        <f t="shared" si="9"/>
        <v>#VALUE!</v>
      </c>
      <c r="N85" s="7" t="e">
        <f>IF(C84&lt;1,"0",Remodelacion!$C$38)</f>
        <v>#VALUE!</v>
      </c>
      <c r="O85" s="9" t="e">
        <f t="shared" si="10"/>
        <v>#VALUE!</v>
      </c>
    </row>
    <row r="86" spans="2:15" ht="15.5" x14ac:dyDescent="0.35">
      <c r="B86" s="6" t="e">
        <f t="shared" si="5"/>
        <v>#VALUE!</v>
      </c>
      <c r="C86" s="7" t="e">
        <f t="shared" si="7"/>
        <v>#VALUE!</v>
      </c>
      <c r="D86" s="7" t="e">
        <f t="shared" si="6"/>
        <v>#VALUE!</v>
      </c>
      <c r="E86" s="7" t="e">
        <f>C85*Remodelacion!$E$17</f>
        <v>#VALUE!</v>
      </c>
      <c r="F86" s="8" t="e">
        <f>IF(C85&lt;1,0,IF(Remodelacion!$D$26="Si",($C$17*(VLOOKUP(Remodelacion!$C$22,Seguros_Oblig!$A$3:$F$55,6,FALSE))),IF(Remodelacion!$C$10="TARIFA 1",(C85*(VLOOKUP(Remodelacion!$C$22,Seguros_Oblig!$A$3:$B$55,2,FALSE))),(C85*(VLOOKUP(Remodelacion!$C$22,Seguros_Oblig!$A$3:$D$55,4,FALSE))))))</f>
        <v>#VALUE!</v>
      </c>
      <c r="G86" s="8" t="e">
        <f>IF(Remodelacion!$C$10="TARIFA 1",(C85*(VLOOKUP(Remodelacion!$C$23,Seguros_Oblig!$A$3:$B$55,2,FALSE))),(C85*(VLOOKUP(Remodelacion!$C$23,Seguros_Oblig!$A$3:$D$55,4,FALSE))))</f>
        <v>#VALUE!</v>
      </c>
      <c r="H86" s="8" t="e">
        <f>IF(Remodelacion!$C$10="TARIFA 1",(C85*(VLOOKUP(Remodelacion!$C$24,Seguros_Oblig!$A$3:$B$55,2,FALSE))),(C85*(VLOOKUP(Remodelacion!$C$24,Seguros_Oblig!$A$3:$D$55,4,FALSE))))</f>
        <v>#VALUE!</v>
      </c>
      <c r="I86" s="8" t="e">
        <f>IF(Remodelacion!$C$10="TARIFA 1",(C85*(VLOOKUP(Remodelacion!$C$25,Seguros_Oblig!$A$3:$B$55,2,FALSE))),(C85*(VLOOKUP(Remodelacion!$C$25,Seguros_Oblig!$A$3:$D$55,4,FALSE))))</f>
        <v>#VALUE!</v>
      </c>
      <c r="J86" s="10">
        <f t="shared" si="8"/>
        <v>0</v>
      </c>
      <c r="K86" s="7" t="e">
        <f>IF(RM!$D$11="Si",0,IF(C85&lt;1,"0",Seguros_Oblig!$K$2*Remodelacion!$C$12))</f>
        <v>#VALUE!</v>
      </c>
      <c r="L86" s="7" t="e">
        <f>IF(B86=" ","0",PMT(Remodelacion!$E$17,Remodelacion!$C$18,-Remodelacion!$C$15,,))</f>
        <v>#VALUE!</v>
      </c>
      <c r="M86" s="9" t="e">
        <f t="shared" si="9"/>
        <v>#VALUE!</v>
      </c>
      <c r="N86" s="7" t="e">
        <f>IF(C85&lt;1,"0",Remodelacion!$C$38)</f>
        <v>#VALUE!</v>
      </c>
      <c r="O86" s="9" t="e">
        <f t="shared" si="10"/>
        <v>#VALUE!</v>
      </c>
    </row>
    <row r="87" spans="2:15" ht="15.5" x14ac:dyDescent="0.35">
      <c r="B87" s="6" t="e">
        <f t="shared" si="5"/>
        <v>#VALUE!</v>
      </c>
      <c r="C87" s="7" t="e">
        <f t="shared" si="7"/>
        <v>#VALUE!</v>
      </c>
      <c r="D87" s="7" t="e">
        <f t="shared" si="6"/>
        <v>#VALUE!</v>
      </c>
      <c r="E87" s="7" t="e">
        <f>C86*Remodelacion!$E$17</f>
        <v>#VALUE!</v>
      </c>
      <c r="F87" s="8" t="e">
        <f>IF(C86&lt;1,0,IF(Remodelacion!$D$26="Si",($C$17*(VLOOKUP(Remodelacion!$C$22,Seguros_Oblig!$A$3:$F$55,6,FALSE))),IF(Remodelacion!$C$10="TARIFA 1",(C86*(VLOOKUP(Remodelacion!$C$22,Seguros_Oblig!$A$3:$B$55,2,FALSE))),(C86*(VLOOKUP(Remodelacion!$C$22,Seguros_Oblig!$A$3:$D$55,4,FALSE))))))</f>
        <v>#VALUE!</v>
      </c>
      <c r="G87" s="8" t="e">
        <f>IF(Remodelacion!$C$10="TARIFA 1",(C86*(VLOOKUP(Remodelacion!$C$23,Seguros_Oblig!$A$3:$B$55,2,FALSE))),(C86*(VLOOKUP(Remodelacion!$C$23,Seguros_Oblig!$A$3:$D$55,4,FALSE))))</f>
        <v>#VALUE!</v>
      </c>
      <c r="H87" s="8" t="e">
        <f>IF(Remodelacion!$C$10="TARIFA 1",(C86*(VLOOKUP(Remodelacion!$C$24,Seguros_Oblig!$A$3:$B$55,2,FALSE))),(C86*(VLOOKUP(Remodelacion!$C$24,Seguros_Oblig!$A$3:$D$55,4,FALSE))))</f>
        <v>#VALUE!</v>
      </c>
      <c r="I87" s="8" t="e">
        <f>IF(Remodelacion!$C$10="TARIFA 1",(C86*(VLOOKUP(Remodelacion!$C$25,Seguros_Oblig!$A$3:$B$55,2,FALSE))),(C86*(VLOOKUP(Remodelacion!$C$25,Seguros_Oblig!$A$3:$D$55,4,FALSE))))</f>
        <v>#VALUE!</v>
      </c>
      <c r="J87" s="10">
        <f t="shared" si="8"/>
        <v>0</v>
      </c>
      <c r="K87" s="7" t="e">
        <f>IF(RM!$D$11="Si",0,IF(C86&lt;1,"0",Seguros_Oblig!$K$2*Remodelacion!$C$12))</f>
        <v>#VALUE!</v>
      </c>
      <c r="L87" s="7" t="e">
        <f>IF(B87=" ","0",PMT(Remodelacion!$E$17,Remodelacion!$C$18,-Remodelacion!$C$15,,))</f>
        <v>#VALUE!</v>
      </c>
      <c r="M87" s="9" t="e">
        <f t="shared" si="9"/>
        <v>#VALUE!</v>
      </c>
      <c r="N87" s="7" t="e">
        <f>IF(C86&lt;1,"0",Remodelacion!$C$38)</f>
        <v>#VALUE!</v>
      </c>
      <c r="O87" s="9" t="e">
        <f t="shared" si="10"/>
        <v>#VALUE!</v>
      </c>
    </row>
    <row r="88" spans="2:15" ht="15.5" x14ac:dyDescent="0.35">
      <c r="B88" s="6" t="e">
        <f t="shared" ref="B88:B151" si="11">IF(C87&gt;1,B87+1," ")</f>
        <v>#VALUE!</v>
      </c>
      <c r="C88" s="7" t="e">
        <f t="shared" si="7"/>
        <v>#VALUE!</v>
      </c>
      <c r="D88" s="7" t="e">
        <f t="shared" si="6"/>
        <v>#VALUE!</v>
      </c>
      <c r="E88" s="7" t="e">
        <f>C87*Remodelacion!$E$17</f>
        <v>#VALUE!</v>
      </c>
      <c r="F88" s="8" t="e">
        <f>IF(C87&lt;1,0,IF(Remodelacion!$D$26="Si",($C$17*(VLOOKUP(Remodelacion!$C$22,Seguros_Oblig!$A$3:$F$55,6,FALSE))),IF(Remodelacion!$C$10="TARIFA 1",(C87*(VLOOKUP(Remodelacion!$C$22,Seguros_Oblig!$A$3:$B$55,2,FALSE))),(C87*(VLOOKUP(Remodelacion!$C$22,Seguros_Oblig!$A$3:$D$55,4,FALSE))))))</f>
        <v>#VALUE!</v>
      </c>
      <c r="G88" s="8" t="e">
        <f>IF(Remodelacion!$C$10="TARIFA 1",(C87*(VLOOKUP(Remodelacion!$C$23,Seguros_Oblig!$A$3:$B$55,2,FALSE))),(C87*(VLOOKUP(Remodelacion!$C$23,Seguros_Oblig!$A$3:$D$55,4,FALSE))))</f>
        <v>#VALUE!</v>
      </c>
      <c r="H88" s="8" t="e">
        <f>IF(Remodelacion!$C$10="TARIFA 1",(C87*(VLOOKUP(Remodelacion!$C$24,Seguros_Oblig!$A$3:$B$55,2,FALSE))),(C87*(VLOOKUP(Remodelacion!$C$24,Seguros_Oblig!$A$3:$D$55,4,FALSE))))</f>
        <v>#VALUE!</v>
      </c>
      <c r="I88" s="8" t="e">
        <f>IF(Remodelacion!$C$10="TARIFA 1",(C87*(VLOOKUP(Remodelacion!$C$25,Seguros_Oblig!$A$3:$B$55,2,FALSE))),(C87*(VLOOKUP(Remodelacion!$C$25,Seguros_Oblig!$A$3:$D$55,4,FALSE))))</f>
        <v>#VALUE!</v>
      </c>
      <c r="J88" s="10">
        <f t="shared" si="8"/>
        <v>0</v>
      </c>
      <c r="K88" s="7" t="e">
        <f>IF(RM!$D$11="Si",0,IF(C87&lt;1,"0",Seguros_Oblig!$K$2*Remodelacion!$C$12))</f>
        <v>#VALUE!</v>
      </c>
      <c r="L88" s="7" t="e">
        <f>IF(B88=" ","0",PMT(Remodelacion!$E$17,Remodelacion!$C$18,-Remodelacion!$C$15,,))</f>
        <v>#VALUE!</v>
      </c>
      <c r="M88" s="9" t="e">
        <f t="shared" si="9"/>
        <v>#VALUE!</v>
      </c>
      <c r="N88" s="7" t="e">
        <f>IF(C87&lt;1,"0",Remodelacion!$C$38)</f>
        <v>#VALUE!</v>
      </c>
      <c r="O88" s="9" t="e">
        <f t="shared" si="10"/>
        <v>#VALUE!</v>
      </c>
    </row>
    <row r="89" spans="2:15" ht="15.5" x14ac:dyDescent="0.35">
      <c r="B89" s="6" t="e">
        <f t="shared" si="11"/>
        <v>#VALUE!</v>
      </c>
      <c r="C89" s="7" t="e">
        <f t="shared" si="7"/>
        <v>#VALUE!</v>
      </c>
      <c r="D89" s="7" t="e">
        <f t="shared" si="6"/>
        <v>#VALUE!</v>
      </c>
      <c r="E89" s="7" t="e">
        <f>C88*Remodelacion!$E$17</f>
        <v>#VALUE!</v>
      </c>
      <c r="F89" s="8" t="e">
        <f>IF(C88&lt;1,0,IF(Remodelacion!$D$26="Si",($C$17*(VLOOKUP(Remodelacion!$C$22,Seguros_Oblig!$A$3:$F$55,6,FALSE))),IF(Remodelacion!$C$10="TARIFA 1",(C88*(VLOOKUP(Remodelacion!$C$22,Seguros_Oblig!$A$3:$B$55,2,FALSE))),(C88*(VLOOKUP(Remodelacion!$C$22,Seguros_Oblig!$A$3:$D$55,4,FALSE))))))</f>
        <v>#VALUE!</v>
      </c>
      <c r="G89" s="8" t="e">
        <f>IF(Remodelacion!$C$10="TARIFA 1",(C88*(VLOOKUP(Remodelacion!$C$23,Seguros_Oblig!$A$3:$B$55,2,FALSE))),(C88*(VLOOKUP(Remodelacion!$C$23,Seguros_Oblig!$A$3:$D$55,4,FALSE))))</f>
        <v>#VALUE!</v>
      </c>
      <c r="H89" s="8" t="e">
        <f>IF(Remodelacion!$C$10="TARIFA 1",(C88*(VLOOKUP(Remodelacion!$C$24,Seguros_Oblig!$A$3:$B$55,2,FALSE))),(C88*(VLOOKUP(Remodelacion!$C$24,Seguros_Oblig!$A$3:$D$55,4,FALSE))))</f>
        <v>#VALUE!</v>
      </c>
      <c r="I89" s="8" t="e">
        <f>IF(Remodelacion!$C$10="TARIFA 1",(C88*(VLOOKUP(Remodelacion!$C$25,Seguros_Oblig!$A$3:$B$55,2,FALSE))),(C88*(VLOOKUP(Remodelacion!$C$25,Seguros_Oblig!$A$3:$D$55,4,FALSE))))</f>
        <v>#VALUE!</v>
      </c>
      <c r="J89" s="10">
        <f t="shared" si="8"/>
        <v>0</v>
      </c>
      <c r="K89" s="7" t="e">
        <f>IF(RM!$D$11="Si",0,IF(C88&lt;1,"0",Seguros_Oblig!$K$2*Remodelacion!$C$12))</f>
        <v>#VALUE!</v>
      </c>
      <c r="L89" s="7" t="e">
        <f>IF(B89=" ","0",PMT(Remodelacion!$E$17,Remodelacion!$C$18,-Remodelacion!$C$15,,))</f>
        <v>#VALUE!</v>
      </c>
      <c r="M89" s="9" t="e">
        <f t="shared" si="9"/>
        <v>#VALUE!</v>
      </c>
      <c r="N89" s="7" t="e">
        <f>IF(C88&lt;1,"0",Remodelacion!$C$38)</f>
        <v>#VALUE!</v>
      </c>
      <c r="O89" s="9" t="e">
        <f t="shared" si="10"/>
        <v>#VALUE!</v>
      </c>
    </row>
    <row r="90" spans="2:15" ht="15.5" x14ac:dyDescent="0.35">
      <c r="B90" s="6" t="e">
        <f t="shared" si="11"/>
        <v>#VALUE!</v>
      </c>
      <c r="C90" s="7" t="e">
        <f t="shared" si="7"/>
        <v>#VALUE!</v>
      </c>
      <c r="D90" s="7" t="e">
        <f t="shared" si="6"/>
        <v>#VALUE!</v>
      </c>
      <c r="E90" s="7" t="e">
        <f>C89*Remodelacion!$E$17</f>
        <v>#VALUE!</v>
      </c>
      <c r="F90" s="8" t="e">
        <f>IF(C89&lt;1,0,IF(Remodelacion!$D$26="Si",($C$17*(VLOOKUP(Remodelacion!$C$22,Seguros_Oblig!$A$3:$F$55,6,FALSE))),IF(Remodelacion!$C$10="TARIFA 1",(C89*(VLOOKUP(Remodelacion!$C$22,Seguros_Oblig!$A$3:$B$55,2,FALSE))),(C89*(VLOOKUP(Remodelacion!$C$22,Seguros_Oblig!$A$3:$D$55,4,FALSE))))))</f>
        <v>#VALUE!</v>
      </c>
      <c r="G90" s="8" t="e">
        <f>IF(Remodelacion!$C$10="TARIFA 1",(C89*(VLOOKUP(Remodelacion!$C$23,Seguros_Oblig!$A$3:$B$55,2,FALSE))),(C89*(VLOOKUP(Remodelacion!$C$23,Seguros_Oblig!$A$3:$D$55,4,FALSE))))</f>
        <v>#VALUE!</v>
      </c>
      <c r="H90" s="8" t="e">
        <f>IF(Remodelacion!$C$10="TARIFA 1",(C89*(VLOOKUP(Remodelacion!$C$24,Seguros_Oblig!$A$3:$B$55,2,FALSE))),(C89*(VLOOKUP(Remodelacion!$C$24,Seguros_Oblig!$A$3:$D$55,4,FALSE))))</f>
        <v>#VALUE!</v>
      </c>
      <c r="I90" s="8" t="e">
        <f>IF(Remodelacion!$C$10="TARIFA 1",(C89*(VLOOKUP(Remodelacion!$C$25,Seguros_Oblig!$A$3:$B$55,2,FALSE))),(C89*(VLOOKUP(Remodelacion!$C$25,Seguros_Oblig!$A$3:$D$55,4,FALSE))))</f>
        <v>#VALUE!</v>
      </c>
      <c r="J90" s="10">
        <f t="shared" si="8"/>
        <v>0</v>
      </c>
      <c r="K90" s="7" t="e">
        <f>IF(RM!$D$11="Si",0,IF(C89&lt;1,"0",Seguros_Oblig!$K$2*Remodelacion!$C$12))</f>
        <v>#VALUE!</v>
      </c>
      <c r="L90" s="7" t="e">
        <f>IF(B90=" ","0",PMT(Remodelacion!$E$17,Remodelacion!$C$18,-Remodelacion!$C$15,,))</f>
        <v>#VALUE!</v>
      </c>
      <c r="M90" s="9" t="e">
        <f t="shared" si="9"/>
        <v>#VALUE!</v>
      </c>
      <c r="N90" s="7" t="e">
        <f>IF(C89&lt;1,"0",Remodelacion!$C$38)</f>
        <v>#VALUE!</v>
      </c>
      <c r="O90" s="9" t="e">
        <f t="shared" si="10"/>
        <v>#VALUE!</v>
      </c>
    </row>
    <row r="91" spans="2:15" ht="15.5" x14ac:dyDescent="0.35">
      <c r="B91" s="6" t="e">
        <f t="shared" si="11"/>
        <v>#VALUE!</v>
      </c>
      <c r="C91" s="7" t="e">
        <f t="shared" si="7"/>
        <v>#VALUE!</v>
      </c>
      <c r="D91" s="7" t="e">
        <f t="shared" si="6"/>
        <v>#VALUE!</v>
      </c>
      <c r="E91" s="7" t="e">
        <f>C90*Remodelacion!$E$17</f>
        <v>#VALUE!</v>
      </c>
      <c r="F91" s="8" t="e">
        <f>IF(C90&lt;1,0,IF(Remodelacion!$D$26="Si",($C$17*(VLOOKUP(Remodelacion!$C$22,Seguros_Oblig!$A$3:$F$55,6,FALSE))),IF(Remodelacion!$C$10="TARIFA 1",(C90*(VLOOKUP(Remodelacion!$C$22,Seguros_Oblig!$A$3:$B$55,2,FALSE))),(C90*(VLOOKUP(Remodelacion!$C$22,Seguros_Oblig!$A$3:$D$55,4,FALSE))))))</f>
        <v>#VALUE!</v>
      </c>
      <c r="G91" s="8" t="e">
        <f>IF(Remodelacion!$C$10="TARIFA 1",(C90*(VLOOKUP(Remodelacion!$C$23,Seguros_Oblig!$A$3:$B$55,2,FALSE))),(C90*(VLOOKUP(Remodelacion!$C$23,Seguros_Oblig!$A$3:$D$55,4,FALSE))))</f>
        <v>#VALUE!</v>
      </c>
      <c r="H91" s="8" t="e">
        <f>IF(Remodelacion!$C$10="TARIFA 1",(C90*(VLOOKUP(Remodelacion!$C$24,Seguros_Oblig!$A$3:$B$55,2,FALSE))),(C90*(VLOOKUP(Remodelacion!$C$24,Seguros_Oblig!$A$3:$D$55,4,FALSE))))</f>
        <v>#VALUE!</v>
      </c>
      <c r="I91" s="8" t="e">
        <f>IF(Remodelacion!$C$10="TARIFA 1",(C90*(VLOOKUP(Remodelacion!$C$25,Seguros_Oblig!$A$3:$B$55,2,FALSE))),(C90*(VLOOKUP(Remodelacion!$C$25,Seguros_Oblig!$A$3:$D$55,4,FALSE))))</f>
        <v>#VALUE!</v>
      </c>
      <c r="J91" s="10">
        <f t="shared" si="8"/>
        <v>0</v>
      </c>
      <c r="K91" s="7" t="e">
        <f>IF(RM!$D$11="Si",0,IF(C90&lt;1,"0",Seguros_Oblig!$K$2*Remodelacion!$C$12))</f>
        <v>#VALUE!</v>
      </c>
      <c r="L91" s="7" t="e">
        <f>IF(B91=" ","0",PMT(Remodelacion!$E$17,Remodelacion!$C$18,-Remodelacion!$C$15,,))</f>
        <v>#VALUE!</v>
      </c>
      <c r="M91" s="9" t="e">
        <f t="shared" si="9"/>
        <v>#VALUE!</v>
      </c>
      <c r="N91" s="7" t="e">
        <f>IF(C90&lt;1,"0",Remodelacion!$C$38)</f>
        <v>#VALUE!</v>
      </c>
      <c r="O91" s="9" t="e">
        <f t="shared" si="10"/>
        <v>#VALUE!</v>
      </c>
    </row>
    <row r="92" spans="2:15" ht="15.5" x14ac:dyDescent="0.35">
      <c r="B92" s="6" t="e">
        <f t="shared" si="11"/>
        <v>#VALUE!</v>
      </c>
      <c r="C92" s="7" t="e">
        <f t="shared" si="7"/>
        <v>#VALUE!</v>
      </c>
      <c r="D92" s="7" t="e">
        <f t="shared" si="6"/>
        <v>#VALUE!</v>
      </c>
      <c r="E92" s="7" t="e">
        <f>C91*Remodelacion!$E$17</f>
        <v>#VALUE!</v>
      </c>
      <c r="F92" s="8" t="e">
        <f>IF(C91&lt;1,0,IF(Remodelacion!$D$26="Si",($C$17*(VLOOKUP(Remodelacion!$C$22,Seguros_Oblig!$A$3:$F$55,6,FALSE))),IF(Remodelacion!$C$10="TARIFA 1",(C91*(VLOOKUP(Remodelacion!$C$22,Seguros_Oblig!$A$3:$B$55,2,FALSE))),(C91*(VLOOKUP(Remodelacion!$C$22,Seguros_Oblig!$A$3:$D$55,4,FALSE))))))</f>
        <v>#VALUE!</v>
      </c>
      <c r="G92" s="8" t="e">
        <f>IF(Remodelacion!$C$10="TARIFA 1",(C91*(VLOOKUP(Remodelacion!$C$23,Seguros_Oblig!$A$3:$B$55,2,FALSE))),(C91*(VLOOKUP(Remodelacion!$C$23,Seguros_Oblig!$A$3:$D$55,4,FALSE))))</f>
        <v>#VALUE!</v>
      </c>
      <c r="H92" s="8" t="e">
        <f>IF(Remodelacion!$C$10="TARIFA 1",(C91*(VLOOKUP(Remodelacion!$C$24,Seguros_Oblig!$A$3:$B$55,2,FALSE))),(C91*(VLOOKUP(Remodelacion!$C$24,Seguros_Oblig!$A$3:$D$55,4,FALSE))))</f>
        <v>#VALUE!</v>
      </c>
      <c r="I92" s="8" t="e">
        <f>IF(Remodelacion!$C$10="TARIFA 1",(C91*(VLOOKUP(Remodelacion!$C$25,Seguros_Oblig!$A$3:$B$55,2,FALSE))),(C91*(VLOOKUP(Remodelacion!$C$25,Seguros_Oblig!$A$3:$D$55,4,FALSE))))</f>
        <v>#VALUE!</v>
      </c>
      <c r="J92" s="10">
        <f t="shared" si="8"/>
        <v>0</v>
      </c>
      <c r="K92" s="7" t="e">
        <f>IF(RM!$D$11="Si",0,IF(C91&lt;1,"0",Seguros_Oblig!$K$2*Remodelacion!$C$12))</f>
        <v>#VALUE!</v>
      </c>
      <c r="L92" s="7" t="e">
        <f>IF(B92=" ","0",PMT(Remodelacion!$E$17,Remodelacion!$C$18,-Remodelacion!$C$15,,))</f>
        <v>#VALUE!</v>
      </c>
      <c r="M92" s="9" t="e">
        <f t="shared" si="9"/>
        <v>#VALUE!</v>
      </c>
      <c r="N92" s="7" t="e">
        <f>IF(C91&lt;1,"0",Remodelacion!$C$38)</f>
        <v>#VALUE!</v>
      </c>
      <c r="O92" s="9" t="e">
        <f t="shared" si="10"/>
        <v>#VALUE!</v>
      </c>
    </row>
    <row r="93" spans="2:15" ht="15.5" x14ac:dyDescent="0.35">
      <c r="B93" s="6" t="e">
        <f t="shared" si="11"/>
        <v>#VALUE!</v>
      </c>
      <c r="C93" s="7" t="e">
        <f t="shared" si="7"/>
        <v>#VALUE!</v>
      </c>
      <c r="D93" s="7" t="e">
        <f t="shared" si="6"/>
        <v>#VALUE!</v>
      </c>
      <c r="E93" s="7" t="e">
        <f>C92*Remodelacion!$E$17</f>
        <v>#VALUE!</v>
      </c>
      <c r="F93" s="8" t="e">
        <f>IF(C92&lt;1,0,IF(Remodelacion!$D$26="Si",($C$17*(VLOOKUP(Remodelacion!$C$22,Seguros_Oblig!$A$3:$F$55,6,FALSE))),IF(Remodelacion!$C$10="TARIFA 1",(C92*(VLOOKUP(Remodelacion!$C$22,Seguros_Oblig!$A$3:$B$55,2,FALSE))),(C92*(VLOOKUP(Remodelacion!$C$22,Seguros_Oblig!$A$3:$D$55,4,FALSE))))))</f>
        <v>#VALUE!</v>
      </c>
      <c r="G93" s="8" t="e">
        <f>IF(Remodelacion!$C$10="TARIFA 1",(C92*(VLOOKUP(Remodelacion!$C$23,Seguros_Oblig!$A$3:$B$55,2,FALSE))),(C92*(VLOOKUP(Remodelacion!$C$23,Seguros_Oblig!$A$3:$D$55,4,FALSE))))</f>
        <v>#VALUE!</v>
      </c>
      <c r="H93" s="8" t="e">
        <f>IF(Remodelacion!$C$10="TARIFA 1",(C92*(VLOOKUP(Remodelacion!$C$24,Seguros_Oblig!$A$3:$B$55,2,FALSE))),(C92*(VLOOKUP(Remodelacion!$C$24,Seguros_Oblig!$A$3:$D$55,4,FALSE))))</f>
        <v>#VALUE!</v>
      </c>
      <c r="I93" s="8" t="e">
        <f>IF(Remodelacion!$C$10="TARIFA 1",(C92*(VLOOKUP(Remodelacion!$C$25,Seguros_Oblig!$A$3:$B$55,2,FALSE))),(C92*(VLOOKUP(Remodelacion!$C$25,Seguros_Oblig!$A$3:$D$55,4,FALSE))))</f>
        <v>#VALUE!</v>
      </c>
      <c r="J93" s="10">
        <f t="shared" si="8"/>
        <v>0</v>
      </c>
      <c r="K93" s="7" t="e">
        <f>IF(RM!$D$11="Si",0,IF(C92&lt;1,"0",Seguros_Oblig!$K$2*Remodelacion!$C$12))</f>
        <v>#VALUE!</v>
      </c>
      <c r="L93" s="7" t="e">
        <f>IF(B93=" ","0",PMT(Remodelacion!$E$17,Remodelacion!$C$18,-Remodelacion!$C$15,,))</f>
        <v>#VALUE!</v>
      </c>
      <c r="M93" s="9" t="e">
        <f t="shared" si="9"/>
        <v>#VALUE!</v>
      </c>
      <c r="N93" s="7" t="e">
        <f>IF(C92&lt;1,"0",Remodelacion!$C$38)</f>
        <v>#VALUE!</v>
      </c>
      <c r="O93" s="9" t="e">
        <f t="shared" si="10"/>
        <v>#VALUE!</v>
      </c>
    </row>
    <row r="94" spans="2:15" ht="15.5" x14ac:dyDescent="0.35">
      <c r="B94" s="6" t="e">
        <f t="shared" si="11"/>
        <v>#VALUE!</v>
      </c>
      <c r="C94" s="7" t="e">
        <f t="shared" si="7"/>
        <v>#VALUE!</v>
      </c>
      <c r="D94" s="7" t="e">
        <f t="shared" si="6"/>
        <v>#VALUE!</v>
      </c>
      <c r="E94" s="7" t="e">
        <f>C93*Remodelacion!$E$17</f>
        <v>#VALUE!</v>
      </c>
      <c r="F94" s="8" t="e">
        <f>IF(C93&lt;1,0,IF(Remodelacion!$D$26="Si",($C$17*(VLOOKUP(Remodelacion!$C$22,Seguros_Oblig!$A$3:$F$55,6,FALSE))),IF(Remodelacion!$C$10="TARIFA 1",(C93*(VLOOKUP(Remodelacion!$C$22,Seguros_Oblig!$A$3:$B$55,2,FALSE))),(C93*(VLOOKUP(Remodelacion!$C$22,Seguros_Oblig!$A$3:$D$55,4,FALSE))))))</f>
        <v>#VALUE!</v>
      </c>
      <c r="G94" s="8" t="e">
        <f>IF(Remodelacion!$C$10="TARIFA 1",(C93*(VLOOKUP(Remodelacion!$C$23,Seguros_Oblig!$A$3:$B$55,2,FALSE))),(C93*(VLOOKUP(Remodelacion!$C$23,Seguros_Oblig!$A$3:$D$55,4,FALSE))))</f>
        <v>#VALUE!</v>
      </c>
      <c r="H94" s="8" t="e">
        <f>IF(Remodelacion!$C$10="TARIFA 1",(C93*(VLOOKUP(Remodelacion!$C$24,Seguros_Oblig!$A$3:$B$55,2,FALSE))),(C93*(VLOOKUP(Remodelacion!$C$24,Seguros_Oblig!$A$3:$D$55,4,FALSE))))</f>
        <v>#VALUE!</v>
      </c>
      <c r="I94" s="8" t="e">
        <f>IF(Remodelacion!$C$10="TARIFA 1",(C93*(VLOOKUP(Remodelacion!$C$25,Seguros_Oblig!$A$3:$B$55,2,FALSE))),(C93*(VLOOKUP(Remodelacion!$C$25,Seguros_Oblig!$A$3:$D$55,4,FALSE))))</f>
        <v>#VALUE!</v>
      </c>
      <c r="J94" s="10">
        <f t="shared" si="8"/>
        <v>0</v>
      </c>
      <c r="K94" s="7" t="e">
        <f>IF(RM!$D$11="Si",0,IF(C93&lt;1,"0",Seguros_Oblig!$K$2*Remodelacion!$C$12))</f>
        <v>#VALUE!</v>
      </c>
      <c r="L94" s="7" t="e">
        <f>IF(B94=" ","0",PMT(Remodelacion!$E$17,Remodelacion!$C$18,-Remodelacion!$C$15,,))</f>
        <v>#VALUE!</v>
      </c>
      <c r="M94" s="9" t="e">
        <f t="shared" si="9"/>
        <v>#VALUE!</v>
      </c>
      <c r="N94" s="7" t="e">
        <f>IF(C93&lt;1,"0",Remodelacion!$C$38)</f>
        <v>#VALUE!</v>
      </c>
      <c r="O94" s="9" t="e">
        <f t="shared" si="10"/>
        <v>#VALUE!</v>
      </c>
    </row>
    <row r="95" spans="2:15" ht="15.5" x14ac:dyDescent="0.35">
      <c r="B95" s="6" t="e">
        <f t="shared" si="11"/>
        <v>#VALUE!</v>
      </c>
      <c r="C95" s="7" t="e">
        <f t="shared" si="7"/>
        <v>#VALUE!</v>
      </c>
      <c r="D95" s="7" t="e">
        <f t="shared" ref="D95:D158" si="12">IF(C94&lt;1,"0",L95-E95)</f>
        <v>#VALUE!</v>
      </c>
      <c r="E95" s="7" t="e">
        <f>C94*Remodelacion!$E$17</f>
        <v>#VALUE!</v>
      </c>
      <c r="F95" s="8" t="e">
        <f>IF(C94&lt;1,0,IF(Remodelacion!$D$26="Si",($C$17*(VLOOKUP(Remodelacion!$C$22,Seguros_Oblig!$A$3:$F$55,6,FALSE))),IF(Remodelacion!$C$10="TARIFA 1",(C94*(VLOOKUP(Remodelacion!$C$22,Seguros_Oblig!$A$3:$B$55,2,FALSE))),(C94*(VLOOKUP(Remodelacion!$C$22,Seguros_Oblig!$A$3:$D$55,4,FALSE))))))</f>
        <v>#VALUE!</v>
      </c>
      <c r="G95" s="8" t="e">
        <f>IF(Remodelacion!$C$10="TARIFA 1",(C94*(VLOOKUP(Remodelacion!$C$23,Seguros_Oblig!$A$3:$B$55,2,FALSE))),(C94*(VLOOKUP(Remodelacion!$C$23,Seguros_Oblig!$A$3:$D$55,4,FALSE))))</f>
        <v>#VALUE!</v>
      </c>
      <c r="H95" s="8" t="e">
        <f>IF(Remodelacion!$C$10="TARIFA 1",(C94*(VLOOKUP(Remodelacion!$C$24,Seguros_Oblig!$A$3:$B$55,2,FALSE))),(C94*(VLOOKUP(Remodelacion!$C$24,Seguros_Oblig!$A$3:$D$55,4,FALSE))))</f>
        <v>#VALUE!</v>
      </c>
      <c r="I95" s="8" t="e">
        <f>IF(Remodelacion!$C$10="TARIFA 1",(C94*(VLOOKUP(Remodelacion!$C$25,Seguros_Oblig!$A$3:$B$55,2,FALSE))),(C94*(VLOOKUP(Remodelacion!$C$25,Seguros_Oblig!$A$3:$D$55,4,FALSE))))</f>
        <v>#VALUE!</v>
      </c>
      <c r="J95" s="10">
        <f t="shared" si="8"/>
        <v>0</v>
      </c>
      <c r="K95" s="7" t="e">
        <f>IF(RM!$D$11="Si",0,IF(C94&lt;1,"0",Seguros_Oblig!$K$2*Remodelacion!$C$12))</f>
        <v>#VALUE!</v>
      </c>
      <c r="L95" s="7" t="e">
        <f>IF(B95=" ","0",PMT(Remodelacion!$E$17,Remodelacion!$C$18,-Remodelacion!$C$15,,))</f>
        <v>#VALUE!</v>
      </c>
      <c r="M95" s="9" t="e">
        <f t="shared" si="9"/>
        <v>#VALUE!</v>
      </c>
      <c r="N95" s="7" t="e">
        <f>IF(C94&lt;1,"0",Remodelacion!$C$38)</f>
        <v>#VALUE!</v>
      </c>
      <c r="O95" s="9" t="e">
        <f t="shared" si="10"/>
        <v>#VALUE!</v>
      </c>
    </row>
    <row r="96" spans="2:15" ht="15.5" x14ac:dyDescent="0.35">
      <c r="B96" s="6" t="e">
        <f t="shared" si="11"/>
        <v>#VALUE!</v>
      </c>
      <c r="C96" s="7" t="e">
        <f t="shared" si="7"/>
        <v>#VALUE!</v>
      </c>
      <c r="D96" s="7" t="e">
        <f t="shared" si="12"/>
        <v>#VALUE!</v>
      </c>
      <c r="E96" s="7" t="e">
        <f>C95*Remodelacion!$E$17</f>
        <v>#VALUE!</v>
      </c>
      <c r="F96" s="8" t="e">
        <f>IF(C95&lt;1,0,IF(Remodelacion!$D$26="Si",($C$17*(VLOOKUP(Remodelacion!$C$22,Seguros_Oblig!$A$3:$F$55,6,FALSE))),IF(Remodelacion!$C$10="TARIFA 1",(C95*(VLOOKUP(Remodelacion!$C$22,Seguros_Oblig!$A$3:$B$55,2,FALSE))),(C95*(VLOOKUP(Remodelacion!$C$22,Seguros_Oblig!$A$3:$D$55,4,FALSE))))))</f>
        <v>#VALUE!</v>
      </c>
      <c r="G96" s="8" t="e">
        <f>IF(Remodelacion!$C$10="TARIFA 1",(C95*(VLOOKUP(Remodelacion!$C$23,Seguros_Oblig!$A$3:$B$55,2,FALSE))),(C95*(VLOOKUP(Remodelacion!$C$23,Seguros_Oblig!$A$3:$D$55,4,FALSE))))</f>
        <v>#VALUE!</v>
      </c>
      <c r="H96" s="8" t="e">
        <f>IF(Remodelacion!$C$10="TARIFA 1",(C95*(VLOOKUP(Remodelacion!$C$24,Seguros_Oblig!$A$3:$B$55,2,FALSE))),(C95*(VLOOKUP(Remodelacion!$C$24,Seguros_Oblig!$A$3:$D$55,4,FALSE))))</f>
        <v>#VALUE!</v>
      </c>
      <c r="I96" s="8" t="e">
        <f>IF(Remodelacion!$C$10="TARIFA 1",(C95*(VLOOKUP(Remodelacion!$C$25,Seguros_Oblig!$A$3:$B$55,2,FALSE))),(C95*(VLOOKUP(Remodelacion!$C$25,Seguros_Oblig!$A$3:$D$55,4,FALSE))))</f>
        <v>#VALUE!</v>
      </c>
      <c r="J96" s="10">
        <f t="shared" si="8"/>
        <v>0</v>
      </c>
      <c r="K96" s="7" t="e">
        <f>IF(RM!$D$11="Si",0,IF(C95&lt;1,"0",Seguros_Oblig!$K$2*Remodelacion!$C$12))</f>
        <v>#VALUE!</v>
      </c>
      <c r="L96" s="7" t="e">
        <f>IF(B96=" ","0",PMT(Remodelacion!$E$17,Remodelacion!$C$18,-Remodelacion!$C$15,,))</f>
        <v>#VALUE!</v>
      </c>
      <c r="M96" s="9" t="e">
        <f t="shared" si="9"/>
        <v>#VALUE!</v>
      </c>
      <c r="N96" s="7" t="e">
        <f>IF(C95&lt;1,"0",Remodelacion!$C$38)</f>
        <v>#VALUE!</v>
      </c>
      <c r="O96" s="9" t="e">
        <f t="shared" si="10"/>
        <v>#VALUE!</v>
      </c>
    </row>
    <row r="97" spans="2:15" ht="15.5" x14ac:dyDescent="0.35">
      <c r="B97" s="6" t="e">
        <f t="shared" si="11"/>
        <v>#VALUE!</v>
      </c>
      <c r="C97" s="7" t="e">
        <f t="shared" si="7"/>
        <v>#VALUE!</v>
      </c>
      <c r="D97" s="7" t="e">
        <f t="shared" si="12"/>
        <v>#VALUE!</v>
      </c>
      <c r="E97" s="7" t="e">
        <f>C96*Remodelacion!$E$17</f>
        <v>#VALUE!</v>
      </c>
      <c r="F97" s="8" t="e">
        <f>IF(C96&lt;1,0,IF(Remodelacion!$D$26="Si",($C$17*(VLOOKUP(Remodelacion!$C$22,Seguros_Oblig!$A$3:$F$55,6,FALSE))),IF(Remodelacion!$C$10="TARIFA 1",(C96*(VLOOKUP(Remodelacion!$C$22,Seguros_Oblig!$A$3:$B$55,2,FALSE))),(C96*(VLOOKUP(Remodelacion!$C$22,Seguros_Oblig!$A$3:$D$55,4,FALSE))))))</f>
        <v>#VALUE!</v>
      </c>
      <c r="G97" s="8" t="e">
        <f>IF(Remodelacion!$C$10="TARIFA 1",(C96*(VLOOKUP(Remodelacion!$C$23,Seguros_Oblig!$A$3:$B$55,2,FALSE))),(C96*(VLOOKUP(Remodelacion!$C$23,Seguros_Oblig!$A$3:$D$55,4,FALSE))))</f>
        <v>#VALUE!</v>
      </c>
      <c r="H97" s="8" t="e">
        <f>IF(Remodelacion!$C$10="TARIFA 1",(C96*(VLOOKUP(Remodelacion!$C$24,Seguros_Oblig!$A$3:$B$55,2,FALSE))),(C96*(VLOOKUP(Remodelacion!$C$24,Seguros_Oblig!$A$3:$D$55,4,FALSE))))</f>
        <v>#VALUE!</v>
      </c>
      <c r="I97" s="8" t="e">
        <f>IF(Remodelacion!$C$10="TARIFA 1",(C96*(VLOOKUP(Remodelacion!$C$25,Seguros_Oblig!$A$3:$B$55,2,FALSE))),(C96*(VLOOKUP(Remodelacion!$C$25,Seguros_Oblig!$A$3:$D$55,4,FALSE))))</f>
        <v>#VALUE!</v>
      </c>
      <c r="J97" s="10">
        <f t="shared" si="8"/>
        <v>0</v>
      </c>
      <c r="K97" s="7" t="e">
        <f>IF(RM!$D$11="Si",0,IF(C96&lt;1,"0",Seguros_Oblig!$K$2*Remodelacion!$C$12))</f>
        <v>#VALUE!</v>
      </c>
      <c r="L97" s="7" t="e">
        <f>IF(B97=" ","0",PMT(Remodelacion!$E$17,Remodelacion!$C$18,-Remodelacion!$C$15,,))</f>
        <v>#VALUE!</v>
      </c>
      <c r="M97" s="9" t="e">
        <f t="shared" si="9"/>
        <v>#VALUE!</v>
      </c>
      <c r="N97" s="7" t="e">
        <f>IF(C96&lt;1,"0",Remodelacion!$C$38)</f>
        <v>#VALUE!</v>
      </c>
      <c r="O97" s="9" t="e">
        <f t="shared" si="10"/>
        <v>#VALUE!</v>
      </c>
    </row>
    <row r="98" spans="2:15" ht="15.5" x14ac:dyDescent="0.35">
      <c r="B98" s="6" t="e">
        <f t="shared" si="11"/>
        <v>#VALUE!</v>
      </c>
      <c r="C98" s="7" t="e">
        <f t="shared" si="7"/>
        <v>#VALUE!</v>
      </c>
      <c r="D98" s="7" t="e">
        <f t="shared" si="12"/>
        <v>#VALUE!</v>
      </c>
      <c r="E98" s="7" t="e">
        <f>C97*Remodelacion!$E$17</f>
        <v>#VALUE!</v>
      </c>
      <c r="F98" s="8" t="e">
        <f>IF(C97&lt;1,0,IF(Remodelacion!$D$26="Si",($C$17*(VLOOKUP(Remodelacion!$C$22,Seguros_Oblig!$A$3:$F$55,6,FALSE))),IF(Remodelacion!$C$10="TARIFA 1",(C97*(VLOOKUP(Remodelacion!$C$22,Seguros_Oblig!$A$3:$B$55,2,FALSE))),(C97*(VLOOKUP(Remodelacion!$C$22,Seguros_Oblig!$A$3:$D$55,4,FALSE))))))</f>
        <v>#VALUE!</v>
      </c>
      <c r="G98" s="8" t="e">
        <f>IF(Remodelacion!$C$10="TARIFA 1",(C97*(VLOOKUP(Remodelacion!$C$23,Seguros_Oblig!$A$3:$B$55,2,FALSE))),(C97*(VLOOKUP(Remodelacion!$C$23,Seguros_Oblig!$A$3:$D$55,4,FALSE))))</f>
        <v>#VALUE!</v>
      </c>
      <c r="H98" s="8" t="e">
        <f>IF(Remodelacion!$C$10="TARIFA 1",(C97*(VLOOKUP(Remodelacion!$C$24,Seguros_Oblig!$A$3:$B$55,2,FALSE))),(C97*(VLOOKUP(Remodelacion!$C$24,Seguros_Oblig!$A$3:$D$55,4,FALSE))))</f>
        <v>#VALUE!</v>
      </c>
      <c r="I98" s="8" t="e">
        <f>IF(Remodelacion!$C$10="TARIFA 1",(C97*(VLOOKUP(Remodelacion!$C$25,Seguros_Oblig!$A$3:$B$55,2,FALSE))),(C97*(VLOOKUP(Remodelacion!$C$25,Seguros_Oblig!$A$3:$D$55,4,FALSE))))</f>
        <v>#VALUE!</v>
      </c>
      <c r="J98" s="10">
        <f t="shared" si="8"/>
        <v>0</v>
      </c>
      <c r="K98" s="7" t="e">
        <f>IF(RM!$D$11="Si",0,IF(C97&lt;1,"0",Seguros_Oblig!$K$2*Remodelacion!$C$12))</f>
        <v>#VALUE!</v>
      </c>
      <c r="L98" s="7" t="e">
        <f>IF(B98=" ","0",PMT(Remodelacion!$E$17,Remodelacion!$C$18,-Remodelacion!$C$15,,))</f>
        <v>#VALUE!</v>
      </c>
      <c r="M98" s="9" t="e">
        <f t="shared" si="9"/>
        <v>#VALUE!</v>
      </c>
      <c r="N98" s="7" t="e">
        <f>IF(C97&lt;1,"0",Remodelacion!$C$38)</f>
        <v>#VALUE!</v>
      </c>
      <c r="O98" s="9" t="e">
        <f t="shared" si="10"/>
        <v>#VALUE!</v>
      </c>
    </row>
    <row r="99" spans="2:15" ht="15.5" x14ac:dyDescent="0.35">
      <c r="B99" s="6" t="e">
        <f t="shared" si="11"/>
        <v>#VALUE!</v>
      </c>
      <c r="C99" s="7" t="e">
        <f t="shared" si="7"/>
        <v>#VALUE!</v>
      </c>
      <c r="D99" s="7" t="e">
        <f t="shared" si="12"/>
        <v>#VALUE!</v>
      </c>
      <c r="E99" s="7" t="e">
        <f>C98*Remodelacion!$E$17</f>
        <v>#VALUE!</v>
      </c>
      <c r="F99" s="8" t="e">
        <f>IF(C98&lt;1,0,IF(Remodelacion!$D$26="Si",($C$17*(VLOOKUP(Remodelacion!$C$22,Seguros_Oblig!$A$3:$F$55,6,FALSE))),IF(Remodelacion!$C$10="TARIFA 1",(C98*(VLOOKUP(Remodelacion!$C$22,Seguros_Oblig!$A$3:$B$55,2,FALSE))),(C98*(VLOOKUP(Remodelacion!$C$22,Seguros_Oblig!$A$3:$D$55,4,FALSE))))))</f>
        <v>#VALUE!</v>
      </c>
      <c r="G99" s="8" t="e">
        <f>IF(Remodelacion!$C$10="TARIFA 1",(C98*(VLOOKUP(Remodelacion!$C$23,Seguros_Oblig!$A$3:$B$55,2,FALSE))),(C98*(VLOOKUP(Remodelacion!$C$23,Seguros_Oblig!$A$3:$D$55,4,FALSE))))</f>
        <v>#VALUE!</v>
      </c>
      <c r="H99" s="8" t="e">
        <f>IF(Remodelacion!$C$10="TARIFA 1",(C98*(VLOOKUP(Remodelacion!$C$24,Seguros_Oblig!$A$3:$B$55,2,FALSE))),(C98*(VLOOKUP(Remodelacion!$C$24,Seguros_Oblig!$A$3:$D$55,4,FALSE))))</f>
        <v>#VALUE!</v>
      </c>
      <c r="I99" s="8" t="e">
        <f>IF(Remodelacion!$C$10="TARIFA 1",(C98*(VLOOKUP(Remodelacion!$C$25,Seguros_Oblig!$A$3:$B$55,2,FALSE))),(C98*(VLOOKUP(Remodelacion!$C$25,Seguros_Oblig!$A$3:$D$55,4,FALSE))))</f>
        <v>#VALUE!</v>
      </c>
      <c r="J99" s="10">
        <f t="shared" si="8"/>
        <v>0</v>
      </c>
      <c r="K99" s="7" t="e">
        <f>IF(RM!$D$11="Si",0,IF(C98&lt;1,"0",Seguros_Oblig!$K$2*Remodelacion!$C$12))</f>
        <v>#VALUE!</v>
      </c>
      <c r="L99" s="7" t="e">
        <f>IF(B99=" ","0",PMT(Remodelacion!$E$17,Remodelacion!$C$18,-Remodelacion!$C$15,,))</f>
        <v>#VALUE!</v>
      </c>
      <c r="M99" s="9" t="e">
        <f t="shared" si="9"/>
        <v>#VALUE!</v>
      </c>
      <c r="N99" s="7" t="e">
        <f>IF(C98&lt;1,"0",Remodelacion!$C$38)</f>
        <v>#VALUE!</v>
      </c>
      <c r="O99" s="9" t="e">
        <f t="shared" si="10"/>
        <v>#VALUE!</v>
      </c>
    </row>
    <row r="100" spans="2:15" ht="15.5" x14ac:dyDescent="0.35">
      <c r="B100" s="6" t="e">
        <f t="shared" si="11"/>
        <v>#VALUE!</v>
      </c>
      <c r="C100" s="7" t="e">
        <f t="shared" si="7"/>
        <v>#VALUE!</v>
      </c>
      <c r="D100" s="7" t="e">
        <f t="shared" si="12"/>
        <v>#VALUE!</v>
      </c>
      <c r="E100" s="7" t="e">
        <f>C99*Remodelacion!$E$17</f>
        <v>#VALUE!</v>
      </c>
      <c r="F100" s="8" t="e">
        <f>IF(C99&lt;1,0,IF(Remodelacion!$D$26="Si",($C$17*(VLOOKUP(Remodelacion!$C$22,Seguros_Oblig!$A$3:$F$55,6,FALSE))),IF(Remodelacion!$C$10="TARIFA 1",(C99*(VLOOKUP(Remodelacion!$C$22,Seguros_Oblig!$A$3:$B$55,2,FALSE))),(C99*(VLOOKUP(Remodelacion!$C$22,Seguros_Oblig!$A$3:$D$55,4,FALSE))))))</f>
        <v>#VALUE!</v>
      </c>
      <c r="G100" s="8" t="e">
        <f>IF(Remodelacion!$C$10="TARIFA 1",(C99*(VLOOKUP(Remodelacion!$C$23,Seguros_Oblig!$A$3:$B$55,2,FALSE))),(C99*(VLOOKUP(Remodelacion!$C$23,Seguros_Oblig!$A$3:$D$55,4,FALSE))))</f>
        <v>#VALUE!</v>
      </c>
      <c r="H100" s="8" t="e">
        <f>IF(Remodelacion!$C$10="TARIFA 1",(C99*(VLOOKUP(Remodelacion!$C$24,Seguros_Oblig!$A$3:$B$55,2,FALSE))),(C99*(VLOOKUP(Remodelacion!$C$24,Seguros_Oblig!$A$3:$D$55,4,FALSE))))</f>
        <v>#VALUE!</v>
      </c>
      <c r="I100" s="8" t="e">
        <f>IF(Remodelacion!$C$10="TARIFA 1",(C99*(VLOOKUP(Remodelacion!$C$25,Seguros_Oblig!$A$3:$B$55,2,FALSE))),(C99*(VLOOKUP(Remodelacion!$C$25,Seguros_Oblig!$A$3:$D$55,4,FALSE))))</f>
        <v>#VALUE!</v>
      </c>
      <c r="J100" s="10">
        <f t="shared" si="8"/>
        <v>0</v>
      </c>
      <c r="K100" s="7" t="e">
        <f>IF(RM!$D$11="Si",0,IF(C99&lt;1,"0",Seguros_Oblig!$K$2*Remodelacion!$C$12))</f>
        <v>#VALUE!</v>
      </c>
      <c r="L100" s="7" t="e">
        <f>IF(B100=" ","0",PMT(Remodelacion!$E$17,Remodelacion!$C$18,-Remodelacion!$C$15,,))</f>
        <v>#VALUE!</v>
      </c>
      <c r="M100" s="9" t="e">
        <f t="shared" si="9"/>
        <v>#VALUE!</v>
      </c>
      <c r="N100" s="7" t="e">
        <f>IF(C99&lt;1,"0",Remodelacion!$C$38)</f>
        <v>#VALUE!</v>
      </c>
      <c r="O100" s="9" t="e">
        <f t="shared" si="10"/>
        <v>#VALUE!</v>
      </c>
    </row>
    <row r="101" spans="2:15" ht="15.5" x14ac:dyDescent="0.35">
      <c r="B101" s="6" t="e">
        <f t="shared" si="11"/>
        <v>#VALUE!</v>
      </c>
      <c r="C101" s="7" t="e">
        <f t="shared" si="7"/>
        <v>#VALUE!</v>
      </c>
      <c r="D101" s="7" t="e">
        <f t="shared" si="12"/>
        <v>#VALUE!</v>
      </c>
      <c r="E101" s="7" t="e">
        <f>C100*Remodelacion!$E$17</f>
        <v>#VALUE!</v>
      </c>
      <c r="F101" s="8" t="e">
        <f>IF(C100&lt;1,0,IF(Remodelacion!$D$26="Si",($C$17*(VLOOKUP(Remodelacion!$C$22,Seguros_Oblig!$A$3:$F$55,6,FALSE))),IF(Remodelacion!$C$10="TARIFA 1",(C100*(VLOOKUP(Remodelacion!$C$22,Seguros_Oblig!$A$3:$B$55,2,FALSE))),(C100*(VLOOKUP(Remodelacion!$C$22,Seguros_Oblig!$A$3:$D$55,4,FALSE))))))</f>
        <v>#VALUE!</v>
      </c>
      <c r="G101" s="8" t="e">
        <f>IF(Remodelacion!$C$10="TARIFA 1",(C100*(VLOOKUP(Remodelacion!$C$23,Seguros_Oblig!$A$3:$B$55,2,FALSE))),(C100*(VLOOKUP(Remodelacion!$C$23,Seguros_Oblig!$A$3:$D$55,4,FALSE))))</f>
        <v>#VALUE!</v>
      </c>
      <c r="H101" s="8" t="e">
        <f>IF(Remodelacion!$C$10="TARIFA 1",(C100*(VLOOKUP(Remodelacion!$C$24,Seguros_Oblig!$A$3:$B$55,2,FALSE))),(C100*(VLOOKUP(Remodelacion!$C$24,Seguros_Oblig!$A$3:$D$55,4,FALSE))))</f>
        <v>#VALUE!</v>
      </c>
      <c r="I101" s="8" t="e">
        <f>IF(Remodelacion!$C$10="TARIFA 1",(C100*(VLOOKUP(Remodelacion!$C$25,Seguros_Oblig!$A$3:$B$55,2,FALSE))),(C100*(VLOOKUP(Remodelacion!$C$25,Seguros_Oblig!$A$3:$D$55,4,FALSE))))</f>
        <v>#VALUE!</v>
      </c>
      <c r="J101" s="10">
        <f t="shared" si="8"/>
        <v>0</v>
      </c>
      <c r="K101" s="7" t="e">
        <f>IF(RM!$D$11="Si",0,IF(C100&lt;1,"0",Seguros_Oblig!$K$2*Remodelacion!$C$12))</f>
        <v>#VALUE!</v>
      </c>
      <c r="L101" s="7" t="e">
        <f>IF(B101=" ","0",PMT(Remodelacion!$E$17,Remodelacion!$C$18,-Remodelacion!$C$15,,))</f>
        <v>#VALUE!</v>
      </c>
      <c r="M101" s="9" t="e">
        <f t="shared" si="9"/>
        <v>#VALUE!</v>
      </c>
      <c r="N101" s="7" t="e">
        <f>IF(C100&lt;1,"0",Remodelacion!$C$38)</f>
        <v>#VALUE!</v>
      </c>
      <c r="O101" s="9" t="e">
        <f t="shared" si="10"/>
        <v>#VALUE!</v>
      </c>
    </row>
    <row r="102" spans="2:15" ht="15.5" x14ac:dyDescent="0.35">
      <c r="B102" s="6" t="e">
        <f t="shared" si="11"/>
        <v>#VALUE!</v>
      </c>
      <c r="C102" s="7" t="e">
        <f t="shared" si="7"/>
        <v>#VALUE!</v>
      </c>
      <c r="D102" s="7" t="e">
        <f t="shared" si="12"/>
        <v>#VALUE!</v>
      </c>
      <c r="E102" s="7" t="e">
        <f>C101*Remodelacion!$E$17</f>
        <v>#VALUE!</v>
      </c>
      <c r="F102" s="8" t="e">
        <f>IF(C101&lt;1,0,IF(Remodelacion!$D$26="Si",($C$17*(VLOOKUP(Remodelacion!$C$22,Seguros_Oblig!$A$3:$F$55,6,FALSE))),IF(Remodelacion!$C$10="TARIFA 1",(C101*(VLOOKUP(Remodelacion!$C$22,Seguros_Oblig!$A$3:$B$55,2,FALSE))),(C101*(VLOOKUP(Remodelacion!$C$22,Seguros_Oblig!$A$3:$D$55,4,FALSE))))))</f>
        <v>#VALUE!</v>
      </c>
      <c r="G102" s="8" t="e">
        <f>IF(Remodelacion!$C$10="TARIFA 1",(C101*(VLOOKUP(Remodelacion!$C$23,Seguros_Oblig!$A$3:$B$55,2,FALSE))),(C101*(VLOOKUP(Remodelacion!$C$23,Seguros_Oblig!$A$3:$D$55,4,FALSE))))</f>
        <v>#VALUE!</v>
      </c>
      <c r="H102" s="8" t="e">
        <f>IF(Remodelacion!$C$10="TARIFA 1",(C101*(VLOOKUP(Remodelacion!$C$24,Seguros_Oblig!$A$3:$B$55,2,FALSE))),(C101*(VLOOKUP(Remodelacion!$C$24,Seguros_Oblig!$A$3:$D$55,4,FALSE))))</f>
        <v>#VALUE!</v>
      </c>
      <c r="I102" s="8" t="e">
        <f>IF(Remodelacion!$C$10="TARIFA 1",(C101*(VLOOKUP(Remodelacion!$C$25,Seguros_Oblig!$A$3:$B$55,2,FALSE))),(C101*(VLOOKUP(Remodelacion!$C$25,Seguros_Oblig!$A$3:$D$55,4,FALSE))))</f>
        <v>#VALUE!</v>
      </c>
      <c r="J102" s="10">
        <f t="shared" si="8"/>
        <v>0</v>
      </c>
      <c r="K102" s="7" t="e">
        <f>IF(RM!$D$11="Si",0,IF(C101&lt;1,"0",Seguros_Oblig!$K$2*Remodelacion!$C$12))</f>
        <v>#VALUE!</v>
      </c>
      <c r="L102" s="7" t="e">
        <f>IF(B102=" ","0",PMT(Remodelacion!$E$17,Remodelacion!$C$18,-Remodelacion!$C$15,,))</f>
        <v>#VALUE!</v>
      </c>
      <c r="M102" s="9" t="e">
        <f t="shared" si="9"/>
        <v>#VALUE!</v>
      </c>
      <c r="N102" s="7" t="e">
        <f>IF(C101&lt;1,"0",Remodelacion!$C$38)</f>
        <v>#VALUE!</v>
      </c>
      <c r="O102" s="9" t="e">
        <f t="shared" si="10"/>
        <v>#VALUE!</v>
      </c>
    </row>
    <row r="103" spans="2:15" ht="15.5" x14ac:dyDescent="0.35">
      <c r="B103" s="6" t="e">
        <f t="shared" si="11"/>
        <v>#VALUE!</v>
      </c>
      <c r="C103" s="7" t="e">
        <f t="shared" si="7"/>
        <v>#VALUE!</v>
      </c>
      <c r="D103" s="7" t="e">
        <f t="shared" si="12"/>
        <v>#VALUE!</v>
      </c>
      <c r="E103" s="7" t="e">
        <f>C102*Remodelacion!$E$17</f>
        <v>#VALUE!</v>
      </c>
      <c r="F103" s="8" t="e">
        <f>IF(C102&lt;1,0,IF(Remodelacion!$D$26="Si",($C$17*(VLOOKUP(Remodelacion!$C$22,Seguros_Oblig!$A$3:$F$55,6,FALSE))),IF(Remodelacion!$C$10="TARIFA 1",(C102*(VLOOKUP(Remodelacion!$C$22,Seguros_Oblig!$A$3:$B$55,2,FALSE))),(C102*(VLOOKUP(Remodelacion!$C$22,Seguros_Oblig!$A$3:$D$55,4,FALSE))))))</f>
        <v>#VALUE!</v>
      </c>
      <c r="G103" s="8" t="e">
        <f>IF(Remodelacion!$C$10="TARIFA 1",(C102*(VLOOKUP(Remodelacion!$C$23,Seguros_Oblig!$A$3:$B$55,2,FALSE))),(C102*(VLOOKUP(Remodelacion!$C$23,Seguros_Oblig!$A$3:$D$55,4,FALSE))))</f>
        <v>#VALUE!</v>
      </c>
      <c r="H103" s="8" t="e">
        <f>IF(Remodelacion!$C$10="TARIFA 1",(C102*(VLOOKUP(Remodelacion!$C$24,Seguros_Oblig!$A$3:$B$55,2,FALSE))),(C102*(VLOOKUP(Remodelacion!$C$24,Seguros_Oblig!$A$3:$D$55,4,FALSE))))</f>
        <v>#VALUE!</v>
      </c>
      <c r="I103" s="8" t="e">
        <f>IF(Remodelacion!$C$10="TARIFA 1",(C102*(VLOOKUP(Remodelacion!$C$25,Seguros_Oblig!$A$3:$B$55,2,FALSE))),(C102*(VLOOKUP(Remodelacion!$C$25,Seguros_Oblig!$A$3:$D$55,4,FALSE))))</f>
        <v>#VALUE!</v>
      </c>
      <c r="J103" s="10">
        <f t="shared" si="8"/>
        <v>0</v>
      </c>
      <c r="K103" s="7" t="e">
        <f>IF(RM!$D$11="Si",0,IF(C102&lt;1,"0",Seguros_Oblig!$K$2*Remodelacion!$C$12))</f>
        <v>#VALUE!</v>
      </c>
      <c r="L103" s="7" t="e">
        <f>IF(B103=" ","0",PMT(Remodelacion!$E$17,Remodelacion!$C$18,-Remodelacion!$C$15,,))</f>
        <v>#VALUE!</v>
      </c>
      <c r="M103" s="9" t="e">
        <f t="shared" si="9"/>
        <v>#VALUE!</v>
      </c>
      <c r="N103" s="7" t="e">
        <f>IF(C102&lt;1,"0",Remodelacion!$C$38)</f>
        <v>#VALUE!</v>
      </c>
      <c r="O103" s="9" t="e">
        <f t="shared" si="10"/>
        <v>#VALUE!</v>
      </c>
    </row>
    <row r="104" spans="2:15" ht="15.5" x14ac:dyDescent="0.35">
      <c r="B104" s="6" t="e">
        <f t="shared" si="11"/>
        <v>#VALUE!</v>
      </c>
      <c r="C104" s="7" t="e">
        <f t="shared" si="7"/>
        <v>#VALUE!</v>
      </c>
      <c r="D104" s="7" t="e">
        <f t="shared" si="12"/>
        <v>#VALUE!</v>
      </c>
      <c r="E104" s="7" t="e">
        <f>C103*Remodelacion!$E$17</f>
        <v>#VALUE!</v>
      </c>
      <c r="F104" s="8" t="e">
        <f>IF(C103&lt;1,0,IF(Remodelacion!$D$26="Si",($C$17*(VLOOKUP(Remodelacion!$C$22,Seguros_Oblig!$A$3:$F$55,6,FALSE))),IF(Remodelacion!$C$10="TARIFA 1",(C103*(VLOOKUP(Remodelacion!$C$22,Seguros_Oblig!$A$3:$B$55,2,FALSE))),(C103*(VLOOKUP(Remodelacion!$C$22,Seguros_Oblig!$A$3:$D$55,4,FALSE))))))</f>
        <v>#VALUE!</v>
      </c>
      <c r="G104" s="8" t="e">
        <f>IF(Remodelacion!$C$10="TARIFA 1",(C103*(VLOOKUP(Remodelacion!$C$23,Seguros_Oblig!$A$3:$B$55,2,FALSE))),(C103*(VLOOKUP(Remodelacion!$C$23,Seguros_Oblig!$A$3:$D$55,4,FALSE))))</f>
        <v>#VALUE!</v>
      </c>
      <c r="H104" s="8" t="e">
        <f>IF(Remodelacion!$C$10="TARIFA 1",(C103*(VLOOKUP(Remodelacion!$C$24,Seguros_Oblig!$A$3:$B$55,2,FALSE))),(C103*(VLOOKUP(Remodelacion!$C$24,Seguros_Oblig!$A$3:$D$55,4,FALSE))))</f>
        <v>#VALUE!</v>
      </c>
      <c r="I104" s="8" t="e">
        <f>IF(Remodelacion!$C$10="TARIFA 1",(C103*(VLOOKUP(Remodelacion!$C$25,Seguros_Oblig!$A$3:$B$55,2,FALSE))),(C103*(VLOOKUP(Remodelacion!$C$25,Seguros_Oblig!$A$3:$D$55,4,FALSE))))</f>
        <v>#VALUE!</v>
      </c>
      <c r="J104" s="10">
        <f t="shared" si="8"/>
        <v>0</v>
      </c>
      <c r="K104" s="7" t="e">
        <f>IF(RM!$D$11="Si",0,IF(C103&lt;1,"0",Seguros_Oblig!$K$2*Remodelacion!$C$12))</f>
        <v>#VALUE!</v>
      </c>
      <c r="L104" s="7" t="e">
        <f>IF(B104=" ","0",PMT(Remodelacion!$E$17,Remodelacion!$C$18,-Remodelacion!$C$15,,))</f>
        <v>#VALUE!</v>
      </c>
      <c r="M104" s="9" t="e">
        <f t="shared" si="9"/>
        <v>#VALUE!</v>
      </c>
      <c r="N104" s="7" t="e">
        <f>IF(C103&lt;1,"0",Remodelacion!$C$38)</f>
        <v>#VALUE!</v>
      </c>
      <c r="O104" s="9" t="e">
        <f t="shared" si="10"/>
        <v>#VALUE!</v>
      </c>
    </row>
    <row r="105" spans="2:15" ht="15.5" x14ac:dyDescent="0.35">
      <c r="B105" s="6" t="e">
        <f t="shared" si="11"/>
        <v>#VALUE!</v>
      </c>
      <c r="C105" s="7" t="e">
        <f t="shared" si="7"/>
        <v>#VALUE!</v>
      </c>
      <c r="D105" s="7" t="e">
        <f t="shared" si="12"/>
        <v>#VALUE!</v>
      </c>
      <c r="E105" s="7" t="e">
        <f>C104*Remodelacion!$E$17</f>
        <v>#VALUE!</v>
      </c>
      <c r="F105" s="8" t="e">
        <f>IF(C104&lt;1,0,IF(Remodelacion!$D$26="Si",($C$17*(VLOOKUP(Remodelacion!$C$22,Seguros_Oblig!$A$3:$F$55,6,FALSE))),IF(Remodelacion!$C$10="TARIFA 1",(C104*(VLOOKUP(Remodelacion!$C$22,Seguros_Oblig!$A$3:$B$55,2,FALSE))),(C104*(VLOOKUP(Remodelacion!$C$22,Seguros_Oblig!$A$3:$D$55,4,FALSE))))))</f>
        <v>#VALUE!</v>
      </c>
      <c r="G105" s="8" t="e">
        <f>IF(Remodelacion!$C$10="TARIFA 1",(C104*(VLOOKUP(Remodelacion!$C$23,Seguros_Oblig!$A$3:$B$55,2,FALSE))),(C104*(VLOOKUP(Remodelacion!$C$23,Seguros_Oblig!$A$3:$D$55,4,FALSE))))</f>
        <v>#VALUE!</v>
      </c>
      <c r="H105" s="8" t="e">
        <f>IF(Remodelacion!$C$10="TARIFA 1",(C104*(VLOOKUP(Remodelacion!$C$24,Seguros_Oblig!$A$3:$B$55,2,FALSE))),(C104*(VLOOKUP(Remodelacion!$C$24,Seguros_Oblig!$A$3:$D$55,4,FALSE))))</f>
        <v>#VALUE!</v>
      </c>
      <c r="I105" s="8" t="e">
        <f>IF(Remodelacion!$C$10="TARIFA 1",(C104*(VLOOKUP(Remodelacion!$C$25,Seguros_Oblig!$A$3:$B$55,2,FALSE))),(C104*(VLOOKUP(Remodelacion!$C$25,Seguros_Oblig!$A$3:$D$55,4,FALSE))))</f>
        <v>#VALUE!</v>
      </c>
      <c r="J105" s="10">
        <f t="shared" si="8"/>
        <v>0</v>
      </c>
      <c r="K105" s="7" t="e">
        <f>IF(RM!$D$11="Si",0,IF(C104&lt;1,"0",Seguros_Oblig!$K$2*Remodelacion!$C$12))</f>
        <v>#VALUE!</v>
      </c>
      <c r="L105" s="7" t="e">
        <f>IF(B105=" ","0",PMT(Remodelacion!$E$17,Remodelacion!$C$18,-Remodelacion!$C$15,,))</f>
        <v>#VALUE!</v>
      </c>
      <c r="M105" s="9" t="e">
        <f t="shared" si="9"/>
        <v>#VALUE!</v>
      </c>
      <c r="N105" s="7" t="e">
        <f>IF(C104&lt;1,"0",Remodelacion!$C$38)</f>
        <v>#VALUE!</v>
      </c>
      <c r="O105" s="9" t="e">
        <f t="shared" si="10"/>
        <v>#VALUE!</v>
      </c>
    </row>
    <row r="106" spans="2:15" ht="15.5" x14ac:dyDescent="0.35">
      <c r="B106" s="6" t="e">
        <f t="shared" si="11"/>
        <v>#VALUE!</v>
      </c>
      <c r="C106" s="7" t="e">
        <f t="shared" si="7"/>
        <v>#VALUE!</v>
      </c>
      <c r="D106" s="7" t="e">
        <f t="shared" si="12"/>
        <v>#VALUE!</v>
      </c>
      <c r="E106" s="7" t="e">
        <f>C105*Remodelacion!$E$17</f>
        <v>#VALUE!</v>
      </c>
      <c r="F106" s="8" t="e">
        <f>IF(C105&lt;1,0,IF(Remodelacion!$D$26="Si",($C$17*(VLOOKUP(Remodelacion!$C$22,Seguros_Oblig!$A$3:$F$55,6,FALSE))),IF(Remodelacion!$C$10="TARIFA 1",(C105*(VLOOKUP(Remodelacion!$C$22,Seguros_Oblig!$A$3:$B$55,2,FALSE))),(C105*(VLOOKUP(Remodelacion!$C$22,Seguros_Oblig!$A$3:$D$55,4,FALSE))))))</f>
        <v>#VALUE!</v>
      </c>
      <c r="G106" s="8" t="e">
        <f>IF(Remodelacion!$C$10="TARIFA 1",(C105*(VLOOKUP(Remodelacion!$C$23,Seguros_Oblig!$A$3:$B$55,2,FALSE))),(C105*(VLOOKUP(Remodelacion!$C$23,Seguros_Oblig!$A$3:$D$55,4,FALSE))))</f>
        <v>#VALUE!</v>
      </c>
      <c r="H106" s="8" t="e">
        <f>IF(Remodelacion!$C$10="TARIFA 1",(C105*(VLOOKUP(Remodelacion!$C$24,Seguros_Oblig!$A$3:$B$55,2,FALSE))),(C105*(VLOOKUP(Remodelacion!$C$24,Seguros_Oblig!$A$3:$D$55,4,FALSE))))</f>
        <v>#VALUE!</v>
      </c>
      <c r="I106" s="8" t="e">
        <f>IF(Remodelacion!$C$10="TARIFA 1",(C105*(VLOOKUP(Remodelacion!$C$25,Seguros_Oblig!$A$3:$B$55,2,FALSE))),(C105*(VLOOKUP(Remodelacion!$C$25,Seguros_Oblig!$A$3:$D$55,4,FALSE))))</f>
        <v>#VALUE!</v>
      </c>
      <c r="J106" s="10">
        <f t="shared" si="8"/>
        <v>0</v>
      </c>
      <c r="K106" s="7" t="e">
        <f>IF(RM!$D$11="Si",0,IF(C105&lt;1,"0",Seguros_Oblig!$K$2*Remodelacion!$C$12))</f>
        <v>#VALUE!</v>
      </c>
      <c r="L106" s="7" t="e">
        <f>IF(B106=" ","0",PMT(Remodelacion!$E$17,Remodelacion!$C$18,-Remodelacion!$C$15,,))</f>
        <v>#VALUE!</v>
      </c>
      <c r="M106" s="9" t="e">
        <f t="shared" si="9"/>
        <v>#VALUE!</v>
      </c>
      <c r="N106" s="7" t="e">
        <f>IF(C105&lt;1,"0",Remodelacion!$C$38)</f>
        <v>#VALUE!</v>
      </c>
      <c r="O106" s="9" t="e">
        <f t="shared" si="10"/>
        <v>#VALUE!</v>
      </c>
    </row>
    <row r="107" spans="2:15" ht="15.5" x14ac:dyDescent="0.35">
      <c r="B107" s="6" t="e">
        <f t="shared" si="11"/>
        <v>#VALUE!</v>
      </c>
      <c r="C107" s="7" t="e">
        <f t="shared" si="7"/>
        <v>#VALUE!</v>
      </c>
      <c r="D107" s="7" t="e">
        <f t="shared" si="12"/>
        <v>#VALUE!</v>
      </c>
      <c r="E107" s="7" t="e">
        <f>C106*Remodelacion!$E$17</f>
        <v>#VALUE!</v>
      </c>
      <c r="F107" s="8" t="e">
        <f>IF(C106&lt;1,0,IF(Remodelacion!$D$26="Si",($C$17*(VLOOKUP(Remodelacion!$C$22,Seguros_Oblig!$A$3:$F$55,6,FALSE))),IF(Remodelacion!$C$10="TARIFA 1",(C106*(VLOOKUP(Remodelacion!$C$22,Seguros_Oblig!$A$3:$B$55,2,FALSE))),(C106*(VLOOKUP(Remodelacion!$C$22,Seguros_Oblig!$A$3:$D$55,4,FALSE))))))</f>
        <v>#VALUE!</v>
      </c>
      <c r="G107" s="8" t="e">
        <f>IF(Remodelacion!$C$10="TARIFA 1",(C106*(VLOOKUP(Remodelacion!$C$23,Seguros_Oblig!$A$3:$B$55,2,FALSE))),(C106*(VLOOKUP(Remodelacion!$C$23,Seguros_Oblig!$A$3:$D$55,4,FALSE))))</f>
        <v>#VALUE!</v>
      </c>
      <c r="H107" s="8" t="e">
        <f>IF(Remodelacion!$C$10="TARIFA 1",(C106*(VLOOKUP(Remodelacion!$C$24,Seguros_Oblig!$A$3:$B$55,2,FALSE))),(C106*(VLOOKUP(Remodelacion!$C$24,Seguros_Oblig!$A$3:$D$55,4,FALSE))))</f>
        <v>#VALUE!</v>
      </c>
      <c r="I107" s="8" t="e">
        <f>IF(Remodelacion!$C$10="TARIFA 1",(C106*(VLOOKUP(Remodelacion!$C$25,Seguros_Oblig!$A$3:$B$55,2,FALSE))),(C106*(VLOOKUP(Remodelacion!$C$25,Seguros_Oblig!$A$3:$D$55,4,FALSE))))</f>
        <v>#VALUE!</v>
      </c>
      <c r="J107" s="10">
        <f t="shared" si="8"/>
        <v>0</v>
      </c>
      <c r="K107" s="7" t="e">
        <f>IF(RM!$D$11="Si",0,IF(C106&lt;1,"0",Seguros_Oblig!$K$2*Remodelacion!$C$12))</f>
        <v>#VALUE!</v>
      </c>
      <c r="L107" s="7" t="e">
        <f>IF(B107=" ","0",PMT(Remodelacion!$E$17,Remodelacion!$C$18,-Remodelacion!$C$15,,))</f>
        <v>#VALUE!</v>
      </c>
      <c r="M107" s="9" t="e">
        <f t="shared" si="9"/>
        <v>#VALUE!</v>
      </c>
      <c r="N107" s="7" t="e">
        <f>IF(C106&lt;1,"0",Remodelacion!$C$38)</f>
        <v>#VALUE!</v>
      </c>
      <c r="O107" s="9" t="e">
        <f t="shared" si="10"/>
        <v>#VALUE!</v>
      </c>
    </row>
    <row r="108" spans="2:15" ht="15.5" x14ac:dyDescent="0.35">
      <c r="B108" s="6" t="e">
        <f t="shared" si="11"/>
        <v>#VALUE!</v>
      </c>
      <c r="C108" s="7" t="e">
        <f t="shared" si="7"/>
        <v>#VALUE!</v>
      </c>
      <c r="D108" s="7" t="e">
        <f t="shared" si="12"/>
        <v>#VALUE!</v>
      </c>
      <c r="E108" s="7" t="e">
        <f>C107*Remodelacion!$E$17</f>
        <v>#VALUE!</v>
      </c>
      <c r="F108" s="8" t="e">
        <f>IF(C107&lt;1,0,IF(Remodelacion!$D$26="Si",($C$17*(VLOOKUP(Remodelacion!$C$22,Seguros_Oblig!$A$3:$F$55,6,FALSE))),IF(Remodelacion!$C$10="TARIFA 1",(C107*(VLOOKUP(Remodelacion!$C$22,Seguros_Oblig!$A$3:$B$55,2,FALSE))),(C107*(VLOOKUP(Remodelacion!$C$22,Seguros_Oblig!$A$3:$D$55,4,FALSE))))))</f>
        <v>#VALUE!</v>
      </c>
      <c r="G108" s="8" t="e">
        <f>IF(Remodelacion!$C$10="TARIFA 1",(C107*(VLOOKUP(Remodelacion!$C$23,Seguros_Oblig!$A$3:$B$55,2,FALSE))),(C107*(VLOOKUP(Remodelacion!$C$23,Seguros_Oblig!$A$3:$D$55,4,FALSE))))</f>
        <v>#VALUE!</v>
      </c>
      <c r="H108" s="8" t="e">
        <f>IF(Remodelacion!$C$10="TARIFA 1",(C107*(VLOOKUP(Remodelacion!$C$24,Seguros_Oblig!$A$3:$B$55,2,FALSE))),(C107*(VLOOKUP(Remodelacion!$C$24,Seguros_Oblig!$A$3:$D$55,4,FALSE))))</f>
        <v>#VALUE!</v>
      </c>
      <c r="I108" s="8" t="e">
        <f>IF(Remodelacion!$C$10="TARIFA 1",(C107*(VLOOKUP(Remodelacion!$C$25,Seguros_Oblig!$A$3:$B$55,2,FALSE))),(C107*(VLOOKUP(Remodelacion!$C$25,Seguros_Oblig!$A$3:$D$55,4,FALSE))))</f>
        <v>#VALUE!</v>
      </c>
      <c r="J108" s="10">
        <f t="shared" si="8"/>
        <v>0</v>
      </c>
      <c r="K108" s="7" t="e">
        <f>IF(RM!$D$11="Si",0,IF(C107&lt;1,"0",Seguros_Oblig!$K$2*Remodelacion!$C$12))</f>
        <v>#VALUE!</v>
      </c>
      <c r="L108" s="7" t="e">
        <f>IF(B108=" ","0",PMT(Remodelacion!$E$17,Remodelacion!$C$18,-Remodelacion!$C$15,,))</f>
        <v>#VALUE!</v>
      </c>
      <c r="M108" s="9" t="e">
        <f t="shared" si="9"/>
        <v>#VALUE!</v>
      </c>
      <c r="N108" s="7" t="e">
        <f>IF(C107&lt;1,"0",Remodelacion!$C$38)</f>
        <v>#VALUE!</v>
      </c>
      <c r="O108" s="9" t="e">
        <f t="shared" si="10"/>
        <v>#VALUE!</v>
      </c>
    </row>
    <row r="109" spans="2:15" ht="15.5" x14ac:dyDescent="0.35">
      <c r="B109" s="6" t="e">
        <f t="shared" si="11"/>
        <v>#VALUE!</v>
      </c>
      <c r="C109" s="7" t="e">
        <f t="shared" si="7"/>
        <v>#VALUE!</v>
      </c>
      <c r="D109" s="7" t="e">
        <f t="shared" si="12"/>
        <v>#VALUE!</v>
      </c>
      <c r="E109" s="7" t="e">
        <f>C108*Remodelacion!$E$17</f>
        <v>#VALUE!</v>
      </c>
      <c r="F109" s="8" t="e">
        <f>IF(C108&lt;1,0,IF(Remodelacion!$D$26="Si",($C$17*(VLOOKUP(Remodelacion!$C$22,Seguros_Oblig!$A$3:$F$55,6,FALSE))),IF(Remodelacion!$C$10="TARIFA 1",(C108*(VLOOKUP(Remodelacion!$C$22,Seguros_Oblig!$A$3:$B$55,2,FALSE))),(C108*(VLOOKUP(Remodelacion!$C$22,Seguros_Oblig!$A$3:$D$55,4,FALSE))))))</f>
        <v>#VALUE!</v>
      </c>
      <c r="G109" s="8" t="e">
        <f>IF(Remodelacion!$C$10="TARIFA 1",(C108*(VLOOKUP(Remodelacion!$C$23,Seguros_Oblig!$A$3:$B$55,2,FALSE))),(C108*(VLOOKUP(Remodelacion!$C$23,Seguros_Oblig!$A$3:$D$55,4,FALSE))))</f>
        <v>#VALUE!</v>
      </c>
      <c r="H109" s="8" t="e">
        <f>IF(Remodelacion!$C$10="TARIFA 1",(C108*(VLOOKUP(Remodelacion!$C$24,Seguros_Oblig!$A$3:$B$55,2,FALSE))),(C108*(VLOOKUP(Remodelacion!$C$24,Seguros_Oblig!$A$3:$D$55,4,FALSE))))</f>
        <v>#VALUE!</v>
      </c>
      <c r="I109" s="8" t="e">
        <f>IF(Remodelacion!$C$10="TARIFA 1",(C108*(VLOOKUP(Remodelacion!$C$25,Seguros_Oblig!$A$3:$B$55,2,FALSE))),(C108*(VLOOKUP(Remodelacion!$C$25,Seguros_Oblig!$A$3:$D$55,4,FALSE))))</f>
        <v>#VALUE!</v>
      </c>
      <c r="J109" s="10">
        <f t="shared" si="8"/>
        <v>0</v>
      </c>
      <c r="K109" s="7" t="e">
        <f>IF(RM!$D$11="Si",0,IF(C108&lt;1,"0",Seguros_Oblig!$K$2*Remodelacion!$C$12))</f>
        <v>#VALUE!</v>
      </c>
      <c r="L109" s="7" t="e">
        <f>IF(B109=" ","0",PMT(Remodelacion!$E$17,Remodelacion!$C$18,-Remodelacion!$C$15,,))</f>
        <v>#VALUE!</v>
      </c>
      <c r="M109" s="9" t="e">
        <f t="shared" si="9"/>
        <v>#VALUE!</v>
      </c>
      <c r="N109" s="7" t="e">
        <f>IF(C108&lt;1,"0",Remodelacion!$C$38)</f>
        <v>#VALUE!</v>
      </c>
      <c r="O109" s="9" t="e">
        <f t="shared" si="10"/>
        <v>#VALUE!</v>
      </c>
    </row>
    <row r="110" spans="2:15" ht="15.5" x14ac:dyDescent="0.35">
      <c r="B110" s="6" t="e">
        <f t="shared" si="11"/>
        <v>#VALUE!</v>
      </c>
      <c r="C110" s="7" t="e">
        <f t="shared" si="7"/>
        <v>#VALUE!</v>
      </c>
      <c r="D110" s="7" t="e">
        <f t="shared" si="12"/>
        <v>#VALUE!</v>
      </c>
      <c r="E110" s="7" t="e">
        <f>C109*Remodelacion!$E$17</f>
        <v>#VALUE!</v>
      </c>
      <c r="F110" s="8" t="e">
        <f>IF(C109&lt;1,0,IF(Remodelacion!$D$26="Si",($C$17*(VLOOKUP(Remodelacion!$C$22,Seguros_Oblig!$A$3:$F$55,6,FALSE))),IF(Remodelacion!$C$10="TARIFA 1",(C109*(VLOOKUP(Remodelacion!$C$22,Seguros_Oblig!$A$3:$B$55,2,FALSE))),(C109*(VLOOKUP(Remodelacion!$C$22,Seguros_Oblig!$A$3:$D$55,4,FALSE))))))</f>
        <v>#VALUE!</v>
      </c>
      <c r="G110" s="8" t="e">
        <f>IF(Remodelacion!$C$10="TARIFA 1",(C109*(VLOOKUP(Remodelacion!$C$23,Seguros_Oblig!$A$3:$B$55,2,FALSE))),(C109*(VLOOKUP(Remodelacion!$C$23,Seguros_Oblig!$A$3:$D$55,4,FALSE))))</f>
        <v>#VALUE!</v>
      </c>
      <c r="H110" s="8" t="e">
        <f>IF(Remodelacion!$C$10="TARIFA 1",(C109*(VLOOKUP(Remodelacion!$C$24,Seguros_Oblig!$A$3:$B$55,2,FALSE))),(C109*(VLOOKUP(Remodelacion!$C$24,Seguros_Oblig!$A$3:$D$55,4,FALSE))))</f>
        <v>#VALUE!</v>
      </c>
      <c r="I110" s="8" t="e">
        <f>IF(Remodelacion!$C$10="TARIFA 1",(C109*(VLOOKUP(Remodelacion!$C$25,Seguros_Oblig!$A$3:$B$55,2,FALSE))),(C109*(VLOOKUP(Remodelacion!$C$25,Seguros_Oblig!$A$3:$D$55,4,FALSE))))</f>
        <v>#VALUE!</v>
      </c>
      <c r="J110" s="10">
        <f t="shared" si="8"/>
        <v>0</v>
      </c>
      <c r="K110" s="7" t="e">
        <f>IF(RM!$D$11="Si",0,IF(C109&lt;1,"0",Seguros_Oblig!$K$2*Remodelacion!$C$12))</f>
        <v>#VALUE!</v>
      </c>
      <c r="L110" s="7" t="e">
        <f>IF(B110=" ","0",PMT(Remodelacion!$E$17,Remodelacion!$C$18,-Remodelacion!$C$15,,))</f>
        <v>#VALUE!</v>
      </c>
      <c r="M110" s="9" t="e">
        <f t="shared" si="9"/>
        <v>#VALUE!</v>
      </c>
      <c r="N110" s="7" t="e">
        <f>IF(C109&lt;1,"0",Remodelacion!$C$38)</f>
        <v>#VALUE!</v>
      </c>
      <c r="O110" s="9" t="e">
        <f t="shared" si="10"/>
        <v>#VALUE!</v>
      </c>
    </row>
    <row r="111" spans="2:15" ht="15.5" x14ac:dyDescent="0.35">
      <c r="B111" s="6" t="e">
        <f t="shared" si="11"/>
        <v>#VALUE!</v>
      </c>
      <c r="C111" s="7" t="e">
        <f t="shared" si="7"/>
        <v>#VALUE!</v>
      </c>
      <c r="D111" s="7" t="e">
        <f t="shared" si="12"/>
        <v>#VALUE!</v>
      </c>
      <c r="E111" s="7" t="e">
        <f>C110*Remodelacion!$E$17</f>
        <v>#VALUE!</v>
      </c>
      <c r="F111" s="8" t="e">
        <f>IF(C110&lt;1,0,IF(Remodelacion!$D$26="Si",($C$17*(VLOOKUP(Remodelacion!$C$22,Seguros_Oblig!$A$3:$F$55,6,FALSE))),IF(Remodelacion!$C$10="TARIFA 1",(C110*(VLOOKUP(Remodelacion!$C$22,Seguros_Oblig!$A$3:$B$55,2,FALSE))),(C110*(VLOOKUP(Remodelacion!$C$22,Seguros_Oblig!$A$3:$D$55,4,FALSE))))))</f>
        <v>#VALUE!</v>
      </c>
      <c r="G111" s="8" t="e">
        <f>IF(Remodelacion!$C$10="TARIFA 1",(C110*(VLOOKUP(Remodelacion!$C$23,Seguros_Oblig!$A$3:$B$55,2,FALSE))),(C110*(VLOOKUP(Remodelacion!$C$23,Seguros_Oblig!$A$3:$D$55,4,FALSE))))</f>
        <v>#VALUE!</v>
      </c>
      <c r="H111" s="8" t="e">
        <f>IF(Remodelacion!$C$10="TARIFA 1",(C110*(VLOOKUP(Remodelacion!$C$24,Seguros_Oblig!$A$3:$B$55,2,FALSE))),(C110*(VLOOKUP(Remodelacion!$C$24,Seguros_Oblig!$A$3:$D$55,4,FALSE))))</f>
        <v>#VALUE!</v>
      </c>
      <c r="I111" s="8" t="e">
        <f>IF(Remodelacion!$C$10="TARIFA 1",(C110*(VLOOKUP(Remodelacion!$C$25,Seguros_Oblig!$A$3:$B$55,2,FALSE))),(C110*(VLOOKUP(Remodelacion!$C$25,Seguros_Oblig!$A$3:$D$55,4,FALSE))))</f>
        <v>#VALUE!</v>
      </c>
      <c r="J111" s="10">
        <f t="shared" si="8"/>
        <v>0</v>
      </c>
      <c r="K111" s="7" t="e">
        <f>IF(RM!$D$11="Si",0,IF(C110&lt;1,"0",Seguros_Oblig!$K$2*Remodelacion!$C$12))</f>
        <v>#VALUE!</v>
      </c>
      <c r="L111" s="7" t="e">
        <f>IF(B111=" ","0",PMT(Remodelacion!$E$17,Remodelacion!$C$18,-Remodelacion!$C$15,,))</f>
        <v>#VALUE!</v>
      </c>
      <c r="M111" s="9" t="e">
        <f t="shared" si="9"/>
        <v>#VALUE!</v>
      </c>
      <c r="N111" s="7" t="e">
        <f>IF(C110&lt;1,"0",Remodelacion!$C$38)</f>
        <v>#VALUE!</v>
      </c>
      <c r="O111" s="9" t="e">
        <f t="shared" si="10"/>
        <v>#VALUE!</v>
      </c>
    </row>
    <row r="112" spans="2:15" ht="15.5" x14ac:dyDescent="0.35">
      <c r="B112" s="6" t="e">
        <f t="shared" si="11"/>
        <v>#VALUE!</v>
      </c>
      <c r="C112" s="7" t="e">
        <f t="shared" si="7"/>
        <v>#VALUE!</v>
      </c>
      <c r="D112" s="7" t="e">
        <f t="shared" si="12"/>
        <v>#VALUE!</v>
      </c>
      <c r="E112" s="7" t="e">
        <f>C111*Remodelacion!$E$17</f>
        <v>#VALUE!</v>
      </c>
      <c r="F112" s="8" t="e">
        <f>IF(C111&lt;1,0,IF(Remodelacion!$D$26="Si",($C$17*(VLOOKUP(Remodelacion!$C$22,Seguros_Oblig!$A$3:$F$55,6,FALSE))),IF(Remodelacion!$C$10="TARIFA 1",(C111*(VLOOKUP(Remodelacion!$C$22,Seguros_Oblig!$A$3:$B$55,2,FALSE))),(C111*(VLOOKUP(Remodelacion!$C$22,Seguros_Oblig!$A$3:$D$55,4,FALSE))))))</f>
        <v>#VALUE!</v>
      </c>
      <c r="G112" s="8" t="e">
        <f>IF(Remodelacion!$C$10="TARIFA 1",(C111*(VLOOKUP(Remodelacion!$C$23,Seguros_Oblig!$A$3:$B$55,2,FALSE))),(C111*(VLOOKUP(Remodelacion!$C$23,Seguros_Oblig!$A$3:$D$55,4,FALSE))))</f>
        <v>#VALUE!</v>
      </c>
      <c r="H112" s="8" t="e">
        <f>IF(Remodelacion!$C$10="TARIFA 1",(C111*(VLOOKUP(Remodelacion!$C$24,Seguros_Oblig!$A$3:$B$55,2,FALSE))),(C111*(VLOOKUP(Remodelacion!$C$24,Seguros_Oblig!$A$3:$D$55,4,FALSE))))</f>
        <v>#VALUE!</v>
      </c>
      <c r="I112" s="8" t="e">
        <f>IF(Remodelacion!$C$10="TARIFA 1",(C111*(VLOOKUP(Remodelacion!$C$25,Seguros_Oblig!$A$3:$B$55,2,FALSE))),(C111*(VLOOKUP(Remodelacion!$C$25,Seguros_Oblig!$A$3:$D$55,4,FALSE))))</f>
        <v>#VALUE!</v>
      </c>
      <c r="J112" s="10">
        <f t="shared" si="8"/>
        <v>0</v>
      </c>
      <c r="K112" s="7" t="e">
        <f>IF(RM!$D$11="Si",0,IF(C111&lt;1,"0",Seguros_Oblig!$K$2*Remodelacion!$C$12))</f>
        <v>#VALUE!</v>
      </c>
      <c r="L112" s="7" t="e">
        <f>IF(B112=" ","0",PMT(Remodelacion!$E$17,Remodelacion!$C$18,-Remodelacion!$C$15,,))</f>
        <v>#VALUE!</v>
      </c>
      <c r="M112" s="9" t="e">
        <f t="shared" si="9"/>
        <v>#VALUE!</v>
      </c>
      <c r="N112" s="7" t="e">
        <f>IF(C111&lt;1,"0",Remodelacion!$C$38)</f>
        <v>#VALUE!</v>
      </c>
      <c r="O112" s="9" t="e">
        <f t="shared" si="10"/>
        <v>#VALUE!</v>
      </c>
    </row>
    <row r="113" spans="2:15" ht="15.5" x14ac:dyDescent="0.35">
      <c r="B113" s="6" t="e">
        <f t="shared" si="11"/>
        <v>#VALUE!</v>
      </c>
      <c r="C113" s="7" t="e">
        <f t="shared" si="7"/>
        <v>#VALUE!</v>
      </c>
      <c r="D113" s="7" t="e">
        <f t="shared" si="12"/>
        <v>#VALUE!</v>
      </c>
      <c r="E113" s="7" t="e">
        <f>C112*Remodelacion!$E$17</f>
        <v>#VALUE!</v>
      </c>
      <c r="F113" s="8" t="e">
        <f>IF(C112&lt;1,0,IF(Remodelacion!$D$26="Si",($C$17*(VLOOKUP(Remodelacion!$C$22,Seguros_Oblig!$A$3:$F$55,6,FALSE))),IF(Remodelacion!$C$10="TARIFA 1",(C112*(VLOOKUP(Remodelacion!$C$22,Seguros_Oblig!$A$3:$B$55,2,FALSE))),(C112*(VLOOKUP(Remodelacion!$C$22,Seguros_Oblig!$A$3:$D$55,4,FALSE))))))</f>
        <v>#VALUE!</v>
      </c>
      <c r="G113" s="8" t="e">
        <f>IF(Remodelacion!$C$10="TARIFA 1",(C112*(VLOOKUP(Remodelacion!$C$23,Seguros_Oblig!$A$3:$B$55,2,FALSE))),(C112*(VLOOKUP(Remodelacion!$C$23,Seguros_Oblig!$A$3:$D$55,4,FALSE))))</f>
        <v>#VALUE!</v>
      </c>
      <c r="H113" s="8" t="e">
        <f>IF(Remodelacion!$C$10="TARIFA 1",(C112*(VLOOKUP(Remodelacion!$C$24,Seguros_Oblig!$A$3:$B$55,2,FALSE))),(C112*(VLOOKUP(Remodelacion!$C$24,Seguros_Oblig!$A$3:$D$55,4,FALSE))))</f>
        <v>#VALUE!</v>
      </c>
      <c r="I113" s="8" t="e">
        <f>IF(Remodelacion!$C$10="TARIFA 1",(C112*(VLOOKUP(Remodelacion!$C$25,Seguros_Oblig!$A$3:$B$55,2,FALSE))),(C112*(VLOOKUP(Remodelacion!$C$25,Seguros_Oblig!$A$3:$D$55,4,FALSE))))</f>
        <v>#VALUE!</v>
      </c>
      <c r="J113" s="10">
        <f t="shared" si="8"/>
        <v>0</v>
      </c>
      <c r="K113" s="7" t="e">
        <f>IF(RM!$D$11="Si",0,IF(C112&lt;1,"0",Seguros_Oblig!$K$2*Remodelacion!$C$12))</f>
        <v>#VALUE!</v>
      </c>
      <c r="L113" s="7" t="e">
        <f>IF(B113=" ","0",PMT(Remodelacion!$E$17,Remodelacion!$C$18,-Remodelacion!$C$15,,))</f>
        <v>#VALUE!</v>
      </c>
      <c r="M113" s="9" t="e">
        <f t="shared" si="9"/>
        <v>#VALUE!</v>
      </c>
      <c r="N113" s="7" t="e">
        <f>IF(C112&lt;1,"0",Remodelacion!$C$38)</f>
        <v>#VALUE!</v>
      </c>
      <c r="O113" s="9" t="e">
        <f t="shared" si="10"/>
        <v>#VALUE!</v>
      </c>
    </row>
    <row r="114" spans="2:15" ht="15.5" x14ac:dyDescent="0.35">
      <c r="B114" s="6" t="e">
        <f t="shared" si="11"/>
        <v>#VALUE!</v>
      </c>
      <c r="C114" s="7" t="e">
        <f t="shared" si="7"/>
        <v>#VALUE!</v>
      </c>
      <c r="D114" s="7" t="e">
        <f t="shared" si="12"/>
        <v>#VALUE!</v>
      </c>
      <c r="E114" s="7" t="e">
        <f>C113*Remodelacion!$E$17</f>
        <v>#VALUE!</v>
      </c>
      <c r="F114" s="8" t="e">
        <f>IF(C113&lt;1,0,IF(Remodelacion!$D$26="Si",($C$17*(VLOOKUP(Remodelacion!$C$22,Seguros_Oblig!$A$3:$F$55,6,FALSE))),IF(Remodelacion!$C$10="TARIFA 1",(C113*(VLOOKUP(Remodelacion!$C$22,Seguros_Oblig!$A$3:$B$55,2,FALSE))),(C113*(VLOOKUP(Remodelacion!$C$22,Seguros_Oblig!$A$3:$D$55,4,FALSE))))))</f>
        <v>#VALUE!</v>
      </c>
      <c r="G114" s="8" t="e">
        <f>IF(Remodelacion!$C$10="TARIFA 1",(C113*(VLOOKUP(Remodelacion!$C$23,Seguros_Oblig!$A$3:$B$55,2,FALSE))),(C113*(VLOOKUP(Remodelacion!$C$23,Seguros_Oblig!$A$3:$D$55,4,FALSE))))</f>
        <v>#VALUE!</v>
      </c>
      <c r="H114" s="8" t="e">
        <f>IF(Remodelacion!$C$10="TARIFA 1",(C113*(VLOOKUP(Remodelacion!$C$24,Seguros_Oblig!$A$3:$B$55,2,FALSE))),(C113*(VLOOKUP(Remodelacion!$C$24,Seguros_Oblig!$A$3:$D$55,4,FALSE))))</f>
        <v>#VALUE!</v>
      </c>
      <c r="I114" s="8" t="e">
        <f>IF(Remodelacion!$C$10="TARIFA 1",(C113*(VLOOKUP(Remodelacion!$C$25,Seguros_Oblig!$A$3:$B$55,2,FALSE))),(C113*(VLOOKUP(Remodelacion!$C$25,Seguros_Oblig!$A$3:$D$55,4,FALSE))))</f>
        <v>#VALUE!</v>
      </c>
      <c r="J114" s="10">
        <f t="shared" si="8"/>
        <v>0</v>
      </c>
      <c r="K114" s="7" t="e">
        <f>IF(RM!$D$11="Si",0,IF(C113&lt;1,"0",Seguros_Oblig!$K$2*Remodelacion!$C$12))</f>
        <v>#VALUE!</v>
      </c>
      <c r="L114" s="7" t="e">
        <f>IF(B114=" ","0",PMT(Remodelacion!$E$17,Remodelacion!$C$18,-Remodelacion!$C$15,,))</f>
        <v>#VALUE!</v>
      </c>
      <c r="M114" s="9" t="e">
        <f t="shared" si="9"/>
        <v>#VALUE!</v>
      </c>
      <c r="N114" s="7" t="e">
        <f>IF(C113&lt;1,"0",Remodelacion!$C$38)</f>
        <v>#VALUE!</v>
      </c>
      <c r="O114" s="9" t="e">
        <f t="shared" si="10"/>
        <v>#VALUE!</v>
      </c>
    </row>
    <row r="115" spans="2:15" ht="15.5" x14ac:dyDescent="0.35">
      <c r="B115" s="6" t="e">
        <f t="shared" si="11"/>
        <v>#VALUE!</v>
      </c>
      <c r="C115" s="7" t="e">
        <f t="shared" si="7"/>
        <v>#VALUE!</v>
      </c>
      <c r="D115" s="7" t="e">
        <f t="shared" si="12"/>
        <v>#VALUE!</v>
      </c>
      <c r="E115" s="7" t="e">
        <f>C114*Remodelacion!$E$17</f>
        <v>#VALUE!</v>
      </c>
      <c r="F115" s="8" t="e">
        <f>IF(C114&lt;1,0,IF(Remodelacion!$D$26="Si",($C$17*(VLOOKUP(Remodelacion!$C$22,Seguros_Oblig!$A$3:$F$55,6,FALSE))),IF(Remodelacion!$C$10="TARIFA 1",(C114*(VLOOKUP(Remodelacion!$C$22,Seguros_Oblig!$A$3:$B$55,2,FALSE))),(C114*(VLOOKUP(Remodelacion!$C$22,Seguros_Oblig!$A$3:$D$55,4,FALSE))))))</f>
        <v>#VALUE!</v>
      </c>
      <c r="G115" s="8" t="e">
        <f>IF(Remodelacion!$C$10="TARIFA 1",(C114*(VLOOKUP(Remodelacion!$C$23,Seguros_Oblig!$A$3:$B$55,2,FALSE))),(C114*(VLOOKUP(Remodelacion!$C$23,Seguros_Oblig!$A$3:$D$55,4,FALSE))))</f>
        <v>#VALUE!</v>
      </c>
      <c r="H115" s="8" t="e">
        <f>IF(Remodelacion!$C$10="TARIFA 1",(C114*(VLOOKUP(Remodelacion!$C$24,Seguros_Oblig!$A$3:$B$55,2,FALSE))),(C114*(VLOOKUP(Remodelacion!$C$24,Seguros_Oblig!$A$3:$D$55,4,FALSE))))</f>
        <v>#VALUE!</v>
      </c>
      <c r="I115" s="8" t="e">
        <f>IF(Remodelacion!$C$10="TARIFA 1",(C114*(VLOOKUP(Remodelacion!$C$25,Seguros_Oblig!$A$3:$B$55,2,FALSE))),(C114*(VLOOKUP(Remodelacion!$C$25,Seguros_Oblig!$A$3:$D$55,4,FALSE))))</f>
        <v>#VALUE!</v>
      </c>
      <c r="J115" s="10">
        <f t="shared" si="8"/>
        <v>0</v>
      </c>
      <c r="K115" s="7" t="e">
        <f>IF(RM!$D$11="Si",0,IF(C114&lt;1,"0",Seguros_Oblig!$K$2*Remodelacion!$C$12))</f>
        <v>#VALUE!</v>
      </c>
      <c r="L115" s="7" t="e">
        <f>IF(B115=" ","0",PMT(Remodelacion!$E$17,Remodelacion!$C$18,-Remodelacion!$C$15,,))</f>
        <v>#VALUE!</v>
      </c>
      <c r="M115" s="9" t="e">
        <f t="shared" si="9"/>
        <v>#VALUE!</v>
      </c>
      <c r="N115" s="7" t="e">
        <f>IF(C114&lt;1,"0",Remodelacion!$C$38)</f>
        <v>#VALUE!</v>
      </c>
      <c r="O115" s="9" t="e">
        <f t="shared" si="10"/>
        <v>#VALUE!</v>
      </c>
    </row>
    <row r="116" spans="2:15" ht="15.5" x14ac:dyDescent="0.35">
      <c r="B116" s="6" t="e">
        <f t="shared" si="11"/>
        <v>#VALUE!</v>
      </c>
      <c r="C116" s="7" t="e">
        <f t="shared" si="7"/>
        <v>#VALUE!</v>
      </c>
      <c r="D116" s="7" t="e">
        <f t="shared" si="12"/>
        <v>#VALUE!</v>
      </c>
      <c r="E116" s="7" t="e">
        <f>C115*Remodelacion!$E$17</f>
        <v>#VALUE!</v>
      </c>
      <c r="F116" s="8" t="e">
        <f>IF(C115&lt;1,0,IF(Remodelacion!$D$26="Si",($C$17*(VLOOKUP(Remodelacion!$C$22,Seguros_Oblig!$A$3:$F$55,6,FALSE))),IF(Remodelacion!$C$10="TARIFA 1",(C115*(VLOOKUP(Remodelacion!$C$22,Seguros_Oblig!$A$3:$B$55,2,FALSE))),(C115*(VLOOKUP(Remodelacion!$C$22,Seguros_Oblig!$A$3:$D$55,4,FALSE))))))</f>
        <v>#VALUE!</v>
      </c>
      <c r="G116" s="8" t="e">
        <f>IF(Remodelacion!$C$10="TARIFA 1",(C115*(VLOOKUP(Remodelacion!$C$23,Seguros_Oblig!$A$3:$B$55,2,FALSE))),(C115*(VLOOKUP(Remodelacion!$C$23,Seguros_Oblig!$A$3:$D$55,4,FALSE))))</f>
        <v>#VALUE!</v>
      </c>
      <c r="H116" s="8" t="e">
        <f>IF(Remodelacion!$C$10="TARIFA 1",(C115*(VLOOKUP(Remodelacion!$C$24,Seguros_Oblig!$A$3:$B$55,2,FALSE))),(C115*(VLOOKUP(Remodelacion!$C$24,Seguros_Oblig!$A$3:$D$55,4,FALSE))))</f>
        <v>#VALUE!</v>
      </c>
      <c r="I116" s="8" t="e">
        <f>IF(Remodelacion!$C$10="TARIFA 1",(C115*(VLOOKUP(Remodelacion!$C$25,Seguros_Oblig!$A$3:$B$55,2,FALSE))),(C115*(VLOOKUP(Remodelacion!$C$25,Seguros_Oblig!$A$3:$D$55,4,FALSE))))</f>
        <v>#VALUE!</v>
      </c>
      <c r="J116" s="10">
        <f t="shared" si="8"/>
        <v>0</v>
      </c>
      <c r="K116" s="7" t="e">
        <f>IF(RM!$D$11="Si",0,IF(C115&lt;1,"0",Seguros_Oblig!$K$2*Remodelacion!$C$12))</f>
        <v>#VALUE!</v>
      </c>
      <c r="L116" s="7" t="e">
        <f>IF(B116=" ","0",PMT(Remodelacion!$E$17,Remodelacion!$C$18,-Remodelacion!$C$15,,))</f>
        <v>#VALUE!</v>
      </c>
      <c r="M116" s="9" t="e">
        <f t="shared" si="9"/>
        <v>#VALUE!</v>
      </c>
      <c r="N116" s="7" t="e">
        <f>IF(C115&lt;1,"0",Remodelacion!$C$38)</f>
        <v>#VALUE!</v>
      </c>
      <c r="O116" s="9" t="e">
        <f t="shared" si="10"/>
        <v>#VALUE!</v>
      </c>
    </row>
    <row r="117" spans="2:15" ht="15.5" x14ac:dyDescent="0.35">
      <c r="B117" s="6" t="e">
        <f t="shared" si="11"/>
        <v>#VALUE!</v>
      </c>
      <c r="C117" s="7" t="e">
        <f t="shared" si="7"/>
        <v>#VALUE!</v>
      </c>
      <c r="D117" s="7" t="e">
        <f t="shared" si="12"/>
        <v>#VALUE!</v>
      </c>
      <c r="E117" s="7" t="e">
        <f>C116*Remodelacion!$E$17</f>
        <v>#VALUE!</v>
      </c>
      <c r="F117" s="8" t="e">
        <f>IF(C116&lt;1,0,IF(Remodelacion!$D$26="Si",($C$17*(VLOOKUP(Remodelacion!$C$22,Seguros_Oblig!$A$3:$F$55,6,FALSE))),IF(Remodelacion!$C$10="TARIFA 1",(C116*(VLOOKUP(Remodelacion!$C$22,Seguros_Oblig!$A$3:$B$55,2,FALSE))),(C116*(VLOOKUP(Remodelacion!$C$22,Seguros_Oblig!$A$3:$D$55,4,FALSE))))))</f>
        <v>#VALUE!</v>
      </c>
      <c r="G117" s="8" t="e">
        <f>IF(Remodelacion!$C$10="TARIFA 1",(C116*(VLOOKUP(Remodelacion!$C$23,Seguros_Oblig!$A$3:$B$55,2,FALSE))),(C116*(VLOOKUP(Remodelacion!$C$23,Seguros_Oblig!$A$3:$D$55,4,FALSE))))</f>
        <v>#VALUE!</v>
      </c>
      <c r="H117" s="8" t="e">
        <f>IF(Remodelacion!$C$10="TARIFA 1",(C116*(VLOOKUP(Remodelacion!$C$24,Seguros_Oblig!$A$3:$B$55,2,FALSE))),(C116*(VLOOKUP(Remodelacion!$C$24,Seguros_Oblig!$A$3:$D$55,4,FALSE))))</f>
        <v>#VALUE!</v>
      </c>
      <c r="I117" s="8" t="e">
        <f>IF(Remodelacion!$C$10="TARIFA 1",(C116*(VLOOKUP(Remodelacion!$C$25,Seguros_Oblig!$A$3:$B$55,2,FALSE))),(C116*(VLOOKUP(Remodelacion!$C$25,Seguros_Oblig!$A$3:$D$55,4,FALSE))))</f>
        <v>#VALUE!</v>
      </c>
      <c r="J117" s="10">
        <f t="shared" si="8"/>
        <v>0</v>
      </c>
      <c r="K117" s="7" t="e">
        <f>IF(RM!$D$11="Si",0,IF(C116&lt;1,"0",Seguros_Oblig!$K$2*Remodelacion!$C$12))</f>
        <v>#VALUE!</v>
      </c>
      <c r="L117" s="7" t="e">
        <f>IF(B117=" ","0",PMT(Remodelacion!$E$17,Remodelacion!$C$18,-Remodelacion!$C$15,,))</f>
        <v>#VALUE!</v>
      </c>
      <c r="M117" s="9" t="e">
        <f t="shared" si="9"/>
        <v>#VALUE!</v>
      </c>
      <c r="N117" s="7" t="e">
        <f>IF(C116&lt;1,"0",Remodelacion!$C$38)</f>
        <v>#VALUE!</v>
      </c>
      <c r="O117" s="9" t="e">
        <f t="shared" si="10"/>
        <v>#VALUE!</v>
      </c>
    </row>
    <row r="118" spans="2:15" ht="15.5" x14ac:dyDescent="0.35">
      <c r="B118" s="6" t="e">
        <f t="shared" si="11"/>
        <v>#VALUE!</v>
      </c>
      <c r="C118" s="7" t="e">
        <f t="shared" si="7"/>
        <v>#VALUE!</v>
      </c>
      <c r="D118" s="7" t="e">
        <f t="shared" si="12"/>
        <v>#VALUE!</v>
      </c>
      <c r="E118" s="7" t="e">
        <f>C117*Remodelacion!$E$17</f>
        <v>#VALUE!</v>
      </c>
      <c r="F118" s="8" t="e">
        <f>IF(C117&lt;1,0,IF(Remodelacion!$D$26="Si",($C$17*(VLOOKUP(Remodelacion!$C$22,Seguros_Oblig!$A$3:$F$55,6,FALSE))),IF(Remodelacion!$C$10="TARIFA 1",(C117*(VLOOKUP(Remodelacion!$C$22,Seguros_Oblig!$A$3:$B$55,2,FALSE))),(C117*(VLOOKUP(Remodelacion!$C$22,Seguros_Oblig!$A$3:$D$55,4,FALSE))))))</f>
        <v>#VALUE!</v>
      </c>
      <c r="G118" s="8" t="e">
        <f>IF(Remodelacion!$C$10="TARIFA 1",(C117*(VLOOKUP(Remodelacion!$C$23,Seguros_Oblig!$A$3:$B$55,2,FALSE))),(C117*(VLOOKUP(Remodelacion!$C$23,Seguros_Oblig!$A$3:$D$55,4,FALSE))))</f>
        <v>#VALUE!</v>
      </c>
      <c r="H118" s="8" t="e">
        <f>IF(Remodelacion!$C$10="TARIFA 1",(C117*(VLOOKUP(Remodelacion!$C$24,Seguros_Oblig!$A$3:$B$55,2,FALSE))),(C117*(VLOOKUP(Remodelacion!$C$24,Seguros_Oblig!$A$3:$D$55,4,FALSE))))</f>
        <v>#VALUE!</v>
      </c>
      <c r="I118" s="8" t="e">
        <f>IF(Remodelacion!$C$10="TARIFA 1",(C117*(VLOOKUP(Remodelacion!$C$25,Seguros_Oblig!$A$3:$B$55,2,FALSE))),(C117*(VLOOKUP(Remodelacion!$C$25,Seguros_Oblig!$A$3:$D$55,4,FALSE))))</f>
        <v>#VALUE!</v>
      </c>
      <c r="J118" s="10">
        <f t="shared" si="8"/>
        <v>0</v>
      </c>
      <c r="K118" s="7" t="e">
        <f>IF(RM!$D$11="Si",0,IF(C117&lt;1,"0",Seguros_Oblig!$K$2*Remodelacion!$C$12))</f>
        <v>#VALUE!</v>
      </c>
      <c r="L118" s="7" t="e">
        <f>IF(B118=" ","0",PMT(Remodelacion!$E$17,Remodelacion!$C$18,-Remodelacion!$C$15,,))</f>
        <v>#VALUE!</v>
      </c>
      <c r="M118" s="9" t="e">
        <f t="shared" si="9"/>
        <v>#VALUE!</v>
      </c>
      <c r="N118" s="7" t="e">
        <f>IF(C117&lt;1,"0",Remodelacion!$C$38)</f>
        <v>#VALUE!</v>
      </c>
      <c r="O118" s="9" t="e">
        <f t="shared" si="10"/>
        <v>#VALUE!</v>
      </c>
    </row>
    <row r="119" spans="2:15" ht="15.5" x14ac:dyDescent="0.35">
      <c r="B119" s="6" t="e">
        <f t="shared" si="11"/>
        <v>#VALUE!</v>
      </c>
      <c r="C119" s="7" t="e">
        <f t="shared" si="7"/>
        <v>#VALUE!</v>
      </c>
      <c r="D119" s="7" t="e">
        <f t="shared" si="12"/>
        <v>#VALUE!</v>
      </c>
      <c r="E119" s="7" t="e">
        <f>C118*Remodelacion!$E$17</f>
        <v>#VALUE!</v>
      </c>
      <c r="F119" s="8" t="e">
        <f>IF(C118&lt;1,0,IF(Remodelacion!$D$26="Si",($C$17*(VLOOKUP(Remodelacion!$C$22,Seguros_Oblig!$A$3:$F$55,6,FALSE))),IF(Remodelacion!$C$10="TARIFA 1",(C118*(VLOOKUP(Remodelacion!$C$22,Seguros_Oblig!$A$3:$B$55,2,FALSE))),(C118*(VLOOKUP(Remodelacion!$C$22,Seguros_Oblig!$A$3:$D$55,4,FALSE))))))</f>
        <v>#VALUE!</v>
      </c>
      <c r="G119" s="8" t="e">
        <f>IF(Remodelacion!$C$10="TARIFA 1",(C118*(VLOOKUP(Remodelacion!$C$23,Seguros_Oblig!$A$3:$B$55,2,FALSE))),(C118*(VLOOKUP(Remodelacion!$C$23,Seguros_Oblig!$A$3:$D$55,4,FALSE))))</f>
        <v>#VALUE!</v>
      </c>
      <c r="H119" s="8" t="e">
        <f>IF(Remodelacion!$C$10="TARIFA 1",(C118*(VLOOKUP(Remodelacion!$C$24,Seguros_Oblig!$A$3:$B$55,2,FALSE))),(C118*(VLOOKUP(Remodelacion!$C$24,Seguros_Oblig!$A$3:$D$55,4,FALSE))))</f>
        <v>#VALUE!</v>
      </c>
      <c r="I119" s="8" t="e">
        <f>IF(Remodelacion!$C$10="TARIFA 1",(C118*(VLOOKUP(Remodelacion!$C$25,Seguros_Oblig!$A$3:$B$55,2,FALSE))),(C118*(VLOOKUP(Remodelacion!$C$25,Seguros_Oblig!$A$3:$D$55,4,FALSE))))</f>
        <v>#VALUE!</v>
      </c>
      <c r="J119" s="10">
        <f t="shared" si="8"/>
        <v>0</v>
      </c>
      <c r="K119" s="7" t="e">
        <f>IF(RM!$D$11="Si",0,IF(C118&lt;1,"0",Seguros_Oblig!$K$2*Remodelacion!$C$12))</f>
        <v>#VALUE!</v>
      </c>
      <c r="L119" s="7" t="e">
        <f>IF(B119=" ","0",PMT(Remodelacion!$E$17,Remodelacion!$C$18,-Remodelacion!$C$15,,))</f>
        <v>#VALUE!</v>
      </c>
      <c r="M119" s="9" t="e">
        <f t="shared" si="9"/>
        <v>#VALUE!</v>
      </c>
      <c r="N119" s="7" t="e">
        <f>IF(C118&lt;1,"0",Remodelacion!$C$38)</f>
        <v>#VALUE!</v>
      </c>
      <c r="O119" s="9" t="e">
        <f t="shared" si="10"/>
        <v>#VALUE!</v>
      </c>
    </row>
    <row r="120" spans="2:15" ht="15.5" x14ac:dyDescent="0.35">
      <c r="B120" s="6" t="e">
        <f t="shared" si="11"/>
        <v>#VALUE!</v>
      </c>
      <c r="C120" s="7" t="e">
        <f t="shared" si="7"/>
        <v>#VALUE!</v>
      </c>
      <c r="D120" s="7" t="e">
        <f t="shared" si="12"/>
        <v>#VALUE!</v>
      </c>
      <c r="E120" s="7" t="e">
        <f>C119*Remodelacion!$E$17</f>
        <v>#VALUE!</v>
      </c>
      <c r="F120" s="8" t="e">
        <f>IF(C119&lt;1,0,IF(Remodelacion!$D$26="Si",($C$17*(VLOOKUP(Remodelacion!$C$22,Seguros_Oblig!$A$3:$F$55,6,FALSE))),IF(Remodelacion!$C$10="TARIFA 1",(C119*(VLOOKUP(Remodelacion!$C$22,Seguros_Oblig!$A$3:$B$55,2,FALSE))),(C119*(VLOOKUP(Remodelacion!$C$22,Seguros_Oblig!$A$3:$D$55,4,FALSE))))))</f>
        <v>#VALUE!</v>
      </c>
      <c r="G120" s="8" t="e">
        <f>IF(Remodelacion!$C$10="TARIFA 1",(C119*(VLOOKUP(Remodelacion!$C$23,Seguros_Oblig!$A$3:$B$55,2,FALSE))),(C119*(VLOOKUP(Remodelacion!$C$23,Seguros_Oblig!$A$3:$D$55,4,FALSE))))</f>
        <v>#VALUE!</v>
      </c>
      <c r="H120" s="8" t="e">
        <f>IF(Remodelacion!$C$10="TARIFA 1",(C119*(VLOOKUP(Remodelacion!$C$24,Seguros_Oblig!$A$3:$B$55,2,FALSE))),(C119*(VLOOKUP(Remodelacion!$C$24,Seguros_Oblig!$A$3:$D$55,4,FALSE))))</f>
        <v>#VALUE!</v>
      </c>
      <c r="I120" s="8" t="e">
        <f>IF(Remodelacion!$C$10="TARIFA 1",(C119*(VLOOKUP(Remodelacion!$C$25,Seguros_Oblig!$A$3:$B$55,2,FALSE))),(C119*(VLOOKUP(Remodelacion!$C$25,Seguros_Oblig!$A$3:$D$55,4,FALSE))))</f>
        <v>#VALUE!</v>
      </c>
      <c r="J120" s="10">
        <f t="shared" si="8"/>
        <v>0</v>
      </c>
      <c r="K120" s="7" t="e">
        <f>IF(RM!$D$11="Si",0,IF(C119&lt;1,"0",Seguros_Oblig!$K$2*Remodelacion!$C$12))</f>
        <v>#VALUE!</v>
      </c>
      <c r="L120" s="7" t="e">
        <f>IF(B120=" ","0",PMT(Remodelacion!$E$17,Remodelacion!$C$18,-Remodelacion!$C$15,,))</f>
        <v>#VALUE!</v>
      </c>
      <c r="M120" s="9" t="e">
        <f t="shared" si="9"/>
        <v>#VALUE!</v>
      </c>
      <c r="N120" s="7" t="e">
        <f>IF(C119&lt;1,"0",Remodelacion!$C$38)</f>
        <v>#VALUE!</v>
      </c>
      <c r="O120" s="9" t="e">
        <f t="shared" si="10"/>
        <v>#VALUE!</v>
      </c>
    </row>
    <row r="121" spans="2:15" ht="15.5" x14ac:dyDescent="0.35">
      <c r="B121" s="6" t="e">
        <f t="shared" si="11"/>
        <v>#VALUE!</v>
      </c>
      <c r="C121" s="7" t="e">
        <f t="shared" si="7"/>
        <v>#VALUE!</v>
      </c>
      <c r="D121" s="7" t="e">
        <f t="shared" si="12"/>
        <v>#VALUE!</v>
      </c>
      <c r="E121" s="7" t="e">
        <f>C120*Remodelacion!$E$17</f>
        <v>#VALUE!</v>
      </c>
      <c r="F121" s="8" t="e">
        <f>IF(C120&lt;1,0,IF(Remodelacion!$D$26="Si",($C$17*(VLOOKUP(Remodelacion!$C$22,Seguros_Oblig!$A$3:$F$55,6,FALSE))),IF(Remodelacion!$C$10="TARIFA 1",(C120*(VLOOKUP(Remodelacion!$C$22,Seguros_Oblig!$A$3:$B$55,2,FALSE))),(C120*(VLOOKUP(Remodelacion!$C$22,Seguros_Oblig!$A$3:$D$55,4,FALSE))))))</f>
        <v>#VALUE!</v>
      </c>
      <c r="G121" s="8" t="e">
        <f>IF(Remodelacion!$C$10="TARIFA 1",(C120*(VLOOKUP(Remodelacion!$C$23,Seguros_Oblig!$A$3:$B$55,2,FALSE))),(C120*(VLOOKUP(Remodelacion!$C$23,Seguros_Oblig!$A$3:$D$55,4,FALSE))))</f>
        <v>#VALUE!</v>
      </c>
      <c r="H121" s="8" t="e">
        <f>IF(Remodelacion!$C$10="TARIFA 1",(C120*(VLOOKUP(Remodelacion!$C$24,Seguros_Oblig!$A$3:$B$55,2,FALSE))),(C120*(VLOOKUP(Remodelacion!$C$24,Seguros_Oblig!$A$3:$D$55,4,FALSE))))</f>
        <v>#VALUE!</v>
      </c>
      <c r="I121" s="8" t="e">
        <f>IF(Remodelacion!$C$10="TARIFA 1",(C120*(VLOOKUP(Remodelacion!$C$25,Seguros_Oblig!$A$3:$B$55,2,FALSE))),(C120*(VLOOKUP(Remodelacion!$C$25,Seguros_Oblig!$A$3:$D$55,4,FALSE))))</f>
        <v>#VALUE!</v>
      </c>
      <c r="J121" s="10">
        <f t="shared" si="8"/>
        <v>0</v>
      </c>
      <c r="K121" s="7" t="e">
        <f>IF(RM!$D$11="Si",0,IF(C120&lt;1,"0",Seguros_Oblig!$K$2*Remodelacion!$C$12))</f>
        <v>#VALUE!</v>
      </c>
      <c r="L121" s="7" t="e">
        <f>IF(B121=" ","0",PMT(Remodelacion!$E$17,Remodelacion!$C$18,-Remodelacion!$C$15,,))</f>
        <v>#VALUE!</v>
      </c>
      <c r="M121" s="9" t="e">
        <f t="shared" si="9"/>
        <v>#VALUE!</v>
      </c>
      <c r="N121" s="7" t="e">
        <f>IF(C120&lt;1,"0",Remodelacion!$C$38)</f>
        <v>#VALUE!</v>
      </c>
      <c r="O121" s="9" t="e">
        <f t="shared" si="10"/>
        <v>#VALUE!</v>
      </c>
    </row>
    <row r="122" spans="2:15" ht="15.5" x14ac:dyDescent="0.35">
      <c r="B122" s="6" t="e">
        <f t="shared" si="11"/>
        <v>#VALUE!</v>
      </c>
      <c r="C122" s="7" t="e">
        <f t="shared" si="7"/>
        <v>#VALUE!</v>
      </c>
      <c r="D122" s="7" t="e">
        <f t="shared" si="12"/>
        <v>#VALUE!</v>
      </c>
      <c r="E122" s="7" t="e">
        <f>C121*Remodelacion!$E$17</f>
        <v>#VALUE!</v>
      </c>
      <c r="F122" s="8" t="e">
        <f>IF(C121&lt;1,0,IF(Remodelacion!$D$26="Si",($C$17*(VLOOKUP(Remodelacion!$C$22,Seguros_Oblig!$A$3:$F$55,6,FALSE))),IF(Remodelacion!$C$10="TARIFA 1",(C121*(VLOOKUP(Remodelacion!$C$22,Seguros_Oblig!$A$3:$B$55,2,FALSE))),(C121*(VLOOKUP(Remodelacion!$C$22,Seguros_Oblig!$A$3:$D$55,4,FALSE))))))</f>
        <v>#VALUE!</v>
      </c>
      <c r="G122" s="8" t="e">
        <f>IF(Remodelacion!$C$10="TARIFA 1",(C121*(VLOOKUP(Remodelacion!$C$23,Seguros_Oblig!$A$3:$B$55,2,FALSE))),(C121*(VLOOKUP(Remodelacion!$C$23,Seguros_Oblig!$A$3:$D$55,4,FALSE))))</f>
        <v>#VALUE!</v>
      </c>
      <c r="H122" s="8" t="e">
        <f>IF(Remodelacion!$C$10="TARIFA 1",(C121*(VLOOKUP(Remodelacion!$C$24,Seguros_Oblig!$A$3:$B$55,2,FALSE))),(C121*(VLOOKUP(Remodelacion!$C$24,Seguros_Oblig!$A$3:$D$55,4,FALSE))))</f>
        <v>#VALUE!</v>
      </c>
      <c r="I122" s="8" t="e">
        <f>IF(Remodelacion!$C$10="TARIFA 1",(C121*(VLOOKUP(Remodelacion!$C$25,Seguros_Oblig!$A$3:$B$55,2,FALSE))),(C121*(VLOOKUP(Remodelacion!$C$25,Seguros_Oblig!$A$3:$D$55,4,FALSE))))</f>
        <v>#VALUE!</v>
      </c>
      <c r="J122" s="10">
        <f t="shared" si="8"/>
        <v>0</v>
      </c>
      <c r="K122" s="7" t="e">
        <f>IF(RM!$D$11="Si",0,IF(C121&lt;1,"0",Seguros_Oblig!$K$2*Remodelacion!$C$12))</f>
        <v>#VALUE!</v>
      </c>
      <c r="L122" s="7" t="e">
        <f>IF(B122=" ","0",PMT(Remodelacion!$E$17,Remodelacion!$C$18,-Remodelacion!$C$15,,))</f>
        <v>#VALUE!</v>
      </c>
      <c r="M122" s="9" t="e">
        <f t="shared" si="9"/>
        <v>#VALUE!</v>
      </c>
      <c r="N122" s="7" t="e">
        <f>IF(C121&lt;1,"0",Remodelacion!$C$38)</f>
        <v>#VALUE!</v>
      </c>
      <c r="O122" s="9" t="e">
        <f t="shared" si="10"/>
        <v>#VALUE!</v>
      </c>
    </row>
    <row r="123" spans="2:15" ht="15.5" x14ac:dyDescent="0.35">
      <c r="B123" s="6" t="e">
        <f t="shared" si="11"/>
        <v>#VALUE!</v>
      </c>
      <c r="C123" s="7" t="e">
        <f t="shared" si="7"/>
        <v>#VALUE!</v>
      </c>
      <c r="D123" s="7" t="e">
        <f t="shared" si="12"/>
        <v>#VALUE!</v>
      </c>
      <c r="E123" s="7" t="e">
        <f>C122*Remodelacion!$E$17</f>
        <v>#VALUE!</v>
      </c>
      <c r="F123" s="8" t="e">
        <f>IF(C122&lt;1,0,IF(Remodelacion!$D$26="Si",($C$17*(VLOOKUP(Remodelacion!$C$22,Seguros_Oblig!$A$3:$F$55,6,FALSE))),IF(Remodelacion!$C$10="TARIFA 1",(C122*(VLOOKUP(Remodelacion!$C$22,Seguros_Oblig!$A$3:$B$55,2,FALSE))),(C122*(VLOOKUP(Remodelacion!$C$22,Seguros_Oblig!$A$3:$D$55,4,FALSE))))))</f>
        <v>#VALUE!</v>
      </c>
      <c r="G123" s="8" t="e">
        <f>IF(Remodelacion!$C$10="TARIFA 1",(C122*(VLOOKUP(Remodelacion!$C$23,Seguros_Oblig!$A$3:$B$55,2,FALSE))),(C122*(VLOOKUP(Remodelacion!$C$23,Seguros_Oblig!$A$3:$D$55,4,FALSE))))</f>
        <v>#VALUE!</v>
      </c>
      <c r="H123" s="8" t="e">
        <f>IF(Remodelacion!$C$10="TARIFA 1",(C122*(VLOOKUP(Remodelacion!$C$24,Seguros_Oblig!$A$3:$B$55,2,FALSE))),(C122*(VLOOKUP(Remodelacion!$C$24,Seguros_Oblig!$A$3:$D$55,4,FALSE))))</f>
        <v>#VALUE!</v>
      </c>
      <c r="I123" s="8" t="e">
        <f>IF(Remodelacion!$C$10="TARIFA 1",(C122*(VLOOKUP(Remodelacion!$C$25,Seguros_Oblig!$A$3:$B$55,2,FALSE))),(C122*(VLOOKUP(Remodelacion!$C$25,Seguros_Oblig!$A$3:$D$55,4,FALSE))))</f>
        <v>#VALUE!</v>
      </c>
      <c r="J123" s="10">
        <f t="shared" si="8"/>
        <v>0</v>
      </c>
      <c r="K123" s="7" t="e">
        <f>IF(RM!$D$11="Si",0,IF(C122&lt;1,"0",Seguros_Oblig!$K$2*Remodelacion!$C$12))</f>
        <v>#VALUE!</v>
      </c>
      <c r="L123" s="7" t="e">
        <f>IF(B123=" ","0",PMT(Remodelacion!$E$17,Remodelacion!$C$18,-Remodelacion!$C$15,,))</f>
        <v>#VALUE!</v>
      </c>
      <c r="M123" s="9" t="e">
        <f t="shared" si="9"/>
        <v>#VALUE!</v>
      </c>
      <c r="N123" s="7" t="e">
        <f>IF(C122&lt;1,"0",Remodelacion!$C$38)</f>
        <v>#VALUE!</v>
      </c>
      <c r="O123" s="9" t="e">
        <f t="shared" si="10"/>
        <v>#VALUE!</v>
      </c>
    </row>
    <row r="124" spans="2:15" ht="15.5" x14ac:dyDescent="0.35">
      <c r="B124" s="6" t="e">
        <f t="shared" si="11"/>
        <v>#VALUE!</v>
      </c>
      <c r="C124" s="7" t="e">
        <f t="shared" si="7"/>
        <v>#VALUE!</v>
      </c>
      <c r="D124" s="7" t="e">
        <f t="shared" si="12"/>
        <v>#VALUE!</v>
      </c>
      <c r="E124" s="7" t="e">
        <f>C123*Remodelacion!$E$17</f>
        <v>#VALUE!</v>
      </c>
      <c r="F124" s="8" t="e">
        <f>IF(C123&lt;1,0,IF(Remodelacion!$D$26="Si",($C$17*(VLOOKUP(Remodelacion!$C$22,Seguros_Oblig!$A$3:$F$55,6,FALSE))),IF(Remodelacion!$C$10="TARIFA 1",(C123*(VLOOKUP(Remodelacion!$C$22,Seguros_Oblig!$A$3:$B$55,2,FALSE))),(C123*(VLOOKUP(Remodelacion!$C$22,Seguros_Oblig!$A$3:$D$55,4,FALSE))))))</f>
        <v>#VALUE!</v>
      </c>
      <c r="G124" s="8" t="e">
        <f>IF(Remodelacion!$C$10="TARIFA 1",(C123*(VLOOKUP(Remodelacion!$C$23,Seguros_Oblig!$A$3:$B$55,2,FALSE))),(C123*(VLOOKUP(Remodelacion!$C$23,Seguros_Oblig!$A$3:$D$55,4,FALSE))))</f>
        <v>#VALUE!</v>
      </c>
      <c r="H124" s="8" t="e">
        <f>IF(Remodelacion!$C$10="TARIFA 1",(C123*(VLOOKUP(Remodelacion!$C$24,Seguros_Oblig!$A$3:$B$55,2,FALSE))),(C123*(VLOOKUP(Remodelacion!$C$24,Seguros_Oblig!$A$3:$D$55,4,FALSE))))</f>
        <v>#VALUE!</v>
      </c>
      <c r="I124" s="8" t="e">
        <f>IF(Remodelacion!$C$10="TARIFA 1",(C123*(VLOOKUP(Remodelacion!$C$25,Seguros_Oblig!$A$3:$B$55,2,FALSE))),(C123*(VLOOKUP(Remodelacion!$C$25,Seguros_Oblig!$A$3:$D$55,4,FALSE))))</f>
        <v>#VALUE!</v>
      </c>
      <c r="J124" s="10">
        <f t="shared" si="8"/>
        <v>0</v>
      </c>
      <c r="K124" s="7" t="e">
        <f>IF(RM!$D$11="Si",0,IF(C123&lt;1,"0",Seguros_Oblig!$K$2*Remodelacion!$C$12))</f>
        <v>#VALUE!</v>
      </c>
      <c r="L124" s="7" t="e">
        <f>IF(B124=" ","0",PMT(Remodelacion!$E$17,Remodelacion!$C$18,-Remodelacion!$C$15,,))</f>
        <v>#VALUE!</v>
      </c>
      <c r="M124" s="9" t="e">
        <f t="shared" si="9"/>
        <v>#VALUE!</v>
      </c>
      <c r="N124" s="7" t="e">
        <f>IF(C123&lt;1,"0",Remodelacion!$C$38)</f>
        <v>#VALUE!</v>
      </c>
      <c r="O124" s="9" t="e">
        <f t="shared" si="10"/>
        <v>#VALUE!</v>
      </c>
    </row>
    <row r="125" spans="2:15" ht="15.5" x14ac:dyDescent="0.35">
      <c r="B125" s="6" t="e">
        <f t="shared" si="11"/>
        <v>#VALUE!</v>
      </c>
      <c r="C125" s="7" t="e">
        <f t="shared" si="7"/>
        <v>#VALUE!</v>
      </c>
      <c r="D125" s="7" t="e">
        <f t="shared" si="12"/>
        <v>#VALUE!</v>
      </c>
      <c r="E125" s="7" t="e">
        <f>C124*Remodelacion!$E$17</f>
        <v>#VALUE!</v>
      </c>
      <c r="F125" s="8" t="e">
        <f>IF(C124&lt;1,0,IF(Remodelacion!$D$26="Si",($C$17*(VLOOKUP(Remodelacion!$C$22,Seguros_Oblig!$A$3:$F$55,6,FALSE))),IF(Remodelacion!$C$10="TARIFA 1",(C124*(VLOOKUP(Remodelacion!$C$22,Seguros_Oblig!$A$3:$B$55,2,FALSE))),(C124*(VLOOKUP(Remodelacion!$C$22,Seguros_Oblig!$A$3:$D$55,4,FALSE))))))</f>
        <v>#VALUE!</v>
      </c>
      <c r="G125" s="8" t="e">
        <f>IF(Remodelacion!$C$10="TARIFA 1",(C124*(VLOOKUP(Remodelacion!$C$23,Seguros_Oblig!$A$3:$B$55,2,FALSE))),(C124*(VLOOKUP(Remodelacion!$C$23,Seguros_Oblig!$A$3:$D$55,4,FALSE))))</f>
        <v>#VALUE!</v>
      </c>
      <c r="H125" s="8" t="e">
        <f>IF(Remodelacion!$C$10="TARIFA 1",(C124*(VLOOKUP(Remodelacion!$C$24,Seguros_Oblig!$A$3:$B$55,2,FALSE))),(C124*(VLOOKUP(Remodelacion!$C$24,Seguros_Oblig!$A$3:$D$55,4,FALSE))))</f>
        <v>#VALUE!</v>
      </c>
      <c r="I125" s="8" t="e">
        <f>IF(Remodelacion!$C$10="TARIFA 1",(C124*(VLOOKUP(Remodelacion!$C$25,Seguros_Oblig!$A$3:$B$55,2,FALSE))),(C124*(VLOOKUP(Remodelacion!$C$25,Seguros_Oblig!$A$3:$D$55,4,FALSE))))</f>
        <v>#VALUE!</v>
      </c>
      <c r="J125" s="10">
        <f t="shared" si="8"/>
        <v>0</v>
      </c>
      <c r="K125" s="7" t="e">
        <f>IF(RM!$D$11="Si",0,IF(C124&lt;1,"0",Seguros_Oblig!$K$2*Remodelacion!$C$12))</f>
        <v>#VALUE!</v>
      </c>
      <c r="L125" s="7" t="e">
        <f>IF(B125=" ","0",PMT(Remodelacion!$E$17,Remodelacion!$C$18,-Remodelacion!$C$15,,))</f>
        <v>#VALUE!</v>
      </c>
      <c r="M125" s="9" t="e">
        <f t="shared" si="9"/>
        <v>#VALUE!</v>
      </c>
      <c r="N125" s="7" t="e">
        <f>IF(C124&lt;1,"0",Remodelacion!$C$38)</f>
        <v>#VALUE!</v>
      </c>
      <c r="O125" s="9" t="e">
        <f t="shared" si="10"/>
        <v>#VALUE!</v>
      </c>
    </row>
    <row r="126" spans="2:15" ht="15.5" x14ac:dyDescent="0.35">
      <c r="B126" s="6" t="e">
        <f t="shared" si="11"/>
        <v>#VALUE!</v>
      </c>
      <c r="C126" s="7" t="e">
        <f t="shared" si="7"/>
        <v>#VALUE!</v>
      </c>
      <c r="D126" s="7" t="e">
        <f t="shared" si="12"/>
        <v>#VALUE!</v>
      </c>
      <c r="E126" s="7" t="e">
        <f>C125*Remodelacion!$E$17</f>
        <v>#VALUE!</v>
      </c>
      <c r="F126" s="8" t="e">
        <f>IF(C125&lt;1,0,IF(Remodelacion!$D$26="Si",($C$17*(VLOOKUP(Remodelacion!$C$22,Seguros_Oblig!$A$3:$F$55,6,FALSE))),IF(Remodelacion!$C$10="TARIFA 1",(C125*(VLOOKUP(Remodelacion!$C$22,Seguros_Oblig!$A$3:$B$55,2,FALSE))),(C125*(VLOOKUP(Remodelacion!$C$22,Seguros_Oblig!$A$3:$D$55,4,FALSE))))))</f>
        <v>#VALUE!</v>
      </c>
      <c r="G126" s="8" t="e">
        <f>IF(Remodelacion!$C$10="TARIFA 1",(C125*(VLOOKUP(Remodelacion!$C$23,Seguros_Oblig!$A$3:$B$55,2,FALSE))),(C125*(VLOOKUP(Remodelacion!$C$23,Seguros_Oblig!$A$3:$D$55,4,FALSE))))</f>
        <v>#VALUE!</v>
      </c>
      <c r="H126" s="8" t="e">
        <f>IF(Remodelacion!$C$10="TARIFA 1",(C125*(VLOOKUP(Remodelacion!$C$24,Seguros_Oblig!$A$3:$B$55,2,FALSE))),(C125*(VLOOKUP(Remodelacion!$C$24,Seguros_Oblig!$A$3:$D$55,4,FALSE))))</f>
        <v>#VALUE!</v>
      </c>
      <c r="I126" s="8" t="e">
        <f>IF(Remodelacion!$C$10="TARIFA 1",(C125*(VLOOKUP(Remodelacion!$C$25,Seguros_Oblig!$A$3:$B$55,2,FALSE))),(C125*(VLOOKUP(Remodelacion!$C$25,Seguros_Oblig!$A$3:$D$55,4,FALSE))))</f>
        <v>#VALUE!</v>
      </c>
      <c r="J126" s="10">
        <f t="shared" si="8"/>
        <v>0</v>
      </c>
      <c r="K126" s="7" t="e">
        <f>IF(RM!$D$11="Si",0,IF(C125&lt;1,"0",Seguros_Oblig!$K$2*Remodelacion!$C$12))</f>
        <v>#VALUE!</v>
      </c>
      <c r="L126" s="7" t="e">
        <f>IF(B126=" ","0",PMT(Remodelacion!$E$17,Remodelacion!$C$18,-Remodelacion!$C$15,,))</f>
        <v>#VALUE!</v>
      </c>
      <c r="M126" s="9" t="e">
        <f t="shared" si="9"/>
        <v>#VALUE!</v>
      </c>
      <c r="N126" s="7" t="e">
        <f>IF(C125&lt;1,"0",Remodelacion!$C$38)</f>
        <v>#VALUE!</v>
      </c>
      <c r="O126" s="9" t="e">
        <f t="shared" si="10"/>
        <v>#VALUE!</v>
      </c>
    </row>
    <row r="127" spans="2:15" ht="15.5" x14ac:dyDescent="0.35">
      <c r="B127" s="6" t="e">
        <f t="shared" si="11"/>
        <v>#VALUE!</v>
      </c>
      <c r="C127" s="7" t="e">
        <f t="shared" si="7"/>
        <v>#VALUE!</v>
      </c>
      <c r="D127" s="7" t="e">
        <f t="shared" si="12"/>
        <v>#VALUE!</v>
      </c>
      <c r="E127" s="7" t="e">
        <f>C126*Remodelacion!$E$17</f>
        <v>#VALUE!</v>
      </c>
      <c r="F127" s="8" t="e">
        <f>IF(C126&lt;1,0,IF(Remodelacion!$D$26="Si",($C$17*(VLOOKUP(Remodelacion!$C$22,Seguros_Oblig!$A$3:$F$55,6,FALSE))),IF(Remodelacion!$C$10="TARIFA 1",(C126*(VLOOKUP(Remodelacion!$C$22,Seguros_Oblig!$A$3:$B$55,2,FALSE))),(C126*(VLOOKUP(Remodelacion!$C$22,Seguros_Oblig!$A$3:$D$55,4,FALSE))))))</f>
        <v>#VALUE!</v>
      </c>
      <c r="G127" s="8" t="e">
        <f>IF(Remodelacion!$C$10="TARIFA 1",(C126*(VLOOKUP(Remodelacion!$C$23,Seguros_Oblig!$A$3:$B$55,2,FALSE))),(C126*(VLOOKUP(Remodelacion!$C$23,Seguros_Oblig!$A$3:$D$55,4,FALSE))))</f>
        <v>#VALUE!</v>
      </c>
      <c r="H127" s="8" t="e">
        <f>IF(Remodelacion!$C$10="TARIFA 1",(C126*(VLOOKUP(Remodelacion!$C$24,Seguros_Oblig!$A$3:$B$55,2,FALSE))),(C126*(VLOOKUP(Remodelacion!$C$24,Seguros_Oblig!$A$3:$D$55,4,FALSE))))</f>
        <v>#VALUE!</v>
      </c>
      <c r="I127" s="8" t="e">
        <f>IF(Remodelacion!$C$10="TARIFA 1",(C126*(VLOOKUP(Remodelacion!$C$25,Seguros_Oblig!$A$3:$B$55,2,FALSE))),(C126*(VLOOKUP(Remodelacion!$C$25,Seguros_Oblig!$A$3:$D$55,4,FALSE))))</f>
        <v>#VALUE!</v>
      </c>
      <c r="J127" s="10">
        <f t="shared" si="8"/>
        <v>0</v>
      </c>
      <c r="K127" s="7" t="e">
        <f>IF(RM!$D$11="Si",0,IF(C126&lt;1,"0",Seguros_Oblig!$K$2*Remodelacion!$C$12))</f>
        <v>#VALUE!</v>
      </c>
      <c r="L127" s="7" t="e">
        <f>IF(B127=" ","0",PMT(Remodelacion!$E$17,Remodelacion!$C$18,-Remodelacion!$C$15,,))</f>
        <v>#VALUE!</v>
      </c>
      <c r="M127" s="9" t="e">
        <f t="shared" si="9"/>
        <v>#VALUE!</v>
      </c>
      <c r="N127" s="7" t="e">
        <f>IF(C126&lt;1,"0",Remodelacion!$C$38)</f>
        <v>#VALUE!</v>
      </c>
      <c r="O127" s="9" t="e">
        <f t="shared" si="10"/>
        <v>#VALUE!</v>
      </c>
    </row>
    <row r="128" spans="2:15" ht="15.5" x14ac:dyDescent="0.35">
      <c r="B128" s="6" t="e">
        <f t="shared" si="11"/>
        <v>#VALUE!</v>
      </c>
      <c r="C128" s="7" t="e">
        <f t="shared" si="7"/>
        <v>#VALUE!</v>
      </c>
      <c r="D128" s="7" t="e">
        <f t="shared" si="12"/>
        <v>#VALUE!</v>
      </c>
      <c r="E128" s="7" t="e">
        <f>C127*Remodelacion!$E$17</f>
        <v>#VALUE!</v>
      </c>
      <c r="F128" s="8" t="e">
        <f>IF(C127&lt;1,0,IF(Remodelacion!$D$26="Si",($C$17*(VLOOKUP(Remodelacion!$C$22,Seguros_Oblig!$A$3:$F$55,6,FALSE))),IF(Remodelacion!$C$10="TARIFA 1",(C127*(VLOOKUP(Remodelacion!$C$22,Seguros_Oblig!$A$3:$B$55,2,FALSE))),(C127*(VLOOKUP(Remodelacion!$C$22,Seguros_Oblig!$A$3:$D$55,4,FALSE))))))</f>
        <v>#VALUE!</v>
      </c>
      <c r="G128" s="8" t="e">
        <f>IF(Remodelacion!$C$10="TARIFA 1",(C127*(VLOOKUP(Remodelacion!$C$23,Seguros_Oblig!$A$3:$B$55,2,FALSE))),(C127*(VLOOKUP(Remodelacion!$C$23,Seguros_Oblig!$A$3:$D$55,4,FALSE))))</f>
        <v>#VALUE!</v>
      </c>
      <c r="H128" s="8" t="e">
        <f>IF(Remodelacion!$C$10="TARIFA 1",(C127*(VLOOKUP(Remodelacion!$C$24,Seguros_Oblig!$A$3:$B$55,2,FALSE))),(C127*(VLOOKUP(Remodelacion!$C$24,Seguros_Oblig!$A$3:$D$55,4,FALSE))))</f>
        <v>#VALUE!</v>
      </c>
      <c r="I128" s="8" t="e">
        <f>IF(Remodelacion!$C$10="TARIFA 1",(C127*(VLOOKUP(Remodelacion!$C$25,Seguros_Oblig!$A$3:$B$55,2,FALSE))),(C127*(VLOOKUP(Remodelacion!$C$25,Seguros_Oblig!$A$3:$D$55,4,FALSE))))</f>
        <v>#VALUE!</v>
      </c>
      <c r="J128" s="10">
        <f t="shared" si="8"/>
        <v>0</v>
      </c>
      <c r="K128" s="7" t="e">
        <f>IF(RM!$D$11="Si",0,IF(C127&lt;1,"0",Seguros_Oblig!$K$2*Remodelacion!$C$12))</f>
        <v>#VALUE!</v>
      </c>
      <c r="L128" s="7" t="e">
        <f>IF(B128=" ","0",PMT(Remodelacion!$E$17,Remodelacion!$C$18,-Remodelacion!$C$15,,))</f>
        <v>#VALUE!</v>
      </c>
      <c r="M128" s="9" t="e">
        <f t="shared" si="9"/>
        <v>#VALUE!</v>
      </c>
      <c r="N128" s="7" t="e">
        <f>IF(C127&lt;1,"0",Remodelacion!$C$38)</f>
        <v>#VALUE!</v>
      </c>
      <c r="O128" s="9" t="e">
        <f t="shared" si="10"/>
        <v>#VALUE!</v>
      </c>
    </row>
    <row r="129" spans="2:15" ht="15.5" x14ac:dyDescent="0.35">
      <c r="B129" s="6" t="e">
        <f t="shared" si="11"/>
        <v>#VALUE!</v>
      </c>
      <c r="C129" s="7" t="e">
        <f t="shared" si="7"/>
        <v>#VALUE!</v>
      </c>
      <c r="D129" s="7" t="e">
        <f t="shared" si="12"/>
        <v>#VALUE!</v>
      </c>
      <c r="E129" s="7" t="e">
        <f>C128*Remodelacion!$E$17</f>
        <v>#VALUE!</v>
      </c>
      <c r="F129" s="8" t="e">
        <f>IF(C128&lt;1,0,IF(Remodelacion!$D$26="Si",($C$17*(VLOOKUP(Remodelacion!$C$22,Seguros_Oblig!$A$3:$F$55,6,FALSE))),IF(Remodelacion!$C$10="TARIFA 1",(C128*(VLOOKUP(Remodelacion!$C$22,Seguros_Oblig!$A$3:$B$55,2,FALSE))),(C128*(VLOOKUP(Remodelacion!$C$22,Seguros_Oblig!$A$3:$D$55,4,FALSE))))))</f>
        <v>#VALUE!</v>
      </c>
      <c r="G129" s="8" t="e">
        <f>IF(Remodelacion!$C$10="TARIFA 1",(C128*(VLOOKUP(Remodelacion!$C$23,Seguros_Oblig!$A$3:$B$55,2,FALSE))),(C128*(VLOOKUP(Remodelacion!$C$23,Seguros_Oblig!$A$3:$D$55,4,FALSE))))</f>
        <v>#VALUE!</v>
      </c>
      <c r="H129" s="8" t="e">
        <f>IF(Remodelacion!$C$10="TARIFA 1",(C128*(VLOOKUP(Remodelacion!$C$24,Seguros_Oblig!$A$3:$B$55,2,FALSE))),(C128*(VLOOKUP(Remodelacion!$C$24,Seguros_Oblig!$A$3:$D$55,4,FALSE))))</f>
        <v>#VALUE!</v>
      </c>
      <c r="I129" s="8" t="e">
        <f>IF(Remodelacion!$C$10="TARIFA 1",(C128*(VLOOKUP(Remodelacion!$C$25,Seguros_Oblig!$A$3:$B$55,2,FALSE))),(C128*(VLOOKUP(Remodelacion!$C$25,Seguros_Oblig!$A$3:$D$55,4,FALSE))))</f>
        <v>#VALUE!</v>
      </c>
      <c r="J129" s="10">
        <f t="shared" si="8"/>
        <v>0</v>
      </c>
      <c r="K129" s="7" t="e">
        <f>IF(RM!$D$11="Si",0,IF(C128&lt;1,"0",Seguros_Oblig!$K$2*Remodelacion!$C$12))</f>
        <v>#VALUE!</v>
      </c>
      <c r="L129" s="7" t="e">
        <f>IF(B129=" ","0",PMT(Remodelacion!$E$17,Remodelacion!$C$18,-Remodelacion!$C$15,,))</f>
        <v>#VALUE!</v>
      </c>
      <c r="M129" s="9" t="e">
        <f t="shared" si="9"/>
        <v>#VALUE!</v>
      </c>
      <c r="N129" s="7" t="e">
        <f>IF(C128&lt;1,"0",Remodelacion!$C$38)</f>
        <v>#VALUE!</v>
      </c>
      <c r="O129" s="9" t="e">
        <f t="shared" si="10"/>
        <v>#VALUE!</v>
      </c>
    </row>
    <row r="130" spans="2:15" ht="15.5" x14ac:dyDescent="0.35">
      <c r="B130" s="6" t="e">
        <f t="shared" si="11"/>
        <v>#VALUE!</v>
      </c>
      <c r="C130" s="7" t="e">
        <f t="shared" si="7"/>
        <v>#VALUE!</v>
      </c>
      <c r="D130" s="7" t="e">
        <f t="shared" si="12"/>
        <v>#VALUE!</v>
      </c>
      <c r="E130" s="7" t="e">
        <f>C129*Remodelacion!$E$17</f>
        <v>#VALUE!</v>
      </c>
      <c r="F130" s="8" t="e">
        <f>IF(C129&lt;1,0,IF(Remodelacion!$D$26="Si",($C$17*(VLOOKUP(Remodelacion!$C$22,Seguros_Oblig!$A$3:$F$55,6,FALSE))),IF(Remodelacion!$C$10="TARIFA 1",(C129*(VLOOKUP(Remodelacion!$C$22,Seguros_Oblig!$A$3:$B$55,2,FALSE))),(C129*(VLOOKUP(Remodelacion!$C$22,Seguros_Oblig!$A$3:$D$55,4,FALSE))))))</f>
        <v>#VALUE!</v>
      </c>
      <c r="G130" s="8" t="e">
        <f>IF(Remodelacion!$C$10="TARIFA 1",(C129*(VLOOKUP(Remodelacion!$C$23,Seguros_Oblig!$A$3:$B$55,2,FALSE))),(C129*(VLOOKUP(Remodelacion!$C$23,Seguros_Oblig!$A$3:$D$55,4,FALSE))))</f>
        <v>#VALUE!</v>
      </c>
      <c r="H130" s="8" t="e">
        <f>IF(Remodelacion!$C$10="TARIFA 1",(C129*(VLOOKUP(Remodelacion!$C$24,Seguros_Oblig!$A$3:$B$55,2,FALSE))),(C129*(VLOOKUP(Remodelacion!$C$24,Seguros_Oblig!$A$3:$D$55,4,FALSE))))</f>
        <v>#VALUE!</v>
      </c>
      <c r="I130" s="8" t="e">
        <f>IF(Remodelacion!$C$10="TARIFA 1",(C129*(VLOOKUP(Remodelacion!$C$25,Seguros_Oblig!$A$3:$B$55,2,FALSE))),(C129*(VLOOKUP(Remodelacion!$C$25,Seguros_Oblig!$A$3:$D$55,4,FALSE))))</f>
        <v>#VALUE!</v>
      </c>
      <c r="J130" s="10">
        <f t="shared" si="8"/>
        <v>0</v>
      </c>
      <c r="K130" s="7" t="e">
        <f>IF(RM!$D$11="Si",0,IF(C129&lt;1,"0",Seguros_Oblig!$K$2*Remodelacion!$C$12))</f>
        <v>#VALUE!</v>
      </c>
      <c r="L130" s="7" t="e">
        <f>IF(B130=" ","0",PMT(Remodelacion!$E$17,Remodelacion!$C$18,-Remodelacion!$C$15,,))</f>
        <v>#VALUE!</v>
      </c>
      <c r="M130" s="9" t="e">
        <f t="shared" si="9"/>
        <v>#VALUE!</v>
      </c>
      <c r="N130" s="7" t="e">
        <f>IF(C129&lt;1,"0",Remodelacion!$C$38)</f>
        <v>#VALUE!</v>
      </c>
      <c r="O130" s="9" t="e">
        <f t="shared" si="10"/>
        <v>#VALUE!</v>
      </c>
    </row>
    <row r="131" spans="2:15" ht="15.5" x14ac:dyDescent="0.35">
      <c r="B131" s="6" t="e">
        <f t="shared" si="11"/>
        <v>#VALUE!</v>
      </c>
      <c r="C131" s="7" t="e">
        <f t="shared" si="7"/>
        <v>#VALUE!</v>
      </c>
      <c r="D131" s="7" t="e">
        <f t="shared" si="12"/>
        <v>#VALUE!</v>
      </c>
      <c r="E131" s="7" t="e">
        <f>C130*Remodelacion!$E$17</f>
        <v>#VALUE!</v>
      </c>
      <c r="F131" s="8" t="e">
        <f>IF(C130&lt;1,0,IF(Remodelacion!$D$26="Si",($C$17*(VLOOKUP(Remodelacion!$C$22,Seguros_Oblig!$A$3:$F$55,6,FALSE))),IF(Remodelacion!$C$10="TARIFA 1",(C130*(VLOOKUP(Remodelacion!$C$22,Seguros_Oblig!$A$3:$B$55,2,FALSE))),(C130*(VLOOKUP(Remodelacion!$C$22,Seguros_Oblig!$A$3:$D$55,4,FALSE))))))</f>
        <v>#VALUE!</v>
      </c>
      <c r="G131" s="8" t="e">
        <f>IF(Remodelacion!$C$10="TARIFA 1",(C130*(VLOOKUP(Remodelacion!$C$23,Seguros_Oblig!$A$3:$B$55,2,FALSE))),(C130*(VLOOKUP(Remodelacion!$C$23,Seguros_Oblig!$A$3:$D$55,4,FALSE))))</f>
        <v>#VALUE!</v>
      </c>
      <c r="H131" s="8" t="e">
        <f>IF(Remodelacion!$C$10="TARIFA 1",(C130*(VLOOKUP(Remodelacion!$C$24,Seguros_Oblig!$A$3:$B$55,2,FALSE))),(C130*(VLOOKUP(Remodelacion!$C$24,Seguros_Oblig!$A$3:$D$55,4,FALSE))))</f>
        <v>#VALUE!</v>
      </c>
      <c r="I131" s="8" t="e">
        <f>IF(Remodelacion!$C$10="TARIFA 1",(C130*(VLOOKUP(Remodelacion!$C$25,Seguros_Oblig!$A$3:$B$55,2,FALSE))),(C130*(VLOOKUP(Remodelacion!$C$25,Seguros_Oblig!$A$3:$D$55,4,FALSE))))</f>
        <v>#VALUE!</v>
      </c>
      <c r="J131" s="10">
        <f t="shared" si="8"/>
        <v>0</v>
      </c>
      <c r="K131" s="7" t="e">
        <f>IF(RM!$D$11="Si",0,IF(C130&lt;1,"0",Seguros_Oblig!$K$2*Remodelacion!$C$12))</f>
        <v>#VALUE!</v>
      </c>
      <c r="L131" s="7" t="e">
        <f>IF(B131=" ","0",PMT(Remodelacion!$E$17,Remodelacion!$C$18,-Remodelacion!$C$15,,))</f>
        <v>#VALUE!</v>
      </c>
      <c r="M131" s="9" t="e">
        <f t="shared" si="9"/>
        <v>#VALUE!</v>
      </c>
      <c r="N131" s="7" t="e">
        <f>IF(C130&lt;1,"0",Remodelacion!$C$38)</f>
        <v>#VALUE!</v>
      </c>
      <c r="O131" s="9" t="e">
        <f t="shared" si="10"/>
        <v>#VALUE!</v>
      </c>
    </row>
    <row r="132" spans="2:15" ht="15.5" x14ac:dyDescent="0.35">
      <c r="B132" s="6" t="e">
        <f t="shared" si="11"/>
        <v>#VALUE!</v>
      </c>
      <c r="C132" s="7" t="e">
        <f t="shared" si="7"/>
        <v>#VALUE!</v>
      </c>
      <c r="D132" s="7" t="e">
        <f t="shared" si="12"/>
        <v>#VALUE!</v>
      </c>
      <c r="E132" s="7" t="e">
        <f>C131*Remodelacion!$E$17</f>
        <v>#VALUE!</v>
      </c>
      <c r="F132" s="8" t="e">
        <f>IF(C131&lt;1,0,IF(Remodelacion!$D$26="Si",($C$17*(VLOOKUP(Remodelacion!$C$22,Seguros_Oblig!$A$3:$F$55,6,FALSE))),IF(Remodelacion!$C$10="TARIFA 1",(C131*(VLOOKUP(Remodelacion!$C$22,Seguros_Oblig!$A$3:$B$55,2,FALSE))),(C131*(VLOOKUP(Remodelacion!$C$22,Seguros_Oblig!$A$3:$D$55,4,FALSE))))))</f>
        <v>#VALUE!</v>
      </c>
      <c r="G132" s="8" t="e">
        <f>IF(Remodelacion!$C$10="TARIFA 1",(C131*(VLOOKUP(Remodelacion!$C$23,Seguros_Oblig!$A$3:$B$55,2,FALSE))),(C131*(VLOOKUP(Remodelacion!$C$23,Seguros_Oblig!$A$3:$D$55,4,FALSE))))</f>
        <v>#VALUE!</v>
      </c>
      <c r="H132" s="8" t="e">
        <f>IF(Remodelacion!$C$10="TARIFA 1",(C131*(VLOOKUP(Remodelacion!$C$24,Seguros_Oblig!$A$3:$B$55,2,FALSE))),(C131*(VLOOKUP(Remodelacion!$C$24,Seguros_Oblig!$A$3:$D$55,4,FALSE))))</f>
        <v>#VALUE!</v>
      </c>
      <c r="I132" s="8" t="e">
        <f>IF(Remodelacion!$C$10="TARIFA 1",(C131*(VLOOKUP(Remodelacion!$C$25,Seguros_Oblig!$A$3:$B$55,2,FALSE))),(C131*(VLOOKUP(Remodelacion!$C$25,Seguros_Oblig!$A$3:$D$55,4,FALSE))))</f>
        <v>#VALUE!</v>
      </c>
      <c r="J132" s="10">
        <f t="shared" si="8"/>
        <v>0</v>
      </c>
      <c r="K132" s="7" t="e">
        <f>IF(RM!$D$11="Si",0,IF(C131&lt;1,"0",Seguros_Oblig!$K$2*Remodelacion!$C$12))</f>
        <v>#VALUE!</v>
      </c>
      <c r="L132" s="7" t="e">
        <f>IF(B132=" ","0",PMT(Remodelacion!$E$17,Remodelacion!$C$18,-Remodelacion!$C$15,,))</f>
        <v>#VALUE!</v>
      </c>
      <c r="M132" s="9" t="e">
        <f t="shared" si="9"/>
        <v>#VALUE!</v>
      </c>
      <c r="N132" s="7" t="e">
        <f>IF(C131&lt;1,"0",Remodelacion!$C$38)</f>
        <v>#VALUE!</v>
      </c>
      <c r="O132" s="9" t="e">
        <f t="shared" si="10"/>
        <v>#VALUE!</v>
      </c>
    </row>
    <row r="133" spans="2:15" ht="15.5" x14ac:dyDescent="0.35">
      <c r="B133" s="6" t="e">
        <f t="shared" si="11"/>
        <v>#VALUE!</v>
      </c>
      <c r="C133" s="7" t="e">
        <f t="shared" si="7"/>
        <v>#VALUE!</v>
      </c>
      <c r="D133" s="7" t="e">
        <f t="shared" si="12"/>
        <v>#VALUE!</v>
      </c>
      <c r="E133" s="7" t="e">
        <f>C132*Remodelacion!$E$17</f>
        <v>#VALUE!</v>
      </c>
      <c r="F133" s="8" t="e">
        <f>IF(C132&lt;1,0,IF(Remodelacion!$D$26="Si",($C$17*(VLOOKUP(Remodelacion!$C$22,Seguros_Oblig!$A$3:$F$55,6,FALSE))),IF(Remodelacion!$C$10="TARIFA 1",(C132*(VLOOKUP(Remodelacion!$C$22,Seguros_Oblig!$A$3:$B$55,2,FALSE))),(C132*(VLOOKUP(Remodelacion!$C$22,Seguros_Oblig!$A$3:$D$55,4,FALSE))))))</f>
        <v>#VALUE!</v>
      </c>
      <c r="G133" s="8" t="e">
        <f>IF(Remodelacion!$C$10="TARIFA 1",(C132*(VLOOKUP(Remodelacion!$C$23,Seguros_Oblig!$A$3:$B$55,2,FALSE))),(C132*(VLOOKUP(Remodelacion!$C$23,Seguros_Oblig!$A$3:$D$55,4,FALSE))))</f>
        <v>#VALUE!</v>
      </c>
      <c r="H133" s="8" t="e">
        <f>IF(Remodelacion!$C$10="TARIFA 1",(C132*(VLOOKUP(Remodelacion!$C$24,Seguros_Oblig!$A$3:$B$55,2,FALSE))),(C132*(VLOOKUP(Remodelacion!$C$24,Seguros_Oblig!$A$3:$D$55,4,FALSE))))</f>
        <v>#VALUE!</v>
      </c>
      <c r="I133" s="8" t="e">
        <f>IF(Remodelacion!$C$10="TARIFA 1",(C132*(VLOOKUP(Remodelacion!$C$25,Seguros_Oblig!$A$3:$B$55,2,FALSE))),(C132*(VLOOKUP(Remodelacion!$C$25,Seguros_Oblig!$A$3:$D$55,4,FALSE))))</f>
        <v>#VALUE!</v>
      </c>
      <c r="J133" s="10">
        <f t="shared" si="8"/>
        <v>0</v>
      </c>
      <c r="K133" s="7" t="e">
        <f>IF(RM!$D$11="Si",0,IF(C132&lt;1,"0",Seguros_Oblig!$K$2*Remodelacion!$C$12))</f>
        <v>#VALUE!</v>
      </c>
      <c r="L133" s="7" t="e">
        <f>IF(B133=" ","0",PMT(Remodelacion!$E$17,Remodelacion!$C$18,-Remodelacion!$C$15,,))</f>
        <v>#VALUE!</v>
      </c>
      <c r="M133" s="9" t="e">
        <f t="shared" si="9"/>
        <v>#VALUE!</v>
      </c>
      <c r="N133" s="7" t="e">
        <f>IF(C132&lt;1,"0",Remodelacion!$C$38)</f>
        <v>#VALUE!</v>
      </c>
      <c r="O133" s="9" t="e">
        <f t="shared" si="10"/>
        <v>#VALUE!</v>
      </c>
    </row>
    <row r="134" spans="2:15" ht="15.5" x14ac:dyDescent="0.35">
      <c r="B134" s="6" t="e">
        <f t="shared" si="11"/>
        <v>#VALUE!</v>
      </c>
      <c r="C134" s="7" t="e">
        <f t="shared" si="7"/>
        <v>#VALUE!</v>
      </c>
      <c r="D134" s="7" t="e">
        <f t="shared" si="12"/>
        <v>#VALUE!</v>
      </c>
      <c r="E134" s="7" t="e">
        <f>C133*Remodelacion!$E$17</f>
        <v>#VALUE!</v>
      </c>
      <c r="F134" s="8" t="e">
        <f>IF(C133&lt;1,0,IF(Remodelacion!$D$26="Si",($C$17*(VLOOKUP(Remodelacion!$C$22,Seguros_Oblig!$A$3:$F$55,6,FALSE))),IF(Remodelacion!$C$10="TARIFA 1",(C133*(VLOOKUP(Remodelacion!$C$22,Seguros_Oblig!$A$3:$B$55,2,FALSE))),(C133*(VLOOKUP(Remodelacion!$C$22,Seguros_Oblig!$A$3:$D$55,4,FALSE))))))</f>
        <v>#VALUE!</v>
      </c>
      <c r="G134" s="8" t="e">
        <f>IF(Remodelacion!$C$10="TARIFA 1",(C133*(VLOOKUP(Remodelacion!$C$23,Seguros_Oblig!$A$3:$B$55,2,FALSE))),(C133*(VLOOKUP(Remodelacion!$C$23,Seguros_Oblig!$A$3:$D$55,4,FALSE))))</f>
        <v>#VALUE!</v>
      </c>
      <c r="H134" s="8" t="e">
        <f>IF(Remodelacion!$C$10="TARIFA 1",(C133*(VLOOKUP(Remodelacion!$C$24,Seguros_Oblig!$A$3:$B$55,2,FALSE))),(C133*(VLOOKUP(Remodelacion!$C$24,Seguros_Oblig!$A$3:$D$55,4,FALSE))))</f>
        <v>#VALUE!</v>
      </c>
      <c r="I134" s="8" t="e">
        <f>IF(Remodelacion!$C$10="TARIFA 1",(C133*(VLOOKUP(Remodelacion!$C$25,Seguros_Oblig!$A$3:$B$55,2,FALSE))),(C133*(VLOOKUP(Remodelacion!$C$25,Seguros_Oblig!$A$3:$D$55,4,FALSE))))</f>
        <v>#VALUE!</v>
      </c>
      <c r="J134" s="10">
        <f t="shared" si="8"/>
        <v>0</v>
      </c>
      <c r="K134" s="7" t="e">
        <f>IF(RM!$D$11="Si",0,IF(C133&lt;1,"0",Seguros_Oblig!$K$2*Remodelacion!$C$12))</f>
        <v>#VALUE!</v>
      </c>
      <c r="L134" s="7" t="e">
        <f>IF(B134=" ","0",PMT(Remodelacion!$E$17,Remodelacion!$C$18,-Remodelacion!$C$15,,))</f>
        <v>#VALUE!</v>
      </c>
      <c r="M134" s="9" t="e">
        <f t="shared" si="9"/>
        <v>#VALUE!</v>
      </c>
      <c r="N134" s="7" t="e">
        <f>IF(C133&lt;1,"0",Remodelacion!$C$38)</f>
        <v>#VALUE!</v>
      </c>
      <c r="O134" s="9" t="e">
        <f t="shared" si="10"/>
        <v>#VALUE!</v>
      </c>
    </row>
    <row r="135" spans="2:15" ht="15.5" x14ac:dyDescent="0.35">
      <c r="B135" s="6" t="e">
        <f t="shared" si="11"/>
        <v>#VALUE!</v>
      </c>
      <c r="C135" s="7" t="e">
        <f t="shared" si="7"/>
        <v>#VALUE!</v>
      </c>
      <c r="D135" s="7" t="e">
        <f t="shared" si="12"/>
        <v>#VALUE!</v>
      </c>
      <c r="E135" s="7" t="e">
        <f>C134*Remodelacion!$E$17</f>
        <v>#VALUE!</v>
      </c>
      <c r="F135" s="8" t="e">
        <f>IF(C134&lt;1,0,IF(Remodelacion!$D$26="Si",($C$17*(VLOOKUP(Remodelacion!$C$22,Seguros_Oblig!$A$3:$F$55,6,FALSE))),IF(Remodelacion!$C$10="TARIFA 1",(C134*(VLOOKUP(Remodelacion!$C$22,Seguros_Oblig!$A$3:$B$55,2,FALSE))),(C134*(VLOOKUP(Remodelacion!$C$22,Seguros_Oblig!$A$3:$D$55,4,FALSE))))))</f>
        <v>#VALUE!</v>
      </c>
      <c r="G135" s="8" t="e">
        <f>IF(Remodelacion!$C$10="TARIFA 1",(C134*(VLOOKUP(Remodelacion!$C$23,Seguros_Oblig!$A$3:$B$55,2,FALSE))),(C134*(VLOOKUP(Remodelacion!$C$23,Seguros_Oblig!$A$3:$D$55,4,FALSE))))</f>
        <v>#VALUE!</v>
      </c>
      <c r="H135" s="8" t="e">
        <f>IF(Remodelacion!$C$10="TARIFA 1",(C134*(VLOOKUP(Remodelacion!$C$24,Seguros_Oblig!$A$3:$B$55,2,FALSE))),(C134*(VLOOKUP(Remodelacion!$C$24,Seguros_Oblig!$A$3:$D$55,4,FALSE))))</f>
        <v>#VALUE!</v>
      </c>
      <c r="I135" s="8" t="e">
        <f>IF(Remodelacion!$C$10="TARIFA 1",(C134*(VLOOKUP(Remodelacion!$C$25,Seguros_Oblig!$A$3:$B$55,2,FALSE))),(C134*(VLOOKUP(Remodelacion!$C$25,Seguros_Oblig!$A$3:$D$55,4,FALSE))))</f>
        <v>#VALUE!</v>
      </c>
      <c r="J135" s="10">
        <f t="shared" si="8"/>
        <v>0</v>
      </c>
      <c r="K135" s="7" t="e">
        <f>IF(RM!$D$11="Si",0,IF(C134&lt;1,"0",Seguros_Oblig!$K$2*Remodelacion!$C$12))</f>
        <v>#VALUE!</v>
      </c>
      <c r="L135" s="7" t="e">
        <f>IF(B135=" ","0",PMT(Remodelacion!$E$17,Remodelacion!$C$18,-Remodelacion!$C$15,,))</f>
        <v>#VALUE!</v>
      </c>
      <c r="M135" s="9" t="e">
        <f t="shared" si="9"/>
        <v>#VALUE!</v>
      </c>
      <c r="N135" s="7" t="e">
        <f>IF(C134&lt;1,"0",Remodelacion!$C$38)</f>
        <v>#VALUE!</v>
      </c>
      <c r="O135" s="9" t="e">
        <f t="shared" si="10"/>
        <v>#VALUE!</v>
      </c>
    </row>
    <row r="136" spans="2:15" ht="15.5" x14ac:dyDescent="0.35">
      <c r="B136" s="6" t="e">
        <f t="shared" si="11"/>
        <v>#VALUE!</v>
      </c>
      <c r="C136" s="7" t="e">
        <f t="shared" si="7"/>
        <v>#VALUE!</v>
      </c>
      <c r="D136" s="7" t="e">
        <f t="shared" si="12"/>
        <v>#VALUE!</v>
      </c>
      <c r="E136" s="7" t="e">
        <f>C135*Remodelacion!$E$17</f>
        <v>#VALUE!</v>
      </c>
      <c r="F136" s="8" t="e">
        <f>IF(C135&lt;1,0,IF(Remodelacion!$D$26="Si",($C$17*(VLOOKUP(Remodelacion!$C$22,Seguros_Oblig!$A$3:$F$55,6,FALSE))),IF(Remodelacion!$C$10="TARIFA 1",(C135*(VLOOKUP(Remodelacion!$C$22,Seguros_Oblig!$A$3:$B$55,2,FALSE))),(C135*(VLOOKUP(Remodelacion!$C$22,Seguros_Oblig!$A$3:$D$55,4,FALSE))))))</f>
        <v>#VALUE!</v>
      </c>
      <c r="G136" s="8" t="e">
        <f>IF(Remodelacion!$C$10="TARIFA 1",(C135*(VLOOKUP(Remodelacion!$C$23,Seguros_Oblig!$A$3:$B$55,2,FALSE))),(C135*(VLOOKUP(Remodelacion!$C$23,Seguros_Oblig!$A$3:$D$55,4,FALSE))))</f>
        <v>#VALUE!</v>
      </c>
      <c r="H136" s="8" t="e">
        <f>IF(Remodelacion!$C$10="TARIFA 1",(C135*(VLOOKUP(Remodelacion!$C$24,Seguros_Oblig!$A$3:$B$55,2,FALSE))),(C135*(VLOOKUP(Remodelacion!$C$24,Seguros_Oblig!$A$3:$D$55,4,FALSE))))</f>
        <v>#VALUE!</v>
      </c>
      <c r="I136" s="8" t="e">
        <f>IF(Remodelacion!$C$10="TARIFA 1",(C135*(VLOOKUP(Remodelacion!$C$25,Seguros_Oblig!$A$3:$B$55,2,FALSE))),(C135*(VLOOKUP(Remodelacion!$C$25,Seguros_Oblig!$A$3:$D$55,4,FALSE))))</f>
        <v>#VALUE!</v>
      </c>
      <c r="J136" s="10">
        <f t="shared" si="8"/>
        <v>0</v>
      </c>
      <c r="K136" s="7" t="e">
        <f>IF(RM!$D$11="Si",0,IF(C135&lt;1,"0",Seguros_Oblig!$K$2*Remodelacion!$C$12))</f>
        <v>#VALUE!</v>
      </c>
      <c r="L136" s="7" t="e">
        <f>IF(B136=" ","0",PMT(Remodelacion!$E$17,Remodelacion!$C$18,-Remodelacion!$C$15,,))</f>
        <v>#VALUE!</v>
      </c>
      <c r="M136" s="9" t="e">
        <f t="shared" si="9"/>
        <v>#VALUE!</v>
      </c>
      <c r="N136" s="7" t="e">
        <f>IF(C135&lt;1,"0",Remodelacion!$C$38)</f>
        <v>#VALUE!</v>
      </c>
      <c r="O136" s="9" t="e">
        <f t="shared" si="10"/>
        <v>#VALUE!</v>
      </c>
    </row>
    <row r="137" spans="2:15" ht="15.5" x14ac:dyDescent="0.35">
      <c r="B137" s="6" t="e">
        <f t="shared" si="11"/>
        <v>#VALUE!</v>
      </c>
      <c r="C137" s="7" t="e">
        <f t="shared" si="7"/>
        <v>#VALUE!</v>
      </c>
      <c r="D137" s="7" t="e">
        <f t="shared" si="12"/>
        <v>#VALUE!</v>
      </c>
      <c r="E137" s="7" t="e">
        <f>C136*Remodelacion!$E$17</f>
        <v>#VALUE!</v>
      </c>
      <c r="F137" s="8" t="e">
        <f>IF(C136&lt;1,0,IF(Remodelacion!$D$26="Si",($C$17*(VLOOKUP(Remodelacion!$C$22,Seguros_Oblig!$A$3:$F$55,6,FALSE))),IF(Remodelacion!$C$10="TARIFA 1",(C136*(VLOOKUP(Remodelacion!$C$22,Seguros_Oblig!$A$3:$B$55,2,FALSE))),(C136*(VLOOKUP(Remodelacion!$C$22,Seguros_Oblig!$A$3:$D$55,4,FALSE))))))</f>
        <v>#VALUE!</v>
      </c>
      <c r="G137" s="8" t="e">
        <f>IF(Remodelacion!$C$10="TARIFA 1",(C136*(VLOOKUP(Remodelacion!$C$23,Seguros_Oblig!$A$3:$B$55,2,FALSE))),(C136*(VLOOKUP(Remodelacion!$C$23,Seguros_Oblig!$A$3:$D$55,4,FALSE))))</f>
        <v>#VALUE!</v>
      </c>
      <c r="H137" s="8" t="e">
        <f>IF(Remodelacion!$C$10="TARIFA 1",(C136*(VLOOKUP(Remodelacion!$C$24,Seguros_Oblig!$A$3:$B$55,2,FALSE))),(C136*(VLOOKUP(Remodelacion!$C$24,Seguros_Oblig!$A$3:$D$55,4,FALSE))))</f>
        <v>#VALUE!</v>
      </c>
      <c r="I137" s="8" t="e">
        <f>IF(Remodelacion!$C$10="TARIFA 1",(C136*(VLOOKUP(Remodelacion!$C$25,Seguros_Oblig!$A$3:$B$55,2,FALSE))),(C136*(VLOOKUP(Remodelacion!$C$25,Seguros_Oblig!$A$3:$D$55,4,FALSE))))</f>
        <v>#VALUE!</v>
      </c>
      <c r="J137" s="10">
        <f t="shared" si="8"/>
        <v>0</v>
      </c>
      <c r="K137" s="7" t="e">
        <f>IF(RM!$D$11="Si",0,IF(C136&lt;1,"0",Seguros_Oblig!$K$2*Remodelacion!$C$12))</f>
        <v>#VALUE!</v>
      </c>
      <c r="L137" s="7" t="e">
        <f>IF(B137=" ","0",PMT(Remodelacion!$E$17,Remodelacion!$C$18,-Remodelacion!$C$15,,))</f>
        <v>#VALUE!</v>
      </c>
      <c r="M137" s="9" t="e">
        <f t="shared" si="9"/>
        <v>#VALUE!</v>
      </c>
      <c r="N137" s="7" t="e">
        <f>IF(C136&lt;1,"0",Remodelacion!$C$38)</f>
        <v>#VALUE!</v>
      </c>
      <c r="O137" s="9" t="e">
        <f t="shared" si="10"/>
        <v>#VALUE!</v>
      </c>
    </row>
    <row r="138" spans="2:15" ht="15.5" x14ac:dyDescent="0.35">
      <c r="B138" s="6" t="e">
        <f t="shared" si="11"/>
        <v>#VALUE!</v>
      </c>
      <c r="C138" s="7" t="e">
        <f t="shared" si="7"/>
        <v>#VALUE!</v>
      </c>
      <c r="D138" s="7" t="e">
        <f t="shared" si="12"/>
        <v>#VALUE!</v>
      </c>
      <c r="E138" s="7" t="e">
        <f>C137*Remodelacion!$E$17</f>
        <v>#VALUE!</v>
      </c>
      <c r="F138" s="8" t="e">
        <f>IF(C137&lt;1,0,IF(Remodelacion!$D$26="Si",($C$17*(VLOOKUP(Remodelacion!$C$22,Seguros_Oblig!$A$3:$F$55,6,FALSE))),IF(Remodelacion!$C$10="TARIFA 1",(C137*(VLOOKUP(Remodelacion!$C$22,Seguros_Oblig!$A$3:$B$55,2,FALSE))),(C137*(VLOOKUP(Remodelacion!$C$22,Seguros_Oblig!$A$3:$D$55,4,FALSE))))))</f>
        <v>#VALUE!</v>
      </c>
      <c r="G138" s="8" t="e">
        <f>IF(Remodelacion!$C$10="TARIFA 1",(C137*(VLOOKUP(Remodelacion!$C$23,Seguros_Oblig!$A$3:$B$55,2,FALSE))),(C137*(VLOOKUP(Remodelacion!$C$23,Seguros_Oblig!$A$3:$D$55,4,FALSE))))</f>
        <v>#VALUE!</v>
      </c>
      <c r="H138" s="8" t="e">
        <f>IF(Remodelacion!$C$10="TARIFA 1",(C137*(VLOOKUP(Remodelacion!$C$24,Seguros_Oblig!$A$3:$B$55,2,FALSE))),(C137*(VLOOKUP(Remodelacion!$C$24,Seguros_Oblig!$A$3:$D$55,4,FALSE))))</f>
        <v>#VALUE!</v>
      </c>
      <c r="I138" s="8" t="e">
        <f>IF(Remodelacion!$C$10="TARIFA 1",(C137*(VLOOKUP(Remodelacion!$C$25,Seguros_Oblig!$A$3:$B$55,2,FALSE))),(C137*(VLOOKUP(Remodelacion!$C$25,Seguros_Oblig!$A$3:$D$55,4,FALSE))))</f>
        <v>#VALUE!</v>
      </c>
      <c r="J138" s="10">
        <f t="shared" si="8"/>
        <v>0</v>
      </c>
      <c r="K138" s="7" t="e">
        <f>IF(RM!$D$11="Si",0,IF(C137&lt;1,"0",Seguros_Oblig!$K$2*Remodelacion!$C$12))</f>
        <v>#VALUE!</v>
      </c>
      <c r="L138" s="7" t="e">
        <f>IF(B138=" ","0",PMT(Remodelacion!$E$17,Remodelacion!$C$18,-Remodelacion!$C$15,,))</f>
        <v>#VALUE!</v>
      </c>
      <c r="M138" s="9" t="e">
        <f t="shared" si="9"/>
        <v>#VALUE!</v>
      </c>
      <c r="N138" s="7" t="e">
        <f>IF(C137&lt;1,"0",Remodelacion!$C$38)</f>
        <v>#VALUE!</v>
      </c>
      <c r="O138" s="9" t="e">
        <f t="shared" si="10"/>
        <v>#VALUE!</v>
      </c>
    </row>
    <row r="139" spans="2:15" ht="15.5" x14ac:dyDescent="0.35">
      <c r="B139" s="6" t="e">
        <f t="shared" si="11"/>
        <v>#VALUE!</v>
      </c>
      <c r="C139" s="7" t="e">
        <f t="shared" si="7"/>
        <v>#VALUE!</v>
      </c>
      <c r="D139" s="7" t="e">
        <f t="shared" si="12"/>
        <v>#VALUE!</v>
      </c>
      <c r="E139" s="7" t="e">
        <f>C138*Remodelacion!$E$17</f>
        <v>#VALUE!</v>
      </c>
      <c r="F139" s="8" t="e">
        <f>IF(C138&lt;1,0,IF(Remodelacion!$D$26="Si",($C$17*(VLOOKUP(Remodelacion!$C$22,Seguros_Oblig!$A$3:$F$55,6,FALSE))),IF(Remodelacion!$C$10="TARIFA 1",(C138*(VLOOKUP(Remodelacion!$C$22,Seguros_Oblig!$A$3:$B$55,2,FALSE))),(C138*(VLOOKUP(Remodelacion!$C$22,Seguros_Oblig!$A$3:$D$55,4,FALSE))))))</f>
        <v>#VALUE!</v>
      </c>
      <c r="G139" s="8" t="e">
        <f>IF(Remodelacion!$C$10="TARIFA 1",(C138*(VLOOKUP(Remodelacion!$C$23,Seguros_Oblig!$A$3:$B$55,2,FALSE))),(C138*(VLOOKUP(Remodelacion!$C$23,Seguros_Oblig!$A$3:$D$55,4,FALSE))))</f>
        <v>#VALUE!</v>
      </c>
      <c r="H139" s="8" t="e">
        <f>IF(Remodelacion!$C$10="TARIFA 1",(C138*(VLOOKUP(Remodelacion!$C$24,Seguros_Oblig!$A$3:$B$55,2,FALSE))),(C138*(VLOOKUP(Remodelacion!$C$24,Seguros_Oblig!$A$3:$D$55,4,FALSE))))</f>
        <v>#VALUE!</v>
      </c>
      <c r="I139" s="8" t="e">
        <f>IF(Remodelacion!$C$10="TARIFA 1",(C138*(VLOOKUP(Remodelacion!$C$25,Seguros_Oblig!$A$3:$B$55,2,FALSE))),(C138*(VLOOKUP(Remodelacion!$C$25,Seguros_Oblig!$A$3:$D$55,4,FALSE))))</f>
        <v>#VALUE!</v>
      </c>
      <c r="J139" s="10">
        <f t="shared" si="8"/>
        <v>0</v>
      </c>
      <c r="K139" s="7" t="e">
        <f>IF(RM!$D$11="Si",0,IF(C138&lt;1,"0",Seguros_Oblig!$K$2*Remodelacion!$C$12))</f>
        <v>#VALUE!</v>
      </c>
      <c r="L139" s="7" t="e">
        <f>IF(B139=" ","0",PMT(Remodelacion!$E$17,Remodelacion!$C$18,-Remodelacion!$C$15,,))</f>
        <v>#VALUE!</v>
      </c>
      <c r="M139" s="9" t="e">
        <f t="shared" si="9"/>
        <v>#VALUE!</v>
      </c>
      <c r="N139" s="7" t="e">
        <f>IF(C138&lt;1,"0",Remodelacion!$C$38)</f>
        <v>#VALUE!</v>
      </c>
      <c r="O139" s="9" t="e">
        <f t="shared" si="10"/>
        <v>#VALUE!</v>
      </c>
    </row>
    <row r="140" spans="2:15" ht="15.5" x14ac:dyDescent="0.35">
      <c r="B140" s="6" t="e">
        <f t="shared" si="11"/>
        <v>#VALUE!</v>
      </c>
      <c r="C140" s="7" t="e">
        <f t="shared" si="7"/>
        <v>#VALUE!</v>
      </c>
      <c r="D140" s="7" t="e">
        <f t="shared" si="12"/>
        <v>#VALUE!</v>
      </c>
      <c r="E140" s="7" t="e">
        <f>C139*Remodelacion!$E$17</f>
        <v>#VALUE!</v>
      </c>
      <c r="F140" s="8" t="e">
        <f>IF(C139&lt;1,0,IF(Remodelacion!$D$26="Si",($C$17*(VLOOKUP(Remodelacion!$C$22,Seguros_Oblig!$A$3:$F$55,6,FALSE))),IF(Remodelacion!$C$10="TARIFA 1",(C139*(VLOOKUP(Remodelacion!$C$22,Seguros_Oblig!$A$3:$B$55,2,FALSE))),(C139*(VLOOKUP(Remodelacion!$C$22,Seguros_Oblig!$A$3:$D$55,4,FALSE))))))</f>
        <v>#VALUE!</v>
      </c>
      <c r="G140" s="8" t="e">
        <f>IF(Remodelacion!$C$10="TARIFA 1",(C139*(VLOOKUP(Remodelacion!$C$23,Seguros_Oblig!$A$3:$B$55,2,FALSE))),(C139*(VLOOKUP(Remodelacion!$C$23,Seguros_Oblig!$A$3:$D$55,4,FALSE))))</f>
        <v>#VALUE!</v>
      </c>
      <c r="H140" s="8" t="e">
        <f>IF(Remodelacion!$C$10="TARIFA 1",(C139*(VLOOKUP(Remodelacion!$C$24,Seguros_Oblig!$A$3:$B$55,2,FALSE))),(C139*(VLOOKUP(Remodelacion!$C$24,Seguros_Oblig!$A$3:$D$55,4,FALSE))))</f>
        <v>#VALUE!</v>
      </c>
      <c r="I140" s="8" t="e">
        <f>IF(Remodelacion!$C$10="TARIFA 1",(C139*(VLOOKUP(Remodelacion!$C$25,Seguros_Oblig!$A$3:$B$55,2,FALSE))),(C139*(VLOOKUP(Remodelacion!$C$25,Seguros_Oblig!$A$3:$D$55,4,FALSE))))</f>
        <v>#VALUE!</v>
      </c>
      <c r="J140" s="10">
        <f t="shared" si="8"/>
        <v>0</v>
      </c>
      <c r="K140" s="7" t="e">
        <f>IF(RM!$D$11="Si",0,IF(C139&lt;1,"0",Seguros_Oblig!$K$2*Remodelacion!$C$12))</f>
        <v>#VALUE!</v>
      </c>
      <c r="L140" s="7" t="e">
        <f>IF(B140=" ","0",PMT(Remodelacion!$E$17,Remodelacion!$C$18,-Remodelacion!$C$15,,))</f>
        <v>#VALUE!</v>
      </c>
      <c r="M140" s="9" t="e">
        <f t="shared" si="9"/>
        <v>#VALUE!</v>
      </c>
      <c r="N140" s="7" t="e">
        <f>IF(C139&lt;1,"0",Remodelacion!$C$38)</f>
        <v>#VALUE!</v>
      </c>
      <c r="O140" s="9" t="e">
        <f t="shared" si="10"/>
        <v>#VALUE!</v>
      </c>
    </row>
    <row r="141" spans="2:15" ht="15.5" x14ac:dyDescent="0.35">
      <c r="B141" s="6" t="e">
        <f t="shared" si="11"/>
        <v>#VALUE!</v>
      </c>
      <c r="C141" s="7" t="e">
        <f t="shared" si="7"/>
        <v>#VALUE!</v>
      </c>
      <c r="D141" s="7" t="e">
        <f t="shared" si="12"/>
        <v>#VALUE!</v>
      </c>
      <c r="E141" s="7" t="e">
        <f>C140*Remodelacion!$E$17</f>
        <v>#VALUE!</v>
      </c>
      <c r="F141" s="8" t="e">
        <f>IF(C140&lt;1,0,IF(Remodelacion!$D$26="Si",($C$17*(VLOOKUP(Remodelacion!$C$22,Seguros_Oblig!$A$3:$F$55,6,FALSE))),IF(Remodelacion!$C$10="TARIFA 1",(C140*(VLOOKUP(Remodelacion!$C$22,Seguros_Oblig!$A$3:$B$55,2,FALSE))),(C140*(VLOOKUP(Remodelacion!$C$22,Seguros_Oblig!$A$3:$D$55,4,FALSE))))))</f>
        <v>#VALUE!</v>
      </c>
      <c r="G141" s="8" t="e">
        <f>IF(Remodelacion!$C$10="TARIFA 1",(C140*(VLOOKUP(Remodelacion!$C$23,Seguros_Oblig!$A$3:$B$55,2,FALSE))),(C140*(VLOOKUP(Remodelacion!$C$23,Seguros_Oblig!$A$3:$D$55,4,FALSE))))</f>
        <v>#VALUE!</v>
      </c>
      <c r="H141" s="8" t="e">
        <f>IF(Remodelacion!$C$10="TARIFA 1",(C140*(VLOOKUP(Remodelacion!$C$24,Seguros_Oblig!$A$3:$B$55,2,FALSE))),(C140*(VLOOKUP(Remodelacion!$C$24,Seguros_Oblig!$A$3:$D$55,4,FALSE))))</f>
        <v>#VALUE!</v>
      </c>
      <c r="I141" s="8" t="e">
        <f>IF(Remodelacion!$C$10="TARIFA 1",(C140*(VLOOKUP(Remodelacion!$C$25,Seguros_Oblig!$A$3:$B$55,2,FALSE))),(C140*(VLOOKUP(Remodelacion!$C$25,Seguros_Oblig!$A$3:$D$55,4,FALSE))))</f>
        <v>#VALUE!</v>
      </c>
      <c r="J141" s="10">
        <f t="shared" si="8"/>
        <v>0</v>
      </c>
      <c r="K141" s="7" t="e">
        <f>IF(RM!$D$11="Si",0,IF(C140&lt;1,"0",Seguros_Oblig!$K$2*Remodelacion!$C$12))</f>
        <v>#VALUE!</v>
      </c>
      <c r="L141" s="7" t="e">
        <f>IF(B141=" ","0",PMT(Remodelacion!$E$17,Remodelacion!$C$18,-Remodelacion!$C$15,,))</f>
        <v>#VALUE!</v>
      </c>
      <c r="M141" s="9" t="e">
        <f t="shared" si="9"/>
        <v>#VALUE!</v>
      </c>
      <c r="N141" s="7" t="e">
        <f>IF(C140&lt;1,"0",Remodelacion!$C$38)</f>
        <v>#VALUE!</v>
      </c>
      <c r="O141" s="9" t="e">
        <f t="shared" si="10"/>
        <v>#VALUE!</v>
      </c>
    </row>
    <row r="142" spans="2:15" ht="15.5" x14ac:dyDescent="0.35">
      <c r="B142" s="6" t="e">
        <f t="shared" si="11"/>
        <v>#VALUE!</v>
      </c>
      <c r="C142" s="7" t="e">
        <f t="shared" si="7"/>
        <v>#VALUE!</v>
      </c>
      <c r="D142" s="7" t="e">
        <f t="shared" si="12"/>
        <v>#VALUE!</v>
      </c>
      <c r="E142" s="7" t="e">
        <f>C141*Remodelacion!$E$17</f>
        <v>#VALUE!</v>
      </c>
      <c r="F142" s="8" t="e">
        <f>IF(C141&lt;1,0,IF(Remodelacion!$D$26="Si",($C$17*(VLOOKUP(Remodelacion!$C$22,Seguros_Oblig!$A$3:$F$55,6,FALSE))),IF(Remodelacion!$C$10="TARIFA 1",(C141*(VLOOKUP(Remodelacion!$C$22,Seguros_Oblig!$A$3:$B$55,2,FALSE))),(C141*(VLOOKUP(Remodelacion!$C$22,Seguros_Oblig!$A$3:$D$55,4,FALSE))))))</f>
        <v>#VALUE!</v>
      </c>
      <c r="G142" s="8" t="e">
        <f>IF(Remodelacion!$C$10="TARIFA 1",(C141*(VLOOKUP(Remodelacion!$C$23,Seguros_Oblig!$A$3:$B$55,2,FALSE))),(C141*(VLOOKUP(Remodelacion!$C$23,Seguros_Oblig!$A$3:$D$55,4,FALSE))))</f>
        <v>#VALUE!</v>
      </c>
      <c r="H142" s="8" t="e">
        <f>IF(Remodelacion!$C$10="TARIFA 1",(C141*(VLOOKUP(Remodelacion!$C$24,Seguros_Oblig!$A$3:$B$55,2,FALSE))),(C141*(VLOOKUP(Remodelacion!$C$24,Seguros_Oblig!$A$3:$D$55,4,FALSE))))</f>
        <v>#VALUE!</v>
      </c>
      <c r="I142" s="8" t="e">
        <f>IF(Remodelacion!$C$10="TARIFA 1",(C141*(VLOOKUP(Remodelacion!$C$25,Seguros_Oblig!$A$3:$B$55,2,FALSE))),(C141*(VLOOKUP(Remodelacion!$C$25,Seguros_Oblig!$A$3:$D$55,4,FALSE))))</f>
        <v>#VALUE!</v>
      </c>
      <c r="J142" s="10">
        <f t="shared" si="8"/>
        <v>0</v>
      </c>
      <c r="K142" s="7" t="e">
        <f>IF(RM!$D$11="Si",0,IF(C141&lt;1,"0",Seguros_Oblig!$K$2*Remodelacion!$C$12))</f>
        <v>#VALUE!</v>
      </c>
      <c r="L142" s="7" t="e">
        <f>IF(B142=" ","0",PMT(Remodelacion!$E$17,Remodelacion!$C$18,-Remodelacion!$C$15,,))</f>
        <v>#VALUE!</v>
      </c>
      <c r="M142" s="9" t="e">
        <f t="shared" si="9"/>
        <v>#VALUE!</v>
      </c>
      <c r="N142" s="7" t="e">
        <f>IF(C141&lt;1,"0",Remodelacion!$C$38)</f>
        <v>#VALUE!</v>
      </c>
      <c r="O142" s="9" t="e">
        <f t="shared" si="10"/>
        <v>#VALUE!</v>
      </c>
    </row>
    <row r="143" spans="2:15" ht="15.5" x14ac:dyDescent="0.35">
      <c r="B143" s="6" t="e">
        <f t="shared" si="11"/>
        <v>#VALUE!</v>
      </c>
      <c r="C143" s="7" t="e">
        <f t="shared" si="7"/>
        <v>#VALUE!</v>
      </c>
      <c r="D143" s="7" t="e">
        <f t="shared" si="12"/>
        <v>#VALUE!</v>
      </c>
      <c r="E143" s="7" t="e">
        <f>C142*Remodelacion!$E$17</f>
        <v>#VALUE!</v>
      </c>
      <c r="F143" s="8" t="e">
        <f>IF(C142&lt;1,0,IF(Remodelacion!$D$26="Si",($C$17*(VLOOKUP(Remodelacion!$C$22,Seguros_Oblig!$A$3:$F$55,6,FALSE))),IF(Remodelacion!$C$10="TARIFA 1",(C142*(VLOOKUP(Remodelacion!$C$22,Seguros_Oblig!$A$3:$B$55,2,FALSE))),(C142*(VLOOKUP(Remodelacion!$C$22,Seguros_Oblig!$A$3:$D$55,4,FALSE))))))</f>
        <v>#VALUE!</v>
      </c>
      <c r="G143" s="8" t="e">
        <f>IF(Remodelacion!$C$10="TARIFA 1",(C142*(VLOOKUP(Remodelacion!$C$23,Seguros_Oblig!$A$3:$B$55,2,FALSE))),(C142*(VLOOKUP(Remodelacion!$C$23,Seguros_Oblig!$A$3:$D$55,4,FALSE))))</f>
        <v>#VALUE!</v>
      </c>
      <c r="H143" s="8" t="e">
        <f>IF(Remodelacion!$C$10="TARIFA 1",(C142*(VLOOKUP(Remodelacion!$C$24,Seguros_Oblig!$A$3:$B$55,2,FALSE))),(C142*(VLOOKUP(Remodelacion!$C$24,Seguros_Oblig!$A$3:$D$55,4,FALSE))))</f>
        <v>#VALUE!</v>
      </c>
      <c r="I143" s="8" t="e">
        <f>IF(Remodelacion!$C$10="TARIFA 1",(C142*(VLOOKUP(Remodelacion!$C$25,Seguros_Oblig!$A$3:$B$55,2,FALSE))),(C142*(VLOOKUP(Remodelacion!$C$25,Seguros_Oblig!$A$3:$D$55,4,FALSE))))</f>
        <v>#VALUE!</v>
      </c>
      <c r="J143" s="10">
        <f t="shared" si="8"/>
        <v>0</v>
      </c>
      <c r="K143" s="7" t="e">
        <f>IF(RM!$D$11="Si",0,IF(C142&lt;1,"0",Seguros_Oblig!$K$2*Remodelacion!$C$12))</f>
        <v>#VALUE!</v>
      </c>
      <c r="L143" s="7" t="e">
        <f>IF(B143=" ","0",PMT(Remodelacion!$E$17,Remodelacion!$C$18,-Remodelacion!$C$15,,))</f>
        <v>#VALUE!</v>
      </c>
      <c r="M143" s="9" t="e">
        <f t="shared" si="9"/>
        <v>#VALUE!</v>
      </c>
      <c r="N143" s="7" t="e">
        <f>IF(C142&lt;1,"0",Remodelacion!$C$38)</f>
        <v>#VALUE!</v>
      </c>
      <c r="O143" s="9" t="e">
        <f t="shared" si="10"/>
        <v>#VALUE!</v>
      </c>
    </row>
    <row r="144" spans="2:15" ht="15.5" x14ac:dyDescent="0.35">
      <c r="B144" s="6" t="e">
        <f t="shared" si="11"/>
        <v>#VALUE!</v>
      </c>
      <c r="C144" s="7" t="e">
        <f t="shared" si="7"/>
        <v>#VALUE!</v>
      </c>
      <c r="D144" s="7" t="e">
        <f t="shared" si="12"/>
        <v>#VALUE!</v>
      </c>
      <c r="E144" s="7" t="e">
        <f>C143*Remodelacion!$E$17</f>
        <v>#VALUE!</v>
      </c>
      <c r="F144" s="8" t="e">
        <f>IF(C143&lt;1,0,IF(Remodelacion!$D$26="Si",($C$17*(VLOOKUP(Remodelacion!$C$22,Seguros_Oblig!$A$3:$F$55,6,FALSE))),IF(Remodelacion!$C$10="TARIFA 1",(C143*(VLOOKUP(Remodelacion!$C$22,Seguros_Oblig!$A$3:$B$55,2,FALSE))),(C143*(VLOOKUP(Remodelacion!$C$22,Seguros_Oblig!$A$3:$D$55,4,FALSE))))))</f>
        <v>#VALUE!</v>
      </c>
      <c r="G144" s="8" t="e">
        <f>IF(Remodelacion!$C$10="TARIFA 1",(C143*(VLOOKUP(Remodelacion!$C$23,Seguros_Oblig!$A$3:$B$55,2,FALSE))),(C143*(VLOOKUP(Remodelacion!$C$23,Seguros_Oblig!$A$3:$D$55,4,FALSE))))</f>
        <v>#VALUE!</v>
      </c>
      <c r="H144" s="8" t="e">
        <f>IF(Remodelacion!$C$10="TARIFA 1",(C143*(VLOOKUP(Remodelacion!$C$24,Seguros_Oblig!$A$3:$B$55,2,FALSE))),(C143*(VLOOKUP(Remodelacion!$C$24,Seguros_Oblig!$A$3:$D$55,4,FALSE))))</f>
        <v>#VALUE!</v>
      </c>
      <c r="I144" s="8" t="e">
        <f>IF(Remodelacion!$C$10="TARIFA 1",(C143*(VLOOKUP(Remodelacion!$C$25,Seguros_Oblig!$A$3:$B$55,2,FALSE))),(C143*(VLOOKUP(Remodelacion!$C$25,Seguros_Oblig!$A$3:$D$55,4,FALSE))))</f>
        <v>#VALUE!</v>
      </c>
      <c r="J144" s="10">
        <f t="shared" si="8"/>
        <v>0</v>
      </c>
      <c r="K144" s="7" t="e">
        <f>IF(RM!$D$11="Si",0,IF(C143&lt;1,"0",Seguros_Oblig!$K$2*Remodelacion!$C$12))</f>
        <v>#VALUE!</v>
      </c>
      <c r="L144" s="7" t="e">
        <f>IF(B144=" ","0",PMT(Remodelacion!$E$17,Remodelacion!$C$18,-Remodelacion!$C$15,,))</f>
        <v>#VALUE!</v>
      </c>
      <c r="M144" s="9" t="e">
        <f t="shared" si="9"/>
        <v>#VALUE!</v>
      </c>
      <c r="N144" s="7" t="e">
        <f>IF(C143&lt;1,"0",Remodelacion!$C$38)</f>
        <v>#VALUE!</v>
      </c>
      <c r="O144" s="9" t="e">
        <f t="shared" si="10"/>
        <v>#VALUE!</v>
      </c>
    </row>
    <row r="145" spans="2:15" ht="15.5" x14ac:dyDescent="0.35">
      <c r="B145" s="6" t="e">
        <f t="shared" si="11"/>
        <v>#VALUE!</v>
      </c>
      <c r="C145" s="7" t="e">
        <f t="shared" si="7"/>
        <v>#VALUE!</v>
      </c>
      <c r="D145" s="7" t="e">
        <f t="shared" si="12"/>
        <v>#VALUE!</v>
      </c>
      <c r="E145" s="7" t="e">
        <f>C144*Remodelacion!$E$17</f>
        <v>#VALUE!</v>
      </c>
      <c r="F145" s="8" t="e">
        <f>IF(C144&lt;1,0,IF(Remodelacion!$D$26="Si",($C$17*(VLOOKUP(Remodelacion!$C$22,Seguros_Oblig!$A$3:$F$55,6,FALSE))),IF(Remodelacion!$C$10="TARIFA 1",(C144*(VLOOKUP(Remodelacion!$C$22,Seguros_Oblig!$A$3:$B$55,2,FALSE))),(C144*(VLOOKUP(Remodelacion!$C$22,Seguros_Oblig!$A$3:$D$55,4,FALSE))))))</f>
        <v>#VALUE!</v>
      </c>
      <c r="G145" s="8" t="e">
        <f>IF(Remodelacion!$C$10="TARIFA 1",(C144*(VLOOKUP(Remodelacion!$C$23,Seguros_Oblig!$A$3:$B$55,2,FALSE))),(C144*(VLOOKUP(Remodelacion!$C$23,Seguros_Oblig!$A$3:$D$55,4,FALSE))))</f>
        <v>#VALUE!</v>
      </c>
      <c r="H145" s="8" t="e">
        <f>IF(Remodelacion!$C$10="TARIFA 1",(C144*(VLOOKUP(Remodelacion!$C$24,Seguros_Oblig!$A$3:$B$55,2,FALSE))),(C144*(VLOOKUP(Remodelacion!$C$24,Seguros_Oblig!$A$3:$D$55,4,FALSE))))</f>
        <v>#VALUE!</v>
      </c>
      <c r="I145" s="8" t="e">
        <f>IF(Remodelacion!$C$10="TARIFA 1",(C144*(VLOOKUP(Remodelacion!$C$25,Seguros_Oblig!$A$3:$B$55,2,FALSE))),(C144*(VLOOKUP(Remodelacion!$C$25,Seguros_Oblig!$A$3:$D$55,4,FALSE))))</f>
        <v>#VALUE!</v>
      </c>
      <c r="J145" s="10">
        <f t="shared" si="8"/>
        <v>0</v>
      </c>
      <c r="K145" s="7" t="e">
        <f>IF(RM!$D$11="Si",0,IF(C144&lt;1,"0",Seguros_Oblig!$K$2*Remodelacion!$C$12))</f>
        <v>#VALUE!</v>
      </c>
      <c r="L145" s="7" t="e">
        <f>IF(B145=" ","0",PMT(Remodelacion!$E$17,Remodelacion!$C$18,-Remodelacion!$C$15,,))</f>
        <v>#VALUE!</v>
      </c>
      <c r="M145" s="9" t="e">
        <f t="shared" si="9"/>
        <v>#VALUE!</v>
      </c>
      <c r="N145" s="7" t="e">
        <f>IF(C144&lt;1,"0",Remodelacion!$C$38)</f>
        <v>#VALUE!</v>
      </c>
      <c r="O145" s="9" t="e">
        <f t="shared" si="10"/>
        <v>#VALUE!</v>
      </c>
    </row>
    <row r="146" spans="2:15" ht="15.5" x14ac:dyDescent="0.35">
      <c r="B146" s="6" t="e">
        <f t="shared" si="11"/>
        <v>#VALUE!</v>
      </c>
      <c r="C146" s="7" t="e">
        <f t="shared" si="7"/>
        <v>#VALUE!</v>
      </c>
      <c r="D146" s="7" t="e">
        <f t="shared" si="12"/>
        <v>#VALUE!</v>
      </c>
      <c r="E146" s="7" t="e">
        <f>C145*Remodelacion!$E$17</f>
        <v>#VALUE!</v>
      </c>
      <c r="F146" s="8" t="e">
        <f>IF(C145&lt;1,0,IF(Remodelacion!$D$26="Si",($C$17*(VLOOKUP(Remodelacion!$C$22,Seguros_Oblig!$A$3:$F$55,6,FALSE))),IF(Remodelacion!$C$10="TARIFA 1",(C145*(VLOOKUP(Remodelacion!$C$22,Seguros_Oblig!$A$3:$B$55,2,FALSE))),(C145*(VLOOKUP(Remodelacion!$C$22,Seguros_Oblig!$A$3:$D$55,4,FALSE))))))</f>
        <v>#VALUE!</v>
      </c>
      <c r="G146" s="8" t="e">
        <f>IF(Remodelacion!$C$10="TARIFA 1",(C145*(VLOOKUP(Remodelacion!$C$23,Seguros_Oblig!$A$3:$B$55,2,FALSE))),(C145*(VLOOKUP(Remodelacion!$C$23,Seguros_Oblig!$A$3:$D$55,4,FALSE))))</f>
        <v>#VALUE!</v>
      </c>
      <c r="H146" s="8" t="e">
        <f>IF(Remodelacion!$C$10="TARIFA 1",(C145*(VLOOKUP(Remodelacion!$C$24,Seguros_Oblig!$A$3:$B$55,2,FALSE))),(C145*(VLOOKUP(Remodelacion!$C$24,Seguros_Oblig!$A$3:$D$55,4,FALSE))))</f>
        <v>#VALUE!</v>
      </c>
      <c r="I146" s="8" t="e">
        <f>IF(Remodelacion!$C$10="TARIFA 1",(C145*(VLOOKUP(Remodelacion!$C$25,Seguros_Oblig!$A$3:$B$55,2,FALSE))),(C145*(VLOOKUP(Remodelacion!$C$25,Seguros_Oblig!$A$3:$D$55,4,FALSE))))</f>
        <v>#VALUE!</v>
      </c>
      <c r="J146" s="10">
        <f t="shared" si="8"/>
        <v>0</v>
      </c>
      <c r="K146" s="7" t="e">
        <f>IF(RM!$D$11="Si",0,IF(C145&lt;1,"0",Seguros_Oblig!$K$2*Remodelacion!$C$12))</f>
        <v>#VALUE!</v>
      </c>
      <c r="L146" s="7" t="e">
        <f>IF(B146=" ","0",PMT(Remodelacion!$E$17,Remodelacion!$C$18,-Remodelacion!$C$15,,))</f>
        <v>#VALUE!</v>
      </c>
      <c r="M146" s="9" t="e">
        <f t="shared" si="9"/>
        <v>#VALUE!</v>
      </c>
      <c r="N146" s="7" t="e">
        <f>IF(C145&lt;1,"0",Remodelacion!$C$38)</f>
        <v>#VALUE!</v>
      </c>
      <c r="O146" s="9" t="e">
        <f t="shared" si="10"/>
        <v>#VALUE!</v>
      </c>
    </row>
    <row r="147" spans="2:15" ht="15.5" x14ac:dyDescent="0.35">
      <c r="B147" s="6" t="e">
        <f t="shared" si="11"/>
        <v>#VALUE!</v>
      </c>
      <c r="C147" s="7" t="e">
        <f t="shared" ref="C147:C210" si="13">C146-D147</f>
        <v>#VALUE!</v>
      </c>
      <c r="D147" s="7" t="e">
        <f t="shared" si="12"/>
        <v>#VALUE!</v>
      </c>
      <c r="E147" s="7" t="e">
        <f>C146*Remodelacion!$E$17</f>
        <v>#VALUE!</v>
      </c>
      <c r="F147" s="8" t="e">
        <f>IF(C146&lt;1,0,IF(Remodelacion!$D$26="Si",($C$17*(VLOOKUP(Remodelacion!$C$22,Seguros_Oblig!$A$3:$F$55,6,FALSE))),IF(Remodelacion!$C$10="TARIFA 1",(C146*(VLOOKUP(Remodelacion!$C$22,Seguros_Oblig!$A$3:$B$55,2,FALSE))),(C146*(VLOOKUP(Remodelacion!$C$22,Seguros_Oblig!$A$3:$D$55,4,FALSE))))))</f>
        <v>#VALUE!</v>
      </c>
      <c r="G147" s="8" t="e">
        <f>IF(Remodelacion!$C$10="TARIFA 1",(C146*(VLOOKUP(Remodelacion!$C$23,Seguros_Oblig!$A$3:$B$55,2,FALSE))),(C146*(VLOOKUP(Remodelacion!$C$23,Seguros_Oblig!$A$3:$D$55,4,FALSE))))</f>
        <v>#VALUE!</v>
      </c>
      <c r="H147" s="8" t="e">
        <f>IF(Remodelacion!$C$10="TARIFA 1",(C146*(VLOOKUP(Remodelacion!$C$24,Seguros_Oblig!$A$3:$B$55,2,FALSE))),(C146*(VLOOKUP(Remodelacion!$C$24,Seguros_Oblig!$A$3:$D$55,4,FALSE))))</f>
        <v>#VALUE!</v>
      </c>
      <c r="I147" s="8" t="e">
        <f>IF(Remodelacion!$C$10="TARIFA 1",(C146*(VLOOKUP(Remodelacion!$C$25,Seguros_Oblig!$A$3:$B$55,2,FALSE))),(C146*(VLOOKUP(Remodelacion!$C$25,Seguros_Oblig!$A$3:$D$55,4,FALSE))))</f>
        <v>#VALUE!</v>
      </c>
      <c r="J147" s="10">
        <f t="shared" ref="J147:J210" si="14">_xlfn.AGGREGATE(9,6,F147:I147)</f>
        <v>0</v>
      </c>
      <c r="K147" s="7" t="e">
        <f>IF(RM!$D$11="Si",0,IF(C146&lt;1,"0",Seguros_Oblig!$K$2*Remodelacion!$C$12))</f>
        <v>#VALUE!</v>
      </c>
      <c r="L147" s="7" t="e">
        <f>IF(B147=" ","0",PMT(Remodelacion!$E$17,Remodelacion!$C$18,-Remodelacion!$C$15,,))</f>
        <v>#VALUE!</v>
      </c>
      <c r="M147" s="9" t="e">
        <f t="shared" ref="M147:M210" si="15">K147+L147+J147</f>
        <v>#VALUE!</v>
      </c>
      <c r="N147" s="7" t="e">
        <f>IF(C146&lt;1,"0",Remodelacion!$C$38)</f>
        <v>#VALUE!</v>
      </c>
      <c r="O147" s="9" t="e">
        <f t="shared" ref="O147:O210" si="16">M147+N147</f>
        <v>#VALUE!</v>
      </c>
    </row>
    <row r="148" spans="2:15" ht="15.5" x14ac:dyDescent="0.35">
      <c r="B148" s="6" t="e">
        <f t="shared" si="11"/>
        <v>#VALUE!</v>
      </c>
      <c r="C148" s="7" t="e">
        <f t="shared" si="13"/>
        <v>#VALUE!</v>
      </c>
      <c r="D148" s="7" t="e">
        <f t="shared" si="12"/>
        <v>#VALUE!</v>
      </c>
      <c r="E148" s="7" t="e">
        <f>C147*Remodelacion!$E$17</f>
        <v>#VALUE!</v>
      </c>
      <c r="F148" s="8" t="e">
        <f>IF(C147&lt;1,0,IF(Remodelacion!$D$26="Si",($C$17*(VLOOKUP(Remodelacion!$C$22,Seguros_Oblig!$A$3:$F$55,6,FALSE))),IF(Remodelacion!$C$10="TARIFA 1",(C147*(VLOOKUP(Remodelacion!$C$22,Seguros_Oblig!$A$3:$B$55,2,FALSE))),(C147*(VLOOKUP(Remodelacion!$C$22,Seguros_Oblig!$A$3:$D$55,4,FALSE))))))</f>
        <v>#VALUE!</v>
      </c>
      <c r="G148" s="8" t="e">
        <f>IF(Remodelacion!$C$10="TARIFA 1",(C147*(VLOOKUP(Remodelacion!$C$23,Seguros_Oblig!$A$3:$B$55,2,FALSE))),(C147*(VLOOKUP(Remodelacion!$C$23,Seguros_Oblig!$A$3:$D$55,4,FALSE))))</f>
        <v>#VALUE!</v>
      </c>
      <c r="H148" s="8" t="e">
        <f>IF(Remodelacion!$C$10="TARIFA 1",(C147*(VLOOKUP(Remodelacion!$C$24,Seguros_Oblig!$A$3:$B$55,2,FALSE))),(C147*(VLOOKUP(Remodelacion!$C$24,Seguros_Oblig!$A$3:$D$55,4,FALSE))))</f>
        <v>#VALUE!</v>
      </c>
      <c r="I148" s="8" t="e">
        <f>IF(Remodelacion!$C$10="TARIFA 1",(C147*(VLOOKUP(Remodelacion!$C$25,Seguros_Oblig!$A$3:$B$55,2,FALSE))),(C147*(VLOOKUP(Remodelacion!$C$25,Seguros_Oblig!$A$3:$D$55,4,FALSE))))</f>
        <v>#VALUE!</v>
      </c>
      <c r="J148" s="10">
        <f t="shared" si="14"/>
        <v>0</v>
      </c>
      <c r="K148" s="7" t="e">
        <f>IF(RM!$D$11="Si",0,IF(C147&lt;1,"0",Seguros_Oblig!$K$2*Remodelacion!$C$12))</f>
        <v>#VALUE!</v>
      </c>
      <c r="L148" s="7" t="e">
        <f>IF(B148=" ","0",PMT(Remodelacion!$E$17,Remodelacion!$C$18,-Remodelacion!$C$15,,))</f>
        <v>#VALUE!</v>
      </c>
      <c r="M148" s="9" t="e">
        <f t="shared" si="15"/>
        <v>#VALUE!</v>
      </c>
      <c r="N148" s="7" t="e">
        <f>IF(C147&lt;1,"0",Remodelacion!$C$38)</f>
        <v>#VALUE!</v>
      </c>
      <c r="O148" s="9" t="e">
        <f t="shared" si="16"/>
        <v>#VALUE!</v>
      </c>
    </row>
    <row r="149" spans="2:15" ht="15.5" x14ac:dyDescent="0.35">
      <c r="B149" s="6" t="e">
        <f t="shared" si="11"/>
        <v>#VALUE!</v>
      </c>
      <c r="C149" s="7" t="e">
        <f t="shared" si="13"/>
        <v>#VALUE!</v>
      </c>
      <c r="D149" s="7" t="e">
        <f t="shared" si="12"/>
        <v>#VALUE!</v>
      </c>
      <c r="E149" s="7" t="e">
        <f>C148*Remodelacion!$E$17</f>
        <v>#VALUE!</v>
      </c>
      <c r="F149" s="8" t="e">
        <f>IF(C148&lt;1,0,IF(Remodelacion!$D$26="Si",($C$17*(VLOOKUP(Remodelacion!$C$22,Seguros_Oblig!$A$3:$F$55,6,FALSE))),IF(Remodelacion!$C$10="TARIFA 1",(C148*(VLOOKUP(Remodelacion!$C$22,Seguros_Oblig!$A$3:$B$55,2,FALSE))),(C148*(VLOOKUP(Remodelacion!$C$22,Seguros_Oblig!$A$3:$D$55,4,FALSE))))))</f>
        <v>#VALUE!</v>
      </c>
      <c r="G149" s="8" t="e">
        <f>IF(Remodelacion!$C$10="TARIFA 1",(C148*(VLOOKUP(Remodelacion!$C$23,Seguros_Oblig!$A$3:$B$55,2,FALSE))),(C148*(VLOOKUP(Remodelacion!$C$23,Seguros_Oblig!$A$3:$D$55,4,FALSE))))</f>
        <v>#VALUE!</v>
      </c>
      <c r="H149" s="8" t="e">
        <f>IF(Remodelacion!$C$10="TARIFA 1",(C148*(VLOOKUP(Remodelacion!$C$24,Seguros_Oblig!$A$3:$B$55,2,FALSE))),(C148*(VLOOKUP(Remodelacion!$C$24,Seguros_Oblig!$A$3:$D$55,4,FALSE))))</f>
        <v>#VALUE!</v>
      </c>
      <c r="I149" s="8" t="e">
        <f>IF(Remodelacion!$C$10="TARIFA 1",(C148*(VLOOKUP(Remodelacion!$C$25,Seguros_Oblig!$A$3:$B$55,2,FALSE))),(C148*(VLOOKUP(Remodelacion!$C$25,Seguros_Oblig!$A$3:$D$55,4,FALSE))))</f>
        <v>#VALUE!</v>
      </c>
      <c r="J149" s="10">
        <f t="shared" si="14"/>
        <v>0</v>
      </c>
      <c r="K149" s="7" t="e">
        <f>IF(RM!$D$11="Si",0,IF(C148&lt;1,"0",Seguros_Oblig!$K$2*Remodelacion!$C$12))</f>
        <v>#VALUE!</v>
      </c>
      <c r="L149" s="7" t="e">
        <f>IF(B149=" ","0",PMT(Remodelacion!$E$17,Remodelacion!$C$18,-Remodelacion!$C$15,,))</f>
        <v>#VALUE!</v>
      </c>
      <c r="M149" s="9" t="e">
        <f t="shared" si="15"/>
        <v>#VALUE!</v>
      </c>
      <c r="N149" s="7" t="e">
        <f>IF(C148&lt;1,"0",Remodelacion!$C$38)</f>
        <v>#VALUE!</v>
      </c>
      <c r="O149" s="9" t="e">
        <f t="shared" si="16"/>
        <v>#VALUE!</v>
      </c>
    </row>
    <row r="150" spans="2:15" ht="15.5" x14ac:dyDescent="0.35">
      <c r="B150" s="6" t="e">
        <f t="shared" si="11"/>
        <v>#VALUE!</v>
      </c>
      <c r="C150" s="7" t="e">
        <f t="shared" si="13"/>
        <v>#VALUE!</v>
      </c>
      <c r="D150" s="7" t="e">
        <f t="shared" si="12"/>
        <v>#VALUE!</v>
      </c>
      <c r="E150" s="7" t="e">
        <f>C149*Remodelacion!$E$17</f>
        <v>#VALUE!</v>
      </c>
      <c r="F150" s="8" t="e">
        <f>IF(C149&lt;1,0,IF(Remodelacion!$D$26="Si",($C$17*(VLOOKUP(Remodelacion!$C$22,Seguros_Oblig!$A$3:$F$55,6,FALSE))),IF(Remodelacion!$C$10="TARIFA 1",(C149*(VLOOKUP(Remodelacion!$C$22,Seguros_Oblig!$A$3:$B$55,2,FALSE))),(C149*(VLOOKUP(Remodelacion!$C$22,Seguros_Oblig!$A$3:$D$55,4,FALSE))))))</f>
        <v>#VALUE!</v>
      </c>
      <c r="G150" s="8" t="e">
        <f>IF(Remodelacion!$C$10="TARIFA 1",(C149*(VLOOKUP(Remodelacion!$C$23,Seguros_Oblig!$A$3:$B$55,2,FALSE))),(C149*(VLOOKUP(Remodelacion!$C$23,Seguros_Oblig!$A$3:$D$55,4,FALSE))))</f>
        <v>#VALUE!</v>
      </c>
      <c r="H150" s="8" t="e">
        <f>IF(Remodelacion!$C$10="TARIFA 1",(C149*(VLOOKUP(Remodelacion!$C$24,Seguros_Oblig!$A$3:$B$55,2,FALSE))),(C149*(VLOOKUP(Remodelacion!$C$24,Seguros_Oblig!$A$3:$D$55,4,FALSE))))</f>
        <v>#VALUE!</v>
      </c>
      <c r="I150" s="8" t="e">
        <f>IF(Remodelacion!$C$10="TARIFA 1",(C149*(VLOOKUP(Remodelacion!$C$25,Seguros_Oblig!$A$3:$B$55,2,FALSE))),(C149*(VLOOKUP(Remodelacion!$C$25,Seguros_Oblig!$A$3:$D$55,4,FALSE))))</f>
        <v>#VALUE!</v>
      </c>
      <c r="J150" s="10">
        <f t="shared" si="14"/>
        <v>0</v>
      </c>
      <c r="K150" s="7" t="e">
        <f>IF(RM!$D$11="Si",0,IF(C149&lt;1,"0",Seguros_Oblig!$K$2*Remodelacion!$C$12))</f>
        <v>#VALUE!</v>
      </c>
      <c r="L150" s="7" t="e">
        <f>IF(B150=" ","0",PMT(Remodelacion!$E$17,Remodelacion!$C$18,-Remodelacion!$C$15,,))</f>
        <v>#VALUE!</v>
      </c>
      <c r="M150" s="9" t="e">
        <f t="shared" si="15"/>
        <v>#VALUE!</v>
      </c>
      <c r="N150" s="7" t="e">
        <f>IF(C149&lt;1,"0",Remodelacion!$C$38)</f>
        <v>#VALUE!</v>
      </c>
      <c r="O150" s="9" t="e">
        <f t="shared" si="16"/>
        <v>#VALUE!</v>
      </c>
    </row>
    <row r="151" spans="2:15" ht="15.5" x14ac:dyDescent="0.35">
      <c r="B151" s="6" t="e">
        <f t="shared" si="11"/>
        <v>#VALUE!</v>
      </c>
      <c r="C151" s="7" t="e">
        <f t="shared" si="13"/>
        <v>#VALUE!</v>
      </c>
      <c r="D151" s="7" t="e">
        <f t="shared" si="12"/>
        <v>#VALUE!</v>
      </c>
      <c r="E151" s="7" t="e">
        <f>C150*Remodelacion!$E$17</f>
        <v>#VALUE!</v>
      </c>
      <c r="F151" s="8" t="e">
        <f>IF(C150&lt;1,0,IF(Remodelacion!$D$26="Si",($C$17*(VLOOKUP(Remodelacion!$C$22,Seguros_Oblig!$A$3:$F$55,6,FALSE))),IF(Remodelacion!$C$10="TARIFA 1",(C150*(VLOOKUP(Remodelacion!$C$22,Seguros_Oblig!$A$3:$B$55,2,FALSE))),(C150*(VLOOKUP(Remodelacion!$C$22,Seguros_Oblig!$A$3:$D$55,4,FALSE))))))</f>
        <v>#VALUE!</v>
      </c>
      <c r="G151" s="8" t="e">
        <f>IF(Remodelacion!$C$10="TARIFA 1",(C150*(VLOOKUP(Remodelacion!$C$23,Seguros_Oblig!$A$3:$B$55,2,FALSE))),(C150*(VLOOKUP(Remodelacion!$C$23,Seguros_Oblig!$A$3:$D$55,4,FALSE))))</f>
        <v>#VALUE!</v>
      </c>
      <c r="H151" s="8" t="e">
        <f>IF(Remodelacion!$C$10="TARIFA 1",(C150*(VLOOKUP(Remodelacion!$C$24,Seguros_Oblig!$A$3:$B$55,2,FALSE))),(C150*(VLOOKUP(Remodelacion!$C$24,Seguros_Oblig!$A$3:$D$55,4,FALSE))))</f>
        <v>#VALUE!</v>
      </c>
      <c r="I151" s="8" t="e">
        <f>IF(Remodelacion!$C$10="TARIFA 1",(C150*(VLOOKUP(Remodelacion!$C$25,Seguros_Oblig!$A$3:$B$55,2,FALSE))),(C150*(VLOOKUP(Remodelacion!$C$25,Seguros_Oblig!$A$3:$D$55,4,FALSE))))</f>
        <v>#VALUE!</v>
      </c>
      <c r="J151" s="10">
        <f t="shared" si="14"/>
        <v>0</v>
      </c>
      <c r="K151" s="7" t="e">
        <f>IF(RM!$D$11="Si",0,IF(C150&lt;1,"0",Seguros_Oblig!$K$2*Remodelacion!$C$12))</f>
        <v>#VALUE!</v>
      </c>
      <c r="L151" s="7" t="e">
        <f>IF(B151=" ","0",PMT(Remodelacion!$E$17,Remodelacion!$C$18,-Remodelacion!$C$15,,))</f>
        <v>#VALUE!</v>
      </c>
      <c r="M151" s="9" t="e">
        <f t="shared" si="15"/>
        <v>#VALUE!</v>
      </c>
      <c r="N151" s="7" t="e">
        <f>IF(C150&lt;1,"0",Remodelacion!$C$38)</f>
        <v>#VALUE!</v>
      </c>
      <c r="O151" s="9" t="e">
        <f t="shared" si="16"/>
        <v>#VALUE!</v>
      </c>
    </row>
    <row r="152" spans="2:15" ht="15.5" x14ac:dyDescent="0.35">
      <c r="B152" s="6" t="e">
        <f t="shared" ref="B152:B215" si="17">IF(C151&gt;1,B151+1," ")</f>
        <v>#VALUE!</v>
      </c>
      <c r="C152" s="7" t="e">
        <f t="shared" si="13"/>
        <v>#VALUE!</v>
      </c>
      <c r="D152" s="7" t="e">
        <f t="shared" si="12"/>
        <v>#VALUE!</v>
      </c>
      <c r="E152" s="7" t="e">
        <f>C151*Remodelacion!$E$17</f>
        <v>#VALUE!</v>
      </c>
      <c r="F152" s="8" t="e">
        <f>IF(C151&lt;1,0,IF(Remodelacion!$D$26="Si",($C$17*(VLOOKUP(Remodelacion!$C$22,Seguros_Oblig!$A$3:$F$55,6,FALSE))),IF(Remodelacion!$C$10="TARIFA 1",(C151*(VLOOKUP(Remodelacion!$C$22,Seguros_Oblig!$A$3:$B$55,2,FALSE))),(C151*(VLOOKUP(Remodelacion!$C$22,Seguros_Oblig!$A$3:$D$55,4,FALSE))))))</f>
        <v>#VALUE!</v>
      </c>
      <c r="G152" s="8" t="e">
        <f>IF(Remodelacion!$C$10="TARIFA 1",(C151*(VLOOKUP(Remodelacion!$C$23,Seguros_Oblig!$A$3:$B$55,2,FALSE))),(C151*(VLOOKUP(Remodelacion!$C$23,Seguros_Oblig!$A$3:$D$55,4,FALSE))))</f>
        <v>#VALUE!</v>
      </c>
      <c r="H152" s="8" t="e">
        <f>IF(Remodelacion!$C$10="TARIFA 1",(C151*(VLOOKUP(Remodelacion!$C$24,Seguros_Oblig!$A$3:$B$55,2,FALSE))),(C151*(VLOOKUP(Remodelacion!$C$24,Seguros_Oblig!$A$3:$D$55,4,FALSE))))</f>
        <v>#VALUE!</v>
      </c>
      <c r="I152" s="8" t="e">
        <f>IF(Remodelacion!$C$10="TARIFA 1",(C151*(VLOOKUP(Remodelacion!$C$25,Seguros_Oblig!$A$3:$B$55,2,FALSE))),(C151*(VLOOKUP(Remodelacion!$C$25,Seguros_Oblig!$A$3:$D$55,4,FALSE))))</f>
        <v>#VALUE!</v>
      </c>
      <c r="J152" s="10">
        <f t="shared" si="14"/>
        <v>0</v>
      </c>
      <c r="K152" s="7" t="e">
        <f>IF(RM!$D$11="Si",0,IF(C151&lt;1,"0",Seguros_Oblig!$K$2*Remodelacion!$C$12))</f>
        <v>#VALUE!</v>
      </c>
      <c r="L152" s="7" t="e">
        <f>IF(B152=" ","0",PMT(Remodelacion!$E$17,Remodelacion!$C$18,-Remodelacion!$C$15,,))</f>
        <v>#VALUE!</v>
      </c>
      <c r="M152" s="9" t="e">
        <f t="shared" si="15"/>
        <v>#VALUE!</v>
      </c>
      <c r="N152" s="7" t="e">
        <f>IF(C151&lt;1,"0",Remodelacion!$C$38)</f>
        <v>#VALUE!</v>
      </c>
      <c r="O152" s="9" t="e">
        <f t="shared" si="16"/>
        <v>#VALUE!</v>
      </c>
    </row>
    <row r="153" spans="2:15" ht="15.5" x14ac:dyDescent="0.35">
      <c r="B153" s="6" t="e">
        <f t="shared" si="17"/>
        <v>#VALUE!</v>
      </c>
      <c r="C153" s="7" t="e">
        <f t="shared" si="13"/>
        <v>#VALUE!</v>
      </c>
      <c r="D153" s="7" t="e">
        <f t="shared" si="12"/>
        <v>#VALUE!</v>
      </c>
      <c r="E153" s="7" t="e">
        <f>C152*Remodelacion!$E$17</f>
        <v>#VALUE!</v>
      </c>
      <c r="F153" s="8" t="e">
        <f>IF(C152&lt;1,0,IF(Remodelacion!$D$26="Si",($C$17*(VLOOKUP(Remodelacion!$C$22,Seguros_Oblig!$A$3:$F$55,6,FALSE))),IF(Remodelacion!$C$10="TARIFA 1",(C152*(VLOOKUP(Remodelacion!$C$22,Seguros_Oblig!$A$3:$B$55,2,FALSE))),(C152*(VLOOKUP(Remodelacion!$C$22,Seguros_Oblig!$A$3:$D$55,4,FALSE))))))</f>
        <v>#VALUE!</v>
      </c>
      <c r="G153" s="8" t="e">
        <f>IF(Remodelacion!$C$10="TARIFA 1",(C152*(VLOOKUP(Remodelacion!$C$23,Seguros_Oblig!$A$3:$B$55,2,FALSE))),(C152*(VLOOKUP(Remodelacion!$C$23,Seguros_Oblig!$A$3:$D$55,4,FALSE))))</f>
        <v>#VALUE!</v>
      </c>
      <c r="H153" s="8" t="e">
        <f>IF(Remodelacion!$C$10="TARIFA 1",(C152*(VLOOKUP(Remodelacion!$C$24,Seguros_Oblig!$A$3:$B$55,2,FALSE))),(C152*(VLOOKUP(Remodelacion!$C$24,Seguros_Oblig!$A$3:$D$55,4,FALSE))))</f>
        <v>#VALUE!</v>
      </c>
      <c r="I153" s="8" t="e">
        <f>IF(Remodelacion!$C$10="TARIFA 1",(C152*(VLOOKUP(Remodelacion!$C$25,Seguros_Oblig!$A$3:$B$55,2,FALSE))),(C152*(VLOOKUP(Remodelacion!$C$25,Seguros_Oblig!$A$3:$D$55,4,FALSE))))</f>
        <v>#VALUE!</v>
      </c>
      <c r="J153" s="10">
        <f t="shared" si="14"/>
        <v>0</v>
      </c>
      <c r="K153" s="7" t="e">
        <f>IF(RM!$D$11="Si",0,IF(C152&lt;1,"0",Seguros_Oblig!$K$2*Remodelacion!$C$12))</f>
        <v>#VALUE!</v>
      </c>
      <c r="L153" s="7" t="e">
        <f>IF(B153=" ","0",PMT(Remodelacion!$E$17,Remodelacion!$C$18,-Remodelacion!$C$15,,))</f>
        <v>#VALUE!</v>
      </c>
      <c r="M153" s="9" t="e">
        <f t="shared" si="15"/>
        <v>#VALUE!</v>
      </c>
      <c r="N153" s="7" t="e">
        <f>IF(C152&lt;1,"0",Remodelacion!$C$38)</f>
        <v>#VALUE!</v>
      </c>
      <c r="O153" s="9" t="e">
        <f t="shared" si="16"/>
        <v>#VALUE!</v>
      </c>
    </row>
    <row r="154" spans="2:15" ht="15.5" x14ac:dyDescent="0.35">
      <c r="B154" s="6" t="e">
        <f t="shared" si="17"/>
        <v>#VALUE!</v>
      </c>
      <c r="C154" s="7" t="e">
        <f t="shared" si="13"/>
        <v>#VALUE!</v>
      </c>
      <c r="D154" s="7" t="e">
        <f t="shared" si="12"/>
        <v>#VALUE!</v>
      </c>
      <c r="E154" s="7" t="e">
        <f>C153*Remodelacion!$E$17</f>
        <v>#VALUE!</v>
      </c>
      <c r="F154" s="8" t="e">
        <f>IF(C153&lt;1,0,IF(Remodelacion!$D$26="Si",($C$17*(VLOOKUP(Remodelacion!$C$22,Seguros_Oblig!$A$3:$F$55,6,FALSE))),IF(Remodelacion!$C$10="TARIFA 1",(C153*(VLOOKUP(Remodelacion!$C$22,Seguros_Oblig!$A$3:$B$55,2,FALSE))),(C153*(VLOOKUP(Remodelacion!$C$22,Seguros_Oblig!$A$3:$D$55,4,FALSE))))))</f>
        <v>#VALUE!</v>
      </c>
      <c r="G154" s="8" t="e">
        <f>IF(Remodelacion!$C$10="TARIFA 1",(C153*(VLOOKUP(Remodelacion!$C$23,Seguros_Oblig!$A$3:$B$55,2,FALSE))),(C153*(VLOOKUP(Remodelacion!$C$23,Seguros_Oblig!$A$3:$D$55,4,FALSE))))</f>
        <v>#VALUE!</v>
      </c>
      <c r="H154" s="8" t="e">
        <f>IF(Remodelacion!$C$10="TARIFA 1",(C153*(VLOOKUP(Remodelacion!$C$24,Seguros_Oblig!$A$3:$B$55,2,FALSE))),(C153*(VLOOKUP(Remodelacion!$C$24,Seguros_Oblig!$A$3:$D$55,4,FALSE))))</f>
        <v>#VALUE!</v>
      </c>
      <c r="I154" s="8" t="e">
        <f>IF(Remodelacion!$C$10="TARIFA 1",(C153*(VLOOKUP(Remodelacion!$C$25,Seguros_Oblig!$A$3:$B$55,2,FALSE))),(C153*(VLOOKUP(Remodelacion!$C$25,Seguros_Oblig!$A$3:$D$55,4,FALSE))))</f>
        <v>#VALUE!</v>
      </c>
      <c r="J154" s="10">
        <f t="shared" si="14"/>
        <v>0</v>
      </c>
      <c r="K154" s="7" t="e">
        <f>IF(RM!$D$11="Si",0,IF(C153&lt;1,"0",Seguros_Oblig!$K$2*Remodelacion!$C$12))</f>
        <v>#VALUE!</v>
      </c>
      <c r="L154" s="7" t="e">
        <f>IF(B154=" ","0",PMT(Remodelacion!$E$17,Remodelacion!$C$18,-Remodelacion!$C$15,,))</f>
        <v>#VALUE!</v>
      </c>
      <c r="M154" s="9" t="e">
        <f t="shared" si="15"/>
        <v>#VALUE!</v>
      </c>
      <c r="N154" s="7" t="e">
        <f>IF(C153&lt;1,"0",Remodelacion!$C$38)</f>
        <v>#VALUE!</v>
      </c>
      <c r="O154" s="9" t="e">
        <f t="shared" si="16"/>
        <v>#VALUE!</v>
      </c>
    </row>
    <row r="155" spans="2:15" ht="15.5" x14ac:dyDescent="0.35">
      <c r="B155" s="6" t="e">
        <f t="shared" si="17"/>
        <v>#VALUE!</v>
      </c>
      <c r="C155" s="7" t="e">
        <f t="shared" si="13"/>
        <v>#VALUE!</v>
      </c>
      <c r="D155" s="7" t="e">
        <f t="shared" si="12"/>
        <v>#VALUE!</v>
      </c>
      <c r="E155" s="7" t="e">
        <f>C154*Remodelacion!$E$17</f>
        <v>#VALUE!</v>
      </c>
      <c r="F155" s="8" t="e">
        <f>IF(C154&lt;1,0,IF(Remodelacion!$D$26="Si",($C$17*(VLOOKUP(Remodelacion!$C$22,Seguros_Oblig!$A$3:$F$55,6,FALSE))),IF(Remodelacion!$C$10="TARIFA 1",(C154*(VLOOKUP(Remodelacion!$C$22,Seguros_Oblig!$A$3:$B$55,2,FALSE))),(C154*(VLOOKUP(Remodelacion!$C$22,Seguros_Oblig!$A$3:$D$55,4,FALSE))))))</f>
        <v>#VALUE!</v>
      </c>
      <c r="G155" s="8" t="e">
        <f>IF(Remodelacion!$C$10="TARIFA 1",(C154*(VLOOKUP(Remodelacion!$C$23,Seguros_Oblig!$A$3:$B$55,2,FALSE))),(C154*(VLOOKUP(Remodelacion!$C$23,Seguros_Oblig!$A$3:$D$55,4,FALSE))))</f>
        <v>#VALUE!</v>
      </c>
      <c r="H155" s="8" t="e">
        <f>IF(Remodelacion!$C$10="TARIFA 1",(C154*(VLOOKUP(Remodelacion!$C$24,Seguros_Oblig!$A$3:$B$55,2,FALSE))),(C154*(VLOOKUP(Remodelacion!$C$24,Seguros_Oblig!$A$3:$D$55,4,FALSE))))</f>
        <v>#VALUE!</v>
      </c>
      <c r="I155" s="8" t="e">
        <f>IF(Remodelacion!$C$10="TARIFA 1",(C154*(VLOOKUP(Remodelacion!$C$25,Seguros_Oblig!$A$3:$B$55,2,FALSE))),(C154*(VLOOKUP(Remodelacion!$C$25,Seguros_Oblig!$A$3:$D$55,4,FALSE))))</f>
        <v>#VALUE!</v>
      </c>
      <c r="J155" s="10">
        <f t="shared" si="14"/>
        <v>0</v>
      </c>
      <c r="K155" s="7" t="e">
        <f>IF(RM!$D$11="Si",0,IF(C154&lt;1,"0",Seguros_Oblig!$K$2*Remodelacion!$C$12))</f>
        <v>#VALUE!</v>
      </c>
      <c r="L155" s="7" t="e">
        <f>IF(B155=" ","0",PMT(Remodelacion!$E$17,Remodelacion!$C$18,-Remodelacion!$C$15,,))</f>
        <v>#VALUE!</v>
      </c>
      <c r="M155" s="9" t="e">
        <f t="shared" si="15"/>
        <v>#VALUE!</v>
      </c>
      <c r="N155" s="7" t="e">
        <f>IF(C154&lt;1,"0",Remodelacion!$C$38)</f>
        <v>#VALUE!</v>
      </c>
      <c r="O155" s="9" t="e">
        <f t="shared" si="16"/>
        <v>#VALUE!</v>
      </c>
    </row>
    <row r="156" spans="2:15" ht="15.5" x14ac:dyDescent="0.35">
      <c r="B156" s="6" t="e">
        <f t="shared" si="17"/>
        <v>#VALUE!</v>
      </c>
      <c r="C156" s="7" t="e">
        <f t="shared" si="13"/>
        <v>#VALUE!</v>
      </c>
      <c r="D156" s="7" t="e">
        <f t="shared" si="12"/>
        <v>#VALUE!</v>
      </c>
      <c r="E156" s="7" t="e">
        <f>C155*Remodelacion!$E$17</f>
        <v>#VALUE!</v>
      </c>
      <c r="F156" s="8" t="e">
        <f>IF(C155&lt;1,0,IF(Remodelacion!$D$26="Si",($C$17*(VLOOKUP(Remodelacion!$C$22,Seguros_Oblig!$A$3:$F$55,6,FALSE))),IF(Remodelacion!$C$10="TARIFA 1",(C155*(VLOOKUP(Remodelacion!$C$22,Seguros_Oblig!$A$3:$B$55,2,FALSE))),(C155*(VLOOKUP(Remodelacion!$C$22,Seguros_Oblig!$A$3:$D$55,4,FALSE))))))</f>
        <v>#VALUE!</v>
      </c>
      <c r="G156" s="8" t="e">
        <f>IF(Remodelacion!$C$10="TARIFA 1",(C155*(VLOOKUP(Remodelacion!$C$23,Seguros_Oblig!$A$3:$B$55,2,FALSE))),(C155*(VLOOKUP(Remodelacion!$C$23,Seguros_Oblig!$A$3:$D$55,4,FALSE))))</f>
        <v>#VALUE!</v>
      </c>
      <c r="H156" s="8" t="e">
        <f>IF(Remodelacion!$C$10="TARIFA 1",(C155*(VLOOKUP(Remodelacion!$C$24,Seguros_Oblig!$A$3:$B$55,2,FALSE))),(C155*(VLOOKUP(Remodelacion!$C$24,Seguros_Oblig!$A$3:$D$55,4,FALSE))))</f>
        <v>#VALUE!</v>
      </c>
      <c r="I156" s="8" t="e">
        <f>IF(Remodelacion!$C$10="TARIFA 1",(C155*(VLOOKUP(Remodelacion!$C$25,Seguros_Oblig!$A$3:$B$55,2,FALSE))),(C155*(VLOOKUP(Remodelacion!$C$25,Seguros_Oblig!$A$3:$D$55,4,FALSE))))</f>
        <v>#VALUE!</v>
      </c>
      <c r="J156" s="10">
        <f t="shared" si="14"/>
        <v>0</v>
      </c>
      <c r="K156" s="7" t="e">
        <f>IF(RM!$D$11="Si",0,IF(C155&lt;1,"0",Seguros_Oblig!$K$2*Remodelacion!$C$12))</f>
        <v>#VALUE!</v>
      </c>
      <c r="L156" s="7" t="e">
        <f>IF(B156=" ","0",PMT(Remodelacion!$E$17,Remodelacion!$C$18,-Remodelacion!$C$15,,))</f>
        <v>#VALUE!</v>
      </c>
      <c r="M156" s="9" t="e">
        <f t="shared" si="15"/>
        <v>#VALUE!</v>
      </c>
      <c r="N156" s="7" t="e">
        <f>IF(C155&lt;1,"0",Remodelacion!$C$38)</f>
        <v>#VALUE!</v>
      </c>
      <c r="O156" s="9" t="e">
        <f t="shared" si="16"/>
        <v>#VALUE!</v>
      </c>
    </row>
    <row r="157" spans="2:15" ht="15.5" x14ac:dyDescent="0.35">
      <c r="B157" s="6" t="e">
        <f t="shared" si="17"/>
        <v>#VALUE!</v>
      </c>
      <c r="C157" s="7" t="e">
        <f t="shared" si="13"/>
        <v>#VALUE!</v>
      </c>
      <c r="D157" s="7" t="e">
        <f t="shared" si="12"/>
        <v>#VALUE!</v>
      </c>
      <c r="E157" s="7" t="e">
        <f>C156*Remodelacion!$E$17</f>
        <v>#VALUE!</v>
      </c>
      <c r="F157" s="8" t="e">
        <f>IF(C156&lt;1,0,IF(Remodelacion!$D$26="Si",($C$17*(VLOOKUP(Remodelacion!$C$22,Seguros_Oblig!$A$3:$F$55,6,FALSE))),IF(Remodelacion!$C$10="TARIFA 1",(C156*(VLOOKUP(Remodelacion!$C$22,Seguros_Oblig!$A$3:$B$55,2,FALSE))),(C156*(VLOOKUP(Remodelacion!$C$22,Seguros_Oblig!$A$3:$D$55,4,FALSE))))))</f>
        <v>#VALUE!</v>
      </c>
      <c r="G157" s="8" t="e">
        <f>IF(Remodelacion!$C$10="TARIFA 1",(C156*(VLOOKUP(Remodelacion!$C$23,Seguros_Oblig!$A$3:$B$55,2,FALSE))),(C156*(VLOOKUP(Remodelacion!$C$23,Seguros_Oblig!$A$3:$D$55,4,FALSE))))</f>
        <v>#VALUE!</v>
      </c>
      <c r="H157" s="8" t="e">
        <f>IF(Remodelacion!$C$10="TARIFA 1",(C156*(VLOOKUP(Remodelacion!$C$24,Seguros_Oblig!$A$3:$B$55,2,FALSE))),(C156*(VLOOKUP(Remodelacion!$C$24,Seguros_Oblig!$A$3:$D$55,4,FALSE))))</f>
        <v>#VALUE!</v>
      </c>
      <c r="I157" s="8" t="e">
        <f>IF(Remodelacion!$C$10="TARIFA 1",(C156*(VLOOKUP(Remodelacion!$C$25,Seguros_Oblig!$A$3:$B$55,2,FALSE))),(C156*(VLOOKUP(Remodelacion!$C$25,Seguros_Oblig!$A$3:$D$55,4,FALSE))))</f>
        <v>#VALUE!</v>
      </c>
      <c r="J157" s="10">
        <f t="shared" si="14"/>
        <v>0</v>
      </c>
      <c r="K157" s="7" t="e">
        <f>IF(RM!$D$11="Si",0,IF(C156&lt;1,"0",Seguros_Oblig!$K$2*Remodelacion!$C$12))</f>
        <v>#VALUE!</v>
      </c>
      <c r="L157" s="7" t="e">
        <f>IF(B157=" ","0",PMT(Remodelacion!$E$17,Remodelacion!$C$18,-Remodelacion!$C$15,,))</f>
        <v>#VALUE!</v>
      </c>
      <c r="M157" s="9" t="e">
        <f t="shared" si="15"/>
        <v>#VALUE!</v>
      </c>
      <c r="N157" s="7" t="e">
        <f>IF(C156&lt;1,"0",Remodelacion!$C$38)</f>
        <v>#VALUE!</v>
      </c>
      <c r="O157" s="9" t="e">
        <f t="shared" si="16"/>
        <v>#VALUE!</v>
      </c>
    </row>
    <row r="158" spans="2:15" ht="15.5" x14ac:dyDescent="0.35">
      <c r="B158" s="6" t="e">
        <f t="shared" si="17"/>
        <v>#VALUE!</v>
      </c>
      <c r="C158" s="7" t="e">
        <f t="shared" si="13"/>
        <v>#VALUE!</v>
      </c>
      <c r="D158" s="7" t="e">
        <f t="shared" si="12"/>
        <v>#VALUE!</v>
      </c>
      <c r="E158" s="7" t="e">
        <f>C157*Remodelacion!$E$17</f>
        <v>#VALUE!</v>
      </c>
      <c r="F158" s="8" t="e">
        <f>IF(C157&lt;1,0,IF(Remodelacion!$D$26="Si",($C$17*(VLOOKUP(Remodelacion!$C$22,Seguros_Oblig!$A$3:$F$55,6,FALSE))),IF(Remodelacion!$C$10="TARIFA 1",(C157*(VLOOKUP(Remodelacion!$C$22,Seguros_Oblig!$A$3:$B$55,2,FALSE))),(C157*(VLOOKUP(Remodelacion!$C$22,Seguros_Oblig!$A$3:$D$55,4,FALSE))))))</f>
        <v>#VALUE!</v>
      </c>
      <c r="G158" s="8" t="e">
        <f>IF(Remodelacion!$C$10="TARIFA 1",(C157*(VLOOKUP(Remodelacion!$C$23,Seguros_Oblig!$A$3:$B$55,2,FALSE))),(C157*(VLOOKUP(Remodelacion!$C$23,Seguros_Oblig!$A$3:$D$55,4,FALSE))))</f>
        <v>#VALUE!</v>
      </c>
      <c r="H158" s="8" t="e">
        <f>IF(Remodelacion!$C$10="TARIFA 1",(C157*(VLOOKUP(Remodelacion!$C$24,Seguros_Oblig!$A$3:$B$55,2,FALSE))),(C157*(VLOOKUP(Remodelacion!$C$24,Seguros_Oblig!$A$3:$D$55,4,FALSE))))</f>
        <v>#VALUE!</v>
      </c>
      <c r="I158" s="8" t="e">
        <f>IF(Remodelacion!$C$10="TARIFA 1",(C157*(VLOOKUP(Remodelacion!$C$25,Seguros_Oblig!$A$3:$B$55,2,FALSE))),(C157*(VLOOKUP(Remodelacion!$C$25,Seguros_Oblig!$A$3:$D$55,4,FALSE))))</f>
        <v>#VALUE!</v>
      </c>
      <c r="J158" s="10">
        <f t="shared" si="14"/>
        <v>0</v>
      </c>
      <c r="K158" s="7" t="e">
        <f>IF(RM!$D$11="Si",0,IF(C157&lt;1,"0",Seguros_Oblig!$K$2*Remodelacion!$C$12))</f>
        <v>#VALUE!</v>
      </c>
      <c r="L158" s="7" t="e">
        <f>IF(B158=" ","0",PMT(Remodelacion!$E$17,Remodelacion!$C$18,-Remodelacion!$C$15,,))</f>
        <v>#VALUE!</v>
      </c>
      <c r="M158" s="9" t="e">
        <f t="shared" si="15"/>
        <v>#VALUE!</v>
      </c>
      <c r="N158" s="7" t="e">
        <f>IF(C157&lt;1,"0",Remodelacion!$C$38)</f>
        <v>#VALUE!</v>
      </c>
      <c r="O158" s="9" t="e">
        <f t="shared" si="16"/>
        <v>#VALUE!</v>
      </c>
    </row>
    <row r="159" spans="2:15" ht="15.5" x14ac:dyDescent="0.35">
      <c r="B159" s="6" t="e">
        <f t="shared" si="17"/>
        <v>#VALUE!</v>
      </c>
      <c r="C159" s="7" t="e">
        <f t="shared" si="13"/>
        <v>#VALUE!</v>
      </c>
      <c r="D159" s="7" t="e">
        <f t="shared" ref="D159:D222" si="18">IF(C158&lt;1,"0",L159-E159)</f>
        <v>#VALUE!</v>
      </c>
      <c r="E159" s="7" t="e">
        <f>C158*Remodelacion!$E$17</f>
        <v>#VALUE!</v>
      </c>
      <c r="F159" s="8" t="e">
        <f>IF(C158&lt;1,0,IF(Remodelacion!$D$26="Si",($C$17*(VLOOKUP(Remodelacion!$C$22,Seguros_Oblig!$A$3:$F$55,6,FALSE))),IF(Remodelacion!$C$10="TARIFA 1",(C158*(VLOOKUP(Remodelacion!$C$22,Seguros_Oblig!$A$3:$B$55,2,FALSE))),(C158*(VLOOKUP(Remodelacion!$C$22,Seguros_Oblig!$A$3:$D$55,4,FALSE))))))</f>
        <v>#VALUE!</v>
      </c>
      <c r="G159" s="8" t="e">
        <f>IF(Remodelacion!$C$10="TARIFA 1",(C158*(VLOOKUP(Remodelacion!$C$23,Seguros_Oblig!$A$3:$B$55,2,FALSE))),(C158*(VLOOKUP(Remodelacion!$C$23,Seguros_Oblig!$A$3:$D$55,4,FALSE))))</f>
        <v>#VALUE!</v>
      </c>
      <c r="H159" s="8" t="e">
        <f>IF(Remodelacion!$C$10="TARIFA 1",(C158*(VLOOKUP(Remodelacion!$C$24,Seguros_Oblig!$A$3:$B$55,2,FALSE))),(C158*(VLOOKUP(Remodelacion!$C$24,Seguros_Oblig!$A$3:$D$55,4,FALSE))))</f>
        <v>#VALUE!</v>
      </c>
      <c r="I159" s="8" t="e">
        <f>IF(Remodelacion!$C$10="TARIFA 1",(C158*(VLOOKUP(Remodelacion!$C$25,Seguros_Oblig!$A$3:$B$55,2,FALSE))),(C158*(VLOOKUP(Remodelacion!$C$25,Seguros_Oblig!$A$3:$D$55,4,FALSE))))</f>
        <v>#VALUE!</v>
      </c>
      <c r="J159" s="10">
        <f t="shared" si="14"/>
        <v>0</v>
      </c>
      <c r="K159" s="7" t="e">
        <f>IF(RM!$D$11="Si",0,IF(C158&lt;1,"0",Seguros_Oblig!$K$2*Remodelacion!$C$12))</f>
        <v>#VALUE!</v>
      </c>
      <c r="L159" s="7" t="e">
        <f>IF(B159=" ","0",PMT(Remodelacion!$E$17,Remodelacion!$C$18,-Remodelacion!$C$15,,))</f>
        <v>#VALUE!</v>
      </c>
      <c r="M159" s="9" t="e">
        <f t="shared" si="15"/>
        <v>#VALUE!</v>
      </c>
      <c r="N159" s="7" t="e">
        <f>IF(C158&lt;1,"0",Remodelacion!$C$38)</f>
        <v>#VALUE!</v>
      </c>
      <c r="O159" s="9" t="e">
        <f t="shared" si="16"/>
        <v>#VALUE!</v>
      </c>
    </row>
    <row r="160" spans="2:15" ht="15.5" x14ac:dyDescent="0.35">
      <c r="B160" s="6" t="e">
        <f t="shared" si="17"/>
        <v>#VALUE!</v>
      </c>
      <c r="C160" s="7" t="e">
        <f t="shared" si="13"/>
        <v>#VALUE!</v>
      </c>
      <c r="D160" s="7" t="e">
        <f t="shared" si="18"/>
        <v>#VALUE!</v>
      </c>
      <c r="E160" s="7" t="e">
        <f>C159*Remodelacion!$E$17</f>
        <v>#VALUE!</v>
      </c>
      <c r="F160" s="8" t="e">
        <f>IF(C159&lt;1,0,IF(Remodelacion!$D$26="Si",($C$17*(VLOOKUP(Remodelacion!$C$22,Seguros_Oblig!$A$3:$F$55,6,FALSE))),IF(Remodelacion!$C$10="TARIFA 1",(C159*(VLOOKUP(Remodelacion!$C$22,Seguros_Oblig!$A$3:$B$55,2,FALSE))),(C159*(VLOOKUP(Remodelacion!$C$22,Seguros_Oblig!$A$3:$D$55,4,FALSE))))))</f>
        <v>#VALUE!</v>
      </c>
      <c r="G160" s="8" t="e">
        <f>IF(Remodelacion!$C$10="TARIFA 1",(C159*(VLOOKUP(Remodelacion!$C$23,Seguros_Oblig!$A$3:$B$55,2,FALSE))),(C159*(VLOOKUP(Remodelacion!$C$23,Seguros_Oblig!$A$3:$D$55,4,FALSE))))</f>
        <v>#VALUE!</v>
      </c>
      <c r="H160" s="8" t="e">
        <f>IF(Remodelacion!$C$10="TARIFA 1",(C159*(VLOOKUP(Remodelacion!$C$24,Seguros_Oblig!$A$3:$B$55,2,FALSE))),(C159*(VLOOKUP(Remodelacion!$C$24,Seguros_Oblig!$A$3:$D$55,4,FALSE))))</f>
        <v>#VALUE!</v>
      </c>
      <c r="I160" s="8" t="e">
        <f>IF(Remodelacion!$C$10="TARIFA 1",(C159*(VLOOKUP(Remodelacion!$C$25,Seguros_Oblig!$A$3:$B$55,2,FALSE))),(C159*(VLOOKUP(Remodelacion!$C$25,Seguros_Oblig!$A$3:$D$55,4,FALSE))))</f>
        <v>#VALUE!</v>
      </c>
      <c r="J160" s="10">
        <f t="shared" si="14"/>
        <v>0</v>
      </c>
      <c r="K160" s="7" t="e">
        <f>IF(RM!$D$11="Si",0,IF(C159&lt;1,"0",Seguros_Oblig!$K$2*Remodelacion!$C$12))</f>
        <v>#VALUE!</v>
      </c>
      <c r="L160" s="7" t="e">
        <f>IF(B160=" ","0",PMT(Remodelacion!$E$17,Remodelacion!$C$18,-Remodelacion!$C$15,,))</f>
        <v>#VALUE!</v>
      </c>
      <c r="M160" s="9" t="e">
        <f t="shared" si="15"/>
        <v>#VALUE!</v>
      </c>
      <c r="N160" s="7" t="e">
        <f>IF(C159&lt;1,"0",Remodelacion!$C$38)</f>
        <v>#VALUE!</v>
      </c>
      <c r="O160" s="9" t="e">
        <f t="shared" si="16"/>
        <v>#VALUE!</v>
      </c>
    </row>
    <row r="161" spans="2:15" ht="15.5" x14ac:dyDescent="0.35">
      <c r="B161" s="6" t="e">
        <f t="shared" si="17"/>
        <v>#VALUE!</v>
      </c>
      <c r="C161" s="7" t="e">
        <f t="shared" si="13"/>
        <v>#VALUE!</v>
      </c>
      <c r="D161" s="7" t="e">
        <f t="shared" si="18"/>
        <v>#VALUE!</v>
      </c>
      <c r="E161" s="7" t="e">
        <f>C160*Remodelacion!$E$17</f>
        <v>#VALUE!</v>
      </c>
      <c r="F161" s="8" t="e">
        <f>IF(C160&lt;1,0,IF(Remodelacion!$D$26="Si",($C$17*(VLOOKUP(Remodelacion!$C$22,Seguros_Oblig!$A$3:$F$55,6,FALSE))),IF(Remodelacion!$C$10="TARIFA 1",(C160*(VLOOKUP(Remodelacion!$C$22,Seguros_Oblig!$A$3:$B$55,2,FALSE))),(C160*(VLOOKUP(Remodelacion!$C$22,Seguros_Oblig!$A$3:$D$55,4,FALSE))))))</f>
        <v>#VALUE!</v>
      </c>
      <c r="G161" s="8" t="e">
        <f>IF(Remodelacion!$C$10="TARIFA 1",(C160*(VLOOKUP(Remodelacion!$C$23,Seguros_Oblig!$A$3:$B$55,2,FALSE))),(C160*(VLOOKUP(Remodelacion!$C$23,Seguros_Oblig!$A$3:$D$55,4,FALSE))))</f>
        <v>#VALUE!</v>
      </c>
      <c r="H161" s="8" t="e">
        <f>IF(Remodelacion!$C$10="TARIFA 1",(C160*(VLOOKUP(Remodelacion!$C$24,Seguros_Oblig!$A$3:$B$55,2,FALSE))),(C160*(VLOOKUP(Remodelacion!$C$24,Seguros_Oblig!$A$3:$D$55,4,FALSE))))</f>
        <v>#VALUE!</v>
      </c>
      <c r="I161" s="8" t="e">
        <f>IF(Remodelacion!$C$10="TARIFA 1",(C160*(VLOOKUP(Remodelacion!$C$25,Seguros_Oblig!$A$3:$B$55,2,FALSE))),(C160*(VLOOKUP(Remodelacion!$C$25,Seguros_Oblig!$A$3:$D$55,4,FALSE))))</f>
        <v>#VALUE!</v>
      </c>
      <c r="J161" s="10">
        <f t="shared" si="14"/>
        <v>0</v>
      </c>
      <c r="K161" s="7" t="e">
        <f>IF(RM!$D$11="Si",0,IF(C160&lt;1,"0",Seguros_Oblig!$K$2*Remodelacion!$C$12))</f>
        <v>#VALUE!</v>
      </c>
      <c r="L161" s="7" t="e">
        <f>IF(B161=" ","0",PMT(Remodelacion!$E$17,Remodelacion!$C$18,-Remodelacion!$C$15,,))</f>
        <v>#VALUE!</v>
      </c>
      <c r="M161" s="9" t="e">
        <f t="shared" si="15"/>
        <v>#VALUE!</v>
      </c>
      <c r="N161" s="7" t="e">
        <f>IF(C160&lt;1,"0",Remodelacion!$C$38)</f>
        <v>#VALUE!</v>
      </c>
      <c r="O161" s="9" t="e">
        <f t="shared" si="16"/>
        <v>#VALUE!</v>
      </c>
    </row>
    <row r="162" spans="2:15" ht="15.5" x14ac:dyDescent="0.35">
      <c r="B162" s="6" t="e">
        <f t="shared" si="17"/>
        <v>#VALUE!</v>
      </c>
      <c r="C162" s="7" t="e">
        <f t="shared" si="13"/>
        <v>#VALUE!</v>
      </c>
      <c r="D162" s="7" t="e">
        <f t="shared" si="18"/>
        <v>#VALUE!</v>
      </c>
      <c r="E162" s="7" t="e">
        <f>C161*Remodelacion!$E$17</f>
        <v>#VALUE!</v>
      </c>
      <c r="F162" s="8" t="e">
        <f>IF(C161&lt;1,0,IF(Remodelacion!$D$26="Si",($C$17*(VLOOKUP(Remodelacion!$C$22,Seguros_Oblig!$A$3:$F$55,6,FALSE))),IF(Remodelacion!$C$10="TARIFA 1",(C161*(VLOOKUP(Remodelacion!$C$22,Seguros_Oblig!$A$3:$B$55,2,FALSE))),(C161*(VLOOKUP(Remodelacion!$C$22,Seguros_Oblig!$A$3:$D$55,4,FALSE))))))</f>
        <v>#VALUE!</v>
      </c>
      <c r="G162" s="8" t="e">
        <f>IF(Remodelacion!$C$10="TARIFA 1",(C161*(VLOOKUP(Remodelacion!$C$23,Seguros_Oblig!$A$3:$B$55,2,FALSE))),(C161*(VLOOKUP(Remodelacion!$C$23,Seguros_Oblig!$A$3:$D$55,4,FALSE))))</f>
        <v>#VALUE!</v>
      </c>
      <c r="H162" s="8" t="e">
        <f>IF(Remodelacion!$C$10="TARIFA 1",(C161*(VLOOKUP(Remodelacion!$C$24,Seguros_Oblig!$A$3:$B$55,2,FALSE))),(C161*(VLOOKUP(Remodelacion!$C$24,Seguros_Oblig!$A$3:$D$55,4,FALSE))))</f>
        <v>#VALUE!</v>
      </c>
      <c r="I162" s="8" t="e">
        <f>IF(Remodelacion!$C$10="TARIFA 1",(C161*(VLOOKUP(Remodelacion!$C$25,Seguros_Oblig!$A$3:$B$55,2,FALSE))),(C161*(VLOOKUP(Remodelacion!$C$25,Seguros_Oblig!$A$3:$D$55,4,FALSE))))</f>
        <v>#VALUE!</v>
      </c>
      <c r="J162" s="10">
        <f t="shared" si="14"/>
        <v>0</v>
      </c>
      <c r="K162" s="7" t="e">
        <f>IF(RM!$D$11="Si",0,IF(C161&lt;1,"0",Seguros_Oblig!$K$2*Remodelacion!$C$12))</f>
        <v>#VALUE!</v>
      </c>
      <c r="L162" s="7" t="e">
        <f>IF(B162=" ","0",PMT(Remodelacion!$E$17,Remodelacion!$C$18,-Remodelacion!$C$15,,))</f>
        <v>#VALUE!</v>
      </c>
      <c r="M162" s="9" t="e">
        <f t="shared" si="15"/>
        <v>#VALUE!</v>
      </c>
      <c r="N162" s="7" t="e">
        <f>IF(C161&lt;1,"0",Remodelacion!$C$38)</f>
        <v>#VALUE!</v>
      </c>
      <c r="O162" s="9" t="e">
        <f t="shared" si="16"/>
        <v>#VALUE!</v>
      </c>
    </row>
    <row r="163" spans="2:15" ht="15.5" x14ac:dyDescent="0.35">
      <c r="B163" s="6" t="e">
        <f t="shared" si="17"/>
        <v>#VALUE!</v>
      </c>
      <c r="C163" s="7" t="e">
        <f t="shared" si="13"/>
        <v>#VALUE!</v>
      </c>
      <c r="D163" s="7" t="e">
        <f t="shared" si="18"/>
        <v>#VALUE!</v>
      </c>
      <c r="E163" s="7" t="e">
        <f>C162*Remodelacion!$E$17</f>
        <v>#VALUE!</v>
      </c>
      <c r="F163" s="8" t="e">
        <f>IF(C162&lt;1,0,IF(Remodelacion!$D$26="Si",($C$17*(VLOOKUP(Remodelacion!$C$22,Seguros_Oblig!$A$3:$F$55,6,FALSE))),IF(Remodelacion!$C$10="TARIFA 1",(C162*(VLOOKUP(Remodelacion!$C$22,Seguros_Oblig!$A$3:$B$55,2,FALSE))),(C162*(VLOOKUP(Remodelacion!$C$22,Seguros_Oblig!$A$3:$D$55,4,FALSE))))))</f>
        <v>#VALUE!</v>
      </c>
      <c r="G163" s="8" t="e">
        <f>IF(Remodelacion!$C$10="TARIFA 1",(C162*(VLOOKUP(Remodelacion!$C$23,Seguros_Oblig!$A$3:$B$55,2,FALSE))),(C162*(VLOOKUP(Remodelacion!$C$23,Seguros_Oblig!$A$3:$D$55,4,FALSE))))</f>
        <v>#VALUE!</v>
      </c>
      <c r="H163" s="8" t="e">
        <f>IF(Remodelacion!$C$10="TARIFA 1",(C162*(VLOOKUP(Remodelacion!$C$24,Seguros_Oblig!$A$3:$B$55,2,FALSE))),(C162*(VLOOKUP(Remodelacion!$C$24,Seguros_Oblig!$A$3:$D$55,4,FALSE))))</f>
        <v>#VALUE!</v>
      </c>
      <c r="I163" s="8" t="e">
        <f>IF(Remodelacion!$C$10="TARIFA 1",(C162*(VLOOKUP(Remodelacion!$C$25,Seguros_Oblig!$A$3:$B$55,2,FALSE))),(C162*(VLOOKUP(Remodelacion!$C$25,Seguros_Oblig!$A$3:$D$55,4,FALSE))))</f>
        <v>#VALUE!</v>
      </c>
      <c r="J163" s="10">
        <f t="shared" si="14"/>
        <v>0</v>
      </c>
      <c r="K163" s="7" t="e">
        <f>IF(RM!$D$11="Si",0,IF(C162&lt;1,"0",Seguros_Oblig!$K$2*Remodelacion!$C$12))</f>
        <v>#VALUE!</v>
      </c>
      <c r="L163" s="7" t="e">
        <f>IF(B163=" ","0",PMT(Remodelacion!$E$17,Remodelacion!$C$18,-Remodelacion!$C$15,,))</f>
        <v>#VALUE!</v>
      </c>
      <c r="M163" s="9" t="e">
        <f t="shared" si="15"/>
        <v>#VALUE!</v>
      </c>
      <c r="N163" s="7" t="e">
        <f>IF(C162&lt;1,"0",Remodelacion!$C$38)</f>
        <v>#VALUE!</v>
      </c>
      <c r="O163" s="9" t="e">
        <f t="shared" si="16"/>
        <v>#VALUE!</v>
      </c>
    </row>
    <row r="164" spans="2:15" ht="15.5" x14ac:dyDescent="0.35">
      <c r="B164" s="6" t="e">
        <f t="shared" si="17"/>
        <v>#VALUE!</v>
      </c>
      <c r="C164" s="7" t="e">
        <f t="shared" si="13"/>
        <v>#VALUE!</v>
      </c>
      <c r="D164" s="7" t="e">
        <f t="shared" si="18"/>
        <v>#VALUE!</v>
      </c>
      <c r="E164" s="7" t="e">
        <f>C163*Remodelacion!$E$17</f>
        <v>#VALUE!</v>
      </c>
      <c r="F164" s="8" t="e">
        <f>IF(C163&lt;1,0,IF(Remodelacion!$D$26="Si",($C$17*(VLOOKUP(Remodelacion!$C$22,Seguros_Oblig!$A$3:$F$55,6,FALSE))),IF(Remodelacion!$C$10="TARIFA 1",(C163*(VLOOKUP(Remodelacion!$C$22,Seguros_Oblig!$A$3:$B$55,2,FALSE))),(C163*(VLOOKUP(Remodelacion!$C$22,Seguros_Oblig!$A$3:$D$55,4,FALSE))))))</f>
        <v>#VALUE!</v>
      </c>
      <c r="G164" s="8" t="e">
        <f>IF(Remodelacion!$C$10="TARIFA 1",(C163*(VLOOKUP(Remodelacion!$C$23,Seguros_Oblig!$A$3:$B$55,2,FALSE))),(C163*(VLOOKUP(Remodelacion!$C$23,Seguros_Oblig!$A$3:$D$55,4,FALSE))))</f>
        <v>#VALUE!</v>
      </c>
      <c r="H164" s="8" t="e">
        <f>IF(Remodelacion!$C$10="TARIFA 1",(C163*(VLOOKUP(Remodelacion!$C$24,Seguros_Oblig!$A$3:$B$55,2,FALSE))),(C163*(VLOOKUP(Remodelacion!$C$24,Seguros_Oblig!$A$3:$D$55,4,FALSE))))</f>
        <v>#VALUE!</v>
      </c>
      <c r="I164" s="8" t="e">
        <f>IF(Remodelacion!$C$10="TARIFA 1",(C163*(VLOOKUP(Remodelacion!$C$25,Seguros_Oblig!$A$3:$B$55,2,FALSE))),(C163*(VLOOKUP(Remodelacion!$C$25,Seguros_Oblig!$A$3:$D$55,4,FALSE))))</f>
        <v>#VALUE!</v>
      </c>
      <c r="J164" s="10">
        <f t="shared" si="14"/>
        <v>0</v>
      </c>
      <c r="K164" s="7" t="e">
        <f>IF(RM!$D$11="Si",0,IF(C163&lt;1,"0",Seguros_Oblig!$K$2*Remodelacion!$C$12))</f>
        <v>#VALUE!</v>
      </c>
      <c r="L164" s="7" t="e">
        <f>IF(B164=" ","0",PMT(Remodelacion!$E$17,Remodelacion!$C$18,-Remodelacion!$C$15,,))</f>
        <v>#VALUE!</v>
      </c>
      <c r="M164" s="9" t="e">
        <f t="shared" si="15"/>
        <v>#VALUE!</v>
      </c>
      <c r="N164" s="7" t="e">
        <f>IF(C163&lt;1,"0",Remodelacion!$C$38)</f>
        <v>#VALUE!</v>
      </c>
      <c r="O164" s="9" t="e">
        <f t="shared" si="16"/>
        <v>#VALUE!</v>
      </c>
    </row>
    <row r="165" spans="2:15" ht="15.5" x14ac:dyDescent="0.35">
      <c r="B165" s="6" t="e">
        <f t="shared" si="17"/>
        <v>#VALUE!</v>
      </c>
      <c r="C165" s="7" t="e">
        <f t="shared" si="13"/>
        <v>#VALUE!</v>
      </c>
      <c r="D165" s="7" t="e">
        <f t="shared" si="18"/>
        <v>#VALUE!</v>
      </c>
      <c r="E165" s="7" t="e">
        <f>C164*Remodelacion!$E$17</f>
        <v>#VALUE!</v>
      </c>
      <c r="F165" s="8" t="e">
        <f>IF(C164&lt;1,0,IF(Remodelacion!$D$26="Si",($C$17*(VLOOKUP(Remodelacion!$C$22,Seguros_Oblig!$A$3:$F$55,6,FALSE))),IF(Remodelacion!$C$10="TARIFA 1",(C164*(VLOOKUP(Remodelacion!$C$22,Seguros_Oblig!$A$3:$B$55,2,FALSE))),(C164*(VLOOKUP(Remodelacion!$C$22,Seguros_Oblig!$A$3:$D$55,4,FALSE))))))</f>
        <v>#VALUE!</v>
      </c>
      <c r="G165" s="8" t="e">
        <f>IF(Remodelacion!$C$10="TARIFA 1",(C164*(VLOOKUP(Remodelacion!$C$23,Seguros_Oblig!$A$3:$B$55,2,FALSE))),(C164*(VLOOKUP(Remodelacion!$C$23,Seguros_Oblig!$A$3:$D$55,4,FALSE))))</f>
        <v>#VALUE!</v>
      </c>
      <c r="H165" s="8" t="e">
        <f>IF(Remodelacion!$C$10="TARIFA 1",(C164*(VLOOKUP(Remodelacion!$C$24,Seguros_Oblig!$A$3:$B$55,2,FALSE))),(C164*(VLOOKUP(Remodelacion!$C$24,Seguros_Oblig!$A$3:$D$55,4,FALSE))))</f>
        <v>#VALUE!</v>
      </c>
      <c r="I165" s="8" t="e">
        <f>IF(Remodelacion!$C$10="TARIFA 1",(C164*(VLOOKUP(Remodelacion!$C$25,Seguros_Oblig!$A$3:$B$55,2,FALSE))),(C164*(VLOOKUP(Remodelacion!$C$25,Seguros_Oblig!$A$3:$D$55,4,FALSE))))</f>
        <v>#VALUE!</v>
      </c>
      <c r="J165" s="10">
        <f t="shared" si="14"/>
        <v>0</v>
      </c>
      <c r="K165" s="7" t="e">
        <f>IF(RM!$D$11="Si",0,IF(C164&lt;1,"0",Seguros_Oblig!$K$2*Remodelacion!$C$12))</f>
        <v>#VALUE!</v>
      </c>
      <c r="L165" s="7" t="e">
        <f>IF(B165=" ","0",PMT(Remodelacion!$E$17,Remodelacion!$C$18,-Remodelacion!$C$15,,))</f>
        <v>#VALUE!</v>
      </c>
      <c r="M165" s="9" t="e">
        <f t="shared" si="15"/>
        <v>#VALUE!</v>
      </c>
      <c r="N165" s="7" t="e">
        <f>IF(C164&lt;1,"0",Remodelacion!$C$38)</f>
        <v>#VALUE!</v>
      </c>
      <c r="O165" s="9" t="e">
        <f t="shared" si="16"/>
        <v>#VALUE!</v>
      </c>
    </row>
    <row r="166" spans="2:15" ht="15.5" x14ac:dyDescent="0.35">
      <c r="B166" s="6" t="e">
        <f t="shared" si="17"/>
        <v>#VALUE!</v>
      </c>
      <c r="C166" s="7" t="e">
        <f t="shared" si="13"/>
        <v>#VALUE!</v>
      </c>
      <c r="D166" s="7" t="e">
        <f t="shared" si="18"/>
        <v>#VALUE!</v>
      </c>
      <c r="E166" s="7" t="e">
        <f>C165*Remodelacion!$E$17</f>
        <v>#VALUE!</v>
      </c>
      <c r="F166" s="8" t="e">
        <f>IF(C165&lt;1,0,IF(Remodelacion!$D$26="Si",($C$17*(VLOOKUP(Remodelacion!$C$22,Seguros_Oblig!$A$3:$F$55,6,FALSE))),IF(Remodelacion!$C$10="TARIFA 1",(C165*(VLOOKUP(Remodelacion!$C$22,Seguros_Oblig!$A$3:$B$55,2,FALSE))),(C165*(VLOOKUP(Remodelacion!$C$22,Seguros_Oblig!$A$3:$D$55,4,FALSE))))))</f>
        <v>#VALUE!</v>
      </c>
      <c r="G166" s="8" t="e">
        <f>IF(Remodelacion!$C$10="TARIFA 1",(C165*(VLOOKUP(Remodelacion!$C$23,Seguros_Oblig!$A$3:$B$55,2,FALSE))),(C165*(VLOOKUP(Remodelacion!$C$23,Seguros_Oblig!$A$3:$D$55,4,FALSE))))</f>
        <v>#VALUE!</v>
      </c>
      <c r="H166" s="8" t="e">
        <f>IF(Remodelacion!$C$10="TARIFA 1",(C165*(VLOOKUP(Remodelacion!$C$24,Seguros_Oblig!$A$3:$B$55,2,FALSE))),(C165*(VLOOKUP(Remodelacion!$C$24,Seguros_Oblig!$A$3:$D$55,4,FALSE))))</f>
        <v>#VALUE!</v>
      </c>
      <c r="I166" s="8" t="e">
        <f>IF(Remodelacion!$C$10="TARIFA 1",(C165*(VLOOKUP(Remodelacion!$C$25,Seguros_Oblig!$A$3:$B$55,2,FALSE))),(C165*(VLOOKUP(Remodelacion!$C$25,Seguros_Oblig!$A$3:$D$55,4,FALSE))))</f>
        <v>#VALUE!</v>
      </c>
      <c r="J166" s="10">
        <f t="shared" si="14"/>
        <v>0</v>
      </c>
      <c r="K166" s="7" t="e">
        <f>IF(RM!$D$11="Si",0,IF(C165&lt;1,"0",Seguros_Oblig!$K$2*Remodelacion!$C$12))</f>
        <v>#VALUE!</v>
      </c>
      <c r="L166" s="7" t="e">
        <f>IF(B166=" ","0",PMT(Remodelacion!$E$17,Remodelacion!$C$18,-Remodelacion!$C$15,,))</f>
        <v>#VALUE!</v>
      </c>
      <c r="M166" s="9" t="e">
        <f t="shared" si="15"/>
        <v>#VALUE!</v>
      </c>
      <c r="N166" s="7" t="e">
        <f>IF(C165&lt;1,"0",Remodelacion!$C$38)</f>
        <v>#VALUE!</v>
      </c>
      <c r="O166" s="9" t="e">
        <f t="shared" si="16"/>
        <v>#VALUE!</v>
      </c>
    </row>
    <row r="167" spans="2:15" ht="15.5" x14ac:dyDescent="0.35">
      <c r="B167" s="6" t="e">
        <f t="shared" si="17"/>
        <v>#VALUE!</v>
      </c>
      <c r="C167" s="7" t="e">
        <f t="shared" si="13"/>
        <v>#VALUE!</v>
      </c>
      <c r="D167" s="7" t="e">
        <f t="shared" si="18"/>
        <v>#VALUE!</v>
      </c>
      <c r="E167" s="7" t="e">
        <f>C166*Remodelacion!$E$17</f>
        <v>#VALUE!</v>
      </c>
      <c r="F167" s="8" t="e">
        <f>IF(C166&lt;1,0,IF(Remodelacion!$D$26="Si",($C$17*(VLOOKUP(Remodelacion!$C$22,Seguros_Oblig!$A$3:$F$55,6,FALSE))),IF(Remodelacion!$C$10="TARIFA 1",(C166*(VLOOKUP(Remodelacion!$C$22,Seguros_Oblig!$A$3:$B$55,2,FALSE))),(C166*(VLOOKUP(Remodelacion!$C$22,Seguros_Oblig!$A$3:$D$55,4,FALSE))))))</f>
        <v>#VALUE!</v>
      </c>
      <c r="G167" s="8" t="e">
        <f>IF(Remodelacion!$C$10="TARIFA 1",(C166*(VLOOKUP(Remodelacion!$C$23,Seguros_Oblig!$A$3:$B$55,2,FALSE))),(C166*(VLOOKUP(Remodelacion!$C$23,Seguros_Oblig!$A$3:$D$55,4,FALSE))))</f>
        <v>#VALUE!</v>
      </c>
      <c r="H167" s="8" t="e">
        <f>IF(Remodelacion!$C$10="TARIFA 1",(C166*(VLOOKUP(Remodelacion!$C$24,Seguros_Oblig!$A$3:$B$55,2,FALSE))),(C166*(VLOOKUP(Remodelacion!$C$24,Seguros_Oblig!$A$3:$D$55,4,FALSE))))</f>
        <v>#VALUE!</v>
      </c>
      <c r="I167" s="8" t="e">
        <f>IF(Remodelacion!$C$10="TARIFA 1",(C166*(VLOOKUP(Remodelacion!$C$25,Seguros_Oblig!$A$3:$B$55,2,FALSE))),(C166*(VLOOKUP(Remodelacion!$C$25,Seguros_Oblig!$A$3:$D$55,4,FALSE))))</f>
        <v>#VALUE!</v>
      </c>
      <c r="J167" s="10">
        <f t="shared" si="14"/>
        <v>0</v>
      </c>
      <c r="K167" s="7" t="e">
        <f>IF(RM!$D$11="Si",0,IF(C166&lt;1,"0",Seguros_Oblig!$K$2*Remodelacion!$C$12))</f>
        <v>#VALUE!</v>
      </c>
      <c r="L167" s="7" t="e">
        <f>IF(B167=" ","0",PMT(Remodelacion!$E$17,Remodelacion!$C$18,-Remodelacion!$C$15,,))</f>
        <v>#VALUE!</v>
      </c>
      <c r="M167" s="9" t="e">
        <f t="shared" si="15"/>
        <v>#VALUE!</v>
      </c>
      <c r="N167" s="7" t="e">
        <f>IF(C166&lt;1,"0",Remodelacion!$C$38)</f>
        <v>#VALUE!</v>
      </c>
      <c r="O167" s="9" t="e">
        <f t="shared" si="16"/>
        <v>#VALUE!</v>
      </c>
    </row>
    <row r="168" spans="2:15" ht="15.5" x14ac:dyDescent="0.35">
      <c r="B168" s="6" t="e">
        <f t="shared" si="17"/>
        <v>#VALUE!</v>
      </c>
      <c r="C168" s="7" t="e">
        <f t="shared" si="13"/>
        <v>#VALUE!</v>
      </c>
      <c r="D168" s="7" t="e">
        <f t="shared" si="18"/>
        <v>#VALUE!</v>
      </c>
      <c r="E168" s="7" t="e">
        <f>C167*Remodelacion!$E$17</f>
        <v>#VALUE!</v>
      </c>
      <c r="F168" s="8" t="e">
        <f>IF(C167&lt;1,0,IF(Remodelacion!$D$26="Si",($C$17*(VLOOKUP(Remodelacion!$C$22,Seguros_Oblig!$A$3:$F$55,6,FALSE))),IF(Remodelacion!$C$10="TARIFA 1",(C167*(VLOOKUP(Remodelacion!$C$22,Seguros_Oblig!$A$3:$B$55,2,FALSE))),(C167*(VLOOKUP(Remodelacion!$C$22,Seguros_Oblig!$A$3:$D$55,4,FALSE))))))</f>
        <v>#VALUE!</v>
      </c>
      <c r="G168" s="8" t="e">
        <f>IF(Remodelacion!$C$10="TARIFA 1",(C167*(VLOOKUP(Remodelacion!$C$23,Seguros_Oblig!$A$3:$B$55,2,FALSE))),(C167*(VLOOKUP(Remodelacion!$C$23,Seguros_Oblig!$A$3:$D$55,4,FALSE))))</f>
        <v>#VALUE!</v>
      </c>
      <c r="H168" s="8" t="e">
        <f>IF(Remodelacion!$C$10="TARIFA 1",(C167*(VLOOKUP(Remodelacion!$C$24,Seguros_Oblig!$A$3:$B$55,2,FALSE))),(C167*(VLOOKUP(Remodelacion!$C$24,Seguros_Oblig!$A$3:$D$55,4,FALSE))))</f>
        <v>#VALUE!</v>
      </c>
      <c r="I168" s="8" t="e">
        <f>IF(Remodelacion!$C$10="TARIFA 1",(C167*(VLOOKUP(Remodelacion!$C$25,Seguros_Oblig!$A$3:$B$55,2,FALSE))),(C167*(VLOOKUP(Remodelacion!$C$25,Seguros_Oblig!$A$3:$D$55,4,FALSE))))</f>
        <v>#VALUE!</v>
      </c>
      <c r="J168" s="10">
        <f t="shared" si="14"/>
        <v>0</v>
      </c>
      <c r="K168" s="7" t="e">
        <f>IF(RM!$D$11="Si",0,IF(C167&lt;1,"0",Seguros_Oblig!$K$2*Remodelacion!$C$12))</f>
        <v>#VALUE!</v>
      </c>
      <c r="L168" s="7" t="e">
        <f>IF(B168=" ","0",PMT(Remodelacion!$E$17,Remodelacion!$C$18,-Remodelacion!$C$15,,))</f>
        <v>#VALUE!</v>
      </c>
      <c r="M168" s="9" t="e">
        <f t="shared" si="15"/>
        <v>#VALUE!</v>
      </c>
      <c r="N168" s="7" t="e">
        <f>IF(C167&lt;1,"0",Remodelacion!$C$38)</f>
        <v>#VALUE!</v>
      </c>
      <c r="O168" s="9" t="e">
        <f t="shared" si="16"/>
        <v>#VALUE!</v>
      </c>
    </row>
    <row r="169" spans="2:15" ht="15.5" x14ac:dyDescent="0.35">
      <c r="B169" s="6" t="e">
        <f t="shared" si="17"/>
        <v>#VALUE!</v>
      </c>
      <c r="C169" s="7" t="e">
        <f t="shared" si="13"/>
        <v>#VALUE!</v>
      </c>
      <c r="D169" s="7" t="e">
        <f t="shared" si="18"/>
        <v>#VALUE!</v>
      </c>
      <c r="E169" s="7" t="e">
        <f>C168*Remodelacion!$E$17</f>
        <v>#VALUE!</v>
      </c>
      <c r="F169" s="8" t="e">
        <f>IF(C168&lt;1,0,IF(Remodelacion!$D$26="Si",($C$17*(VLOOKUP(Remodelacion!$C$22,Seguros_Oblig!$A$3:$F$55,6,FALSE))),IF(Remodelacion!$C$10="TARIFA 1",(C168*(VLOOKUP(Remodelacion!$C$22,Seguros_Oblig!$A$3:$B$55,2,FALSE))),(C168*(VLOOKUP(Remodelacion!$C$22,Seguros_Oblig!$A$3:$D$55,4,FALSE))))))</f>
        <v>#VALUE!</v>
      </c>
      <c r="G169" s="8" t="e">
        <f>IF(Remodelacion!$C$10="TARIFA 1",(C168*(VLOOKUP(Remodelacion!$C$23,Seguros_Oblig!$A$3:$B$55,2,FALSE))),(C168*(VLOOKUP(Remodelacion!$C$23,Seguros_Oblig!$A$3:$D$55,4,FALSE))))</f>
        <v>#VALUE!</v>
      </c>
      <c r="H169" s="8" t="e">
        <f>IF(Remodelacion!$C$10="TARIFA 1",(C168*(VLOOKUP(Remodelacion!$C$24,Seguros_Oblig!$A$3:$B$55,2,FALSE))),(C168*(VLOOKUP(Remodelacion!$C$24,Seguros_Oblig!$A$3:$D$55,4,FALSE))))</f>
        <v>#VALUE!</v>
      </c>
      <c r="I169" s="8" t="e">
        <f>IF(Remodelacion!$C$10="TARIFA 1",(C168*(VLOOKUP(Remodelacion!$C$25,Seguros_Oblig!$A$3:$B$55,2,FALSE))),(C168*(VLOOKUP(Remodelacion!$C$25,Seguros_Oblig!$A$3:$D$55,4,FALSE))))</f>
        <v>#VALUE!</v>
      </c>
      <c r="J169" s="10">
        <f t="shared" si="14"/>
        <v>0</v>
      </c>
      <c r="K169" s="7" t="e">
        <f>IF(RM!$D$11="Si",0,IF(C168&lt;1,"0",Seguros_Oblig!$K$2*Remodelacion!$C$12))</f>
        <v>#VALUE!</v>
      </c>
      <c r="L169" s="7" t="e">
        <f>IF(B169=" ","0",PMT(Remodelacion!$E$17,Remodelacion!$C$18,-Remodelacion!$C$15,,))</f>
        <v>#VALUE!</v>
      </c>
      <c r="M169" s="9" t="e">
        <f t="shared" si="15"/>
        <v>#VALUE!</v>
      </c>
      <c r="N169" s="7" t="e">
        <f>IF(C168&lt;1,"0",Remodelacion!$C$38)</f>
        <v>#VALUE!</v>
      </c>
      <c r="O169" s="9" t="e">
        <f t="shared" si="16"/>
        <v>#VALUE!</v>
      </c>
    </row>
    <row r="170" spans="2:15" ht="15.5" x14ac:dyDescent="0.35">
      <c r="B170" s="6" t="e">
        <f t="shared" si="17"/>
        <v>#VALUE!</v>
      </c>
      <c r="C170" s="7" t="e">
        <f t="shared" si="13"/>
        <v>#VALUE!</v>
      </c>
      <c r="D170" s="7" t="e">
        <f t="shared" si="18"/>
        <v>#VALUE!</v>
      </c>
      <c r="E170" s="7" t="e">
        <f>C169*Remodelacion!$E$17</f>
        <v>#VALUE!</v>
      </c>
      <c r="F170" s="8" t="e">
        <f>IF(C169&lt;1,0,IF(Remodelacion!$D$26="Si",($C$17*(VLOOKUP(Remodelacion!$C$22,Seguros_Oblig!$A$3:$F$55,6,FALSE))),IF(Remodelacion!$C$10="TARIFA 1",(C169*(VLOOKUP(Remodelacion!$C$22,Seguros_Oblig!$A$3:$B$55,2,FALSE))),(C169*(VLOOKUP(Remodelacion!$C$22,Seguros_Oblig!$A$3:$D$55,4,FALSE))))))</f>
        <v>#VALUE!</v>
      </c>
      <c r="G170" s="8" t="e">
        <f>IF(Remodelacion!$C$10="TARIFA 1",(C169*(VLOOKUP(Remodelacion!$C$23,Seguros_Oblig!$A$3:$B$55,2,FALSE))),(C169*(VLOOKUP(Remodelacion!$C$23,Seguros_Oblig!$A$3:$D$55,4,FALSE))))</f>
        <v>#VALUE!</v>
      </c>
      <c r="H170" s="8" t="e">
        <f>IF(Remodelacion!$C$10="TARIFA 1",(C169*(VLOOKUP(Remodelacion!$C$24,Seguros_Oblig!$A$3:$B$55,2,FALSE))),(C169*(VLOOKUP(Remodelacion!$C$24,Seguros_Oblig!$A$3:$D$55,4,FALSE))))</f>
        <v>#VALUE!</v>
      </c>
      <c r="I170" s="8" t="e">
        <f>IF(Remodelacion!$C$10="TARIFA 1",(C169*(VLOOKUP(Remodelacion!$C$25,Seguros_Oblig!$A$3:$B$55,2,FALSE))),(C169*(VLOOKUP(Remodelacion!$C$25,Seguros_Oblig!$A$3:$D$55,4,FALSE))))</f>
        <v>#VALUE!</v>
      </c>
      <c r="J170" s="10">
        <f t="shared" si="14"/>
        <v>0</v>
      </c>
      <c r="K170" s="7" t="e">
        <f>IF(RM!$D$11="Si",0,IF(C169&lt;1,"0",Seguros_Oblig!$K$2*Remodelacion!$C$12))</f>
        <v>#VALUE!</v>
      </c>
      <c r="L170" s="7" t="e">
        <f>IF(B170=" ","0",PMT(Remodelacion!$E$17,Remodelacion!$C$18,-Remodelacion!$C$15,,))</f>
        <v>#VALUE!</v>
      </c>
      <c r="M170" s="9" t="e">
        <f t="shared" si="15"/>
        <v>#VALUE!</v>
      </c>
      <c r="N170" s="7" t="e">
        <f>IF(C169&lt;1,"0",Remodelacion!$C$38)</f>
        <v>#VALUE!</v>
      </c>
      <c r="O170" s="9" t="e">
        <f t="shared" si="16"/>
        <v>#VALUE!</v>
      </c>
    </row>
    <row r="171" spans="2:15" ht="15.5" x14ac:dyDescent="0.35">
      <c r="B171" s="6" t="e">
        <f t="shared" si="17"/>
        <v>#VALUE!</v>
      </c>
      <c r="C171" s="7" t="e">
        <f t="shared" si="13"/>
        <v>#VALUE!</v>
      </c>
      <c r="D171" s="7" t="e">
        <f t="shared" si="18"/>
        <v>#VALUE!</v>
      </c>
      <c r="E171" s="7" t="e">
        <f>C170*Remodelacion!$E$17</f>
        <v>#VALUE!</v>
      </c>
      <c r="F171" s="8" t="e">
        <f>IF(C170&lt;1,0,IF(Remodelacion!$D$26="Si",($C$17*(VLOOKUP(Remodelacion!$C$22,Seguros_Oblig!$A$3:$F$55,6,FALSE))),IF(Remodelacion!$C$10="TARIFA 1",(C170*(VLOOKUP(Remodelacion!$C$22,Seguros_Oblig!$A$3:$B$55,2,FALSE))),(C170*(VLOOKUP(Remodelacion!$C$22,Seguros_Oblig!$A$3:$D$55,4,FALSE))))))</f>
        <v>#VALUE!</v>
      </c>
      <c r="G171" s="8" t="e">
        <f>IF(Remodelacion!$C$10="TARIFA 1",(C170*(VLOOKUP(Remodelacion!$C$23,Seguros_Oblig!$A$3:$B$55,2,FALSE))),(C170*(VLOOKUP(Remodelacion!$C$23,Seguros_Oblig!$A$3:$D$55,4,FALSE))))</f>
        <v>#VALUE!</v>
      </c>
      <c r="H171" s="8" t="e">
        <f>IF(Remodelacion!$C$10="TARIFA 1",(C170*(VLOOKUP(Remodelacion!$C$24,Seguros_Oblig!$A$3:$B$55,2,FALSE))),(C170*(VLOOKUP(Remodelacion!$C$24,Seguros_Oblig!$A$3:$D$55,4,FALSE))))</f>
        <v>#VALUE!</v>
      </c>
      <c r="I171" s="8" t="e">
        <f>IF(Remodelacion!$C$10="TARIFA 1",(C170*(VLOOKUP(Remodelacion!$C$25,Seguros_Oblig!$A$3:$B$55,2,FALSE))),(C170*(VLOOKUP(Remodelacion!$C$25,Seguros_Oblig!$A$3:$D$55,4,FALSE))))</f>
        <v>#VALUE!</v>
      </c>
      <c r="J171" s="10">
        <f t="shared" si="14"/>
        <v>0</v>
      </c>
      <c r="K171" s="7" t="e">
        <f>IF(RM!$D$11="Si",0,IF(C170&lt;1,"0",Seguros_Oblig!$K$2*Remodelacion!$C$12))</f>
        <v>#VALUE!</v>
      </c>
      <c r="L171" s="7" t="e">
        <f>IF(B171=" ","0",PMT(Remodelacion!$E$17,Remodelacion!$C$18,-Remodelacion!$C$15,,))</f>
        <v>#VALUE!</v>
      </c>
      <c r="M171" s="9" t="e">
        <f t="shared" si="15"/>
        <v>#VALUE!</v>
      </c>
      <c r="N171" s="7" t="e">
        <f>IF(C170&lt;1,"0",Remodelacion!$C$38)</f>
        <v>#VALUE!</v>
      </c>
      <c r="O171" s="9" t="e">
        <f t="shared" si="16"/>
        <v>#VALUE!</v>
      </c>
    </row>
    <row r="172" spans="2:15" ht="15.5" x14ac:dyDescent="0.35">
      <c r="B172" s="6" t="e">
        <f t="shared" si="17"/>
        <v>#VALUE!</v>
      </c>
      <c r="C172" s="7" t="e">
        <f t="shared" si="13"/>
        <v>#VALUE!</v>
      </c>
      <c r="D172" s="7" t="e">
        <f t="shared" si="18"/>
        <v>#VALUE!</v>
      </c>
      <c r="E172" s="7" t="e">
        <f>C171*Remodelacion!$E$17</f>
        <v>#VALUE!</v>
      </c>
      <c r="F172" s="8" t="e">
        <f>IF(C171&lt;1,0,IF(Remodelacion!$D$26="Si",($C$17*(VLOOKUP(Remodelacion!$C$22,Seguros_Oblig!$A$3:$F$55,6,FALSE))),IF(Remodelacion!$C$10="TARIFA 1",(C171*(VLOOKUP(Remodelacion!$C$22,Seguros_Oblig!$A$3:$B$55,2,FALSE))),(C171*(VLOOKUP(Remodelacion!$C$22,Seguros_Oblig!$A$3:$D$55,4,FALSE))))))</f>
        <v>#VALUE!</v>
      </c>
      <c r="G172" s="8" t="e">
        <f>IF(Remodelacion!$C$10="TARIFA 1",(C171*(VLOOKUP(Remodelacion!$C$23,Seguros_Oblig!$A$3:$B$55,2,FALSE))),(C171*(VLOOKUP(Remodelacion!$C$23,Seguros_Oblig!$A$3:$D$55,4,FALSE))))</f>
        <v>#VALUE!</v>
      </c>
      <c r="H172" s="8" t="e">
        <f>IF(Remodelacion!$C$10="TARIFA 1",(C171*(VLOOKUP(Remodelacion!$C$24,Seguros_Oblig!$A$3:$B$55,2,FALSE))),(C171*(VLOOKUP(Remodelacion!$C$24,Seguros_Oblig!$A$3:$D$55,4,FALSE))))</f>
        <v>#VALUE!</v>
      </c>
      <c r="I172" s="8" t="e">
        <f>IF(Remodelacion!$C$10="TARIFA 1",(C171*(VLOOKUP(Remodelacion!$C$25,Seguros_Oblig!$A$3:$B$55,2,FALSE))),(C171*(VLOOKUP(Remodelacion!$C$25,Seguros_Oblig!$A$3:$D$55,4,FALSE))))</f>
        <v>#VALUE!</v>
      </c>
      <c r="J172" s="10">
        <f t="shared" si="14"/>
        <v>0</v>
      </c>
      <c r="K172" s="7" t="e">
        <f>IF(RM!$D$11="Si",0,IF(C171&lt;1,"0",Seguros_Oblig!$K$2*Remodelacion!$C$12))</f>
        <v>#VALUE!</v>
      </c>
      <c r="L172" s="7" t="e">
        <f>IF(B172=" ","0",PMT(Remodelacion!$E$17,Remodelacion!$C$18,-Remodelacion!$C$15,,))</f>
        <v>#VALUE!</v>
      </c>
      <c r="M172" s="9" t="e">
        <f t="shared" si="15"/>
        <v>#VALUE!</v>
      </c>
      <c r="N172" s="7" t="e">
        <f>IF(C171&lt;1,"0",Remodelacion!$C$38)</f>
        <v>#VALUE!</v>
      </c>
      <c r="O172" s="9" t="e">
        <f t="shared" si="16"/>
        <v>#VALUE!</v>
      </c>
    </row>
    <row r="173" spans="2:15" ht="15.5" x14ac:dyDescent="0.35">
      <c r="B173" s="6" t="e">
        <f t="shared" si="17"/>
        <v>#VALUE!</v>
      </c>
      <c r="C173" s="7" t="e">
        <f t="shared" si="13"/>
        <v>#VALUE!</v>
      </c>
      <c r="D173" s="7" t="e">
        <f t="shared" si="18"/>
        <v>#VALUE!</v>
      </c>
      <c r="E173" s="7" t="e">
        <f>C172*Remodelacion!$E$17</f>
        <v>#VALUE!</v>
      </c>
      <c r="F173" s="8" t="e">
        <f>IF(C172&lt;1,0,IF(Remodelacion!$D$26="Si",($C$17*(VLOOKUP(Remodelacion!$C$22,Seguros_Oblig!$A$3:$F$55,6,FALSE))),IF(Remodelacion!$C$10="TARIFA 1",(C172*(VLOOKUP(Remodelacion!$C$22,Seguros_Oblig!$A$3:$B$55,2,FALSE))),(C172*(VLOOKUP(Remodelacion!$C$22,Seguros_Oblig!$A$3:$D$55,4,FALSE))))))</f>
        <v>#VALUE!</v>
      </c>
      <c r="G173" s="8" t="e">
        <f>IF(Remodelacion!$C$10="TARIFA 1",(C172*(VLOOKUP(Remodelacion!$C$23,Seguros_Oblig!$A$3:$B$55,2,FALSE))),(C172*(VLOOKUP(Remodelacion!$C$23,Seguros_Oblig!$A$3:$D$55,4,FALSE))))</f>
        <v>#VALUE!</v>
      </c>
      <c r="H173" s="8" t="e">
        <f>IF(Remodelacion!$C$10="TARIFA 1",(C172*(VLOOKUP(Remodelacion!$C$24,Seguros_Oblig!$A$3:$B$55,2,FALSE))),(C172*(VLOOKUP(Remodelacion!$C$24,Seguros_Oblig!$A$3:$D$55,4,FALSE))))</f>
        <v>#VALUE!</v>
      </c>
      <c r="I173" s="8" t="e">
        <f>IF(Remodelacion!$C$10="TARIFA 1",(C172*(VLOOKUP(Remodelacion!$C$25,Seguros_Oblig!$A$3:$B$55,2,FALSE))),(C172*(VLOOKUP(Remodelacion!$C$25,Seguros_Oblig!$A$3:$D$55,4,FALSE))))</f>
        <v>#VALUE!</v>
      </c>
      <c r="J173" s="10">
        <f t="shared" si="14"/>
        <v>0</v>
      </c>
      <c r="K173" s="7" t="e">
        <f>IF(RM!$D$11="Si",0,IF(C172&lt;1,"0",Seguros_Oblig!$K$2*Remodelacion!$C$12))</f>
        <v>#VALUE!</v>
      </c>
      <c r="L173" s="7" t="e">
        <f>IF(B173=" ","0",PMT(Remodelacion!$E$17,Remodelacion!$C$18,-Remodelacion!$C$15,,))</f>
        <v>#VALUE!</v>
      </c>
      <c r="M173" s="9" t="e">
        <f t="shared" si="15"/>
        <v>#VALUE!</v>
      </c>
      <c r="N173" s="7" t="e">
        <f>IF(C172&lt;1,"0",Remodelacion!$C$38)</f>
        <v>#VALUE!</v>
      </c>
      <c r="O173" s="9" t="e">
        <f t="shared" si="16"/>
        <v>#VALUE!</v>
      </c>
    </row>
    <row r="174" spans="2:15" ht="15.5" x14ac:dyDescent="0.35">
      <c r="B174" s="6" t="e">
        <f t="shared" si="17"/>
        <v>#VALUE!</v>
      </c>
      <c r="C174" s="7" t="e">
        <f t="shared" si="13"/>
        <v>#VALUE!</v>
      </c>
      <c r="D174" s="7" t="e">
        <f t="shared" si="18"/>
        <v>#VALUE!</v>
      </c>
      <c r="E174" s="7" t="e">
        <f>C173*Remodelacion!$E$17</f>
        <v>#VALUE!</v>
      </c>
      <c r="F174" s="8" t="e">
        <f>IF(C173&lt;1,0,IF(Remodelacion!$D$26="Si",($C$17*(VLOOKUP(Remodelacion!$C$22,Seguros_Oblig!$A$3:$F$55,6,FALSE))),IF(Remodelacion!$C$10="TARIFA 1",(C173*(VLOOKUP(Remodelacion!$C$22,Seguros_Oblig!$A$3:$B$55,2,FALSE))),(C173*(VLOOKUP(Remodelacion!$C$22,Seguros_Oblig!$A$3:$D$55,4,FALSE))))))</f>
        <v>#VALUE!</v>
      </c>
      <c r="G174" s="8" t="e">
        <f>IF(Remodelacion!$C$10="TARIFA 1",(C173*(VLOOKUP(Remodelacion!$C$23,Seguros_Oblig!$A$3:$B$55,2,FALSE))),(C173*(VLOOKUP(Remodelacion!$C$23,Seguros_Oblig!$A$3:$D$55,4,FALSE))))</f>
        <v>#VALUE!</v>
      </c>
      <c r="H174" s="8" t="e">
        <f>IF(Remodelacion!$C$10="TARIFA 1",(C173*(VLOOKUP(Remodelacion!$C$24,Seguros_Oblig!$A$3:$B$55,2,FALSE))),(C173*(VLOOKUP(Remodelacion!$C$24,Seguros_Oblig!$A$3:$D$55,4,FALSE))))</f>
        <v>#VALUE!</v>
      </c>
      <c r="I174" s="8" t="e">
        <f>IF(Remodelacion!$C$10="TARIFA 1",(C173*(VLOOKUP(Remodelacion!$C$25,Seguros_Oblig!$A$3:$B$55,2,FALSE))),(C173*(VLOOKUP(Remodelacion!$C$25,Seguros_Oblig!$A$3:$D$55,4,FALSE))))</f>
        <v>#VALUE!</v>
      </c>
      <c r="J174" s="10">
        <f t="shared" si="14"/>
        <v>0</v>
      </c>
      <c r="K174" s="7" t="e">
        <f>IF(RM!$D$11="Si",0,IF(C173&lt;1,"0",Seguros_Oblig!$K$2*Remodelacion!$C$12))</f>
        <v>#VALUE!</v>
      </c>
      <c r="L174" s="7" t="e">
        <f>IF(B174=" ","0",PMT(Remodelacion!$E$17,Remodelacion!$C$18,-Remodelacion!$C$15,,))</f>
        <v>#VALUE!</v>
      </c>
      <c r="M174" s="9" t="e">
        <f t="shared" si="15"/>
        <v>#VALUE!</v>
      </c>
      <c r="N174" s="7" t="e">
        <f>IF(C173&lt;1,"0",Remodelacion!$C$38)</f>
        <v>#VALUE!</v>
      </c>
      <c r="O174" s="9" t="e">
        <f t="shared" si="16"/>
        <v>#VALUE!</v>
      </c>
    </row>
    <row r="175" spans="2:15" ht="15.5" x14ac:dyDescent="0.35">
      <c r="B175" s="6" t="e">
        <f t="shared" si="17"/>
        <v>#VALUE!</v>
      </c>
      <c r="C175" s="7" t="e">
        <f t="shared" si="13"/>
        <v>#VALUE!</v>
      </c>
      <c r="D175" s="7" t="e">
        <f t="shared" si="18"/>
        <v>#VALUE!</v>
      </c>
      <c r="E175" s="7" t="e">
        <f>C174*Remodelacion!$E$17</f>
        <v>#VALUE!</v>
      </c>
      <c r="F175" s="8" t="e">
        <f>IF(C174&lt;1,0,IF(Remodelacion!$D$26="Si",($C$17*(VLOOKUP(Remodelacion!$C$22,Seguros_Oblig!$A$3:$F$55,6,FALSE))),IF(Remodelacion!$C$10="TARIFA 1",(C174*(VLOOKUP(Remodelacion!$C$22,Seguros_Oblig!$A$3:$B$55,2,FALSE))),(C174*(VLOOKUP(Remodelacion!$C$22,Seguros_Oblig!$A$3:$D$55,4,FALSE))))))</f>
        <v>#VALUE!</v>
      </c>
      <c r="G175" s="8" t="e">
        <f>IF(Remodelacion!$C$10="TARIFA 1",(C174*(VLOOKUP(Remodelacion!$C$23,Seguros_Oblig!$A$3:$B$55,2,FALSE))),(C174*(VLOOKUP(Remodelacion!$C$23,Seguros_Oblig!$A$3:$D$55,4,FALSE))))</f>
        <v>#VALUE!</v>
      </c>
      <c r="H175" s="8" t="e">
        <f>IF(Remodelacion!$C$10="TARIFA 1",(C174*(VLOOKUP(Remodelacion!$C$24,Seguros_Oblig!$A$3:$B$55,2,FALSE))),(C174*(VLOOKUP(Remodelacion!$C$24,Seguros_Oblig!$A$3:$D$55,4,FALSE))))</f>
        <v>#VALUE!</v>
      </c>
      <c r="I175" s="8" t="e">
        <f>IF(Remodelacion!$C$10="TARIFA 1",(C174*(VLOOKUP(Remodelacion!$C$25,Seguros_Oblig!$A$3:$B$55,2,FALSE))),(C174*(VLOOKUP(Remodelacion!$C$25,Seguros_Oblig!$A$3:$D$55,4,FALSE))))</f>
        <v>#VALUE!</v>
      </c>
      <c r="J175" s="10">
        <f t="shared" si="14"/>
        <v>0</v>
      </c>
      <c r="K175" s="7" t="e">
        <f>IF(RM!$D$11="Si",0,IF(C174&lt;1,"0",Seguros_Oblig!$K$2*Remodelacion!$C$12))</f>
        <v>#VALUE!</v>
      </c>
      <c r="L175" s="7" t="e">
        <f>IF(B175=" ","0",PMT(Remodelacion!$E$17,Remodelacion!$C$18,-Remodelacion!$C$15,,))</f>
        <v>#VALUE!</v>
      </c>
      <c r="M175" s="9" t="e">
        <f t="shared" si="15"/>
        <v>#VALUE!</v>
      </c>
      <c r="N175" s="7" t="e">
        <f>IF(C174&lt;1,"0",Remodelacion!$C$38)</f>
        <v>#VALUE!</v>
      </c>
      <c r="O175" s="9" t="e">
        <f t="shared" si="16"/>
        <v>#VALUE!</v>
      </c>
    </row>
    <row r="176" spans="2:15" ht="15.5" x14ac:dyDescent="0.35">
      <c r="B176" s="6" t="e">
        <f t="shared" si="17"/>
        <v>#VALUE!</v>
      </c>
      <c r="C176" s="7" t="e">
        <f t="shared" si="13"/>
        <v>#VALUE!</v>
      </c>
      <c r="D176" s="7" t="e">
        <f t="shared" si="18"/>
        <v>#VALUE!</v>
      </c>
      <c r="E176" s="7" t="e">
        <f>C175*Remodelacion!$E$17</f>
        <v>#VALUE!</v>
      </c>
      <c r="F176" s="8" t="e">
        <f>IF(C175&lt;1,0,IF(Remodelacion!$D$26="Si",($C$17*(VLOOKUP(Remodelacion!$C$22,Seguros_Oblig!$A$3:$F$55,6,FALSE))),IF(Remodelacion!$C$10="TARIFA 1",(C175*(VLOOKUP(Remodelacion!$C$22,Seguros_Oblig!$A$3:$B$55,2,FALSE))),(C175*(VLOOKUP(Remodelacion!$C$22,Seguros_Oblig!$A$3:$D$55,4,FALSE))))))</f>
        <v>#VALUE!</v>
      </c>
      <c r="G176" s="8" t="e">
        <f>IF(Remodelacion!$C$10="TARIFA 1",(C175*(VLOOKUP(Remodelacion!$C$23,Seguros_Oblig!$A$3:$B$55,2,FALSE))),(C175*(VLOOKUP(Remodelacion!$C$23,Seguros_Oblig!$A$3:$D$55,4,FALSE))))</f>
        <v>#VALUE!</v>
      </c>
      <c r="H176" s="8" t="e">
        <f>IF(Remodelacion!$C$10="TARIFA 1",(C175*(VLOOKUP(Remodelacion!$C$24,Seguros_Oblig!$A$3:$B$55,2,FALSE))),(C175*(VLOOKUP(Remodelacion!$C$24,Seguros_Oblig!$A$3:$D$55,4,FALSE))))</f>
        <v>#VALUE!</v>
      </c>
      <c r="I176" s="8" t="e">
        <f>IF(Remodelacion!$C$10="TARIFA 1",(C175*(VLOOKUP(Remodelacion!$C$25,Seguros_Oblig!$A$3:$B$55,2,FALSE))),(C175*(VLOOKUP(Remodelacion!$C$25,Seguros_Oblig!$A$3:$D$55,4,FALSE))))</f>
        <v>#VALUE!</v>
      </c>
      <c r="J176" s="10">
        <f t="shared" si="14"/>
        <v>0</v>
      </c>
      <c r="K176" s="7" t="e">
        <f>IF(RM!$D$11="Si",0,IF(C175&lt;1,"0",Seguros_Oblig!$K$2*Remodelacion!$C$12))</f>
        <v>#VALUE!</v>
      </c>
      <c r="L176" s="7" t="e">
        <f>IF(B176=" ","0",PMT(Remodelacion!$E$17,Remodelacion!$C$18,-Remodelacion!$C$15,,))</f>
        <v>#VALUE!</v>
      </c>
      <c r="M176" s="9" t="e">
        <f t="shared" si="15"/>
        <v>#VALUE!</v>
      </c>
      <c r="N176" s="7" t="e">
        <f>IF(C175&lt;1,"0",Remodelacion!$C$38)</f>
        <v>#VALUE!</v>
      </c>
      <c r="O176" s="9" t="e">
        <f t="shared" si="16"/>
        <v>#VALUE!</v>
      </c>
    </row>
    <row r="177" spans="2:15" ht="15.5" x14ac:dyDescent="0.35">
      <c r="B177" s="6" t="e">
        <f t="shared" si="17"/>
        <v>#VALUE!</v>
      </c>
      <c r="C177" s="7" t="e">
        <f t="shared" si="13"/>
        <v>#VALUE!</v>
      </c>
      <c r="D177" s="7" t="e">
        <f t="shared" si="18"/>
        <v>#VALUE!</v>
      </c>
      <c r="E177" s="7" t="e">
        <f>C176*Remodelacion!$E$17</f>
        <v>#VALUE!</v>
      </c>
      <c r="F177" s="8" t="e">
        <f>IF(C176&lt;1,0,IF(Remodelacion!$D$26="Si",($C$17*(VLOOKUP(Remodelacion!$C$22,Seguros_Oblig!$A$3:$F$55,6,FALSE))),IF(Remodelacion!$C$10="TARIFA 1",(C176*(VLOOKUP(Remodelacion!$C$22,Seguros_Oblig!$A$3:$B$55,2,FALSE))),(C176*(VLOOKUP(Remodelacion!$C$22,Seguros_Oblig!$A$3:$D$55,4,FALSE))))))</f>
        <v>#VALUE!</v>
      </c>
      <c r="G177" s="8" t="e">
        <f>IF(Remodelacion!$C$10="TARIFA 1",(C176*(VLOOKUP(Remodelacion!$C$23,Seguros_Oblig!$A$3:$B$55,2,FALSE))),(C176*(VLOOKUP(Remodelacion!$C$23,Seguros_Oblig!$A$3:$D$55,4,FALSE))))</f>
        <v>#VALUE!</v>
      </c>
      <c r="H177" s="8" t="e">
        <f>IF(Remodelacion!$C$10="TARIFA 1",(C176*(VLOOKUP(Remodelacion!$C$24,Seguros_Oblig!$A$3:$B$55,2,FALSE))),(C176*(VLOOKUP(Remodelacion!$C$24,Seguros_Oblig!$A$3:$D$55,4,FALSE))))</f>
        <v>#VALUE!</v>
      </c>
      <c r="I177" s="8" t="e">
        <f>IF(Remodelacion!$C$10="TARIFA 1",(C176*(VLOOKUP(Remodelacion!$C$25,Seguros_Oblig!$A$3:$B$55,2,FALSE))),(C176*(VLOOKUP(Remodelacion!$C$25,Seguros_Oblig!$A$3:$D$55,4,FALSE))))</f>
        <v>#VALUE!</v>
      </c>
      <c r="J177" s="10">
        <f t="shared" si="14"/>
        <v>0</v>
      </c>
      <c r="K177" s="7" t="e">
        <f>IF(RM!$D$11="Si",0,IF(C176&lt;1,"0",Seguros_Oblig!$K$2*Remodelacion!$C$12))</f>
        <v>#VALUE!</v>
      </c>
      <c r="L177" s="7" t="e">
        <f>IF(B177=" ","0",PMT(Remodelacion!$E$17,Remodelacion!$C$18,-Remodelacion!$C$15,,))</f>
        <v>#VALUE!</v>
      </c>
      <c r="M177" s="9" t="e">
        <f t="shared" si="15"/>
        <v>#VALUE!</v>
      </c>
      <c r="N177" s="7" t="e">
        <f>IF(C176&lt;1,"0",Remodelacion!$C$38)</f>
        <v>#VALUE!</v>
      </c>
      <c r="O177" s="9" t="e">
        <f t="shared" si="16"/>
        <v>#VALUE!</v>
      </c>
    </row>
    <row r="178" spans="2:15" ht="15.5" x14ac:dyDescent="0.35">
      <c r="B178" s="6" t="e">
        <f t="shared" si="17"/>
        <v>#VALUE!</v>
      </c>
      <c r="C178" s="7" t="e">
        <f t="shared" si="13"/>
        <v>#VALUE!</v>
      </c>
      <c r="D178" s="7" t="e">
        <f t="shared" si="18"/>
        <v>#VALUE!</v>
      </c>
      <c r="E178" s="7" t="e">
        <f>C177*Remodelacion!$E$17</f>
        <v>#VALUE!</v>
      </c>
      <c r="F178" s="8" t="e">
        <f>IF(C177&lt;1,0,IF(Remodelacion!$D$26="Si",($C$17*(VLOOKUP(Remodelacion!$C$22,Seguros_Oblig!$A$3:$F$55,6,FALSE))),IF(Remodelacion!$C$10="TARIFA 1",(C177*(VLOOKUP(Remodelacion!$C$22,Seguros_Oblig!$A$3:$B$55,2,FALSE))),(C177*(VLOOKUP(Remodelacion!$C$22,Seguros_Oblig!$A$3:$D$55,4,FALSE))))))</f>
        <v>#VALUE!</v>
      </c>
      <c r="G178" s="8" t="e">
        <f>IF(Remodelacion!$C$10="TARIFA 1",(C177*(VLOOKUP(Remodelacion!$C$23,Seguros_Oblig!$A$3:$B$55,2,FALSE))),(C177*(VLOOKUP(Remodelacion!$C$23,Seguros_Oblig!$A$3:$D$55,4,FALSE))))</f>
        <v>#VALUE!</v>
      </c>
      <c r="H178" s="8" t="e">
        <f>IF(Remodelacion!$C$10="TARIFA 1",(C177*(VLOOKUP(Remodelacion!$C$24,Seguros_Oblig!$A$3:$B$55,2,FALSE))),(C177*(VLOOKUP(Remodelacion!$C$24,Seguros_Oblig!$A$3:$D$55,4,FALSE))))</f>
        <v>#VALUE!</v>
      </c>
      <c r="I178" s="8" t="e">
        <f>IF(Remodelacion!$C$10="TARIFA 1",(C177*(VLOOKUP(Remodelacion!$C$25,Seguros_Oblig!$A$3:$B$55,2,FALSE))),(C177*(VLOOKUP(Remodelacion!$C$25,Seguros_Oblig!$A$3:$D$55,4,FALSE))))</f>
        <v>#VALUE!</v>
      </c>
      <c r="J178" s="10">
        <f t="shared" si="14"/>
        <v>0</v>
      </c>
      <c r="K178" s="7" t="e">
        <f>IF(RM!$D$11="Si",0,IF(C177&lt;1,"0",Seguros_Oblig!$K$2*Remodelacion!$C$12))</f>
        <v>#VALUE!</v>
      </c>
      <c r="L178" s="7" t="e">
        <f>IF(B178=" ","0",PMT(Remodelacion!$E$17,Remodelacion!$C$18,-Remodelacion!$C$15,,))</f>
        <v>#VALUE!</v>
      </c>
      <c r="M178" s="9" t="e">
        <f t="shared" si="15"/>
        <v>#VALUE!</v>
      </c>
      <c r="N178" s="7" t="e">
        <f>IF(C177&lt;1,"0",Remodelacion!$C$38)</f>
        <v>#VALUE!</v>
      </c>
      <c r="O178" s="9" t="e">
        <f t="shared" si="16"/>
        <v>#VALUE!</v>
      </c>
    </row>
    <row r="179" spans="2:15" ht="15.5" x14ac:dyDescent="0.35">
      <c r="B179" s="6" t="e">
        <f t="shared" si="17"/>
        <v>#VALUE!</v>
      </c>
      <c r="C179" s="7" t="e">
        <f t="shared" si="13"/>
        <v>#VALUE!</v>
      </c>
      <c r="D179" s="7" t="e">
        <f t="shared" si="18"/>
        <v>#VALUE!</v>
      </c>
      <c r="E179" s="7" t="e">
        <f>C178*Remodelacion!$E$17</f>
        <v>#VALUE!</v>
      </c>
      <c r="F179" s="8" t="e">
        <f>IF(C178&lt;1,0,IF(Remodelacion!$D$26="Si",($C$17*(VLOOKUP(Remodelacion!$C$22,Seguros_Oblig!$A$3:$F$55,6,FALSE))),IF(Remodelacion!$C$10="TARIFA 1",(C178*(VLOOKUP(Remodelacion!$C$22,Seguros_Oblig!$A$3:$B$55,2,FALSE))),(C178*(VLOOKUP(Remodelacion!$C$22,Seguros_Oblig!$A$3:$D$55,4,FALSE))))))</f>
        <v>#VALUE!</v>
      </c>
      <c r="G179" s="8" t="e">
        <f>IF(Remodelacion!$C$10="TARIFA 1",(C178*(VLOOKUP(Remodelacion!$C$23,Seguros_Oblig!$A$3:$B$55,2,FALSE))),(C178*(VLOOKUP(Remodelacion!$C$23,Seguros_Oblig!$A$3:$D$55,4,FALSE))))</f>
        <v>#VALUE!</v>
      </c>
      <c r="H179" s="8" t="e">
        <f>IF(Remodelacion!$C$10="TARIFA 1",(C178*(VLOOKUP(Remodelacion!$C$24,Seguros_Oblig!$A$3:$B$55,2,FALSE))),(C178*(VLOOKUP(Remodelacion!$C$24,Seguros_Oblig!$A$3:$D$55,4,FALSE))))</f>
        <v>#VALUE!</v>
      </c>
      <c r="I179" s="8" t="e">
        <f>IF(Remodelacion!$C$10="TARIFA 1",(C178*(VLOOKUP(Remodelacion!$C$25,Seguros_Oblig!$A$3:$B$55,2,FALSE))),(C178*(VLOOKUP(Remodelacion!$C$25,Seguros_Oblig!$A$3:$D$55,4,FALSE))))</f>
        <v>#VALUE!</v>
      </c>
      <c r="J179" s="10">
        <f t="shared" si="14"/>
        <v>0</v>
      </c>
      <c r="K179" s="7" t="e">
        <f>IF(RM!$D$11="Si",0,IF(C178&lt;1,"0",Seguros_Oblig!$K$2*Remodelacion!$C$12))</f>
        <v>#VALUE!</v>
      </c>
      <c r="L179" s="7" t="e">
        <f>IF(B179=" ","0",PMT(Remodelacion!$E$17,Remodelacion!$C$18,-Remodelacion!$C$15,,))</f>
        <v>#VALUE!</v>
      </c>
      <c r="M179" s="9" t="e">
        <f t="shared" si="15"/>
        <v>#VALUE!</v>
      </c>
      <c r="N179" s="7" t="e">
        <f>IF(C178&lt;1,"0",Remodelacion!$C$38)</f>
        <v>#VALUE!</v>
      </c>
      <c r="O179" s="9" t="e">
        <f t="shared" si="16"/>
        <v>#VALUE!</v>
      </c>
    </row>
    <row r="180" spans="2:15" ht="15.5" x14ac:dyDescent="0.35">
      <c r="B180" s="6" t="e">
        <f t="shared" si="17"/>
        <v>#VALUE!</v>
      </c>
      <c r="C180" s="7" t="e">
        <f t="shared" si="13"/>
        <v>#VALUE!</v>
      </c>
      <c r="D180" s="7" t="e">
        <f t="shared" si="18"/>
        <v>#VALUE!</v>
      </c>
      <c r="E180" s="7" t="e">
        <f>C179*Remodelacion!$E$17</f>
        <v>#VALUE!</v>
      </c>
      <c r="F180" s="8" t="e">
        <f>IF(C179&lt;1,0,IF(Remodelacion!$D$26="Si",($C$17*(VLOOKUP(Remodelacion!$C$22,Seguros_Oblig!$A$3:$F$55,6,FALSE))),IF(Remodelacion!$C$10="TARIFA 1",(C179*(VLOOKUP(Remodelacion!$C$22,Seguros_Oblig!$A$3:$B$55,2,FALSE))),(C179*(VLOOKUP(Remodelacion!$C$22,Seguros_Oblig!$A$3:$D$55,4,FALSE))))))</f>
        <v>#VALUE!</v>
      </c>
      <c r="G180" s="8" t="e">
        <f>IF(Remodelacion!$C$10="TARIFA 1",(C179*(VLOOKUP(Remodelacion!$C$23,Seguros_Oblig!$A$3:$B$55,2,FALSE))),(C179*(VLOOKUP(Remodelacion!$C$23,Seguros_Oblig!$A$3:$D$55,4,FALSE))))</f>
        <v>#VALUE!</v>
      </c>
      <c r="H180" s="8" t="e">
        <f>IF(Remodelacion!$C$10="TARIFA 1",(C179*(VLOOKUP(Remodelacion!$C$24,Seguros_Oblig!$A$3:$B$55,2,FALSE))),(C179*(VLOOKUP(Remodelacion!$C$24,Seguros_Oblig!$A$3:$D$55,4,FALSE))))</f>
        <v>#VALUE!</v>
      </c>
      <c r="I180" s="8" t="e">
        <f>IF(Remodelacion!$C$10="TARIFA 1",(C179*(VLOOKUP(Remodelacion!$C$25,Seguros_Oblig!$A$3:$B$55,2,FALSE))),(C179*(VLOOKUP(Remodelacion!$C$25,Seguros_Oblig!$A$3:$D$55,4,FALSE))))</f>
        <v>#VALUE!</v>
      </c>
      <c r="J180" s="10">
        <f t="shared" si="14"/>
        <v>0</v>
      </c>
      <c r="K180" s="7" t="e">
        <f>IF(RM!$D$11="Si",0,IF(C179&lt;1,"0",Seguros_Oblig!$K$2*Remodelacion!$C$12))</f>
        <v>#VALUE!</v>
      </c>
      <c r="L180" s="7" t="e">
        <f>IF(B180=" ","0",PMT(Remodelacion!$E$17,Remodelacion!$C$18,-Remodelacion!$C$15,,))</f>
        <v>#VALUE!</v>
      </c>
      <c r="M180" s="9" t="e">
        <f t="shared" si="15"/>
        <v>#VALUE!</v>
      </c>
      <c r="N180" s="7" t="e">
        <f>IF(C179&lt;1,"0",Remodelacion!$C$38)</f>
        <v>#VALUE!</v>
      </c>
      <c r="O180" s="9" t="e">
        <f t="shared" si="16"/>
        <v>#VALUE!</v>
      </c>
    </row>
    <row r="181" spans="2:15" ht="15.5" x14ac:dyDescent="0.35">
      <c r="B181" s="6" t="e">
        <f t="shared" si="17"/>
        <v>#VALUE!</v>
      </c>
      <c r="C181" s="7" t="e">
        <f t="shared" si="13"/>
        <v>#VALUE!</v>
      </c>
      <c r="D181" s="7" t="e">
        <f t="shared" si="18"/>
        <v>#VALUE!</v>
      </c>
      <c r="E181" s="7" t="e">
        <f>C180*Remodelacion!$E$17</f>
        <v>#VALUE!</v>
      </c>
      <c r="F181" s="8" t="e">
        <f>IF(C180&lt;1,0,IF(Remodelacion!$D$26="Si",($C$17*(VLOOKUP(Remodelacion!$C$22,Seguros_Oblig!$A$3:$F$55,6,FALSE))),IF(Remodelacion!$C$10="TARIFA 1",(C180*(VLOOKUP(Remodelacion!$C$22,Seguros_Oblig!$A$3:$B$55,2,FALSE))),(C180*(VLOOKUP(Remodelacion!$C$22,Seguros_Oblig!$A$3:$D$55,4,FALSE))))))</f>
        <v>#VALUE!</v>
      </c>
      <c r="G181" s="8" t="e">
        <f>IF(Remodelacion!$C$10="TARIFA 1",(C180*(VLOOKUP(Remodelacion!$C$23,Seguros_Oblig!$A$3:$B$55,2,FALSE))),(C180*(VLOOKUP(Remodelacion!$C$23,Seguros_Oblig!$A$3:$D$55,4,FALSE))))</f>
        <v>#VALUE!</v>
      </c>
      <c r="H181" s="8" t="e">
        <f>IF(Remodelacion!$C$10="TARIFA 1",(C180*(VLOOKUP(Remodelacion!$C$24,Seguros_Oblig!$A$3:$B$55,2,FALSE))),(C180*(VLOOKUP(Remodelacion!$C$24,Seguros_Oblig!$A$3:$D$55,4,FALSE))))</f>
        <v>#VALUE!</v>
      </c>
      <c r="I181" s="8" t="e">
        <f>IF(Remodelacion!$C$10="TARIFA 1",(C180*(VLOOKUP(Remodelacion!$C$25,Seguros_Oblig!$A$3:$B$55,2,FALSE))),(C180*(VLOOKUP(Remodelacion!$C$25,Seguros_Oblig!$A$3:$D$55,4,FALSE))))</f>
        <v>#VALUE!</v>
      </c>
      <c r="J181" s="10">
        <f t="shared" si="14"/>
        <v>0</v>
      </c>
      <c r="K181" s="7" t="e">
        <f>IF(RM!$D$11="Si",0,IF(C180&lt;1,"0",Seguros_Oblig!$K$2*Remodelacion!$C$12))</f>
        <v>#VALUE!</v>
      </c>
      <c r="L181" s="7" t="e">
        <f>IF(B181=" ","0",PMT(Remodelacion!$E$17,Remodelacion!$C$18,-Remodelacion!$C$15,,))</f>
        <v>#VALUE!</v>
      </c>
      <c r="M181" s="9" t="e">
        <f t="shared" si="15"/>
        <v>#VALUE!</v>
      </c>
      <c r="N181" s="7" t="e">
        <f>IF(C180&lt;1,"0",Remodelacion!$C$38)</f>
        <v>#VALUE!</v>
      </c>
      <c r="O181" s="9" t="e">
        <f t="shared" si="16"/>
        <v>#VALUE!</v>
      </c>
    </row>
    <row r="182" spans="2:15" ht="15.5" x14ac:dyDescent="0.35">
      <c r="B182" s="6" t="e">
        <f t="shared" si="17"/>
        <v>#VALUE!</v>
      </c>
      <c r="C182" s="7" t="e">
        <f t="shared" si="13"/>
        <v>#VALUE!</v>
      </c>
      <c r="D182" s="7" t="e">
        <f t="shared" si="18"/>
        <v>#VALUE!</v>
      </c>
      <c r="E182" s="7" t="e">
        <f>C181*Remodelacion!$E$17</f>
        <v>#VALUE!</v>
      </c>
      <c r="F182" s="8" t="e">
        <f>IF(C181&lt;1,0,IF(Remodelacion!$D$26="Si",($C$17*(VLOOKUP(Remodelacion!$C$22,Seguros_Oblig!$A$3:$F$55,6,FALSE))),IF(Remodelacion!$C$10="TARIFA 1",(C181*(VLOOKUP(Remodelacion!$C$22,Seguros_Oblig!$A$3:$B$55,2,FALSE))),(C181*(VLOOKUP(Remodelacion!$C$22,Seguros_Oblig!$A$3:$D$55,4,FALSE))))))</f>
        <v>#VALUE!</v>
      </c>
      <c r="G182" s="8" t="e">
        <f>IF(Remodelacion!$C$10="TARIFA 1",(C181*(VLOOKUP(Remodelacion!$C$23,Seguros_Oblig!$A$3:$B$55,2,FALSE))),(C181*(VLOOKUP(Remodelacion!$C$23,Seguros_Oblig!$A$3:$D$55,4,FALSE))))</f>
        <v>#VALUE!</v>
      </c>
      <c r="H182" s="8" t="e">
        <f>IF(Remodelacion!$C$10="TARIFA 1",(C181*(VLOOKUP(Remodelacion!$C$24,Seguros_Oblig!$A$3:$B$55,2,FALSE))),(C181*(VLOOKUP(Remodelacion!$C$24,Seguros_Oblig!$A$3:$D$55,4,FALSE))))</f>
        <v>#VALUE!</v>
      </c>
      <c r="I182" s="8" t="e">
        <f>IF(Remodelacion!$C$10="TARIFA 1",(C181*(VLOOKUP(Remodelacion!$C$25,Seguros_Oblig!$A$3:$B$55,2,FALSE))),(C181*(VLOOKUP(Remodelacion!$C$25,Seguros_Oblig!$A$3:$D$55,4,FALSE))))</f>
        <v>#VALUE!</v>
      </c>
      <c r="J182" s="10">
        <f t="shared" si="14"/>
        <v>0</v>
      </c>
      <c r="K182" s="7" t="e">
        <f>IF(RM!$D$11="Si",0,IF(C181&lt;1,"0",Seguros_Oblig!$K$2*Remodelacion!$C$12))</f>
        <v>#VALUE!</v>
      </c>
      <c r="L182" s="7" t="e">
        <f>IF(B182=" ","0",PMT(Remodelacion!$E$17,Remodelacion!$C$18,-Remodelacion!$C$15,,))</f>
        <v>#VALUE!</v>
      </c>
      <c r="M182" s="9" t="e">
        <f t="shared" si="15"/>
        <v>#VALUE!</v>
      </c>
      <c r="N182" s="7" t="e">
        <f>IF(C181&lt;1,"0",Remodelacion!$C$38)</f>
        <v>#VALUE!</v>
      </c>
      <c r="O182" s="9" t="e">
        <f t="shared" si="16"/>
        <v>#VALUE!</v>
      </c>
    </row>
    <row r="183" spans="2:15" ht="15.5" x14ac:dyDescent="0.35">
      <c r="B183" s="6" t="e">
        <f t="shared" si="17"/>
        <v>#VALUE!</v>
      </c>
      <c r="C183" s="7" t="e">
        <f t="shared" si="13"/>
        <v>#VALUE!</v>
      </c>
      <c r="D183" s="7" t="e">
        <f t="shared" si="18"/>
        <v>#VALUE!</v>
      </c>
      <c r="E183" s="7" t="e">
        <f>C182*Remodelacion!$E$17</f>
        <v>#VALUE!</v>
      </c>
      <c r="F183" s="8" t="e">
        <f>IF(C182&lt;1,0,IF(Remodelacion!$D$26="Si",($C$17*(VLOOKUP(Remodelacion!$C$22,Seguros_Oblig!$A$3:$F$55,6,FALSE))),IF(Remodelacion!$C$10="TARIFA 1",(C182*(VLOOKUP(Remodelacion!$C$22,Seguros_Oblig!$A$3:$B$55,2,FALSE))),(C182*(VLOOKUP(Remodelacion!$C$22,Seguros_Oblig!$A$3:$D$55,4,FALSE))))))</f>
        <v>#VALUE!</v>
      </c>
      <c r="G183" s="8" t="e">
        <f>IF(Remodelacion!$C$10="TARIFA 1",(C182*(VLOOKUP(Remodelacion!$C$23,Seguros_Oblig!$A$3:$B$55,2,FALSE))),(C182*(VLOOKUP(Remodelacion!$C$23,Seguros_Oblig!$A$3:$D$55,4,FALSE))))</f>
        <v>#VALUE!</v>
      </c>
      <c r="H183" s="8" t="e">
        <f>IF(Remodelacion!$C$10="TARIFA 1",(C182*(VLOOKUP(Remodelacion!$C$24,Seguros_Oblig!$A$3:$B$55,2,FALSE))),(C182*(VLOOKUP(Remodelacion!$C$24,Seguros_Oblig!$A$3:$D$55,4,FALSE))))</f>
        <v>#VALUE!</v>
      </c>
      <c r="I183" s="8" t="e">
        <f>IF(Remodelacion!$C$10="TARIFA 1",(C182*(VLOOKUP(Remodelacion!$C$25,Seguros_Oblig!$A$3:$B$55,2,FALSE))),(C182*(VLOOKUP(Remodelacion!$C$25,Seguros_Oblig!$A$3:$D$55,4,FALSE))))</f>
        <v>#VALUE!</v>
      </c>
      <c r="J183" s="10">
        <f t="shared" si="14"/>
        <v>0</v>
      </c>
      <c r="K183" s="7" t="e">
        <f>IF(RM!$D$11="Si",0,IF(C182&lt;1,"0",Seguros_Oblig!$K$2*Remodelacion!$C$12))</f>
        <v>#VALUE!</v>
      </c>
      <c r="L183" s="7" t="e">
        <f>IF(B183=" ","0",PMT(Remodelacion!$E$17,Remodelacion!$C$18,-Remodelacion!$C$15,,))</f>
        <v>#VALUE!</v>
      </c>
      <c r="M183" s="9" t="e">
        <f t="shared" si="15"/>
        <v>#VALUE!</v>
      </c>
      <c r="N183" s="7" t="e">
        <f>IF(C182&lt;1,"0",Remodelacion!$C$38)</f>
        <v>#VALUE!</v>
      </c>
      <c r="O183" s="9" t="e">
        <f t="shared" si="16"/>
        <v>#VALUE!</v>
      </c>
    </row>
    <row r="184" spans="2:15" ht="15.5" x14ac:dyDescent="0.35">
      <c r="B184" s="6" t="e">
        <f t="shared" si="17"/>
        <v>#VALUE!</v>
      </c>
      <c r="C184" s="7" t="e">
        <f t="shared" si="13"/>
        <v>#VALUE!</v>
      </c>
      <c r="D184" s="7" t="e">
        <f t="shared" si="18"/>
        <v>#VALUE!</v>
      </c>
      <c r="E184" s="7" t="e">
        <f>C183*Remodelacion!$E$17</f>
        <v>#VALUE!</v>
      </c>
      <c r="F184" s="8" t="e">
        <f>IF(C183&lt;1,0,IF(Remodelacion!$D$26="Si",($C$17*(VLOOKUP(Remodelacion!$C$22,Seguros_Oblig!$A$3:$F$55,6,FALSE))),IF(Remodelacion!$C$10="TARIFA 1",(C183*(VLOOKUP(Remodelacion!$C$22,Seguros_Oblig!$A$3:$B$55,2,FALSE))),(C183*(VLOOKUP(Remodelacion!$C$22,Seguros_Oblig!$A$3:$D$55,4,FALSE))))))</f>
        <v>#VALUE!</v>
      </c>
      <c r="G184" s="8" t="e">
        <f>IF(Remodelacion!$C$10="TARIFA 1",(C183*(VLOOKUP(Remodelacion!$C$23,Seguros_Oblig!$A$3:$B$55,2,FALSE))),(C183*(VLOOKUP(Remodelacion!$C$23,Seguros_Oblig!$A$3:$D$55,4,FALSE))))</f>
        <v>#VALUE!</v>
      </c>
      <c r="H184" s="8" t="e">
        <f>IF(Remodelacion!$C$10="TARIFA 1",(C183*(VLOOKUP(Remodelacion!$C$24,Seguros_Oblig!$A$3:$B$55,2,FALSE))),(C183*(VLOOKUP(Remodelacion!$C$24,Seguros_Oblig!$A$3:$D$55,4,FALSE))))</f>
        <v>#VALUE!</v>
      </c>
      <c r="I184" s="8" t="e">
        <f>IF(Remodelacion!$C$10="TARIFA 1",(C183*(VLOOKUP(Remodelacion!$C$25,Seguros_Oblig!$A$3:$B$55,2,FALSE))),(C183*(VLOOKUP(Remodelacion!$C$25,Seguros_Oblig!$A$3:$D$55,4,FALSE))))</f>
        <v>#VALUE!</v>
      </c>
      <c r="J184" s="10">
        <f t="shared" si="14"/>
        <v>0</v>
      </c>
      <c r="K184" s="7" t="e">
        <f>IF(RM!$D$11="Si",0,IF(C183&lt;1,"0",Seguros_Oblig!$K$2*Remodelacion!$C$12))</f>
        <v>#VALUE!</v>
      </c>
      <c r="L184" s="7" t="e">
        <f>IF(B184=" ","0",PMT(Remodelacion!$E$17,Remodelacion!$C$18,-Remodelacion!$C$15,,))</f>
        <v>#VALUE!</v>
      </c>
      <c r="M184" s="9" t="e">
        <f t="shared" si="15"/>
        <v>#VALUE!</v>
      </c>
      <c r="N184" s="7" t="e">
        <f>IF(C183&lt;1,"0",Remodelacion!$C$38)</f>
        <v>#VALUE!</v>
      </c>
      <c r="O184" s="9" t="e">
        <f t="shared" si="16"/>
        <v>#VALUE!</v>
      </c>
    </row>
    <row r="185" spans="2:15" ht="15.5" x14ac:dyDescent="0.35">
      <c r="B185" s="6" t="e">
        <f t="shared" si="17"/>
        <v>#VALUE!</v>
      </c>
      <c r="C185" s="7" t="e">
        <f t="shared" si="13"/>
        <v>#VALUE!</v>
      </c>
      <c r="D185" s="7" t="e">
        <f t="shared" si="18"/>
        <v>#VALUE!</v>
      </c>
      <c r="E185" s="7" t="e">
        <f>C184*Remodelacion!$E$17</f>
        <v>#VALUE!</v>
      </c>
      <c r="F185" s="8" t="e">
        <f>IF(C184&lt;1,0,IF(Remodelacion!$D$26="Si",($C$17*(VLOOKUP(Remodelacion!$C$22,Seguros_Oblig!$A$3:$F$55,6,FALSE))),IF(Remodelacion!$C$10="TARIFA 1",(C184*(VLOOKUP(Remodelacion!$C$22,Seguros_Oblig!$A$3:$B$55,2,FALSE))),(C184*(VLOOKUP(Remodelacion!$C$22,Seguros_Oblig!$A$3:$D$55,4,FALSE))))))</f>
        <v>#VALUE!</v>
      </c>
      <c r="G185" s="8" t="e">
        <f>IF(Remodelacion!$C$10="TARIFA 1",(C184*(VLOOKUP(Remodelacion!$C$23,Seguros_Oblig!$A$3:$B$55,2,FALSE))),(C184*(VLOOKUP(Remodelacion!$C$23,Seguros_Oblig!$A$3:$D$55,4,FALSE))))</f>
        <v>#VALUE!</v>
      </c>
      <c r="H185" s="8" t="e">
        <f>IF(Remodelacion!$C$10="TARIFA 1",(C184*(VLOOKUP(Remodelacion!$C$24,Seguros_Oblig!$A$3:$B$55,2,FALSE))),(C184*(VLOOKUP(Remodelacion!$C$24,Seguros_Oblig!$A$3:$D$55,4,FALSE))))</f>
        <v>#VALUE!</v>
      </c>
      <c r="I185" s="8" t="e">
        <f>IF(Remodelacion!$C$10="TARIFA 1",(C184*(VLOOKUP(Remodelacion!$C$25,Seguros_Oblig!$A$3:$B$55,2,FALSE))),(C184*(VLOOKUP(Remodelacion!$C$25,Seguros_Oblig!$A$3:$D$55,4,FALSE))))</f>
        <v>#VALUE!</v>
      </c>
      <c r="J185" s="10">
        <f t="shared" si="14"/>
        <v>0</v>
      </c>
      <c r="K185" s="7" t="e">
        <f>IF(RM!$D$11="Si",0,IF(C184&lt;1,"0",Seguros_Oblig!$K$2*Remodelacion!$C$12))</f>
        <v>#VALUE!</v>
      </c>
      <c r="L185" s="7" t="e">
        <f>IF(B185=" ","0",PMT(Remodelacion!$E$17,Remodelacion!$C$18,-Remodelacion!$C$15,,))</f>
        <v>#VALUE!</v>
      </c>
      <c r="M185" s="9" t="e">
        <f t="shared" si="15"/>
        <v>#VALUE!</v>
      </c>
      <c r="N185" s="7" t="e">
        <f>IF(C184&lt;1,"0",Remodelacion!$C$38)</f>
        <v>#VALUE!</v>
      </c>
      <c r="O185" s="9" t="e">
        <f t="shared" si="16"/>
        <v>#VALUE!</v>
      </c>
    </row>
    <row r="186" spans="2:15" ht="15.5" x14ac:dyDescent="0.35">
      <c r="B186" s="6" t="e">
        <f t="shared" si="17"/>
        <v>#VALUE!</v>
      </c>
      <c r="C186" s="7" t="e">
        <f t="shared" si="13"/>
        <v>#VALUE!</v>
      </c>
      <c r="D186" s="7" t="e">
        <f t="shared" si="18"/>
        <v>#VALUE!</v>
      </c>
      <c r="E186" s="7" t="e">
        <f>C185*Remodelacion!$E$17</f>
        <v>#VALUE!</v>
      </c>
      <c r="F186" s="8" t="e">
        <f>IF(C185&lt;1,0,IF(Remodelacion!$D$26="Si",($C$17*(VLOOKUP(Remodelacion!$C$22,Seguros_Oblig!$A$3:$F$55,6,FALSE))),IF(Remodelacion!$C$10="TARIFA 1",(C185*(VLOOKUP(Remodelacion!$C$22,Seguros_Oblig!$A$3:$B$55,2,FALSE))),(C185*(VLOOKUP(Remodelacion!$C$22,Seguros_Oblig!$A$3:$D$55,4,FALSE))))))</f>
        <v>#VALUE!</v>
      </c>
      <c r="G186" s="8" t="e">
        <f>IF(Remodelacion!$C$10="TARIFA 1",(C185*(VLOOKUP(Remodelacion!$C$23,Seguros_Oblig!$A$3:$B$55,2,FALSE))),(C185*(VLOOKUP(Remodelacion!$C$23,Seguros_Oblig!$A$3:$D$55,4,FALSE))))</f>
        <v>#VALUE!</v>
      </c>
      <c r="H186" s="8" t="e">
        <f>IF(Remodelacion!$C$10="TARIFA 1",(C185*(VLOOKUP(Remodelacion!$C$24,Seguros_Oblig!$A$3:$B$55,2,FALSE))),(C185*(VLOOKUP(Remodelacion!$C$24,Seguros_Oblig!$A$3:$D$55,4,FALSE))))</f>
        <v>#VALUE!</v>
      </c>
      <c r="I186" s="8" t="e">
        <f>IF(Remodelacion!$C$10="TARIFA 1",(C185*(VLOOKUP(Remodelacion!$C$25,Seguros_Oblig!$A$3:$B$55,2,FALSE))),(C185*(VLOOKUP(Remodelacion!$C$25,Seguros_Oblig!$A$3:$D$55,4,FALSE))))</f>
        <v>#VALUE!</v>
      </c>
      <c r="J186" s="10">
        <f t="shared" si="14"/>
        <v>0</v>
      </c>
      <c r="K186" s="7" t="e">
        <f>IF(RM!$D$11="Si",0,IF(C185&lt;1,"0",Seguros_Oblig!$K$2*Remodelacion!$C$12))</f>
        <v>#VALUE!</v>
      </c>
      <c r="L186" s="7" t="e">
        <f>IF(B186=" ","0",PMT(Remodelacion!$E$17,Remodelacion!$C$18,-Remodelacion!$C$15,,))</f>
        <v>#VALUE!</v>
      </c>
      <c r="M186" s="9" t="e">
        <f t="shared" si="15"/>
        <v>#VALUE!</v>
      </c>
      <c r="N186" s="7" t="e">
        <f>IF(C185&lt;1,"0",Remodelacion!$C$38)</f>
        <v>#VALUE!</v>
      </c>
      <c r="O186" s="9" t="e">
        <f t="shared" si="16"/>
        <v>#VALUE!</v>
      </c>
    </row>
    <row r="187" spans="2:15" ht="15.5" x14ac:dyDescent="0.35">
      <c r="B187" s="6" t="e">
        <f t="shared" si="17"/>
        <v>#VALUE!</v>
      </c>
      <c r="C187" s="7" t="e">
        <f t="shared" si="13"/>
        <v>#VALUE!</v>
      </c>
      <c r="D187" s="7" t="e">
        <f t="shared" si="18"/>
        <v>#VALUE!</v>
      </c>
      <c r="E187" s="7" t="e">
        <f>C186*Remodelacion!$E$17</f>
        <v>#VALUE!</v>
      </c>
      <c r="F187" s="8" t="e">
        <f>IF(C186&lt;1,0,IF(Remodelacion!$D$26="Si",($C$17*(VLOOKUP(Remodelacion!$C$22,Seguros_Oblig!$A$3:$F$55,6,FALSE))),IF(Remodelacion!$C$10="TARIFA 1",(C186*(VLOOKUP(Remodelacion!$C$22,Seguros_Oblig!$A$3:$B$55,2,FALSE))),(C186*(VLOOKUP(Remodelacion!$C$22,Seguros_Oblig!$A$3:$D$55,4,FALSE))))))</f>
        <v>#VALUE!</v>
      </c>
      <c r="G187" s="8" t="e">
        <f>IF(Remodelacion!$C$10="TARIFA 1",(C186*(VLOOKUP(Remodelacion!$C$23,Seguros_Oblig!$A$3:$B$55,2,FALSE))),(C186*(VLOOKUP(Remodelacion!$C$23,Seguros_Oblig!$A$3:$D$55,4,FALSE))))</f>
        <v>#VALUE!</v>
      </c>
      <c r="H187" s="8" t="e">
        <f>IF(Remodelacion!$C$10="TARIFA 1",(C186*(VLOOKUP(Remodelacion!$C$24,Seguros_Oblig!$A$3:$B$55,2,FALSE))),(C186*(VLOOKUP(Remodelacion!$C$24,Seguros_Oblig!$A$3:$D$55,4,FALSE))))</f>
        <v>#VALUE!</v>
      </c>
      <c r="I187" s="8" t="e">
        <f>IF(Remodelacion!$C$10="TARIFA 1",(C186*(VLOOKUP(Remodelacion!$C$25,Seguros_Oblig!$A$3:$B$55,2,FALSE))),(C186*(VLOOKUP(Remodelacion!$C$25,Seguros_Oblig!$A$3:$D$55,4,FALSE))))</f>
        <v>#VALUE!</v>
      </c>
      <c r="J187" s="10">
        <f t="shared" si="14"/>
        <v>0</v>
      </c>
      <c r="K187" s="7" t="e">
        <f>IF(RM!$D$11="Si",0,IF(C186&lt;1,"0",Seguros_Oblig!$K$2*Remodelacion!$C$12))</f>
        <v>#VALUE!</v>
      </c>
      <c r="L187" s="7" t="e">
        <f>IF(B187=" ","0",PMT(Remodelacion!$E$17,Remodelacion!$C$18,-Remodelacion!$C$15,,))</f>
        <v>#VALUE!</v>
      </c>
      <c r="M187" s="9" t="e">
        <f t="shared" si="15"/>
        <v>#VALUE!</v>
      </c>
      <c r="N187" s="7" t="e">
        <f>IF(C186&lt;1,"0",Remodelacion!$C$38)</f>
        <v>#VALUE!</v>
      </c>
      <c r="O187" s="9" t="e">
        <f t="shared" si="16"/>
        <v>#VALUE!</v>
      </c>
    </row>
    <row r="188" spans="2:15" ht="15.5" x14ac:dyDescent="0.35">
      <c r="B188" s="6" t="e">
        <f t="shared" si="17"/>
        <v>#VALUE!</v>
      </c>
      <c r="C188" s="7" t="e">
        <f t="shared" si="13"/>
        <v>#VALUE!</v>
      </c>
      <c r="D188" s="7" t="e">
        <f t="shared" si="18"/>
        <v>#VALUE!</v>
      </c>
      <c r="E188" s="7" t="e">
        <f>C187*Remodelacion!$E$17</f>
        <v>#VALUE!</v>
      </c>
      <c r="F188" s="8" t="e">
        <f>IF(C187&lt;1,0,IF(Remodelacion!$D$26="Si",($C$17*(VLOOKUP(Remodelacion!$C$22,Seguros_Oblig!$A$3:$F$55,6,FALSE))),IF(Remodelacion!$C$10="TARIFA 1",(C187*(VLOOKUP(Remodelacion!$C$22,Seguros_Oblig!$A$3:$B$55,2,FALSE))),(C187*(VLOOKUP(Remodelacion!$C$22,Seguros_Oblig!$A$3:$D$55,4,FALSE))))))</f>
        <v>#VALUE!</v>
      </c>
      <c r="G188" s="8" t="e">
        <f>IF(Remodelacion!$C$10="TARIFA 1",(C187*(VLOOKUP(Remodelacion!$C$23,Seguros_Oblig!$A$3:$B$55,2,FALSE))),(C187*(VLOOKUP(Remodelacion!$C$23,Seguros_Oblig!$A$3:$D$55,4,FALSE))))</f>
        <v>#VALUE!</v>
      </c>
      <c r="H188" s="8" t="e">
        <f>IF(Remodelacion!$C$10="TARIFA 1",(C187*(VLOOKUP(Remodelacion!$C$24,Seguros_Oblig!$A$3:$B$55,2,FALSE))),(C187*(VLOOKUP(Remodelacion!$C$24,Seguros_Oblig!$A$3:$D$55,4,FALSE))))</f>
        <v>#VALUE!</v>
      </c>
      <c r="I188" s="8" t="e">
        <f>IF(Remodelacion!$C$10="TARIFA 1",(C187*(VLOOKUP(Remodelacion!$C$25,Seguros_Oblig!$A$3:$B$55,2,FALSE))),(C187*(VLOOKUP(Remodelacion!$C$25,Seguros_Oblig!$A$3:$D$55,4,FALSE))))</f>
        <v>#VALUE!</v>
      </c>
      <c r="J188" s="10">
        <f t="shared" si="14"/>
        <v>0</v>
      </c>
      <c r="K188" s="7" t="e">
        <f>IF(RM!$D$11="Si",0,IF(C187&lt;1,"0",Seguros_Oblig!$K$2*Remodelacion!$C$12))</f>
        <v>#VALUE!</v>
      </c>
      <c r="L188" s="7" t="e">
        <f>IF(B188=" ","0",PMT(Remodelacion!$E$17,Remodelacion!$C$18,-Remodelacion!$C$15,,))</f>
        <v>#VALUE!</v>
      </c>
      <c r="M188" s="9" t="e">
        <f t="shared" si="15"/>
        <v>#VALUE!</v>
      </c>
      <c r="N188" s="7" t="e">
        <f>IF(C187&lt;1,"0",Remodelacion!$C$38)</f>
        <v>#VALUE!</v>
      </c>
      <c r="O188" s="9" t="e">
        <f t="shared" si="16"/>
        <v>#VALUE!</v>
      </c>
    </row>
    <row r="189" spans="2:15" ht="15.5" x14ac:dyDescent="0.35">
      <c r="B189" s="6" t="e">
        <f t="shared" si="17"/>
        <v>#VALUE!</v>
      </c>
      <c r="C189" s="7" t="e">
        <f t="shared" si="13"/>
        <v>#VALUE!</v>
      </c>
      <c r="D189" s="7" t="e">
        <f t="shared" si="18"/>
        <v>#VALUE!</v>
      </c>
      <c r="E189" s="7" t="e">
        <f>C188*Remodelacion!$E$17</f>
        <v>#VALUE!</v>
      </c>
      <c r="F189" s="8" t="e">
        <f>IF(C188&lt;1,0,IF(Remodelacion!$D$26="Si",($C$17*(VLOOKUP(Remodelacion!$C$22,Seguros_Oblig!$A$3:$F$55,6,FALSE))),IF(Remodelacion!$C$10="TARIFA 1",(C188*(VLOOKUP(Remodelacion!$C$22,Seguros_Oblig!$A$3:$B$55,2,FALSE))),(C188*(VLOOKUP(Remodelacion!$C$22,Seguros_Oblig!$A$3:$D$55,4,FALSE))))))</f>
        <v>#VALUE!</v>
      </c>
      <c r="G189" s="8" t="e">
        <f>IF(Remodelacion!$C$10="TARIFA 1",(C188*(VLOOKUP(Remodelacion!$C$23,Seguros_Oblig!$A$3:$B$55,2,FALSE))),(C188*(VLOOKUP(Remodelacion!$C$23,Seguros_Oblig!$A$3:$D$55,4,FALSE))))</f>
        <v>#VALUE!</v>
      </c>
      <c r="H189" s="8" t="e">
        <f>IF(Remodelacion!$C$10="TARIFA 1",(C188*(VLOOKUP(Remodelacion!$C$24,Seguros_Oblig!$A$3:$B$55,2,FALSE))),(C188*(VLOOKUP(Remodelacion!$C$24,Seguros_Oblig!$A$3:$D$55,4,FALSE))))</f>
        <v>#VALUE!</v>
      </c>
      <c r="I189" s="8" t="e">
        <f>IF(Remodelacion!$C$10="TARIFA 1",(C188*(VLOOKUP(Remodelacion!$C$25,Seguros_Oblig!$A$3:$B$55,2,FALSE))),(C188*(VLOOKUP(Remodelacion!$C$25,Seguros_Oblig!$A$3:$D$55,4,FALSE))))</f>
        <v>#VALUE!</v>
      </c>
      <c r="J189" s="10">
        <f t="shared" si="14"/>
        <v>0</v>
      </c>
      <c r="K189" s="7" t="e">
        <f>IF(RM!$D$11="Si",0,IF(C188&lt;1,"0",Seguros_Oblig!$K$2*Remodelacion!$C$12))</f>
        <v>#VALUE!</v>
      </c>
      <c r="L189" s="7" t="e">
        <f>IF(B189=" ","0",PMT(Remodelacion!$E$17,Remodelacion!$C$18,-Remodelacion!$C$15,,))</f>
        <v>#VALUE!</v>
      </c>
      <c r="M189" s="9" t="e">
        <f t="shared" si="15"/>
        <v>#VALUE!</v>
      </c>
      <c r="N189" s="7" t="e">
        <f>IF(C188&lt;1,"0",Remodelacion!$C$38)</f>
        <v>#VALUE!</v>
      </c>
      <c r="O189" s="9" t="e">
        <f t="shared" si="16"/>
        <v>#VALUE!</v>
      </c>
    </row>
    <row r="190" spans="2:15" ht="15.5" x14ac:dyDescent="0.35">
      <c r="B190" s="6" t="e">
        <f t="shared" si="17"/>
        <v>#VALUE!</v>
      </c>
      <c r="C190" s="7" t="e">
        <f t="shared" si="13"/>
        <v>#VALUE!</v>
      </c>
      <c r="D190" s="7" t="e">
        <f t="shared" si="18"/>
        <v>#VALUE!</v>
      </c>
      <c r="E190" s="7" t="e">
        <f>C189*Remodelacion!$E$17</f>
        <v>#VALUE!</v>
      </c>
      <c r="F190" s="8" t="e">
        <f>IF(C189&lt;1,0,IF(Remodelacion!$D$26="Si",($C$17*(VLOOKUP(Remodelacion!$C$22,Seguros_Oblig!$A$3:$F$55,6,FALSE))),IF(Remodelacion!$C$10="TARIFA 1",(C189*(VLOOKUP(Remodelacion!$C$22,Seguros_Oblig!$A$3:$B$55,2,FALSE))),(C189*(VLOOKUP(Remodelacion!$C$22,Seguros_Oblig!$A$3:$D$55,4,FALSE))))))</f>
        <v>#VALUE!</v>
      </c>
      <c r="G190" s="8" t="e">
        <f>IF(Remodelacion!$C$10="TARIFA 1",(C189*(VLOOKUP(Remodelacion!$C$23,Seguros_Oblig!$A$3:$B$55,2,FALSE))),(C189*(VLOOKUP(Remodelacion!$C$23,Seguros_Oblig!$A$3:$D$55,4,FALSE))))</f>
        <v>#VALUE!</v>
      </c>
      <c r="H190" s="8" t="e">
        <f>IF(Remodelacion!$C$10="TARIFA 1",(C189*(VLOOKUP(Remodelacion!$C$24,Seguros_Oblig!$A$3:$B$55,2,FALSE))),(C189*(VLOOKUP(Remodelacion!$C$24,Seguros_Oblig!$A$3:$D$55,4,FALSE))))</f>
        <v>#VALUE!</v>
      </c>
      <c r="I190" s="8" t="e">
        <f>IF(Remodelacion!$C$10="TARIFA 1",(C189*(VLOOKUP(Remodelacion!$C$25,Seguros_Oblig!$A$3:$B$55,2,FALSE))),(C189*(VLOOKUP(Remodelacion!$C$25,Seguros_Oblig!$A$3:$D$55,4,FALSE))))</f>
        <v>#VALUE!</v>
      </c>
      <c r="J190" s="10">
        <f t="shared" si="14"/>
        <v>0</v>
      </c>
      <c r="K190" s="7" t="e">
        <f>IF(RM!$D$11="Si",0,IF(C189&lt;1,"0",Seguros_Oblig!$K$2*Remodelacion!$C$12))</f>
        <v>#VALUE!</v>
      </c>
      <c r="L190" s="7" t="e">
        <f>IF(B190=" ","0",PMT(Remodelacion!$E$17,Remodelacion!$C$18,-Remodelacion!$C$15,,))</f>
        <v>#VALUE!</v>
      </c>
      <c r="M190" s="9" t="e">
        <f t="shared" si="15"/>
        <v>#VALUE!</v>
      </c>
      <c r="N190" s="7" t="e">
        <f>IF(C189&lt;1,"0",Remodelacion!$C$38)</f>
        <v>#VALUE!</v>
      </c>
      <c r="O190" s="9" t="e">
        <f t="shared" si="16"/>
        <v>#VALUE!</v>
      </c>
    </row>
    <row r="191" spans="2:15" ht="15.5" x14ac:dyDescent="0.35">
      <c r="B191" s="6" t="e">
        <f t="shared" si="17"/>
        <v>#VALUE!</v>
      </c>
      <c r="C191" s="7" t="e">
        <f t="shared" si="13"/>
        <v>#VALUE!</v>
      </c>
      <c r="D191" s="7" t="e">
        <f t="shared" si="18"/>
        <v>#VALUE!</v>
      </c>
      <c r="E191" s="7" t="e">
        <f>C190*Remodelacion!$E$17</f>
        <v>#VALUE!</v>
      </c>
      <c r="F191" s="8" t="e">
        <f>IF(C190&lt;1,0,IF(Remodelacion!$D$26="Si",($C$17*(VLOOKUP(Remodelacion!$C$22,Seguros_Oblig!$A$3:$F$55,6,FALSE))),IF(Remodelacion!$C$10="TARIFA 1",(C190*(VLOOKUP(Remodelacion!$C$22,Seguros_Oblig!$A$3:$B$55,2,FALSE))),(C190*(VLOOKUP(Remodelacion!$C$22,Seguros_Oblig!$A$3:$D$55,4,FALSE))))))</f>
        <v>#VALUE!</v>
      </c>
      <c r="G191" s="8" t="e">
        <f>IF(Remodelacion!$C$10="TARIFA 1",(C190*(VLOOKUP(Remodelacion!$C$23,Seguros_Oblig!$A$3:$B$55,2,FALSE))),(C190*(VLOOKUP(Remodelacion!$C$23,Seguros_Oblig!$A$3:$D$55,4,FALSE))))</f>
        <v>#VALUE!</v>
      </c>
      <c r="H191" s="8" t="e">
        <f>IF(Remodelacion!$C$10="TARIFA 1",(C190*(VLOOKUP(Remodelacion!$C$24,Seguros_Oblig!$A$3:$B$55,2,FALSE))),(C190*(VLOOKUP(Remodelacion!$C$24,Seguros_Oblig!$A$3:$D$55,4,FALSE))))</f>
        <v>#VALUE!</v>
      </c>
      <c r="I191" s="8" t="e">
        <f>IF(Remodelacion!$C$10="TARIFA 1",(C190*(VLOOKUP(Remodelacion!$C$25,Seguros_Oblig!$A$3:$B$55,2,FALSE))),(C190*(VLOOKUP(Remodelacion!$C$25,Seguros_Oblig!$A$3:$D$55,4,FALSE))))</f>
        <v>#VALUE!</v>
      </c>
      <c r="J191" s="10">
        <f t="shared" si="14"/>
        <v>0</v>
      </c>
      <c r="K191" s="7" t="e">
        <f>IF(RM!$D$11="Si",0,IF(C190&lt;1,"0",Seguros_Oblig!$K$2*Remodelacion!$C$12))</f>
        <v>#VALUE!</v>
      </c>
      <c r="L191" s="7" t="e">
        <f>IF(B191=" ","0",PMT(Remodelacion!$E$17,Remodelacion!$C$18,-Remodelacion!$C$15,,))</f>
        <v>#VALUE!</v>
      </c>
      <c r="M191" s="9" t="e">
        <f t="shared" si="15"/>
        <v>#VALUE!</v>
      </c>
      <c r="N191" s="7" t="e">
        <f>IF(C190&lt;1,"0",Remodelacion!$C$38)</f>
        <v>#VALUE!</v>
      </c>
      <c r="O191" s="9" t="e">
        <f t="shared" si="16"/>
        <v>#VALUE!</v>
      </c>
    </row>
    <row r="192" spans="2:15" ht="15.5" x14ac:dyDescent="0.35">
      <c r="B192" s="6" t="e">
        <f t="shared" si="17"/>
        <v>#VALUE!</v>
      </c>
      <c r="C192" s="7" t="e">
        <f t="shared" si="13"/>
        <v>#VALUE!</v>
      </c>
      <c r="D192" s="7" t="e">
        <f t="shared" si="18"/>
        <v>#VALUE!</v>
      </c>
      <c r="E192" s="7" t="e">
        <f>C191*Remodelacion!$E$17</f>
        <v>#VALUE!</v>
      </c>
      <c r="F192" s="8" t="e">
        <f>IF(C191&lt;1,0,IF(Remodelacion!$D$26="Si",($C$17*(VLOOKUP(Remodelacion!$C$22,Seguros_Oblig!$A$3:$F$55,6,FALSE))),IF(Remodelacion!$C$10="TARIFA 1",(C191*(VLOOKUP(Remodelacion!$C$22,Seguros_Oblig!$A$3:$B$55,2,FALSE))),(C191*(VLOOKUP(Remodelacion!$C$22,Seguros_Oblig!$A$3:$D$55,4,FALSE))))))</f>
        <v>#VALUE!</v>
      </c>
      <c r="G192" s="8" t="e">
        <f>IF(Remodelacion!$C$10="TARIFA 1",(C191*(VLOOKUP(Remodelacion!$C$23,Seguros_Oblig!$A$3:$B$55,2,FALSE))),(C191*(VLOOKUP(Remodelacion!$C$23,Seguros_Oblig!$A$3:$D$55,4,FALSE))))</f>
        <v>#VALUE!</v>
      </c>
      <c r="H192" s="8" t="e">
        <f>IF(Remodelacion!$C$10="TARIFA 1",(C191*(VLOOKUP(Remodelacion!$C$24,Seguros_Oblig!$A$3:$B$55,2,FALSE))),(C191*(VLOOKUP(Remodelacion!$C$24,Seguros_Oblig!$A$3:$D$55,4,FALSE))))</f>
        <v>#VALUE!</v>
      </c>
      <c r="I192" s="8" t="e">
        <f>IF(Remodelacion!$C$10="TARIFA 1",(C191*(VLOOKUP(Remodelacion!$C$25,Seguros_Oblig!$A$3:$B$55,2,FALSE))),(C191*(VLOOKUP(Remodelacion!$C$25,Seguros_Oblig!$A$3:$D$55,4,FALSE))))</f>
        <v>#VALUE!</v>
      </c>
      <c r="J192" s="10">
        <f t="shared" si="14"/>
        <v>0</v>
      </c>
      <c r="K192" s="7" t="e">
        <f>IF(RM!$D$11="Si",0,IF(C191&lt;1,"0",Seguros_Oblig!$K$2*Remodelacion!$C$12))</f>
        <v>#VALUE!</v>
      </c>
      <c r="L192" s="7" t="e">
        <f>IF(B192=" ","0",PMT(Remodelacion!$E$17,Remodelacion!$C$18,-Remodelacion!$C$15,,))</f>
        <v>#VALUE!</v>
      </c>
      <c r="M192" s="9" t="e">
        <f t="shared" si="15"/>
        <v>#VALUE!</v>
      </c>
      <c r="N192" s="7" t="e">
        <f>IF(C191&lt;1,"0",Remodelacion!$C$38)</f>
        <v>#VALUE!</v>
      </c>
      <c r="O192" s="9" t="e">
        <f t="shared" si="16"/>
        <v>#VALUE!</v>
      </c>
    </row>
    <row r="193" spans="2:15" ht="15.5" x14ac:dyDescent="0.35">
      <c r="B193" s="6" t="e">
        <f t="shared" si="17"/>
        <v>#VALUE!</v>
      </c>
      <c r="C193" s="7" t="e">
        <f t="shared" si="13"/>
        <v>#VALUE!</v>
      </c>
      <c r="D193" s="7" t="e">
        <f t="shared" si="18"/>
        <v>#VALUE!</v>
      </c>
      <c r="E193" s="7" t="e">
        <f>C192*Remodelacion!$E$17</f>
        <v>#VALUE!</v>
      </c>
      <c r="F193" s="8" t="e">
        <f>IF(C192&lt;1,0,IF(Remodelacion!$D$26="Si",($C$17*(VLOOKUP(Remodelacion!$C$22,Seguros_Oblig!$A$3:$F$55,6,FALSE))),IF(Remodelacion!$C$10="TARIFA 1",(C192*(VLOOKUP(Remodelacion!$C$22,Seguros_Oblig!$A$3:$B$55,2,FALSE))),(C192*(VLOOKUP(Remodelacion!$C$22,Seguros_Oblig!$A$3:$D$55,4,FALSE))))))</f>
        <v>#VALUE!</v>
      </c>
      <c r="G193" s="8" t="e">
        <f>IF(Remodelacion!$C$10="TARIFA 1",(C192*(VLOOKUP(Remodelacion!$C$23,Seguros_Oblig!$A$3:$B$55,2,FALSE))),(C192*(VLOOKUP(Remodelacion!$C$23,Seguros_Oblig!$A$3:$D$55,4,FALSE))))</f>
        <v>#VALUE!</v>
      </c>
      <c r="H193" s="8" t="e">
        <f>IF(Remodelacion!$C$10="TARIFA 1",(C192*(VLOOKUP(Remodelacion!$C$24,Seguros_Oblig!$A$3:$B$55,2,FALSE))),(C192*(VLOOKUP(Remodelacion!$C$24,Seguros_Oblig!$A$3:$D$55,4,FALSE))))</f>
        <v>#VALUE!</v>
      </c>
      <c r="I193" s="8" t="e">
        <f>IF(Remodelacion!$C$10="TARIFA 1",(C192*(VLOOKUP(Remodelacion!$C$25,Seguros_Oblig!$A$3:$B$55,2,FALSE))),(C192*(VLOOKUP(Remodelacion!$C$25,Seguros_Oblig!$A$3:$D$55,4,FALSE))))</f>
        <v>#VALUE!</v>
      </c>
      <c r="J193" s="10">
        <f t="shared" si="14"/>
        <v>0</v>
      </c>
      <c r="K193" s="7" t="e">
        <f>IF(RM!$D$11="Si",0,IF(C192&lt;1,"0",Seguros_Oblig!$K$2*Remodelacion!$C$12))</f>
        <v>#VALUE!</v>
      </c>
      <c r="L193" s="7" t="e">
        <f>IF(B193=" ","0",PMT(Remodelacion!$E$17,Remodelacion!$C$18,-Remodelacion!$C$15,,))</f>
        <v>#VALUE!</v>
      </c>
      <c r="M193" s="9" t="e">
        <f t="shared" si="15"/>
        <v>#VALUE!</v>
      </c>
      <c r="N193" s="7" t="e">
        <f>IF(C192&lt;1,"0",Remodelacion!$C$38)</f>
        <v>#VALUE!</v>
      </c>
      <c r="O193" s="9" t="e">
        <f t="shared" si="16"/>
        <v>#VALUE!</v>
      </c>
    </row>
    <row r="194" spans="2:15" ht="15.5" x14ac:dyDescent="0.35">
      <c r="B194" s="6" t="e">
        <f t="shared" si="17"/>
        <v>#VALUE!</v>
      </c>
      <c r="C194" s="7" t="e">
        <f t="shared" si="13"/>
        <v>#VALUE!</v>
      </c>
      <c r="D194" s="7" t="e">
        <f t="shared" si="18"/>
        <v>#VALUE!</v>
      </c>
      <c r="E194" s="7" t="e">
        <f>C193*Remodelacion!$E$17</f>
        <v>#VALUE!</v>
      </c>
      <c r="F194" s="8" t="e">
        <f>IF(C193&lt;1,0,IF(Remodelacion!$D$26="Si",($C$17*(VLOOKUP(Remodelacion!$C$22,Seguros_Oblig!$A$3:$F$55,6,FALSE))),IF(Remodelacion!$C$10="TARIFA 1",(C193*(VLOOKUP(Remodelacion!$C$22,Seguros_Oblig!$A$3:$B$55,2,FALSE))),(C193*(VLOOKUP(Remodelacion!$C$22,Seguros_Oblig!$A$3:$D$55,4,FALSE))))))</f>
        <v>#VALUE!</v>
      </c>
      <c r="G194" s="8" t="e">
        <f>IF(Remodelacion!$C$10="TARIFA 1",(C193*(VLOOKUP(Remodelacion!$C$23,Seguros_Oblig!$A$3:$B$55,2,FALSE))),(C193*(VLOOKUP(Remodelacion!$C$23,Seguros_Oblig!$A$3:$D$55,4,FALSE))))</f>
        <v>#VALUE!</v>
      </c>
      <c r="H194" s="8" t="e">
        <f>IF(Remodelacion!$C$10="TARIFA 1",(C193*(VLOOKUP(Remodelacion!$C$24,Seguros_Oblig!$A$3:$B$55,2,FALSE))),(C193*(VLOOKUP(Remodelacion!$C$24,Seguros_Oblig!$A$3:$D$55,4,FALSE))))</f>
        <v>#VALUE!</v>
      </c>
      <c r="I194" s="8" t="e">
        <f>IF(Remodelacion!$C$10="TARIFA 1",(C193*(VLOOKUP(Remodelacion!$C$25,Seguros_Oblig!$A$3:$B$55,2,FALSE))),(C193*(VLOOKUP(Remodelacion!$C$25,Seguros_Oblig!$A$3:$D$55,4,FALSE))))</f>
        <v>#VALUE!</v>
      </c>
      <c r="J194" s="10">
        <f t="shared" si="14"/>
        <v>0</v>
      </c>
      <c r="K194" s="7" t="e">
        <f>IF(RM!$D$11="Si",0,IF(C193&lt;1,"0",Seguros_Oblig!$K$2*Remodelacion!$C$12))</f>
        <v>#VALUE!</v>
      </c>
      <c r="L194" s="7" t="e">
        <f>IF(B194=" ","0",PMT(Remodelacion!$E$17,Remodelacion!$C$18,-Remodelacion!$C$15,,))</f>
        <v>#VALUE!</v>
      </c>
      <c r="M194" s="9" t="e">
        <f t="shared" si="15"/>
        <v>#VALUE!</v>
      </c>
      <c r="N194" s="7" t="e">
        <f>IF(C193&lt;1,"0",Remodelacion!$C$38)</f>
        <v>#VALUE!</v>
      </c>
      <c r="O194" s="9" t="e">
        <f t="shared" si="16"/>
        <v>#VALUE!</v>
      </c>
    </row>
    <row r="195" spans="2:15" ht="15.5" x14ac:dyDescent="0.35">
      <c r="B195" s="6" t="e">
        <f t="shared" si="17"/>
        <v>#VALUE!</v>
      </c>
      <c r="C195" s="7" t="e">
        <f t="shared" si="13"/>
        <v>#VALUE!</v>
      </c>
      <c r="D195" s="7" t="e">
        <f t="shared" si="18"/>
        <v>#VALUE!</v>
      </c>
      <c r="E195" s="7" t="e">
        <f>C194*Remodelacion!$E$17</f>
        <v>#VALUE!</v>
      </c>
      <c r="F195" s="8" t="e">
        <f>IF(C194&lt;1,0,IF(Remodelacion!$D$26="Si",($C$17*(VLOOKUP(Remodelacion!$C$22,Seguros_Oblig!$A$3:$F$55,6,FALSE))),IF(Remodelacion!$C$10="TARIFA 1",(C194*(VLOOKUP(Remodelacion!$C$22,Seguros_Oblig!$A$3:$B$55,2,FALSE))),(C194*(VLOOKUP(Remodelacion!$C$22,Seguros_Oblig!$A$3:$D$55,4,FALSE))))))</f>
        <v>#VALUE!</v>
      </c>
      <c r="G195" s="8" t="e">
        <f>IF(Remodelacion!$C$10="TARIFA 1",(C194*(VLOOKUP(Remodelacion!$C$23,Seguros_Oblig!$A$3:$B$55,2,FALSE))),(C194*(VLOOKUP(Remodelacion!$C$23,Seguros_Oblig!$A$3:$D$55,4,FALSE))))</f>
        <v>#VALUE!</v>
      </c>
      <c r="H195" s="8" t="e">
        <f>IF(Remodelacion!$C$10="TARIFA 1",(C194*(VLOOKUP(Remodelacion!$C$24,Seguros_Oblig!$A$3:$B$55,2,FALSE))),(C194*(VLOOKUP(Remodelacion!$C$24,Seguros_Oblig!$A$3:$D$55,4,FALSE))))</f>
        <v>#VALUE!</v>
      </c>
      <c r="I195" s="8" t="e">
        <f>IF(Remodelacion!$C$10="TARIFA 1",(C194*(VLOOKUP(Remodelacion!$C$25,Seguros_Oblig!$A$3:$B$55,2,FALSE))),(C194*(VLOOKUP(Remodelacion!$C$25,Seguros_Oblig!$A$3:$D$55,4,FALSE))))</f>
        <v>#VALUE!</v>
      </c>
      <c r="J195" s="10">
        <f t="shared" si="14"/>
        <v>0</v>
      </c>
      <c r="K195" s="7" t="e">
        <f>IF(RM!$D$11="Si",0,IF(C194&lt;1,"0",Seguros_Oblig!$K$2*Remodelacion!$C$12))</f>
        <v>#VALUE!</v>
      </c>
      <c r="L195" s="7" t="e">
        <f>IF(B195=" ","0",PMT(Remodelacion!$E$17,Remodelacion!$C$18,-Remodelacion!$C$15,,))</f>
        <v>#VALUE!</v>
      </c>
      <c r="M195" s="9" t="e">
        <f t="shared" si="15"/>
        <v>#VALUE!</v>
      </c>
      <c r="N195" s="7" t="e">
        <f>IF(C194&lt;1,"0",Remodelacion!$C$38)</f>
        <v>#VALUE!</v>
      </c>
      <c r="O195" s="9" t="e">
        <f t="shared" si="16"/>
        <v>#VALUE!</v>
      </c>
    </row>
    <row r="196" spans="2:15" ht="15.5" x14ac:dyDescent="0.35">
      <c r="B196" s="6" t="e">
        <f t="shared" si="17"/>
        <v>#VALUE!</v>
      </c>
      <c r="C196" s="7" t="e">
        <f t="shared" si="13"/>
        <v>#VALUE!</v>
      </c>
      <c r="D196" s="7" t="e">
        <f t="shared" si="18"/>
        <v>#VALUE!</v>
      </c>
      <c r="E196" s="7" t="e">
        <f>C195*Remodelacion!$E$17</f>
        <v>#VALUE!</v>
      </c>
      <c r="F196" s="8" t="e">
        <f>IF(C195&lt;1,0,IF(Remodelacion!$D$26="Si",($C$17*(VLOOKUP(Remodelacion!$C$22,Seguros_Oblig!$A$3:$F$55,6,FALSE))),IF(Remodelacion!$C$10="TARIFA 1",(C195*(VLOOKUP(Remodelacion!$C$22,Seguros_Oblig!$A$3:$B$55,2,FALSE))),(C195*(VLOOKUP(Remodelacion!$C$22,Seguros_Oblig!$A$3:$D$55,4,FALSE))))))</f>
        <v>#VALUE!</v>
      </c>
      <c r="G196" s="8" t="e">
        <f>IF(Remodelacion!$C$10="TARIFA 1",(C195*(VLOOKUP(Remodelacion!$C$23,Seguros_Oblig!$A$3:$B$55,2,FALSE))),(C195*(VLOOKUP(Remodelacion!$C$23,Seguros_Oblig!$A$3:$D$55,4,FALSE))))</f>
        <v>#VALUE!</v>
      </c>
      <c r="H196" s="8" t="e">
        <f>IF(Remodelacion!$C$10="TARIFA 1",(C195*(VLOOKUP(Remodelacion!$C$24,Seguros_Oblig!$A$3:$B$55,2,FALSE))),(C195*(VLOOKUP(Remodelacion!$C$24,Seguros_Oblig!$A$3:$D$55,4,FALSE))))</f>
        <v>#VALUE!</v>
      </c>
      <c r="I196" s="8" t="e">
        <f>IF(Remodelacion!$C$10="TARIFA 1",(C195*(VLOOKUP(Remodelacion!$C$25,Seguros_Oblig!$A$3:$B$55,2,FALSE))),(C195*(VLOOKUP(Remodelacion!$C$25,Seguros_Oblig!$A$3:$D$55,4,FALSE))))</f>
        <v>#VALUE!</v>
      </c>
      <c r="J196" s="10">
        <f t="shared" si="14"/>
        <v>0</v>
      </c>
      <c r="K196" s="7" t="e">
        <f>IF(RM!$D$11="Si",0,IF(C195&lt;1,"0",Seguros_Oblig!$K$2*Remodelacion!$C$12))</f>
        <v>#VALUE!</v>
      </c>
      <c r="L196" s="7" t="e">
        <f>IF(B196=" ","0",PMT(Remodelacion!$E$17,Remodelacion!$C$18,-Remodelacion!$C$15,,))</f>
        <v>#VALUE!</v>
      </c>
      <c r="M196" s="9" t="e">
        <f t="shared" si="15"/>
        <v>#VALUE!</v>
      </c>
      <c r="N196" s="7" t="e">
        <f>IF(C195&lt;1,"0",Remodelacion!$C$38)</f>
        <v>#VALUE!</v>
      </c>
      <c r="O196" s="9" t="e">
        <f t="shared" si="16"/>
        <v>#VALUE!</v>
      </c>
    </row>
    <row r="197" spans="2:15" ht="15.5" x14ac:dyDescent="0.35">
      <c r="B197" s="6" t="e">
        <f t="shared" si="17"/>
        <v>#VALUE!</v>
      </c>
      <c r="C197" s="7" t="e">
        <f t="shared" si="13"/>
        <v>#VALUE!</v>
      </c>
      <c r="D197" s="7" t="e">
        <f t="shared" si="18"/>
        <v>#VALUE!</v>
      </c>
      <c r="E197" s="7" t="e">
        <f>C196*Remodelacion!$E$17</f>
        <v>#VALUE!</v>
      </c>
      <c r="F197" s="8" t="e">
        <f>IF(C196&lt;1,0,IF(Remodelacion!$D$26="Si",($C$17*(VLOOKUP(Remodelacion!$C$22,Seguros_Oblig!$A$3:$F$55,6,FALSE))),IF(Remodelacion!$C$10="TARIFA 1",(C196*(VLOOKUP(Remodelacion!$C$22,Seguros_Oblig!$A$3:$B$55,2,FALSE))),(C196*(VLOOKUP(Remodelacion!$C$22,Seguros_Oblig!$A$3:$D$55,4,FALSE))))))</f>
        <v>#VALUE!</v>
      </c>
      <c r="G197" s="8" t="e">
        <f>IF(Remodelacion!$C$10="TARIFA 1",(C196*(VLOOKUP(Remodelacion!$C$23,Seguros_Oblig!$A$3:$B$55,2,FALSE))),(C196*(VLOOKUP(Remodelacion!$C$23,Seguros_Oblig!$A$3:$D$55,4,FALSE))))</f>
        <v>#VALUE!</v>
      </c>
      <c r="H197" s="8" t="e">
        <f>IF(Remodelacion!$C$10="TARIFA 1",(C196*(VLOOKUP(Remodelacion!$C$24,Seguros_Oblig!$A$3:$B$55,2,FALSE))),(C196*(VLOOKUP(Remodelacion!$C$24,Seguros_Oblig!$A$3:$D$55,4,FALSE))))</f>
        <v>#VALUE!</v>
      </c>
      <c r="I197" s="8" t="e">
        <f>IF(Remodelacion!$C$10="TARIFA 1",(C196*(VLOOKUP(Remodelacion!$C$25,Seguros_Oblig!$A$3:$B$55,2,FALSE))),(C196*(VLOOKUP(Remodelacion!$C$25,Seguros_Oblig!$A$3:$D$55,4,FALSE))))</f>
        <v>#VALUE!</v>
      </c>
      <c r="J197" s="10">
        <f t="shared" si="14"/>
        <v>0</v>
      </c>
      <c r="K197" s="7" t="e">
        <f>IF(RM!$D$11="Si",0,IF(C196&lt;1,"0",Seguros_Oblig!$K$2*Remodelacion!$C$12))</f>
        <v>#VALUE!</v>
      </c>
      <c r="L197" s="7" t="e">
        <f>IF(B197=" ","0",PMT(Remodelacion!$E$17,Remodelacion!$C$18,-Remodelacion!$C$15,,))</f>
        <v>#VALUE!</v>
      </c>
      <c r="M197" s="9" t="e">
        <f t="shared" si="15"/>
        <v>#VALUE!</v>
      </c>
      <c r="N197" s="7" t="e">
        <f>IF(C196&lt;1,"0",Remodelacion!$C$38)</f>
        <v>#VALUE!</v>
      </c>
      <c r="O197" s="9" t="e">
        <f t="shared" si="16"/>
        <v>#VALUE!</v>
      </c>
    </row>
    <row r="198" spans="2:15" ht="15.5" x14ac:dyDescent="0.35">
      <c r="B198" s="6" t="e">
        <f t="shared" si="17"/>
        <v>#VALUE!</v>
      </c>
      <c r="C198" s="7" t="e">
        <f t="shared" si="13"/>
        <v>#VALUE!</v>
      </c>
      <c r="D198" s="7" t="e">
        <f t="shared" si="18"/>
        <v>#VALUE!</v>
      </c>
      <c r="E198" s="7" t="e">
        <f>C197*Remodelacion!$E$17</f>
        <v>#VALUE!</v>
      </c>
      <c r="F198" s="8" t="e">
        <f>IF(C197&lt;1,0,IF(Remodelacion!$D$26="Si",($C$17*(VLOOKUP(Remodelacion!$C$22,Seguros_Oblig!$A$3:$F$55,6,FALSE))),IF(Remodelacion!$C$10="TARIFA 1",(C197*(VLOOKUP(Remodelacion!$C$22,Seguros_Oblig!$A$3:$B$55,2,FALSE))),(C197*(VLOOKUP(Remodelacion!$C$22,Seguros_Oblig!$A$3:$D$55,4,FALSE))))))</f>
        <v>#VALUE!</v>
      </c>
      <c r="G198" s="8" t="e">
        <f>IF(Remodelacion!$C$10="TARIFA 1",(C197*(VLOOKUP(Remodelacion!$C$23,Seguros_Oblig!$A$3:$B$55,2,FALSE))),(C197*(VLOOKUP(Remodelacion!$C$23,Seguros_Oblig!$A$3:$D$55,4,FALSE))))</f>
        <v>#VALUE!</v>
      </c>
      <c r="H198" s="8" t="e">
        <f>IF(Remodelacion!$C$10="TARIFA 1",(C197*(VLOOKUP(Remodelacion!$C$24,Seguros_Oblig!$A$3:$B$55,2,FALSE))),(C197*(VLOOKUP(Remodelacion!$C$24,Seguros_Oblig!$A$3:$D$55,4,FALSE))))</f>
        <v>#VALUE!</v>
      </c>
      <c r="I198" s="8" t="e">
        <f>IF(Remodelacion!$C$10="TARIFA 1",(C197*(VLOOKUP(Remodelacion!$C$25,Seguros_Oblig!$A$3:$B$55,2,FALSE))),(C197*(VLOOKUP(Remodelacion!$C$25,Seguros_Oblig!$A$3:$D$55,4,FALSE))))</f>
        <v>#VALUE!</v>
      </c>
      <c r="J198" s="10">
        <f t="shared" si="14"/>
        <v>0</v>
      </c>
      <c r="K198" s="7" t="e">
        <f>IF(RM!$D$11="Si",0,IF(C197&lt;1,"0",Seguros_Oblig!$K$2*Remodelacion!$C$12))</f>
        <v>#VALUE!</v>
      </c>
      <c r="L198" s="7" t="e">
        <f>IF(B198=" ","0",PMT(Remodelacion!$E$17,Remodelacion!$C$18,-Remodelacion!$C$15,,))</f>
        <v>#VALUE!</v>
      </c>
      <c r="M198" s="9" t="e">
        <f t="shared" si="15"/>
        <v>#VALUE!</v>
      </c>
      <c r="N198" s="7" t="e">
        <f>IF(C197&lt;1,"0",Remodelacion!$C$38)</f>
        <v>#VALUE!</v>
      </c>
      <c r="O198" s="9" t="e">
        <f t="shared" si="16"/>
        <v>#VALUE!</v>
      </c>
    </row>
    <row r="199" spans="2:15" ht="15.5" x14ac:dyDescent="0.35">
      <c r="B199" s="6" t="e">
        <f t="shared" si="17"/>
        <v>#VALUE!</v>
      </c>
      <c r="C199" s="7" t="e">
        <f t="shared" si="13"/>
        <v>#VALUE!</v>
      </c>
      <c r="D199" s="7" t="e">
        <f t="shared" si="18"/>
        <v>#VALUE!</v>
      </c>
      <c r="E199" s="7" t="e">
        <f>C198*Remodelacion!$E$17</f>
        <v>#VALUE!</v>
      </c>
      <c r="F199" s="8" t="e">
        <f>IF(C198&lt;1,0,IF(Remodelacion!$D$26="Si",($C$17*(VLOOKUP(Remodelacion!$C$22,Seguros_Oblig!$A$3:$F$55,6,FALSE))),IF(Remodelacion!$C$10="TARIFA 1",(C198*(VLOOKUP(Remodelacion!$C$22,Seguros_Oblig!$A$3:$B$55,2,FALSE))),(C198*(VLOOKUP(Remodelacion!$C$22,Seguros_Oblig!$A$3:$D$55,4,FALSE))))))</f>
        <v>#VALUE!</v>
      </c>
      <c r="G199" s="8" t="e">
        <f>IF(Remodelacion!$C$10="TARIFA 1",(C198*(VLOOKUP(Remodelacion!$C$23,Seguros_Oblig!$A$3:$B$55,2,FALSE))),(C198*(VLOOKUP(Remodelacion!$C$23,Seguros_Oblig!$A$3:$D$55,4,FALSE))))</f>
        <v>#VALUE!</v>
      </c>
      <c r="H199" s="8" t="e">
        <f>IF(Remodelacion!$C$10="TARIFA 1",(C198*(VLOOKUP(Remodelacion!$C$24,Seguros_Oblig!$A$3:$B$55,2,FALSE))),(C198*(VLOOKUP(Remodelacion!$C$24,Seguros_Oblig!$A$3:$D$55,4,FALSE))))</f>
        <v>#VALUE!</v>
      </c>
      <c r="I199" s="8" t="e">
        <f>IF(Remodelacion!$C$10="TARIFA 1",(C198*(VLOOKUP(Remodelacion!$C$25,Seguros_Oblig!$A$3:$B$55,2,FALSE))),(C198*(VLOOKUP(Remodelacion!$C$25,Seguros_Oblig!$A$3:$D$55,4,FALSE))))</f>
        <v>#VALUE!</v>
      </c>
      <c r="J199" s="10">
        <f t="shared" si="14"/>
        <v>0</v>
      </c>
      <c r="K199" s="7" t="e">
        <f>IF(RM!$D$11="Si",0,IF(C198&lt;1,"0",Seguros_Oblig!$K$2*Remodelacion!$C$12))</f>
        <v>#VALUE!</v>
      </c>
      <c r="L199" s="7" t="e">
        <f>IF(B199=" ","0",PMT(Remodelacion!$E$17,Remodelacion!$C$18,-Remodelacion!$C$15,,))</f>
        <v>#VALUE!</v>
      </c>
      <c r="M199" s="9" t="e">
        <f t="shared" si="15"/>
        <v>#VALUE!</v>
      </c>
      <c r="N199" s="7" t="e">
        <f>IF(C198&lt;1,"0",Remodelacion!$C$38)</f>
        <v>#VALUE!</v>
      </c>
      <c r="O199" s="9" t="e">
        <f t="shared" si="16"/>
        <v>#VALUE!</v>
      </c>
    </row>
    <row r="200" spans="2:15" ht="15.5" x14ac:dyDescent="0.35">
      <c r="B200" s="6" t="e">
        <f t="shared" si="17"/>
        <v>#VALUE!</v>
      </c>
      <c r="C200" s="7" t="e">
        <f t="shared" si="13"/>
        <v>#VALUE!</v>
      </c>
      <c r="D200" s="7" t="e">
        <f t="shared" si="18"/>
        <v>#VALUE!</v>
      </c>
      <c r="E200" s="7" t="e">
        <f>C199*Remodelacion!$E$17</f>
        <v>#VALUE!</v>
      </c>
      <c r="F200" s="8" t="e">
        <f>IF(C199&lt;1,0,IF(Remodelacion!$D$26="Si",($C$17*(VLOOKUP(Remodelacion!$C$22,Seguros_Oblig!$A$3:$F$55,6,FALSE))),IF(Remodelacion!$C$10="TARIFA 1",(C199*(VLOOKUP(Remodelacion!$C$22,Seguros_Oblig!$A$3:$B$55,2,FALSE))),(C199*(VLOOKUP(Remodelacion!$C$22,Seguros_Oblig!$A$3:$D$55,4,FALSE))))))</f>
        <v>#VALUE!</v>
      </c>
      <c r="G200" s="8" t="e">
        <f>IF(Remodelacion!$C$10="TARIFA 1",(C199*(VLOOKUP(Remodelacion!$C$23,Seguros_Oblig!$A$3:$B$55,2,FALSE))),(C199*(VLOOKUP(Remodelacion!$C$23,Seguros_Oblig!$A$3:$D$55,4,FALSE))))</f>
        <v>#VALUE!</v>
      </c>
      <c r="H200" s="8" t="e">
        <f>IF(Remodelacion!$C$10="TARIFA 1",(C199*(VLOOKUP(Remodelacion!$C$24,Seguros_Oblig!$A$3:$B$55,2,FALSE))),(C199*(VLOOKUP(Remodelacion!$C$24,Seguros_Oblig!$A$3:$D$55,4,FALSE))))</f>
        <v>#VALUE!</v>
      </c>
      <c r="I200" s="8" t="e">
        <f>IF(Remodelacion!$C$10="TARIFA 1",(C199*(VLOOKUP(Remodelacion!$C$25,Seguros_Oblig!$A$3:$B$55,2,FALSE))),(C199*(VLOOKUP(Remodelacion!$C$25,Seguros_Oblig!$A$3:$D$55,4,FALSE))))</f>
        <v>#VALUE!</v>
      </c>
      <c r="J200" s="10">
        <f t="shared" si="14"/>
        <v>0</v>
      </c>
      <c r="K200" s="7" t="e">
        <f>IF(RM!$D$11="Si",0,IF(C199&lt;1,"0",Seguros_Oblig!$K$2*Remodelacion!$C$12))</f>
        <v>#VALUE!</v>
      </c>
      <c r="L200" s="7" t="e">
        <f>IF(B200=" ","0",PMT(Remodelacion!$E$17,Remodelacion!$C$18,-Remodelacion!$C$15,,))</f>
        <v>#VALUE!</v>
      </c>
      <c r="M200" s="9" t="e">
        <f t="shared" si="15"/>
        <v>#VALUE!</v>
      </c>
      <c r="N200" s="7" t="e">
        <f>IF(C199&lt;1,"0",Remodelacion!$C$38)</f>
        <v>#VALUE!</v>
      </c>
      <c r="O200" s="9" t="e">
        <f t="shared" si="16"/>
        <v>#VALUE!</v>
      </c>
    </row>
    <row r="201" spans="2:15" ht="15.5" x14ac:dyDescent="0.35">
      <c r="B201" s="6" t="e">
        <f t="shared" si="17"/>
        <v>#VALUE!</v>
      </c>
      <c r="C201" s="7" t="e">
        <f t="shared" si="13"/>
        <v>#VALUE!</v>
      </c>
      <c r="D201" s="7" t="e">
        <f t="shared" si="18"/>
        <v>#VALUE!</v>
      </c>
      <c r="E201" s="7" t="e">
        <f>C200*Remodelacion!$E$17</f>
        <v>#VALUE!</v>
      </c>
      <c r="F201" s="8" t="e">
        <f>IF(C200&lt;1,0,IF(Remodelacion!$D$26="Si",($C$17*(VLOOKUP(Remodelacion!$C$22,Seguros_Oblig!$A$3:$F$55,6,FALSE))),IF(Remodelacion!$C$10="TARIFA 1",(C200*(VLOOKUP(Remodelacion!$C$22,Seguros_Oblig!$A$3:$B$55,2,FALSE))),(C200*(VLOOKUP(Remodelacion!$C$22,Seguros_Oblig!$A$3:$D$55,4,FALSE))))))</f>
        <v>#VALUE!</v>
      </c>
      <c r="G201" s="8" t="e">
        <f>IF(Remodelacion!$C$10="TARIFA 1",(C200*(VLOOKUP(Remodelacion!$C$23,Seguros_Oblig!$A$3:$B$55,2,FALSE))),(C200*(VLOOKUP(Remodelacion!$C$23,Seguros_Oblig!$A$3:$D$55,4,FALSE))))</f>
        <v>#VALUE!</v>
      </c>
      <c r="H201" s="8" t="e">
        <f>IF(Remodelacion!$C$10="TARIFA 1",(C200*(VLOOKUP(Remodelacion!$C$24,Seguros_Oblig!$A$3:$B$55,2,FALSE))),(C200*(VLOOKUP(Remodelacion!$C$24,Seguros_Oblig!$A$3:$D$55,4,FALSE))))</f>
        <v>#VALUE!</v>
      </c>
      <c r="I201" s="8" t="e">
        <f>IF(Remodelacion!$C$10="TARIFA 1",(C200*(VLOOKUP(Remodelacion!$C$25,Seguros_Oblig!$A$3:$B$55,2,FALSE))),(C200*(VLOOKUP(Remodelacion!$C$25,Seguros_Oblig!$A$3:$D$55,4,FALSE))))</f>
        <v>#VALUE!</v>
      </c>
      <c r="J201" s="10">
        <f t="shared" si="14"/>
        <v>0</v>
      </c>
      <c r="K201" s="7" t="e">
        <f>IF(RM!$D$11="Si",0,IF(C200&lt;1,"0",Seguros_Oblig!$K$2*Remodelacion!$C$12))</f>
        <v>#VALUE!</v>
      </c>
      <c r="L201" s="7" t="e">
        <f>IF(B201=" ","0",PMT(Remodelacion!$E$17,Remodelacion!$C$18,-Remodelacion!$C$15,,))</f>
        <v>#VALUE!</v>
      </c>
      <c r="M201" s="9" t="e">
        <f t="shared" si="15"/>
        <v>#VALUE!</v>
      </c>
      <c r="N201" s="7" t="e">
        <f>IF(C200&lt;1,"0",Remodelacion!$C$38)</f>
        <v>#VALUE!</v>
      </c>
      <c r="O201" s="9" t="e">
        <f t="shared" si="16"/>
        <v>#VALUE!</v>
      </c>
    </row>
    <row r="202" spans="2:15" ht="15.5" x14ac:dyDescent="0.35">
      <c r="B202" s="6" t="e">
        <f t="shared" si="17"/>
        <v>#VALUE!</v>
      </c>
      <c r="C202" s="7" t="e">
        <f t="shared" si="13"/>
        <v>#VALUE!</v>
      </c>
      <c r="D202" s="7" t="e">
        <f t="shared" si="18"/>
        <v>#VALUE!</v>
      </c>
      <c r="E202" s="7" t="e">
        <f>C201*Remodelacion!$E$17</f>
        <v>#VALUE!</v>
      </c>
      <c r="F202" s="8" t="e">
        <f>IF(C201&lt;1,0,IF(Remodelacion!$D$26="Si",($C$17*(VLOOKUP(Remodelacion!$C$22,Seguros_Oblig!$A$3:$F$55,6,FALSE))),IF(Remodelacion!$C$10="TARIFA 1",(C201*(VLOOKUP(Remodelacion!$C$22,Seguros_Oblig!$A$3:$B$55,2,FALSE))),(C201*(VLOOKUP(Remodelacion!$C$22,Seguros_Oblig!$A$3:$D$55,4,FALSE))))))</f>
        <v>#VALUE!</v>
      </c>
      <c r="G202" s="8" t="e">
        <f>IF(Remodelacion!$C$10="TARIFA 1",(C201*(VLOOKUP(Remodelacion!$C$23,Seguros_Oblig!$A$3:$B$55,2,FALSE))),(C201*(VLOOKUP(Remodelacion!$C$23,Seguros_Oblig!$A$3:$D$55,4,FALSE))))</f>
        <v>#VALUE!</v>
      </c>
      <c r="H202" s="8" t="e">
        <f>IF(Remodelacion!$C$10="TARIFA 1",(C201*(VLOOKUP(Remodelacion!$C$24,Seguros_Oblig!$A$3:$B$55,2,FALSE))),(C201*(VLOOKUP(Remodelacion!$C$24,Seguros_Oblig!$A$3:$D$55,4,FALSE))))</f>
        <v>#VALUE!</v>
      </c>
      <c r="I202" s="8" t="e">
        <f>IF(Remodelacion!$C$10="TARIFA 1",(C201*(VLOOKUP(Remodelacion!$C$25,Seguros_Oblig!$A$3:$B$55,2,FALSE))),(C201*(VLOOKUP(Remodelacion!$C$25,Seguros_Oblig!$A$3:$D$55,4,FALSE))))</f>
        <v>#VALUE!</v>
      </c>
      <c r="J202" s="10">
        <f t="shared" si="14"/>
        <v>0</v>
      </c>
      <c r="K202" s="7" t="e">
        <f>IF(RM!$D$11="Si",0,IF(C201&lt;1,"0",Seguros_Oblig!$K$2*Remodelacion!$C$12))</f>
        <v>#VALUE!</v>
      </c>
      <c r="L202" s="7" t="e">
        <f>IF(B202=" ","0",PMT(Remodelacion!$E$17,Remodelacion!$C$18,-Remodelacion!$C$15,,))</f>
        <v>#VALUE!</v>
      </c>
      <c r="M202" s="9" t="e">
        <f t="shared" si="15"/>
        <v>#VALUE!</v>
      </c>
      <c r="N202" s="7" t="e">
        <f>IF(C201&lt;1,"0",Remodelacion!$C$38)</f>
        <v>#VALUE!</v>
      </c>
      <c r="O202" s="9" t="e">
        <f t="shared" si="16"/>
        <v>#VALUE!</v>
      </c>
    </row>
    <row r="203" spans="2:15" ht="15.5" x14ac:dyDescent="0.35">
      <c r="B203" s="6" t="e">
        <f t="shared" si="17"/>
        <v>#VALUE!</v>
      </c>
      <c r="C203" s="7" t="e">
        <f t="shared" si="13"/>
        <v>#VALUE!</v>
      </c>
      <c r="D203" s="7" t="e">
        <f t="shared" si="18"/>
        <v>#VALUE!</v>
      </c>
      <c r="E203" s="7" t="e">
        <f>C202*Remodelacion!$E$17</f>
        <v>#VALUE!</v>
      </c>
      <c r="F203" s="8" t="e">
        <f>IF(C202&lt;1,0,IF(Remodelacion!$D$26="Si",($C$17*(VLOOKUP(Remodelacion!$C$22,Seguros_Oblig!$A$3:$F$55,6,FALSE))),IF(Remodelacion!$C$10="TARIFA 1",(C202*(VLOOKUP(Remodelacion!$C$22,Seguros_Oblig!$A$3:$B$55,2,FALSE))),(C202*(VLOOKUP(Remodelacion!$C$22,Seguros_Oblig!$A$3:$D$55,4,FALSE))))))</f>
        <v>#VALUE!</v>
      </c>
      <c r="G203" s="8" t="e">
        <f>IF(Remodelacion!$C$10="TARIFA 1",(C202*(VLOOKUP(Remodelacion!$C$23,Seguros_Oblig!$A$3:$B$55,2,FALSE))),(C202*(VLOOKUP(Remodelacion!$C$23,Seguros_Oblig!$A$3:$D$55,4,FALSE))))</f>
        <v>#VALUE!</v>
      </c>
      <c r="H203" s="8" t="e">
        <f>IF(Remodelacion!$C$10="TARIFA 1",(C202*(VLOOKUP(Remodelacion!$C$24,Seguros_Oblig!$A$3:$B$55,2,FALSE))),(C202*(VLOOKUP(Remodelacion!$C$24,Seguros_Oblig!$A$3:$D$55,4,FALSE))))</f>
        <v>#VALUE!</v>
      </c>
      <c r="I203" s="8" t="e">
        <f>IF(Remodelacion!$C$10="TARIFA 1",(C202*(VLOOKUP(Remodelacion!$C$25,Seguros_Oblig!$A$3:$B$55,2,FALSE))),(C202*(VLOOKUP(Remodelacion!$C$25,Seguros_Oblig!$A$3:$D$55,4,FALSE))))</f>
        <v>#VALUE!</v>
      </c>
      <c r="J203" s="10">
        <f t="shared" si="14"/>
        <v>0</v>
      </c>
      <c r="K203" s="7" t="e">
        <f>IF(RM!$D$11="Si",0,IF(C202&lt;1,"0",Seguros_Oblig!$K$2*Remodelacion!$C$12))</f>
        <v>#VALUE!</v>
      </c>
      <c r="L203" s="7" t="e">
        <f>IF(B203=" ","0",PMT(Remodelacion!$E$17,Remodelacion!$C$18,-Remodelacion!$C$15,,))</f>
        <v>#VALUE!</v>
      </c>
      <c r="M203" s="9" t="e">
        <f t="shared" si="15"/>
        <v>#VALUE!</v>
      </c>
      <c r="N203" s="7" t="e">
        <f>IF(C202&lt;1,"0",Remodelacion!$C$38)</f>
        <v>#VALUE!</v>
      </c>
      <c r="O203" s="9" t="e">
        <f t="shared" si="16"/>
        <v>#VALUE!</v>
      </c>
    </row>
    <row r="204" spans="2:15" ht="15.5" x14ac:dyDescent="0.35">
      <c r="B204" s="6" t="e">
        <f t="shared" si="17"/>
        <v>#VALUE!</v>
      </c>
      <c r="C204" s="7" t="e">
        <f t="shared" si="13"/>
        <v>#VALUE!</v>
      </c>
      <c r="D204" s="7" t="e">
        <f t="shared" si="18"/>
        <v>#VALUE!</v>
      </c>
      <c r="E204" s="7" t="e">
        <f>C203*Remodelacion!$E$17</f>
        <v>#VALUE!</v>
      </c>
      <c r="F204" s="8" t="e">
        <f>IF(C203&lt;1,0,IF(Remodelacion!$D$26="Si",($C$17*(VLOOKUP(Remodelacion!$C$22,Seguros_Oblig!$A$3:$F$55,6,FALSE))),IF(Remodelacion!$C$10="TARIFA 1",(C203*(VLOOKUP(Remodelacion!$C$22,Seguros_Oblig!$A$3:$B$55,2,FALSE))),(C203*(VLOOKUP(Remodelacion!$C$22,Seguros_Oblig!$A$3:$D$55,4,FALSE))))))</f>
        <v>#VALUE!</v>
      </c>
      <c r="G204" s="8" t="e">
        <f>IF(Remodelacion!$C$10="TARIFA 1",(C203*(VLOOKUP(Remodelacion!$C$23,Seguros_Oblig!$A$3:$B$55,2,FALSE))),(C203*(VLOOKUP(Remodelacion!$C$23,Seguros_Oblig!$A$3:$D$55,4,FALSE))))</f>
        <v>#VALUE!</v>
      </c>
      <c r="H204" s="8" t="e">
        <f>IF(Remodelacion!$C$10="TARIFA 1",(C203*(VLOOKUP(Remodelacion!$C$24,Seguros_Oblig!$A$3:$B$55,2,FALSE))),(C203*(VLOOKUP(Remodelacion!$C$24,Seguros_Oblig!$A$3:$D$55,4,FALSE))))</f>
        <v>#VALUE!</v>
      </c>
      <c r="I204" s="8" t="e">
        <f>IF(Remodelacion!$C$10="TARIFA 1",(C203*(VLOOKUP(Remodelacion!$C$25,Seguros_Oblig!$A$3:$B$55,2,FALSE))),(C203*(VLOOKUP(Remodelacion!$C$25,Seguros_Oblig!$A$3:$D$55,4,FALSE))))</f>
        <v>#VALUE!</v>
      </c>
      <c r="J204" s="10">
        <f t="shared" si="14"/>
        <v>0</v>
      </c>
      <c r="K204" s="7" t="e">
        <f>IF(RM!$D$11="Si",0,IF(C203&lt;1,"0",Seguros_Oblig!$K$2*Remodelacion!$C$12))</f>
        <v>#VALUE!</v>
      </c>
      <c r="L204" s="7" t="e">
        <f>IF(B204=" ","0",PMT(Remodelacion!$E$17,Remodelacion!$C$18,-Remodelacion!$C$15,,))</f>
        <v>#VALUE!</v>
      </c>
      <c r="M204" s="9" t="e">
        <f t="shared" si="15"/>
        <v>#VALUE!</v>
      </c>
      <c r="N204" s="7" t="e">
        <f>IF(C203&lt;1,"0",Remodelacion!$C$38)</f>
        <v>#VALUE!</v>
      </c>
      <c r="O204" s="9" t="e">
        <f t="shared" si="16"/>
        <v>#VALUE!</v>
      </c>
    </row>
    <row r="205" spans="2:15" ht="15.5" x14ac:dyDescent="0.35">
      <c r="B205" s="6" t="e">
        <f t="shared" si="17"/>
        <v>#VALUE!</v>
      </c>
      <c r="C205" s="7" t="e">
        <f t="shared" si="13"/>
        <v>#VALUE!</v>
      </c>
      <c r="D205" s="7" t="e">
        <f t="shared" si="18"/>
        <v>#VALUE!</v>
      </c>
      <c r="E205" s="7" t="e">
        <f>C204*Remodelacion!$E$17</f>
        <v>#VALUE!</v>
      </c>
      <c r="F205" s="8" t="e">
        <f>IF(C204&lt;1,0,IF(Remodelacion!$D$26="Si",($C$17*(VLOOKUP(Remodelacion!$C$22,Seguros_Oblig!$A$3:$F$55,6,FALSE))),IF(Remodelacion!$C$10="TARIFA 1",(C204*(VLOOKUP(Remodelacion!$C$22,Seguros_Oblig!$A$3:$B$55,2,FALSE))),(C204*(VLOOKUP(Remodelacion!$C$22,Seguros_Oblig!$A$3:$D$55,4,FALSE))))))</f>
        <v>#VALUE!</v>
      </c>
      <c r="G205" s="8" t="e">
        <f>IF(Remodelacion!$C$10="TARIFA 1",(C204*(VLOOKUP(Remodelacion!$C$23,Seguros_Oblig!$A$3:$B$55,2,FALSE))),(C204*(VLOOKUP(Remodelacion!$C$23,Seguros_Oblig!$A$3:$D$55,4,FALSE))))</f>
        <v>#VALUE!</v>
      </c>
      <c r="H205" s="8" t="e">
        <f>IF(Remodelacion!$C$10="TARIFA 1",(C204*(VLOOKUP(Remodelacion!$C$24,Seguros_Oblig!$A$3:$B$55,2,FALSE))),(C204*(VLOOKUP(Remodelacion!$C$24,Seguros_Oblig!$A$3:$D$55,4,FALSE))))</f>
        <v>#VALUE!</v>
      </c>
      <c r="I205" s="8" t="e">
        <f>IF(Remodelacion!$C$10="TARIFA 1",(C204*(VLOOKUP(Remodelacion!$C$25,Seguros_Oblig!$A$3:$B$55,2,FALSE))),(C204*(VLOOKUP(Remodelacion!$C$25,Seguros_Oblig!$A$3:$D$55,4,FALSE))))</f>
        <v>#VALUE!</v>
      </c>
      <c r="J205" s="10">
        <f t="shared" si="14"/>
        <v>0</v>
      </c>
      <c r="K205" s="7" t="e">
        <f>IF(RM!$D$11="Si",0,IF(C204&lt;1,"0",Seguros_Oblig!$K$2*Remodelacion!$C$12))</f>
        <v>#VALUE!</v>
      </c>
      <c r="L205" s="7" t="e">
        <f>IF(B205=" ","0",PMT(Remodelacion!$E$17,Remodelacion!$C$18,-Remodelacion!$C$15,,))</f>
        <v>#VALUE!</v>
      </c>
      <c r="M205" s="9" t="e">
        <f t="shared" si="15"/>
        <v>#VALUE!</v>
      </c>
      <c r="N205" s="7" t="e">
        <f>IF(C204&lt;1,"0",Remodelacion!$C$38)</f>
        <v>#VALUE!</v>
      </c>
      <c r="O205" s="9" t="e">
        <f t="shared" si="16"/>
        <v>#VALUE!</v>
      </c>
    </row>
    <row r="206" spans="2:15" ht="15.5" x14ac:dyDescent="0.35">
      <c r="B206" s="6" t="e">
        <f t="shared" si="17"/>
        <v>#VALUE!</v>
      </c>
      <c r="C206" s="7" t="e">
        <f t="shared" si="13"/>
        <v>#VALUE!</v>
      </c>
      <c r="D206" s="7" t="e">
        <f t="shared" si="18"/>
        <v>#VALUE!</v>
      </c>
      <c r="E206" s="7" t="e">
        <f>C205*Remodelacion!$E$17</f>
        <v>#VALUE!</v>
      </c>
      <c r="F206" s="8" t="e">
        <f>IF(C205&lt;1,0,IF(Remodelacion!$D$26="Si",($C$17*(VLOOKUP(Remodelacion!$C$22,Seguros_Oblig!$A$3:$F$55,6,FALSE))),IF(Remodelacion!$C$10="TARIFA 1",(C205*(VLOOKUP(Remodelacion!$C$22,Seguros_Oblig!$A$3:$B$55,2,FALSE))),(C205*(VLOOKUP(Remodelacion!$C$22,Seguros_Oblig!$A$3:$D$55,4,FALSE))))))</f>
        <v>#VALUE!</v>
      </c>
      <c r="G206" s="8" t="e">
        <f>IF(Remodelacion!$C$10="TARIFA 1",(C205*(VLOOKUP(Remodelacion!$C$23,Seguros_Oblig!$A$3:$B$55,2,FALSE))),(C205*(VLOOKUP(Remodelacion!$C$23,Seguros_Oblig!$A$3:$D$55,4,FALSE))))</f>
        <v>#VALUE!</v>
      </c>
      <c r="H206" s="8" t="e">
        <f>IF(Remodelacion!$C$10="TARIFA 1",(C205*(VLOOKUP(Remodelacion!$C$24,Seguros_Oblig!$A$3:$B$55,2,FALSE))),(C205*(VLOOKUP(Remodelacion!$C$24,Seguros_Oblig!$A$3:$D$55,4,FALSE))))</f>
        <v>#VALUE!</v>
      </c>
      <c r="I206" s="8" t="e">
        <f>IF(Remodelacion!$C$10="TARIFA 1",(C205*(VLOOKUP(Remodelacion!$C$25,Seguros_Oblig!$A$3:$B$55,2,FALSE))),(C205*(VLOOKUP(Remodelacion!$C$25,Seguros_Oblig!$A$3:$D$55,4,FALSE))))</f>
        <v>#VALUE!</v>
      </c>
      <c r="J206" s="10">
        <f t="shared" si="14"/>
        <v>0</v>
      </c>
      <c r="K206" s="7" t="e">
        <f>IF(RM!$D$11="Si",0,IF(C205&lt;1,"0",Seguros_Oblig!$K$2*Remodelacion!$C$12))</f>
        <v>#VALUE!</v>
      </c>
      <c r="L206" s="7" t="e">
        <f>IF(B206=" ","0",PMT(Remodelacion!$E$17,Remodelacion!$C$18,-Remodelacion!$C$15,,))</f>
        <v>#VALUE!</v>
      </c>
      <c r="M206" s="9" t="e">
        <f t="shared" si="15"/>
        <v>#VALUE!</v>
      </c>
      <c r="N206" s="7" t="e">
        <f>IF(C205&lt;1,"0",Remodelacion!$C$38)</f>
        <v>#VALUE!</v>
      </c>
      <c r="O206" s="9" t="e">
        <f t="shared" si="16"/>
        <v>#VALUE!</v>
      </c>
    </row>
    <row r="207" spans="2:15" ht="15.5" x14ac:dyDescent="0.35">
      <c r="B207" s="6" t="e">
        <f t="shared" si="17"/>
        <v>#VALUE!</v>
      </c>
      <c r="C207" s="7" t="e">
        <f t="shared" si="13"/>
        <v>#VALUE!</v>
      </c>
      <c r="D207" s="7" t="e">
        <f t="shared" si="18"/>
        <v>#VALUE!</v>
      </c>
      <c r="E207" s="7" t="e">
        <f>C206*Remodelacion!$E$17</f>
        <v>#VALUE!</v>
      </c>
      <c r="F207" s="8" t="e">
        <f>IF(C206&lt;1,0,IF(Remodelacion!$D$26="Si",($C$17*(VLOOKUP(Remodelacion!$C$22,Seguros_Oblig!$A$3:$F$55,6,FALSE))),IF(Remodelacion!$C$10="TARIFA 1",(C206*(VLOOKUP(Remodelacion!$C$22,Seguros_Oblig!$A$3:$B$55,2,FALSE))),(C206*(VLOOKUP(Remodelacion!$C$22,Seguros_Oblig!$A$3:$D$55,4,FALSE))))))</f>
        <v>#VALUE!</v>
      </c>
      <c r="G207" s="8" t="e">
        <f>IF(Remodelacion!$C$10="TARIFA 1",(C206*(VLOOKUP(Remodelacion!$C$23,Seguros_Oblig!$A$3:$B$55,2,FALSE))),(C206*(VLOOKUP(Remodelacion!$C$23,Seguros_Oblig!$A$3:$D$55,4,FALSE))))</f>
        <v>#VALUE!</v>
      </c>
      <c r="H207" s="8" t="e">
        <f>IF(Remodelacion!$C$10="TARIFA 1",(C206*(VLOOKUP(Remodelacion!$C$24,Seguros_Oblig!$A$3:$B$55,2,FALSE))),(C206*(VLOOKUP(Remodelacion!$C$24,Seguros_Oblig!$A$3:$D$55,4,FALSE))))</f>
        <v>#VALUE!</v>
      </c>
      <c r="I207" s="8" t="e">
        <f>IF(Remodelacion!$C$10="TARIFA 1",(C206*(VLOOKUP(Remodelacion!$C$25,Seguros_Oblig!$A$3:$B$55,2,FALSE))),(C206*(VLOOKUP(Remodelacion!$C$25,Seguros_Oblig!$A$3:$D$55,4,FALSE))))</f>
        <v>#VALUE!</v>
      </c>
      <c r="J207" s="10">
        <f t="shared" si="14"/>
        <v>0</v>
      </c>
      <c r="K207" s="7" t="e">
        <f>IF(RM!$D$11="Si",0,IF(C206&lt;1,"0",Seguros_Oblig!$K$2*Remodelacion!$C$12))</f>
        <v>#VALUE!</v>
      </c>
      <c r="L207" s="7" t="e">
        <f>IF(B207=" ","0",PMT(Remodelacion!$E$17,Remodelacion!$C$18,-Remodelacion!$C$15,,))</f>
        <v>#VALUE!</v>
      </c>
      <c r="M207" s="9" t="e">
        <f t="shared" si="15"/>
        <v>#VALUE!</v>
      </c>
      <c r="N207" s="7" t="e">
        <f>IF(C206&lt;1,"0",Remodelacion!$C$38)</f>
        <v>#VALUE!</v>
      </c>
      <c r="O207" s="9" t="e">
        <f t="shared" si="16"/>
        <v>#VALUE!</v>
      </c>
    </row>
    <row r="208" spans="2:15" ht="15.5" x14ac:dyDescent="0.35">
      <c r="B208" s="6" t="e">
        <f t="shared" si="17"/>
        <v>#VALUE!</v>
      </c>
      <c r="C208" s="7" t="e">
        <f t="shared" si="13"/>
        <v>#VALUE!</v>
      </c>
      <c r="D208" s="7" t="e">
        <f t="shared" si="18"/>
        <v>#VALUE!</v>
      </c>
      <c r="E208" s="7" t="e">
        <f>C207*Remodelacion!$E$17</f>
        <v>#VALUE!</v>
      </c>
      <c r="F208" s="8" t="e">
        <f>IF(C207&lt;1,0,IF(Remodelacion!$D$26="Si",($C$17*(VLOOKUP(Remodelacion!$C$22,Seguros_Oblig!$A$3:$F$55,6,FALSE))),IF(Remodelacion!$C$10="TARIFA 1",(C207*(VLOOKUP(Remodelacion!$C$22,Seguros_Oblig!$A$3:$B$55,2,FALSE))),(C207*(VLOOKUP(Remodelacion!$C$22,Seguros_Oblig!$A$3:$D$55,4,FALSE))))))</f>
        <v>#VALUE!</v>
      </c>
      <c r="G208" s="8" t="e">
        <f>IF(Remodelacion!$C$10="TARIFA 1",(C207*(VLOOKUP(Remodelacion!$C$23,Seguros_Oblig!$A$3:$B$55,2,FALSE))),(C207*(VLOOKUP(Remodelacion!$C$23,Seguros_Oblig!$A$3:$D$55,4,FALSE))))</f>
        <v>#VALUE!</v>
      </c>
      <c r="H208" s="8" t="e">
        <f>IF(Remodelacion!$C$10="TARIFA 1",(C207*(VLOOKUP(Remodelacion!$C$24,Seguros_Oblig!$A$3:$B$55,2,FALSE))),(C207*(VLOOKUP(Remodelacion!$C$24,Seguros_Oblig!$A$3:$D$55,4,FALSE))))</f>
        <v>#VALUE!</v>
      </c>
      <c r="I208" s="8" t="e">
        <f>IF(Remodelacion!$C$10="TARIFA 1",(C207*(VLOOKUP(Remodelacion!$C$25,Seguros_Oblig!$A$3:$B$55,2,FALSE))),(C207*(VLOOKUP(Remodelacion!$C$25,Seguros_Oblig!$A$3:$D$55,4,FALSE))))</f>
        <v>#VALUE!</v>
      </c>
      <c r="J208" s="10">
        <f t="shared" si="14"/>
        <v>0</v>
      </c>
      <c r="K208" s="7" t="e">
        <f>IF(RM!$D$11="Si",0,IF(C207&lt;1,"0",Seguros_Oblig!$K$2*Remodelacion!$C$12))</f>
        <v>#VALUE!</v>
      </c>
      <c r="L208" s="7" t="e">
        <f>IF(B208=" ","0",PMT(Remodelacion!$E$17,Remodelacion!$C$18,-Remodelacion!$C$15,,))</f>
        <v>#VALUE!</v>
      </c>
      <c r="M208" s="9" t="e">
        <f t="shared" si="15"/>
        <v>#VALUE!</v>
      </c>
      <c r="N208" s="7" t="e">
        <f>IF(C207&lt;1,"0",Remodelacion!$C$38)</f>
        <v>#VALUE!</v>
      </c>
      <c r="O208" s="9" t="e">
        <f t="shared" si="16"/>
        <v>#VALUE!</v>
      </c>
    </row>
    <row r="209" spans="2:15" ht="15.5" x14ac:dyDescent="0.35">
      <c r="B209" s="6" t="e">
        <f t="shared" si="17"/>
        <v>#VALUE!</v>
      </c>
      <c r="C209" s="7" t="e">
        <f t="shared" si="13"/>
        <v>#VALUE!</v>
      </c>
      <c r="D209" s="7" t="e">
        <f t="shared" si="18"/>
        <v>#VALUE!</v>
      </c>
      <c r="E209" s="7" t="e">
        <f>C208*Remodelacion!$E$17</f>
        <v>#VALUE!</v>
      </c>
      <c r="F209" s="8" t="e">
        <f>IF(C208&lt;1,0,IF(Remodelacion!$D$26="Si",($C$17*(VLOOKUP(Remodelacion!$C$22,Seguros_Oblig!$A$3:$F$55,6,FALSE))),IF(Remodelacion!$C$10="TARIFA 1",(C208*(VLOOKUP(Remodelacion!$C$22,Seguros_Oblig!$A$3:$B$55,2,FALSE))),(C208*(VLOOKUP(Remodelacion!$C$22,Seguros_Oblig!$A$3:$D$55,4,FALSE))))))</f>
        <v>#VALUE!</v>
      </c>
      <c r="G209" s="8" t="e">
        <f>IF(Remodelacion!$C$10="TARIFA 1",(C208*(VLOOKUP(Remodelacion!$C$23,Seguros_Oblig!$A$3:$B$55,2,FALSE))),(C208*(VLOOKUP(Remodelacion!$C$23,Seguros_Oblig!$A$3:$D$55,4,FALSE))))</f>
        <v>#VALUE!</v>
      </c>
      <c r="H209" s="8" t="e">
        <f>IF(Remodelacion!$C$10="TARIFA 1",(C208*(VLOOKUP(Remodelacion!$C$24,Seguros_Oblig!$A$3:$B$55,2,FALSE))),(C208*(VLOOKUP(Remodelacion!$C$24,Seguros_Oblig!$A$3:$D$55,4,FALSE))))</f>
        <v>#VALUE!</v>
      </c>
      <c r="I209" s="8" t="e">
        <f>IF(Remodelacion!$C$10="TARIFA 1",(C208*(VLOOKUP(Remodelacion!$C$25,Seguros_Oblig!$A$3:$B$55,2,FALSE))),(C208*(VLOOKUP(Remodelacion!$C$25,Seguros_Oblig!$A$3:$D$55,4,FALSE))))</f>
        <v>#VALUE!</v>
      </c>
      <c r="J209" s="10">
        <f t="shared" si="14"/>
        <v>0</v>
      </c>
      <c r="K209" s="7" t="e">
        <f>IF(RM!$D$11="Si",0,IF(C208&lt;1,"0",Seguros_Oblig!$K$2*Remodelacion!$C$12))</f>
        <v>#VALUE!</v>
      </c>
      <c r="L209" s="7" t="e">
        <f>IF(B209=" ","0",PMT(Remodelacion!$E$17,Remodelacion!$C$18,-Remodelacion!$C$15,,))</f>
        <v>#VALUE!</v>
      </c>
      <c r="M209" s="9" t="e">
        <f t="shared" si="15"/>
        <v>#VALUE!</v>
      </c>
      <c r="N209" s="7" t="e">
        <f>IF(C208&lt;1,"0",Remodelacion!$C$38)</f>
        <v>#VALUE!</v>
      </c>
      <c r="O209" s="9" t="e">
        <f t="shared" si="16"/>
        <v>#VALUE!</v>
      </c>
    </row>
    <row r="210" spans="2:15" ht="15.5" x14ac:dyDescent="0.35">
      <c r="B210" s="6" t="e">
        <f t="shared" si="17"/>
        <v>#VALUE!</v>
      </c>
      <c r="C210" s="7" t="e">
        <f t="shared" si="13"/>
        <v>#VALUE!</v>
      </c>
      <c r="D210" s="7" t="e">
        <f t="shared" si="18"/>
        <v>#VALUE!</v>
      </c>
      <c r="E210" s="7" t="e">
        <f>C209*Remodelacion!$E$17</f>
        <v>#VALUE!</v>
      </c>
      <c r="F210" s="8" t="e">
        <f>IF(C209&lt;1,0,IF(Remodelacion!$D$26="Si",($C$17*(VLOOKUP(Remodelacion!$C$22,Seguros_Oblig!$A$3:$F$55,6,FALSE))),IF(Remodelacion!$C$10="TARIFA 1",(C209*(VLOOKUP(Remodelacion!$C$22,Seguros_Oblig!$A$3:$B$55,2,FALSE))),(C209*(VLOOKUP(Remodelacion!$C$22,Seguros_Oblig!$A$3:$D$55,4,FALSE))))))</f>
        <v>#VALUE!</v>
      </c>
      <c r="G210" s="8" t="e">
        <f>IF(Remodelacion!$C$10="TARIFA 1",(C209*(VLOOKUP(Remodelacion!$C$23,Seguros_Oblig!$A$3:$B$55,2,FALSE))),(C209*(VLOOKUP(Remodelacion!$C$23,Seguros_Oblig!$A$3:$D$55,4,FALSE))))</f>
        <v>#VALUE!</v>
      </c>
      <c r="H210" s="8" t="e">
        <f>IF(Remodelacion!$C$10="TARIFA 1",(C209*(VLOOKUP(Remodelacion!$C$24,Seguros_Oblig!$A$3:$B$55,2,FALSE))),(C209*(VLOOKUP(Remodelacion!$C$24,Seguros_Oblig!$A$3:$D$55,4,FALSE))))</f>
        <v>#VALUE!</v>
      </c>
      <c r="I210" s="8" t="e">
        <f>IF(Remodelacion!$C$10="TARIFA 1",(C209*(VLOOKUP(Remodelacion!$C$25,Seguros_Oblig!$A$3:$B$55,2,FALSE))),(C209*(VLOOKUP(Remodelacion!$C$25,Seguros_Oblig!$A$3:$D$55,4,FALSE))))</f>
        <v>#VALUE!</v>
      </c>
      <c r="J210" s="10">
        <f t="shared" si="14"/>
        <v>0</v>
      </c>
      <c r="K210" s="7" t="e">
        <f>IF(RM!$D$11="Si",0,IF(C209&lt;1,"0",Seguros_Oblig!$K$2*Remodelacion!$C$12))</f>
        <v>#VALUE!</v>
      </c>
      <c r="L210" s="7" t="e">
        <f>IF(B210=" ","0",PMT(Remodelacion!$E$17,Remodelacion!$C$18,-Remodelacion!$C$15,,))</f>
        <v>#VALUE!</v>
      </c>
      <c r="M210" s="9" t="e">
        <f t="shared" si="15"/>
        <v>#VALUE!</v>
      </c>
      <c r="N210" s="7" t="e">
        <f>IF(C209&lt;1,"0",Remodelacion!$C$38)</f>
        <v>#VALUE!</v>
      </c>
      <c r="O210" s="9" t="e">
        <f t="shared" si="16"/>
        <v>#VALUE!</v>
      </c>
    </row>
    <row r="211" spans="2:15" ht="15.5" x14ac:dyDescent="0.35">
      <c r="B211" s="6" t="e">
        <f t="shared" si="17"/>
        <v>#VALUE!</v>
      </c>
      <c r="C211" s="7" t="e">
        <f t="shared" ref="C211:C274" si="19">C210-D211</f>
        <v>#VALUE!</v>
      </c>
      <c r="D211" s="7" t="e">
        <f t="shared" si="18"/>
        <v>#VALUE!</v>
      </c>
      <c r="E211" s="7" t="e">
        <f>C210*Remodelacion!$E$17</f>
        <v>#VALUE!</v>
      </c>
      <c r="F211" s="8" t="e">
        <f>IF(C210&lt;1,0,IF(Remodelacion!$D$26="Si",($C$17*(VLOOKUP(Remodelacion!$C$22,Seguros_Oblig!$A$3:$F$55,6,FALSE))),IF(Remodelacion!$C$10="TARIFA 1",(C210*(VLOOKUP(Remodelacion!$C$22,Seguros_Oblig!$A$3:$B$55,2,FALSE))),(C210*(VLOOKUP(Remodelacion!$C$22,Seguros_Oblig!$A$3:$D$55,4,FALSE))))))</f>
        <v>#VALUE!</v>
      </c>
      <c r="G211" s="8" t="e">
        <f>IF(Remodelacion!$C$10="TARIFA 1",(C210*(VLOOKUP(Remodelacion!$C$23,Seguros_Oblig!$A$3:$B$55,2,FALSE))),(C210*(VLOOKUP(Remodelacion!$C$23,Seguros_Oblig!$A$3:$D$55,4,FALSE))))</f>
        <v>#VALUE!</v>
      </c>
      <c r="H211" s="8" t="e">
        <f>IF(Remodelacion!$C$10="TARIFA 1",(C210*(VLOOKUP(Remodelacion!$C$24,Seguros_Oblig!$A$3:$B$55,2,FALSE))),(C210*(VLOOKUP(Remodelacion!$C$24,Seguros_Oblig!$A$3:$D$55,4,FALSE))))</f>
        <v>#VALUE!</v>
      </c>
      <c r="I211" s="8" t="e">
        <f>IF(Remodelacion!$C$10="TARIFA 1",(C210*(VLOOKUP(Remodelacion!$C$25,Seguros_Oblig!$A$3:$B$55,2,FALSE))),(C210*(VLOOKUP(Remodelacion!$C$25,Seguros_Oblig!$A$3:$D$55,4,FALSE))))</f>
        <v>#VALUE!</v>
      </c>
      <c r="J211" s="10">
        <f t="shared" ref="J211:J274" si="20">_xlfn.AGGREGATE(9,6,F211:I211)</f>
        <v>0</v>
      </c>
      <c r="K211" s="7" t="e">
        <f>IF(RM!$D$11="Si",0,IF(C210&lt;1,"0",Seguros_Oblig!$K$2*Remodelacion!$C$12))</f>
        <v>#VALUE!</v>
      </c>
      <c r="L211" s="7" t="e">
        <f>IF(B211=" ","0",PMT(Remodelacion!$E$17,Remodelacion!$C$18,-Remodelacion!$C$15,,))</f>
        <v>#VALUE!</v>
      </c>
      <c r="M211" s="9" t="e">
        <f t="shared" ref="M211:M274" si="21">K211+L211+J211</f>
        <v>#VALUE!</v>
      </c>
      <c r="N211" s="7" t="e">
        <f>IF(C210&lt;1,"0",Remodelacion!$C$38)</f>
        <v>#VALUE!</v>
      </c>
      <c r="O211" s="9" t="e">
        <f t="shared" ref="O211:O274" si="22">M211+N211</f>
        <v>#VALUE!</v>
      </c>
    </row>
    <row r="212" spans="2:15" ht="15.5" x14ac:dyDescent="0.35">
      <c r="B212" s="6" t="e">
        <f t="shared" si="17"/>
        <v>#VALUE!</v>
      </c>
      <c r="C212" s="7" t="e">
        <f t="shared" si="19"/>
        <v>#VALUE!</v>
      </c>
      <c r="D212" s="7" t="e">
        <f t="shared" si="18"/>
        <v>#VALUE!</v>
      </c>
      <c r="E212" s="7" t="e">
        <f>C211*Remodelacion!$E$17</f>
        <v>#VALUE!</v>
      </c>
      <c r="F212" s="8" t="e">
        <f>IF(C211&lt;1,0,IF(Remodelacion!$D$26="Si",($C$17*(VLOOKUP(Remodelacion!$C$22,Seguros_Oblig!$A$3:$F$55,6,FALSE))),IF(Remodelacion!$C$10="TARIFA 1",(C211*(VLOOKUP(Remodelacion!$C$22,Seguros_Oblig!$A$3:$B$55,2,FALSE))),(C211*(VLOOKUP(Remodelacion!$C$22,Seguros_Oblig!$A$3:$D$55,4,FALSE))))))</f>
        <v>#VALUE!</v>
      </c>
      <c r="G212" s="8" t="e">
        <f>IF(Remodelacion!$C$10="TARIFA 1",(C211*(VLOOKUP(Remodelacion!$C$23,Seguros_Oblig!$A$3:$B$55,2,FALSE))),(C211*(VLOOKUP(Remodelacion!$C$23,Seguros_Oblig!$A$3:$D$55,4,FALSE))))</f>
        <v>#VALUE!</v>
      </c>
      <c r="H212" s="8" t="e">
        <f>IF(Remodelacion!$C$10="TARIFA 1",(C211*(VLOOKUP(Remodelacion!$C$24,Seguros_Oblig!$A$3:$B$55,2,FALSE))),(C211*(VLOOKUP(Remodelacion!$C$24,Seguros_Oblig!$A$3:$D$55,4,FALSE))))</f>
        <v>#VALUE!</v>
      </c>
      <c r="I212" s="8" t="e">
        <f>IF(Remodelacion!$C$10="TARIFA 1",(C211*(VLOOKUP(Remodelacion!$C$25,Seguros_Oblig!$A$3:$B$55,2,FALSE))),(C211*(VLOOKUP(Remodelacion!$C$25,Seguros_Oblig!$A$3:$D$55,4,FALSE))))</f>
        <v>#VALUE!</v>
      </c>
      <c r="J212" s="10">
        <f t="shared" si="20"/>
        <v>0</v>
      </c>
      <c r="K212" s="7" t="e">
        <f>IF(RM!$D$11="Si",0,IF(C211&lt;1,"0",Seguros_Oblig!$K$2*Remodelacion!$C$12))</f>
        <v>#VALUE!</v>
      </c>
      <c r="L212" s="7" t="e">
        <f>IF(B212=" ","0",PMT(Remodelacion!$E$17,Remodelacion!$C$18,-Remodelacion!$C$15,,))</f>
        <v>#VALUE!</v>
      </c>
      <c r="M212" s="9" t="e">
        <f t="shared" si="21"/>
        <v>#VALUE!</v>
      </c>
      <c r="N212" s="7" t="e">
        <f>IF(C211&lt;1,"0",Remodelacion!$C$38)</f>
        <v>#VALUE!</v>
      </c>
      <c r="O212" s="9" t="e">
        <f t="shared" si="22"/>
        <v>#VALUE!</v>
      </c>
    </row>
    <row r="213" spans="2:15" ht="15.5" x14ac:dyDescent="0.35">
      <c r="B213" s="6" t="e">
        <f t="shared" si="17"/>
        <v>#VALUE!</v>
      </c>
      <c r="C213" s="7" t="e">
        <f t="shared" si="19"/>
        <v>#VALUE!</v>
      </c>
      <c r="D213" s="7" t="e">
        <f t="shared" si="18"/>
        <v>#VALUE!</v>
      </c>
      <c r="E213" s="7" t="e">
        <f>C212*Remodelacion!$E$17</f>
        <v>#VALUE!</v>
      </c>
      <c r="F213" s="8" t="e">
        <f>IF(C212&lt;1,0,IF(Remodelacion!$D$26="Si",($C$17*(VLOOKUP(Remodelacion!$C$22,Seguros_Oblig!$A$3:$F$55,6,FALSE))),IF(Remodelacion!$C$10="TARIFA 1",(C212*(VLOOKUP(Remodelacion!$C$22,Seguros_Oblig!$A$3:$B$55,2,FALSE))),(C212*(VLOOKUP(Remodelacion!$C$22,Seguros_Oblig!$A$3:$D$55,4,FALSE))))))</f>
        <v>#VALUE!</v>
      </c>
      <c r="G213" s="8" t="e">
        <f>IF(Remodelacion!$C$10="TARIFA 1",(C212*(VLOOKUP(Remodelacion!$C$23,Seguros_Oblig!$A$3:$B$55,2,FALSE))),(C212*(VLOOKUP(Remodelacion!$C$23,Seguros_Oblig!$A$3:$D$55,4,FALSE))))</f>
        <v>#VALUE!</v>
      </c>
      <c r="H213" s="8" t="e">
        <f>IF(Remodelacion!$C$10="TARIFA 1",(C212*(VLOOKUP(Remodelacion!$C$24,Seguros_Oblig!$A$3:$B$55,2,FALSE))),(C212*(VLOOKUP(Remodelacion!$C$24,Seguros_Oblig!$A$3:$D$55,4,FALSE))))</f>
        <v>#VALUE!</v>
      </c>
      <c r="I213" s="8" t="e">
        <f>IF(Remodelacion!$C$10="TARIFA 1",(C212*(VLOOKUP(Remodelacion!$C$25,Seguros_Oblig!$A$3:$B$55,2,FALSE))),(C212*(VLOOKUP(Remodelacion!$C$25,Seguros_Oblig!$A$3:$D$55,4,FALSE))))</f>
        <v>#VALUE!</v>
      </c>
      <c r="J213" s="10">
        <f t="shared" si="20"/>
        <v>0</v>
      </c>
      <c r="K213" s="7" t="e">
        <f>IF(RM!$D$11="Si",0,IF(C212&lt;1,"0",Seguros_Oblig!$K$2*Remodelacion!$C$12))</f>
        <v>#VALUE!</v>
      </c>
      <c r="L213" s="7" t="e">
        <f>IF(B213=" ","0",PMT(Remodelacion!$E$17,Remodelacion!$C$18,-Remodelacion!$C$15,,))</f>
        <v>#VALUE!</v>
      </c>
      <c r="M213" s="9" t="e">
        <f t="shared" si="21"/>
        <v>#VALUE!</v>
      </c>
      <c r="N213" s="7" t="e">
        <f>IF(C212&lt;1,"0",Remodelacion!$C$38)</f>
        <v>#VALUE!</v>
      </c>
      <c r="O213" s="9" t="e">
        <f t="shared" si="22"/>
        <v>#VALUE!</v>
      </c>
    </row>
    <row r="214" spans="2:15" ht="15.5" x14ac:dyDescent="0.35">
      <c r="B214" s="6" t="e">
        <f t="shared" si="17"/>
        <v>#VALUE!</v>
      </c>
      <c r="C214" s="7" t="e">
        <f t="shared" si="19"/>
        <v>#VALUE!</v>
      </c>
      <c r="D214" s="7" t="e">
        <f t="shared" si="18"/>
        <v>#VALUE!</v>
      </c>
      <c r="E214" s="7" t="e">
        <f>C213*Remodelacion!$E$17</f>
        <v>#VALUE!</v>
      </c>
      <c r="F214" s="8" t="e">
        <f>IF(C213&lt;1,0,IF(Remodelacion!$D$26="Si",($C$17*(VLOOKUP(Remodelacion!$C$22,Seguros_Oblig!$A$3:$F$55,6,FALSE))),IF(Remodelacion!$C$10="TARIFA 1",(C213*(VLOOKUP(Remodelacion!$C$22,Seguros_Oblig!$A$3:$B$55,2,FALSE))),(C213*(VLOOKUP(Remodelacion!$C$22,Seguros_Oblig!$A$3:$D$55,4,FALSE))))))</f>
        <v>#VALUE!</v>
      </c>
      <c r="G214" s="8" t="e">
        <f>IF(Remodelacion!$C$10="TARIFA 1",(C213*(VLOOKUP(Remodelacion!$C$23,Seguros_Oblig!$A$3:$B$55,2,FALSE))),(C213*(VLOOKUP(Remodelacion!$C$23,Seguros_Oblig!$A$3:$D$55,4,FALSE))))</f>
        <v>#VALUE!</v>
      </c>
      <c r="H214" s="8" t="e">
        <f>IF(Remodelacion!$C$10="TARIFA 1",(C213*(VLOOKUP(Remodelacion!$C$24,Seguros_Oblig!$A$3:$B$55,2,FALSE))),(C213*(VLOOKUP(Remodelacion!$C$24,Seguros_Oblig!$A$3:$D$55,4,FALSE))))</f>
        <v>#VALUE!</v>
      </c>
      <c r="I214" s="8" t="e">
        <f>IF(Remodelacion!$C$10="TARIFA 1",(C213*(VLOOKUP(Remodelacion!$C$25,Seguros_Oblig!$A$3:$B$55,2,FALSE))),(C213*(VLOOKUP(Remodelacion!$C$25,Seguros_Oblig!$A$3:$D$55,4,FALSE))))</f>
        <v>#VALUE!</v>
      </c>
      <c r="J214" s="10">
        <f t="shared" si="20"/>
        <v>0</v>
      </c>
      <c r="K214" s="7" t="e">
        <f>IF(RM!$D$11="Si",0,IF(C213&lt;1,"0",Seguros_Oblig!$K$2*Remodelacion!$C$12))</f>
        <v>#VALUE!</v>
      </c>
      <c r="L214" s="7" t="e">
        <f>IF(B214=" ","0",PMT(Remodelacion!$E$17,Remodelacion!$C$18,-Remodelacion!$C$15,,))</f>
        <v>#VALUE!</v>
      </c>
      <c r="M214" s="9" t="e">
        <f t="shared" si="21"/>
        <v>#VALUE!</v>
      </c>
      <c r="N214" s="7" t="e">
        <f>IF(C213&lt;1,"0",Remodelacion!$C$38)</f>
        <v>#VALUE!</v>
      </c>
      <c r="O214" s="9" t="e">
        <f t="shared" si="22"/>
        <v>#VALUE!</v>
      </c>
    </row>
    <row r="215" spans="2:15" ht="15.5" x14ac:dyDescent="0.35">
      <c r="B215" s="6" t="e">
        <f t="shared" si="17"/>
        <v>#VALUE!</v>
      </c>
      <c r="C215" s="7" t="e">
        <f t="shared" si="19"/>
        <v>#VALUE!</v>
      </c>
      <c r="D215" s="7" t="e">
        <f t="shared" si="18"/>
        <v>#VALUE!</v>
      </c>
      <c r="E215" s="7" t="e">
        <f>C214*Remodelacion!$E$17</f>
        <v>#VALUE!</v>
      </c>
      <c r="F215" s="8" t="e">
        <f>IF(C214&lt;1,0,IF(Remodelacion!$D$26="Si",($C$17*(VLOOKUP(Remodelacion!$C$22,Seguros_Oblig!$A$3:$F$55,6,FALSE))),IF(Remodelacion!$C$10="TARIFA 1",(C214*(VLOOKUP(Remodelacion!$C$22,Seguros_Oblig!$A$3:$B$55,2,FALSE))),(C214*(VLOOKUP(Remodelacion!$C$22,Seguros_Oblig!$A$3:$D$55,4,FALSE))))))</f>
        <v>#VALUE!</v>
      </c>
      <c r="G215" s="8" t="e">
        <f>IF(Remodelacion!$C$10="TARIFA 1",(C214*(VLOOKUP(Remodelacion!$C$23,Seguros_Oblig!$A$3:$B$55,2,FALSE))),(C214*(VLOOKUP(Remodelacion!$C$23,Seguros_Oblig!$A$3:$D$55,4,FALSE))))</f>
        <v>#VALUE!</v>
      </c>
      <c r="H215" s="8" t="e">
        <f>IF(Remodelacion!$C$10="TARIFA 1",(C214*(VLOOKUP(Remodelacion!$C$24,Seguros_Oblig!$A$3:$B$55,2,FALSE))),(C214*(VLOOKUP(Remodelacion!$C$24,Seguros_Oblig!$A$3:$D$55,4,FALSE))))</f>
        <v>#VALUE!</v>
      </c>
      <c r="I215" s="8" t="e">
        <f>IF(Remodelacion!$C$10="TARIFA 1",(C214*(VLOOKUP(Remodelacion!$C$25,Seguros_Oblig!$A$3:$B$55,2,FALSE))),(C214*(VLOOKUP(Remodelacion!$C$25,Seguros_Oblig!$A$3:$D$55,4,FALSE))))</f>
        <v>#VALUE!</v>
      </c>
      <c r="J215" s="10">
        <f t="shared" si="20"/>
        <v>0</v>
      </c>
      <c r="K215" s="7" t="e">
        <f>IF(RM!$D$11="Si",0,IF(C214&lt;1,"0",Seguros_Oblig!$K$2*Remodelacion!$C$12))</f>
        <v>#VALUE!</v>
      </c>
      <c r="L215" s="7" t="e">
        <f>IF(B215=" ","0",PMT(Remodelacion!$E$17,Remodelacion!$C$18,-Remodelacion!$C$15,,))</f>
        <v>#VALUE!</v>
      </c>
      <c r="M215" s="9" t="e">
        <f t="shared" si="21"/>
        <v>#VALUE!</v>
      </c>
      <c r="N215" s="7" t="e">
        <f>IF(C214&lt;1,"0",Remodelacion!$C$38)</f>
        <v>#VALUE!</v>
      </c>
      <c r="O215" s="9" t="e">
        <f t="shared" si="22"/>
        <v>#VALUE!</v>
      </c>
    </row>
    <row r="216" spans="2:15" ht="15.5" x14ac:dyDescent="0.35">
      <c r="B216" s="6" t="e">
        <f t="shared" ref="B216:B279" si="23">IF(C215&gt;1,B215+1," ")</f>
        <v>#VALUE!</v>
      </c>
      <c r="C216" s="7" t="e">
        <f t="shared" si="19"/>
        <v>#VALUE!</v>
      </c>
      <c r="D216" s="7" t="e">
        <f t="shared" si="18"/>
        <v>#VALUE!</v>
      </c>
      <c r="E216" s="7" t="e">
        <f>C215*Remodelacion!$E$17</f>
        <v>#VALUE!</v>
      </c>
      <c r="F216" s="8" t="e">
        <f>IF(C215&lt;1,0,IF(Remodelacion!$D$26="Si",($C$17*(VLOOKUP(Remodelacion!$C$22,Seguros_Oblig!$A$3:$F$55,6,FALSE))),IF(Remodelacion!$C$10="TARIFA 1",(C215*(VLOOKUP(Remodelacion!$C$22,Seguros_Oblig!$A$3:$B$55,2,FALSE))),(C215*(VLOOKUP(Remodelacion!$C$22,Seguros_Oblig!$A$3:$D$55,4,FALSE))))))</f>
        <v>#VALUE!</v>
      </c>
      <c r="G216" s="8" t="e">
        <f>IF(Remodelacion!$C$10="TARIFA 1",(C215*(VLOOKUP(Remodelacion!$C$23,Seguros_Oblig!$A$3:$B$55,2,FALSE))),(C215*(VLOOKUP(Remodelacion!$C$23,Seguros_Oblig!$A$3:$D$55,4,FALSE))))</f>
        <v>#VALUE!</v>
      </c>
      <c r="H216" s="8" t="e">
        <f>IF(Remodelacion!$C$10="TARIFA 1",(C215*(VLOOKUP(Remodelacion!$C$24,Seguros_Oblig!$A$3:$B$55,2,FALSE))),(C215*(VLOOKUP(Remodelacion!$C$24,Seguros_Oblig!$A$3:$D$55,4,FALSE))))</f>
        <v>#VALUE!</v>
      </c>
      <c r="I216" s="8" t="e">
        <f>IF(Remodelacion!$C$10="TARIFA 1",(C215*(VLOOKUP(Remodelacion!$C$25,Seguros_Oblig!$A$3:$B$55,2,FALSE))),(C215*(VLOOKUP(Remodelacion!$C$25,Seguros_Oblig!$A$3:$D$55,4,FALSE))))</f>
        <v>#VALUE!</v>
      </c>
      <c r="J216" s="10">
        <f t="shared" si="20"/>
        <v>0</v>
      </c>
      <c r="K216" s="7" t="e">
        <f>IF(RM!$D$11="Si",0,IF(C215&lt;1,"0",Seguros_Oblig!$K$2*Remodelacion!$C$12))</f>
        <v>#VALUE!</v>
      </c>
      <c r="L216" s="7" t="e">
        <f>IF(B216=" ","0",PMT(Remodelacion!$E$17,Remodelacion!$C$18,-Remodelacion!$C$15,,))</f>
        <v>#VALUE!</v>
      </c>
      <c r="M216" s="9" t="e">
        <f t="shared" si="21"/>
        <v>#VALUE!</v>
      </c>
      <c r="N216" s="7" t="e">
        <f>IF(C215&lt;1,"0",Remodelacion!$C$38)</f>
        <v>#VALUE!</v>
      </c>
      <c r="O216" s="9" t="e">
        <f t="shared" si="22"/>
        <v>#VALUE!</v>
      </c>
    </row>
    <row r="217" spans="2:15" ht="15.5" x14ac:dyDescent="0.35">
      <c r="B217" s="6" t="e">
        <f t="shared" si="23"/>
        <v>#VALUE!</v>
      </c>
      <c r="C217" s="7" t="e">
        <f t="shared" si="19"/>
        <v>#VALUE!</v>
      </c>
      <c r="D217" s="7" t="e">
        <f t="shared" si="18"/>
        <v>#VALUE!</v>
      </c>
      <c r="E217" s="7" t="e">
        <f>C216*Remodelacion!$E$17</f>
        <v>#VALUE!</v>
      </c>
      <c r="F217" s="8" t="e">
        <f>IF(C216&lt;1,0,IF(Remodelacion!$D$26="Si",($C$17*(VLOOKUP(Remodelacion!$C$22,Seguros_Oblig!$A$3:$F$55,6,FALSE))),IF(Remodelacion!$C$10="TARIFA 1",(C216*(VLOOKUP(Remodelacion!$C$22,Seguros_Oblig!$A$3:$B$55,2,FALSE))),(C216*(VLOOKUP(Remodelacion!$C$22,Seguros_Oblig!$A$3:$D$55,4,FALSE))))))</f>
        <v>#VALUE!</v>
      </c>
      <c r="G217" s="8" t="e">
        <f>IF(Remodelacion!$C$10="TARIFA 1",(C216*(VLOOKUP(Remodelacion!$C$23,Seguros_Oblig!$A$3:$B$55,2,FALSE))),(C216*(VLOOKUP(Remodelacion!$C$23,Seguros_Oblig!$A$3:$D$55,4,FALSE))))</f>
        <v>#VALUE!</v>
      </c>
      <c r="H217" s="8" t="e">
        <f>IF(Remodelacion!$C$10="TARIFA 1",(C216*(VLOOKUP(Remodelacion!$C$24,Seguros_Oblig!$A$3:$B$55,2,FALSE))),(C216*(VLOOKUP(Remodelacion!$C$24,Seguros_Oblig!$A$3:$D$55,4,FALSE))))</f>
        <v>#VALUE!</v>
      </c>
      <c r="I217" s="8" t="e">
        <f>IF(Remodelacion!$C$10="TARIFA 1",(C216*(VLOOKUP(Remodelacion!$C$25,Seguros_Oblig!$A$3:$B$55,2,FALSE))),(C216*(VLOOKUP(Remodelacion!$C$25,Seguros_Oblig!$A$3:$D$55,4,FALSE))))</f>
        <v>#VALUE!</v>
      </c>
      <c r="J217" s="10">
        <f t="shared" si="20"/>
        <v>0</v>
      </c>
      <c r="K217" s="7" t="e">
        <f>IF(RM!$D$11="Si",0,IF(C216&lt;1,"0",Seguros_Oblig!$K$2*Remodelacion!$C$12))</f>
        <v>#VALUE!</v>
      </c>
      <c r="L217" s="7" t="e">
        <f>IF(B217=" ","0",PMT(Remodelacion!$E$17,Remodelacion!$C$18,-Remodelacion!$C$15,,))</f>
        <v>#VALUE!</v>
      </c>
      <c r="M217" s="9" t="e">
        <f t="shared" si="21"/>
        <v>#VALUE!</v>
      </c>
      <c r="N217" s="7" t="e">
        <f>IF(C216&lt;1,"0",Remodelacion!$C$38)</f>
        <v>#VALUE!</v>
      </c>
      <c r="O217" s="9" t="e">
        <f t="shared" si="22"/>
        <v>#VALUE!</v>
      </c>
    </row>
    <row r="218" spans="2:15" ht="15.5" x14ac:dyDescent="0.35">
      <c r="B218" s="6" t="e">
        <f t="shared" si="23"/>
        <v>#VALUE!</v>
      </c>
      <c r="C218" s="7" t="e">
        <f t="shared" si="19"/>
        <v>#VALUE!</v>
      </c>
      <c r="D218" s="7" t="e">
        <f t="shared" si="18"/>
        <v>#VALUE!</v>
      </c>
      <c r="E218" s="7" t="e">
        <f>C217*Remodelacion!$E$17</f>
        <v>#VALUE!</v>
      </c>
      <c r="F218" s="8" t="e">
        <f>IF(C217&lt;1,0,IF(Remodelacion!$D$26="Si",($C$17*(VLOOKUP(Remodelacion!$C$22,Seguros_Oblig!$A$3:$F$55,6,FALSE))),IF(Remodelacion!$C$10="TARIFA 1",(C217*(VLOOKUP(Remodelacion!$C$22,Seguros_Oblig!$A$3:$B$55,2,FALSE))),(C217*(VLOOKUP(Remodelacion!$C$22,Seguros_Oblig!$A$3:$D$55,4,FALSE))))))</f>
        <v>#VALUE!</v>
      </c>
      <c r="G218" s="8" t="e">
        <f>IF(Remodelacion!$C$10="TARIFA 1",(C217*(VLOOKUP(Remodelacion!$C$23,Seguros_Oblig!$A$3:$B$55,2,FALSE))),(C217*(VLOOKUP(Remodelacion!$C$23,Seguros_Oblig!$A$3:$D$55,4,FALSE))))</f>
        <v>#VALUE!</v>
      </c>
      <c r="H218" s="8" t="e">
        <f>IF(Remodelacion!$C$10="TARIFA 1",(C217*(VLOOKUP(Remodelacion!$C$24,Seguros_Oblig!$A$3:$B$55,2,FALSE))),(C217*(VLOOKUP(Remodelacion!$C$24,Seguros_Oblig!$A$3:$D$55,4,FALSE))))</f>
        <v>#VALUE!</v>
      </c>
      <c r="I218" s="8" t="e">
        <f>IF(Remodelacion!$C$10="TARIFA 1",(C217*(VLOOKUP(Remodelacion!$C$25,Seguros_Oblig!$A$3:$B$55,2,FALSE))),(C217*(VLOOKUP(Remodelacion!$C$25,Seguros_Oblig!$A$3:$D$55,4,FALSE))))</f>
        <v>#VALUE!</v>
      </c>
      <c r="J218" s="10">
        <f t="shared" si="20"/>
        <v>0</v>
      </c>
      <c r="K218" s="7" t="e">
        <f>IF(RM!$D$11="Si",0,IF(C217&lt;1,"0",Seguros_Oblig!$K$2*Remodelacion!$C$12))</f>
        <v>#VALUE!</v>
      </c>
      <c r="L218" s="7" t="e">
        <f>IF(B218=" ","0",PMT(Remodelacion!$E$17,Remodelacion!$C$18,-Remodelacion!$C$15,,))</f>
        <v>#VALUE!</v>
      </c>
      <c r="M218" s="9" t="e">
        <f t="shared" si="21"/>
        <v>#VALUE!</v>
      </c>
      <c r="N218" s="7" t="e">
        <f>IF(C217&lt;1,"0",Remodelacion!$C$38)</f>
        <v>#VALUE!</v>
      </c>
      <c r="O218" s="9" t="e">
        <f t="shared" si="22"/>
        <v>#VALUE!</v>
      </c>
    </row>
    <row r="219" spans="2:15" ht="15.5" x14ac:dyDescent="0.35">
      <c r="B219" s="6" t="e">
        <f t="shared" si="23"/>
        <v>#VALUE!</v>
      </c>
      <c r="C219" s="7" t="e">
        <f t="shared" si="19"/>
        <v>#VALUE!</v>
      </c>
      <c r="D219" s="7" t="e">
        <f t="shared" si="18"/>
        <v>#VALUE!</v>
      </c>
      <c r="E219" s="7" t="e">
        <f>C218*Remodelacion!$E$17</f>
        <v>#VALUE!</v>
      </c>
      <c r="F219" s="8" t="e">
        <f>IF(C218&lt;1,0,IF(Remodelacion!$D$26="Si",($C$17*(VLOOKUP(Remodelacion!$C$22,Seguros_Oblig!$A$3:$F$55,6,FALSE))),IF(Remodelacion!$C$10="TARIFA 1",(C218*(VLOOKUP(Remodelacion!$C$22,Seguros_Oblig!$A$3:$B$55,2,FALSE))),(C218*(VLOOKUP(Remodelacion!$C$22,Seguros_Oblig!$A$3:$D$55,4,FALSE))))))</f>
        <v>#VALUE!</v>
      </c>
      <c r="G219" s="8" t="e">
        <f>IF(Remodelacion!$C$10="TARIFA 1",(C218*(VLOOKUP(Remodelacion!$C$23,Seguros_Oblig!$A$3:$B$55,2,FALSE))),(C218*(VLOOKUP(Remodelacion!$C$23,Seguros_Oblig!$A$3:$D$55,4,FALSE))))</f>
        <v>#VALUE!</v>
      </c>
      <c r="H219" s="8" t="e">
        <f>IF(Remodelacion!$C$10="TARIFA 1",(C218*(VLOOKUP(Remodelacion!$C$24,Seguros_Oblig!$A$3:$B$55,2,FALSE))),(C218*(VLOOKUP(Remodelacion!$C$24,Seguros_Oblig!$A$3:$D$55,4,FALSE))))</f>
        <v>#VALUE!</v>
      </c>
      <c r="I219" s="8" t="e">
        <f>IF(Remodelacion!$C$10="TARIFA 1",(C218*(VLOOKUP(Remodelacion!$C$25,Seguros_Oblig!$A$3:$B$55,2,FALSE))),(C218*(VLOOKUP(Remodelacion!$C$25,Seguros_Oblig!$A$3:$D$55,4,FALSE))))</f>
        <v>#VALUE!</v>
      </c>
      <c r="J219" s="10">
        <f t="shared" si="20"/>
        <v>0</v>
      </c>
      <c r="K219" s="7" t="e">
        <f>IF(RM!$D$11="Si",0,IF(C218&lt;1,"0",Seguros_Oblig!$K$2*Remodelacion!$C$12))</f>
        <v>#VALUE!</v>
      </c>
      <c r="L219" s="7" t="e">
        <f>IF(B219=" ","0",PMT(Remodelacion!$E$17,Remodelacion!$C$18,-Remodelacion!$C$15,,))</f>
        <v>#VALUE!</v>
      </c>
      <c r="M219" s="9" t="e">
        <f t="shared" si="21"/>
        <v>#VALUE!</v>
      </c>
      <c r="N219" s="7" t="e">
        <f>IF(C218&lt;1,"0",Remodelacion!$C$38)</f>
        <v>#VALUE!</v>
      </c>
      <c r="O219" s="9" t="e">
        <f t="shared" si="22"/>
        <v>#VALUE!</v>
      </c>
    </row>
    <row r="220" spans="2:15" ht="15.5" x14ac:dyDescent="0.35">
      <c r="B220" s="6" t="e">
        <f t="shared" si="23"/>
        <v>#VALUE!</v>
      </c>
      <c r="C220" s="7" t="e">
        <f t="shared" si="19"/>
        <v>#VALUE!</v>
      </c>
      <c r="D220" s="7" t="e">
        <f t="shared" si="18"/>
        <v>#VALUE!</v>
      </c>
      <c r="E220" s="7" t="e">
        <f>C219*Remodelacion!$E$17</f>
        <v>#VALUE!</v>
      </c>
      <c r="F220" s="8" t="e">
        <f>IF(C219&lt;1,0,IF(Remodelacion!$D$26="Si",($C$17*(VLOOKUP(Remodelacion!$C$22,Seguros_Oblig!$A$3:$F$55,6,FALSE))),IF(Remodelacion!$C$10="TARIFA 1",(C219*(VLOOKUP(Remodelacion!$C$22,Seguros_Oblig!$A$3:$B$55,2,FALSE))),(C219*(VLOOKUP(Remodelacion!$C$22,Seguros_Oblig!$A$3:$D$55,4,FALSE))))))</f>
        <v>#VALUE!</v>
      </c>
      <c r="G220" s="8" t="e">
        <f>IF(Remodelacion!$C$10="TARIFA 1",(C219*(VLOOKUP(Remodelacion!$C$23,Seguros_Oblig!$A$3:$B$55,2,FALSE))),(C219*(VLOOKUP(Remodelacion!$C$23,Seguros_Oblig!$A$3:$D$55,4,FALSE))))</f>
        <v>#VALUE!</v>
      </c>
      <c r="H220" s="8" t="e">
        <f>IF(Remodelacion!$C$10="TARIFA 1",(C219*(VLOOKUP(Remodelacion!$C$24,Seguros_Oblig!$A$3:$B$55,2,FALSE))),(C219*(VLOOKUP(Remodelacion!$C$24,Seguros_Oblig!$A$3:$D$55,4,FALSE))))</f>
        <v>#VALUE!</v>
      </c>
      <c r="I220" s="8" t="e">
        <f>IF(Remodelacion!$C$10="TARIFA 1",(C219*(VLOOKUP(Remodelacion!$C$25,Seguros_Oblig!$A$3:$B$55,2,FALSE))),(C219*(VLOOKUP(Remodelacion!$C$25,Seguros_Oblig!$A$3:$D$55,4,FALSE))))</f>
        <v>#VALUE!</v>
      </c>
      <c r="J220" s="10">
        <f t="shared" si="20"/>
        <v>0</v>
      </c>
      <c r="K220" s="7" t="e">
        <f>IF(RM!$D$11="Si",0,IF(C219&lt;1,"0",Seguros_Oblig!$K$2*Remodelacion!$C$12))</f>
        <v>#VALUE!</v>
      </c>
      <c r="L220" s="7" t="e">
        <f>IF(B220=" ","0",PMT(Remodelacion!$E$17,Remodelacion!$C$18,-Remodelacion!$C$15,,))</f>
        <v>#VALUE!</v>
      </c>
      <c r="M220" s="9" t="e">
        <f t="shared" si="21"/>
        <v>#VALUE!</v>
      </c>
      <c r="N220" s="7" t="e">
        <f>IF(C219&lt;1,"0",Remodelacion!$C$38)</f>
        <v>#VALUE!</v>
      </c>
      <c r="O220" s="9" t="e">
        <f t="shared" si="22"/>
        <v>#VALUE!</v>
      </c>
    </row>
    <row r="221" spans="2:15" ht="15.5" x14ac:dyDescent="0.35">
      <c r="B221" s="6" t="e">
        <f t="shared" si="23"/>
        <v>#VALUE!</v>
      </c>
      <c r="C221" s="7" t="e">
        <f t="shared" si="19"/>
        <v>#VALUE!</v>
      </c>
      <c r="D221" s="7" t="e">
        <f t="shared" si="18"/>
        <v>#VALUE!</v>
      </c>
      <c r="E221" s="7" t="e">
        <f>C220*Remodelacion!$E$17</f>
        <v>#VALUE!</v>
      </c>
      <c r="F221" s="8" t="e">
        <f>IF(C220&lt;1,0,IF(Remodelacion!$D$26="Si",($C$17*(VLOOKUP(Remodelacion!$C$22,Seguros_Oblig!$A$3:$F$55,6,FALSE))),IF(Remodelacion!$C$10="TARIFA 1",(C220*(VLOOKUP(Remodelacion!$C$22,Seguros_Oblig!$A$3:$B$55,2,FALSE))),(C220*(VLOOKUP(Remodelacion!$C$22,Seguros_Oblig!$A$3:$D$55,4,FALSE))))))</f>
        <v>#VALUE!</v>
      </c>
      <c r="G221" s="8" t="e">
        <f>IF(Remodelacion!$C$10="TARIFA 1",(C220*(VLOOKUP(Remodelacion!$C$23,Seguros_Oblig!$A$3:$B$55,2,FALSE))),(C220*(VLOOKUP(Remodelacion!$C$23,Seguros_Oblig!$A$3:$D$55,4,FALSE))))</f>
        <v>#VALUE!</v>
      </c>
      <c r="H221" s="8" t="e">
        <f>IF(Remodelacion!$C$10="TARIFA 1",(C220*(VLOOKUP(Remodelacion!$C$24,Seguros_Oblig!$A$3:$B$55,2,FALSE))),(C220*(VLOOKUP(Remodelacion!$C$24,Seguros_Oblig!$A$3:$D$55,4,FALSE))))</f>
        <v>#VALUE!</v>
      </c>
      <c r="I221" s="8" t="e">
        <f>IF(Remodelacion!$C$10="TARIFA 1",(C220*(VLOOKUP(Remodelacion!$C$25,Seguros_Oblig!$A$3:$B$55,2,FALSE))),(C220*(VLOOKUP(Remodelacion!$C$25,Seguros_Oblig!$A$3:$D$55,4,FALSE))))</f>
        <v>#VALUE!</v>
      </c>
      <c r="J221" s="10">
        <f t="shared" si="20"/>
        <v>0</v>
      </c>
      <c r="K221" s="7" t="e">
        <f>IF(RM!$D$11="Si",0,IF(C220&lt;1,"0",Seguros_Oblig!$K$2*Remodelacion!$C$12))</f>
        <v>#VALUE!</v>
      </c>
      <c r="L221" s="7" t="e">
        <f>IF(B221=" ","0",PMT(Remodelacion!$E$17,Remodelacion!$C$18,-Remodelacion!$C$15,,))</f>
        <v>#VALUE!</v>
      </c>
      <c r="M221" s="9" t="e">
        <f t="shared" si="21"/>
        <v>#VALUE!</v>
      </c>
      <c r="N221" s="7" t="e">
        <f>IF(C220&lt;1,"0",Remodelacion!$C$38)</f>
        <v>#VALUE!</v>
      </c>
      <c r="O221" s="9" t="e">
        <f t="shared" si="22"/>
        <v>#VALUE!</v>
      </c>
    </row>
    <row r="222" spans="2:15" ht="15.5" x14ac:dyDescent="0.35">
      <c r="B222" s="6" t="e">
        <f t="shared" si="23"/>
        <v>#VALUE!</v>
      </c>
      <c r="C222" s="7" t="e">
        <f t="shared" si="19"/>
        <v>#VALUE!</v>
      </c>
      <c r="D222" s="7" t="e">
        <f t="shared" si="18"/>
        <v>#VALUE!</v>
      </c>
      <c r="E222" s="7" t="e">
        <f>C221*Remodelacion!$E$17</f>
        <v>#VALUE!</v>
      </c>
      <c r="F222" s="8" t="e">
        <f>IF(C221&lt;1,0,IF(Remodelacion!$D$26="Si",($C$17*(VLOOKUP(Remodelacion!$C$22,Seguros_Oblig!$A$3:$F$55,6,FALSE))),IF(Remodelacion!$C$10="TARIFA 1",(C221*(VLOOKUP(Remodelacion!$C$22,Seguros_Oblig!$A$3:$B$55,2,FALSE))),(C221*(VLOOKUP(Remodelacion!$C$22,Seguros_Oblig!$A$3:$D$55,4,FALSE))))))</f>
        <v>#VALUE!</v>
      </c>
      <c r="G222" s="8" t="e">
        <f>IF(Remodelacion!$C$10="TARIFA 1",(C221*(VLOOKUP(Remodelacion!$C$23,Seguros_Oblig!$A$3:$B$55,2,FALSE))),(C221*(VLOOKUP(Remodelacion!$C$23,Seguros_Oblig!$A$3:$D$55,4,FALSE))))</f>
        <v>#VALUE!</v>
      </c>
      <c r="H222" s="8" t="e">
        <f>IF(Remodelacion!$C$10="TARIFA 1",(C221*(VLOOKUP(Remodelacion!$C$24,Seguros_Oblig!$A$3:$B$55,2,FALSE))),(C221*(VLOOKUP(Remodelacion!$C$24,Seguros_Oblig!$A$3:$D$55,4,FALSE))))</f>
        <v>#VALUE!</v>
      </c>
      <c r="I222" s="8" t="e">
        <f>IF(Remodelacion!$C$10="TARIFA 1",(C221*(VLOOKUP(Remodelacion!$C$25,Seguros_Oblig!$A$3:$B$55,2,FALSE))),(C221*(VLOOKUP(Remodelacion!$C$25,Seguros_Oblig!$A$3:$D$55,4,FALSE))))</f>
        <v>#VALUE!</v>
      </c>
      <c r="J222" s="10">
        <f t="shared" si="20"/>
        <v>0</v>
      </c>
      <c r="K222" s="7" t="e">
        <f>IF(RM!$D$11="Si",0,IF(C221&lt;1,"0",Seguros_Oblig!$K$2*Remodelacion!$C$12))</f>
        <v>#VALUE!</v>
      </c>
      <c r="L222" s="7" t="e">
        <f>IF(B222=" ","0",PMT(Remodelacion!$E$17,Remodelacion!$C$18,-Remodelacion!$C$15,,))</f>
        <v>#VALUE!</v>
      </c>
      <c r="M222" s="9" t="e">
        <f t="shared" si="21"/>
        <v>#VALUE!</v>
      </c>
      <c r="N222" s="7" t="e">
        <f>IF(C221&lt;1,"0",Remodelacion!$C$38)</f>
        <v>#VALUE!</v>
      </c>
      <c r="O222" s="9" t="e">
        <f t="shared" si="22"/>
        <v>#VALUE!</v>
      </c>
    </row>
    <row r="223" spans="2:15" ht="15.5" x14ac:dyDescent="0.35">
      <c r="B223" s="6" t="e">
        <f t="shared" si="23"/>
        <v>#VALUE!</v>
      </c>
      <c r="C223" s="7" t="e">
        <f t="shared" si="19"/>
        <v>#VALUE!</v>
      </c>
      <c r="D223" s="7" t="e">
        <f t="shared" ref="D223:D286" si="24">IF(C222&lt;1,"0",L223-E223)</f>
        <v>#VALUE!</v>
      </c>
      <c r="E223" s="7" t="e">
        <f>C222*Remodelacion!$E$17</f>
        <v>#VALUE!</v>
      </c>
      <c r="F223" s="8" t="e">
        <f>IF(C222&lt;1,0,IF(Remodelacion!$D$26="Si",($C$17*(VLOOKUP(Remodelacion!$C$22,Seguros_Oblig!$A$3:$F$55,6,FALSE))),IF(Remodelacion!$C$10="TARIFA 1",(C222*(VLOOKUP(Remodelacion!$C$22,Seguros_Oblig!$A$3:$B$55,2,FALSE))),(C222*(VLOOKUP(Remodelacion!$C$22,Seguros_Oblig!$A$3:$D$55,4,FALSE))))))</f>
        <v>#VALUE!</v>
      </c>
      <c r="G223" s="8" t="e">
        <f>IF(Remodelacion!$C$10="TARIFA 1",(C222*(VLOOKUP(Remodelacion!$C$23,Seguros_Oblig!$A$3:$B$55,2,FALSE))),(C222*(VLOOKUP(Remodelacion!$C$23,Seguros_Oblig!$A$3:$D$55,4,FALSE))))</f>
        <v>#VALUE!</v>
      </c>
      <c r="H223" s="8" t="e">
        <f>IF(Remodelacion!$C$10="TARIFA 1",(C222*(VLOOKUP(Remodelacion!$C$24,Seguros_Oblig!$A$3:$B$55,2,FALSE))),(C222*(VLOOKUP(Remodelacion!$C$24,Seguros_Oblig!$A$3:$D$55,4,FALSE))))</f>
        <v>#VALUE!</v>
      </c>
      <c r="I223" s="8" t="e">
        <f>IF(Remodelacion!$C$10="TARIFA 1",(C222*(VLOOKUP(Remodelacion!$C$25,Seguros_Oblig!$A$3:$B$55,2,FALSE))),(C222*(VLOOKUP(Remodelacion!$C$25,Seguros_Oblig!$A$3:$D$55,4,FALSE))))</f>
        <v>#VALUE!</v>
      </c>
      <c r="J223" s="10">
        <f t="shared" si="20"/>
        <v>0</v>
      </c>
      <c r="K223" s="7" t="e">
        <f>IF(RM!$D$11="Si",0,IF(C222&lt;1,"0",Seguros_Oblig!$K$2*Remodelacion!$C$12))</f>
        <v>#VALUE!</v>
      </c>
      <c r="L223" s="7" t="e">
        <f>IF(B223=" ","0",PMT(Remodelacion!$E$17,Remodelacion!$C$18,-Remodelacion!$C$15,,))</f>
        <v>#VALUE!</v>
      </c>
      <c r="M223" s="9" t="e">
        <f t="shared" si="21"/>
        <v>#VALUE!</v>
      </c>
      <c r="N223" s="7" t="e">
        <f>IF(C222&lt;1,"0",Remodelacion!$C$38)</f>
        <v>#VALUE!</v>
      </c>
      <c r="O223" s="9" t="e">
        <f t="shared" si="22"/>
        <v>#VALUE!</v>
      </c>
    </row>
    <row r="224" spans="2:15" ht="15.5" x14ac:dyDescent="0.35">
      <c r="B224" s="6" t="e">
        <f t="shared" si="23"/>
        <v>#VALUE!</v>
      </c>
      <c r="C224" s="7" t="e">
        <f t="shared" si="19"/>
        <v>#VALUE!</v>
      </c>
      <c r="D224" s="7" t="e">
        <f t="shared" si="24"/>
        <v>#VALUE!</v>
      </c>
      <c r="E224" s="7" t="e">
        <f>C223*Remodelacion!$E$17</f>
        <v>#VALUE!</v>
      </c>
      <c r="F224" s="8" t="e">
        <f>IF(C223&lt;1,0,IF(Remodelacion!$D$26="Si",($C$17*(VLOOKUP(Remodelacion!$C$22,Seguros_Oblig!$A$3:$F$55,6,FALSE))),IF(Remodelacion!$C$10="TARIFA 1",(C223*(VLOOKUP(Remodelacion!$C$22,Seguros_Oblig!$A$3:$B$55,2,FALSE))),(C223*(VLOOKUP(Remodelacion!$C$22,Seguros_Oblig!$A$3:$D$55,4,FALSE))))))</f>
        <v>#VALUE!</v>
      </c>
      <c r="G224" s="8" t="e">
        <f>IF(Remodelacion!$C$10="TARIFA 1",(C223*(VLOOKUP(Remodelacion!$C$23,Seguros_Oblig!$A$3:$B$55,2,FALSE))),(C223*(VLOOKUP(Remodelacion!$C$23,Seguros_Oblig!$A$3:$D$55,4,FALSE))))</f>
        <v>#VALUE!</v>
      </c>
      <c r="H224" s="8" t="e">
        <f>IF(Remodelacion!$C$10="TARIFA 1",(C223*(VLOOKUP(Remodelacion!$C$24,Seguros_Oblig!$A$3:$B$55,2,FALSE))),(C223*(VLOOKUP(Remodelacion!$C$24,Seguros_Oblig!$A$3:$D$55,4,FALSE))))</f>
        <v>#VALUE!</v>
      </c>
      <c r="I224" s="8" t="e">
        <f>IF(Remodelacion!$C$10="TARIFA 1",(C223*(VLOOKUP(Remodelacion!$C$25,Seguros_Oblig!$A$3:$B$55,2,FALSE))),(C223*(VLOOKUP(Remodelacion!$C$25,Seguros_Oblig!$A$3:$D$55,4,FALSE))))</f>
        <v>#VALUE!</v>
      </c>
      <c r="J224" s="10">
        <f t="shared" si="20"/>
        <v>0</v>
      </c>
      <c r="K224" s="7" t="e">
        <f>IF(RM!$D$11="Si",0,IF(C223&lt;1,"0",Seguros_Oblig!$K$2*Remodelacion!$C$12))</f>
        <v>#VALUE!</v>
      </c>
      <c r="L224" s="7" t="e">
        <f>IF(B224=" ","0",PMT(Remodelacion!$E$17,Remodelacion!$C$18,-Remodelacion!$C$15,,))</f>
        <v>#VALUE!</v>
      </c>
      <c r="M224" s="9" t="e">
        <f t="shared" si="21"/>
        <v>#VALUE!</v>
      </c>
      <c r="N224" s="7" t="e">
        <f>IF(C223&lt;1,"0",Remodelacion!$C$38)</f>
        <v>#VALUE!</v>
      </c>
      <c r="O224" s="9" t="e">
        <f t="shared" si="22"/>
        <v>#VALUE!</v>
      </c>
    </row>
    <row r="225" spans="2:15" ht="15.5" x14ac:dyDescent="0.35">
      <c r="B225" s="6" t="e">
        <f t="shared" si="23"/>
        <v>#VALUE!</v>
      </c>
      <c r="C225" s="7" t="e">
        <f t="shared" si="19"/>
        <v>#VALUE!</v>
      </c>
      <c r="D225" s="7" t="e">
        <f t="shared" si="24"/>
        <v>#VALUE!</v>
      </c>
      <c r="E225" s="7" t="e">
        <f>C224*Remodelacion!$E$17</f>
        <v>#VALUE!</v>
      </c>
      <c r="F225" s="8" t="e">
        <f>IF(C224&lt;1,0,IF(Remodelacion!$D$26="Si",($C$17*(VLOOKUP(Remodelacion!$C$22,Seguros_Oblig!$A$3:$F$55,6,FALSE))),IF(Remodelacion!$C$10="TARIFA 1",(C224*(VLOOKUP(Remodelacion!$C$22,Seguros_Oblig!$A$3:$B$55,2,FALSE))),(C224*(VLOOKUP(Remodelacion!$C$22,Seguros_Oblig!$A$3:$D$55,4,FALSE))))))</f>
        <v>#VALUE!</v>
      </c>
      <c r="G225" s="8" t="e">
        <f>IF(Remodelacion!$C$10="TARIFA 1",(C224*(VLOOKUP(Remodelacion!$C$23,Seguros_Oblig!$A$3:$B$55,2,FALSE))),(C224*(VLOOKUP(Remodelacion!$C$23,Seguros_Oblig!$A$3:$D$55,4,FALSE))))</f>
        <v>#VALUE!</v>
      </c>
      <c r="H225" s="8" t="e">
        <f>IF(Remodelacion!$C$10="TARIFA 1",(C224*(VLOOKUP(Remodelacion!$C$24,Seguros_Oblig!$A$3:$B$55,2,FALSE))),(C224*(VLOOKUP(Remodelacion!$C$24,Seguros_Oblig!$A$3:$D$55,4,FALSE))))</f>
        <v>#VALUE!</v>
      </c>
      <c r="I225" s="8" t="e">
        <f>IF(Remodelacion!$C$10="TARIFA 1",(C224*(VLOOKUP(Remodelacion!$C$25,Seguros_Oblig!$A$3:$B$55,2,FALSE))),(C224*(VLOOKUP(Remodelacion!$C$25,Seguros_Oblig!$A$3:$D$55,4,FALSE))))</f>
        <v>#VALUE!</v>
      </c>
      <c r="J225" s="10">
        <f t="shared" si="20"/>
        <v>0</v>
      </c>
      <c r="K225" s="7" t="e">
        <f>IF(RM!$D$11="Si",0,IF(C224&lt;1,"0",Seguros_Oblig!$K$2*Remodelacion!$C$12))</f>
        <v>#VALUE!</v>
      </c>
      <c r="L225" s="7" t="e">
        <f>IF(B225=" ","0",PMT(Remodelacion!$E$17,Remodelacion!$C$18,-Remodelacion!$C$15,,))</f>
        <v>#VALUE!</v>
      </c>
      <c r="M225" s="9" t="e">
        <f t="shared" si="21"/>
        <v>#VALUE!</v>
      </c>
      <c r="N225" s="7" t="e">
        <f>IF(C224&lt;1,"0",Remodelacion!$C$38)</f>
        <v>#VALUE!</v>
      </c>
      <c r="O225" s="9" t="e">
        <f t="shared" si="22"/>
        <v>#VALUE!</v>
      </c>
    </row>
    <row r="226" spans="2:15" ht="15.5" x14ac:dyDescent="0.35">
      <c r="B226" s="6" t="e">
        <f t="shared" si="23"/>
        <v>#VALUE!</v>
      </c>
      <c r="C226" s="7" t="e">
        <f t="shared" si="19"/>
        <v>#VALUE!</v>
      </c>
      <c r="D226" s="7" t="e">
        <f t="shared" si="24"/>
        <v>#VALUE!</v>
      </c>
      <c r="E226" s="7" t="e">
        <f>C225*Remodelacion!$E$17</f>
        <v>#VALUE!</v>
      </c>
      <c r="F226" s="8" t="e">
        <f>IF(C225&lt;1,0,IF(Remodelacion!$D$26="Si",($C$17*(VLOOKUP(Remodelacion!$C$22,Seguros_Oblig!$A$3:$F$55,6,FALSE))),IF(Remodelacion!$C$10="TARIFA 1",(C225*(VLOOKUP(Remodelacion!$C$22,Seguros_Oblig!$A$3:$B$55,2,FALSE))),(C225*(VLOOKUP(Remodelacion!$C$22,Seguros_Oblig!$A$3:$D$55,4,FALSE))))))</f>
        <v>#VALUE!</v>
      </c>
      <c r="G226" s="8" t="e">
        <f>IF(Remodelacion!$C$10="TARIFA 1",(C225*(VLOOKUP(Remodelacion!$C$23,Seguros_Oblig!$A$3:$B$55,2,FALSE))),(C225*(VLOOKUP(Remodelacion!$C$23,Seguros_Oblig!$A$3:$D$55,4,FALSE))))</f>
        <v>#VALUE!</v>
      </c>
      <c r="H226" s="8" t="e">
        <f>IF(Remodelacion!$C$10="TARIFA 1",(C225*(VLOOKUP(Remodelacion!$C$24,Seguros_Oblig!$A$3:$B$55,2,FALSE))),(C225*(VLOOKUP(Remodelacion!$C$24,Seguros_Oblig!$A$3:$D$55,4,FALSE))))</f>
        <v>#VALUE!</v>
      </c>
      <c r="I226" s="8" t="e">
        <f>IF(Remodelacion!$C$10="TARIFA 1",(C225*(VLOOKUP(Remodelacion!$C$25,Seguros_Oblig!$A$3:$B$55,2,FALSE))),(C225*(VLOOKUP(Remodelacion!$C$25,Seguros_Oblig!$A$3:$D$55,4,FALSE))))</f>
        <v>#VALUE!</v>
      </c>
      <c r="J226" s="10">
        <f t="shared" si="20"/>
        <v>0</v>
      </c>
      <c r="K226" s="7" t="e">
        <f>IF(RM!$D$11="Si",0,IF(C225&lt;1,"0",Seguros_Oblig!$K$2*Remodelacion!$C$12))</f>
        <v>#VALUE!</v>
      </c>
      <c r="L226" s="7" t="e">
        <f>IF(B226=" ","0",PMT(Remodelacion!$E$17,Remodelacion!$C$18,-Remodelacion!$C$15,,))</f>
        <v>#VALUE!</v>
      </c>
      <c r="M226" s="9" t="e">
        <f t="shared" si="21"/>
        <v>#VALUE!</v>
      </c>
      <c r="N226" s="7" t="e">
        <f>IF(C225&lt;1,"0",Remodelacion!$C$38)</f>
        <v>#VALUE!</v>
      </c>
      <c r="O226" s="9" t="e">
        <f t="shared" si="22"/>
        <v>#VALUE!</v>
      </c>
    </row>
    <row r="227" spans="2:15" ht="15.5" x14ac:dyDescent="0.35">
      <c r="B227" s="6" t="e">
        <f t="shared" si="23"/>
        <v>#VALUE!</v>
      </c>
      <c r="C227" s="7" t="e">
        <f t="shared" si="19"/>
        <v>#VALUE!</v>
      </c>
      <c r="D227" s="7" t="e">
        <f t="shared" si="24"/>
        <v>#VALUE!</v>
      </c>
      <c r="E227" s="7" t="e">
        <f>C226*Remodelacion!$E$17</f>
        <v>#VALUE!</v>
      </c>
      <c r="F227" s="8" t="e">
        <f>IF(C226&lt;1,0,IF(Remodelacion!$D$26="Si",($C$17*(VLOOKUP(Remodelacion!$C$22,Seguros_Oblig!$A$3:$F$55,6,FALSE))),IF(Remodelacion!$C$10="TARIFA 1",(C226*(VLOOKUP(Remodelacion!$C$22,Seguros_Oblig!$A$3:$B$55,2,FALSE))),(C226*(VLOOKUP(Remodelacion!$C$22,Seguros_Oblig!$A$3:$D$55,4,FALSE))))))</f>
        <v>#VALUE!</v>
      </c>
      <c r="G227" s="8" t="e">
        <f>IF(Remodelacion!$C$10="TARIFA 1",(C226*(VLOOKUP(Remodelacion!$C$23,Seguros_Oblig!$A$3:$B$55,2,FALSE))),(C226*(VLOOKUP(Remodelacion!$C$23,Seguros_Oblig!$A$3:$D$55,4,FALSE))))</f>
        <v>#VALUE!</v>
      </c>
      <c r="H227" s="8" t="e">
        <f>IF(Remodelacion!$C$10="TARIFA 1",(C226*(VLOOKUP(Remodelacion!$C$24,Seguros_Oblig!$A$3:$B$55,2,FALSE))),(C226*(VLOOKUP(Remodelacion!$C$24,Seguros_Oblig!$A$3:$D$55,4,FALSE))))</f>
        <v>#VALUE!</v>
      </c>
      <c r="I227" s="8" t="e">
        <f>IF(Remodelacion!$C$10="TARIFA 1",(C226*(VLOOKUP(Remodelacion!$C$25,Seguros_Oblig!$A$3:$B$55,2,FALSE))),(C226*(VLOOKUP(Remodelacion!$C$25,Seguros_Oblig!$A$3:$D$55,4,FALSE))))</f>
        <v>#VALUE!</v>
      </c>
      <c r="J227" s="10">
        <f t="shared" si="20"/>
        <v>0</v>
      </c>
      <c r="K227" s="7" t="e">
        <f>IF(RM!$D$11="Si",0,IF(C226&lt;1,"0",Seguros_Oblig!$K$2*Remodelacion!$C$12))</f>
        <v>#VALUE!</v>
      </c>
      <c r="L227" s="7" t="e">
        <f>IF(B227=" ","0",PMT(Remodelacion!$E$17,Remodelacion!$C$18,-Remodelacion!$C$15,,))</f>
        <v>#VALUE!</v>
      </c>
      <c r="M227" s="9" t="e">
        <f t="shared" si="21"/>
        <v>#VALUE!</v>
      </c>
      <c r="N227" s="7" t="e">
        <f>IF(C226&lt;1,"0",Remodelacion!$C$38)</f>
        <v>#VALUE!</v>
      </c>
      <c r="O227" s="9" t="e">
        <f t="shared" si="22"/>
        <v>#VALUE!</v>
      </c>
    </row>
    <row r="228" spans="2:15" ht="15.5" x14ac:dyDescent="0.35">
      <c r="B228" s="6" t="e">
        <f t="shared" si="23"/>
        <v>#VALUE!</v>
      </c>
      <c r="C228" s="7" t="e">
        <f t="shared" si="19"/>
        <v>#VALUE!</v>
      </c>
      <c r="D228" s="7" t="e">
        <f t="shared" si="24"/>
        <v>#VALUE!</v>
      </c>
      <c r="E228" s="7" t="e">
        <f>C227*Remodelacion!$E$17</f>
        <v>#VALUE!</v>
      </c>
      <c r="F228" s="8" t="e">
        <f>IF(C227&lt;1,0,IF(Remodelacion!$D$26="Si",($C$17*(VLOOKUP(Remodelacion!$C$22,Seguros_Oblig!$A$3:$F$55,6,FALSE))),IF(Remodelacion!$C$10="TARIFA 1",(C227*(VLOOKUP(Remodelacion!$C$22,Seguros_Oblig!$A$3:$B$55,2,FALSE))),(C227*(VLOOKUP(Remodelacion!$C$22,Seguros_Oblig!$A$3:$D$55,4,FALSE))))))</f>
        <v>#VALUE!</v>
      </c>
      <c r="G228" s="8" t="e">
        <f>IF(Remodelacion!$C$10="TARIFA 1",(C227*(VLOOKUP(Remodelacion!$C$23,Seguros_Oblig!$A$3:$B$55,2,FALSE))),(C227*(VLOOKUP(Remodelacion!$C$23,Seguros_Oblig!$A$3:$D$55,4,FALSE))))</f>
        <v>#VALUE!</v>
      </c>
      <c r="H228" s="8" t="e">
        <f>IF(Remodelacion!$C$10="TARIFA 1",(C227*(VLOOKUP(Remodelacion!$C$24,Seguros_Oblig!$A$3:$B$55,2,FALSE))),(C227*(VLOOKUP(Remodelacion!$C$24,Seguros_Oblig!$A$3:$D$55,4,FALSE))))</f>
        <v>#VALUE!</v>
      </c>
      <c r="I228" s="8" t="e">
        <f>IF(Remodelacion!$C$10="TARIFA 1",(C227*(VLOOKUP(Remodelacion!$C$25,Seguros_Oblig!$A$3:$B$55,2,FALSE))),(C227*(VLOOKUP(Remodelacion!$C$25,Seguros_Oblig!$A$3:$D$55,4,FALSE))))</f>
        <v>#VALUE!</v>
      </c>
      <c r="J228" s="10">
        <f t="shared" si="20"/>
        <v>0</v>
      </c>
      <c r="K228" s="7" t="e">
        <f>IF(RM!$D$11="Si",0,IF(C227&lt;1,"0",Seguros_Oblig!$K$2*Remodelacion!$C$12))</f>
        <v>#VALUE!</v>
      </c>
      <c r="L228" s="7" t="e">
        <f>IF(B228=" ","0",PMT(Remodelacion!$E$17,Remodelacion!$C$18,-Remodelacion!$C$15,,))</f>
        <v>#VALUE!</v>
      </c>
      <c r="M228" s="9" t="e">
        <f t="shared" si="21"/>
        <v>#VALUE!</v>
      </c>
      <c r="N228" s="7" t="e">
        <f>IF(C227&lt;1,"0",Remodelacion!$C$38)</f>
        <v>#VALUE!</v>
      </c>
      <c r="O228" s="9" t="e">
        <f t="shared" si="22"/>
        <v>#VALUE!</v>
      </c>
    </row>
    <row r="229" spans="2:15" ht="15.5" x14ac:dyDescent="0.35">
      <c r="B229" s="6" t="e">
        <f t="shared" si="23"/>
        <v>#VALUE!</v>
      </c>
      <c r="C229" s="7" t="e">
        <f t="shared" si="19"/>
        <v>#VALUE!</v>
      </c>
      <c r="D229" s="7" t="e">
        <f t="shared" si="24"/>
        <v>#VALUE!</v>
      </c>
      <c r="E229" s="7" t="e">
        <f>C228*Remodelacion!$E$17</f>
        <v>#VALUE!</v>
      </c>
      <c r="F229" s="8" t="e">
        <f>IF(C228&lt;1,0,IF(Remodelacion!$D$26="Si",($C$17*(VLOOKUP(Remodelacion!$C$22,Seguros_Oblig!$A$3:$F$55,6,FALSE))),IF(Remodelacion!$C$10="TARIFA 1",(C228*(VLOOKUP(Remodelacion!$C$22,Seguros_Oblig!$A$3:$B$55,2,FALSE))),(C228*(VLOOKUP(Remodelacion!$C$22,Seguros_Oblig!$A$3:$D$55,4,FALSE))))))</f>
        <v>#VALUE!</v>
      </c>
      <c r="G229" s="8" t="e">
        <f>IF(Remodelacion!$C$10="TARIFA 1",(C228*(VLOOKUP(Remodelacion!$C$23,Seguros_Oblig!$A$3:$B$55,2,FALSE))),(C228*(VLOOKUP(Remodelacion!$C$23,Seguros_Oblig!$A$3:$D$55,4,FALSE))))</f>
        <v>#VALUE!</v>
      </c>
      <c r="H229" s="8" t="e">
        <f>IF(Remodelacion!$C$10="TARIFA 1",(C228*(VLOOKUP(Remodelacion!$C$24,Seguros_Oblig!$A$3:$B$55,2,FALSE))),(C228*(VLOOKUP(Remodelacion!$C$24,Seguros_Oblig!$A$3:$D$55,4,FALSE))))</f>
        <v>#VALUE!</v>
      </c>
      <c r="I229" s="8" t="e">
        <f>IF(Remodelacion!$C$10="TARIFA 1",(C228*(VLOOKUP(Remodelacion!$C$25,Seguros_Oblig!$A$3:$B$55,2,FALSE))),(C228*(VLOOKUP(Remodelacion!$C$25,Seguros_Oblig!$A$3:$D$55,4,FALSE))))</f>
        <v>#VALUE!</v>
      </c>
      <c r="J229" s="10">
        <f t="shared" si="20"/>
        <v>0</v>
      </c>
      <c r="K229" s="7" t="e">
        <f>IF(RM!$D$11="Si",0,IF(C228&lt;1,"0",Seguros_Oblig!$K$2*Remodelacion!$C$12))</f>
        <v>#VALUE!</v>
      </c>
      <c r="L229" s="7" t="e">
        <f>IF(B229=" ","0",PMT(Remodelacion!$E$17,Remodelacion!$C$18,-Remodelacion!$C$15,,))</f>
        <v>#VALUE!</v>
      </c>
      <c r="M229" s="9" t="e">
        <f t="shared" si="21"/>
        <v>#VALUE!</v>
      </c>
      <c r="N229" s="7" t="e">
        <f>IF(C228&lt;1,"0",Remodelacion!$C$38)</f>
        <v>#VALUE!</v>
      </c>
      <c r="O229" s="9" t="e">
        <f t="shared" si="22"/>
        <v>#VALUE!</v>
      </c>
    </row>
    <row r="230" spans="2:15" ht="15.5" x14ac:dyDescent="0.35">
      <c r="B230" s="6" t="e">
        <f t="shared" si="23"/>
        <v>#VALUE!</v>
      </c>
      <c r="C230" s="7" t="e">
        <f t="shared" si="19"/>
        <v>#VALUE!</v>
      </c>
      <c r="D230" s="7" t="e">
        <f t="shared" si="24"/>
        <v>#VALUE!</v>
      </c>
      <c r="E230" s="7" t="e">
        <f>C229*Remodelacion!$E$17</f>
        <v>#VALUE!</v>
      </c>
      <c r="F230" s="8" t="e">
        <f>IF(C229&lt;1,0,IF(Remodelacion!$D$26="Si",($C$17*(VLOOKUP(Remodelacion!$C$22,Seguros_Oblig!$A$3:$F$55,6,FALSE))),IF(Remodelacion!$C$10="TARIFA 1",(C229*(VLOOKUP(Remodelacion!$C$22,Seguros_Oblig!$A$3:$B$55,2,FALSE))),(C229*(VLOOKUP(Remodelacion!$C$22,Seguros_Oblig!$A$3:$D$55,4,FALSE))))))</f>
        <v>#VALUE!</v>
      </c>
      <c r="G230" s="8" t="e">
        <f>IF(Remodelacion!$C$10="TARIFA 1",(C229*(VLOOKUP(Remodelacion!$C$23,Seguros_Oblig!$A$3:$B$55,2,FALSE))),(C229*(VLOOKUP(Remodelacion!$C$23,Seguros_Oblig!$A$3:$D$55,4,FALSE))))</f>
        <v>#VALUE!</v>
      </c>
      <c r="H230" s="8" t="e">
        <f>IF(Remodelacion!$C$10="TARIFA 1",(C229*(VLOOKUP(Remodelacion!$C$24,Seguros_Oblig!$A$3:$B$55,2,FALSE))),(C229*(VLOOKUP(Remodelacion!$C$24,Seguros_Oblig!$A$3:$D$55,4,FALSE))))</f>
        <v>#VALUE!</v>
      </c>
      <c r="I230" s="8" t="e">
        <f>IF(Remodelacion!$C$10="TARIFA 1",(C229*(VLOOKUP(Remodelacion!$C$25,Seguros_Oblig!$A$3:$B$55,2,FALSE))),(C229*(VLOOKUP(Remodelacion!$C$25,Seguros_Oblig!$A$3:$D$55,4,FALSE))))</f>
        <v>#VALUE!</v>
      </c>
      <c r="J230" s="10">
        <f t="shared" si="20"/>
        <v>0</v>
      </c>
      <c r="K230" s="7" t="e">
        <f>IF(RM!$D$11="Si",0,IF(C229&lt;1,"0",Seguros_Oblig!$K$2*Remodelacion!$C$12))</f>
        <v>#VALUE!</v>
      </c>
      <c r="L230" s="7" t="e">
        <f>IF(B230=" ","0",PMT(Remodelacion!$E$17,Remodelacion!$C$18,-Remodelacion!$C$15,,))</f>
        <v>#VALUE!</v>
      </c>
      <c r="M230" s="9" t="e">
        <f t="shared" si="21"/>
        <v>#VALUE!</v>
      </c>
      <c r="N230" s="7" t="e">
        <f>IF(C229&lt;1,"0",Remodelacion!$C$38)</f>
        <v>#VALUE!</v>
      </c>
      <c r="O230" s="9" t="e">
        <f t="shared" si="22"/>
        <v>#VALUE!</v>
      </c>
    </row>
    <row r="231" spans="2:15" ht="15.5" x14ac:dyDescent="0.35">
      <c r="B231" s="6" t="e">
        <f t="shared" si="23"/>
        <v>#VALUE!</v>
      </c>
      <c r="C231" s="7" t="e">
        <f t="shared" si="19"/>
        <v>#VALUE!</v>
      </c>
      <c r="D231" s="7" t="e">
        <f t="shared" si="24"/>
        <v>#VALUE!</v>
      </c>
      <c r="E231" s="7" t="e">
        <f>C230*Remodelacion!$E$17</f>
        <v>#VALUE!</v>
      </c>
      <c r="F231" s="8" t="e">
        <f>IF(C230&lt;1,0,IF(Remodelacion!$D$26="Si",($C$17*(VLOOKUP(Remodelacion!$C$22,Seguros_Oblig!$A$3:$F$55,6,FALSE))),IF(Remodelacion!$C$10="TARIFA 1",(C230*(VLOOKUP(Remodelacion!$C$22,Seguros_Oblig!$A$3:$B$55,2,FALSE))),(C230*(VLOOKUP(Remodelacion!$C$22,Seguros_Oblig!$A$3:$D$55,4,FALSE))))))</f>
        <v>#VALUE!</v>
      </c>
      <c r="G231" s="8" t="e">
        <f>IF(Remodelacion!$C$10="TARIFA 1",(C230*(VLOOKUP(Remodelacion!$C$23,Seguros_Oblig!$A$3:$B$55,2,FALSE))),(C230*(VLOOKUP(Remodelacion!$C$23,Seguros_Oblig!$A$3:$D$55,4,FALSE))))</f>
        <v>#VALUE!</v>
      </c>
      <c r="H231" s="8" t="e">
        <f>IF(Remodelacion!$C$10="TARIFA 1",(C230*(VLOOKUP(Remodelacion!$C$24,Seguros_Oblig!$A$3:$B$55,2,FALSE))),(C230*(VLOOKUP(Remodelacion!$C$24,Seguros_Oblig!$A$3:$D$55,4,FALSE))))</f>
        <v>#VALUE!</v>
      </c>
      <c r="I231" s="8" t="e">
        <f>IF(Remodelacion!$C$10="TARIFA 1",(C230*(VLOOKUP(Remodelacion!$C$25,Seguros_Oblig!$A$3:$B$55,2,FALSE))),(C230*(VLOOKUP(Remodelacion!$C$25,Seguros_Oblig!$A$3:$D$55,4,FALSE))))</f>
        <v>#VALUE!</v>
      </c>
      <c r="J231" s="10">
        <f t="shared" si="20"/>
        <v>0</v>
      </c>
      <c r="K231" s="7" t="e">
        <f>IF(RM!$D$11="Si",0,IF(C230&lt;1,"0",Seguros_Oblig!$K$2*Remodelacion!$C$12))</f>
        <v>#VALUE!</v>
      </c>
      <c r="L231" s="7" t="e">
        <f>IF(B231=" ","0",PMT(Remodelacion!$E$17,Remodelacion!$C$18,-Remodelacion!$C$15,,))</f>
        <v>#VALUE!</v>
      </c>
      <c r="M231" s="9" t="e">
        <f t="shared" si="21"/>
        <v>#VALUE!</v>
      </c>
      <c r="N231" s="7" t="e">
        <f>IF(C230&lt;1,"0",Remodelacion!$C$38)</f>
        <v>#VALUE!</v>
      </c>
      <c r="O231" s="9" t="e">
        <f t="shared" si="22"/>
        <v>#VALUE!</v>
      </c>
    </row>
    <row r="232" spans="2:15" ht="15.5" x14ac:dyDescent="0.35">
      <c r="B232" s="6" t="e">
        <f t="shared" si="23"/>
        <v>#VALUE!</v>
      </c>
      <c r="C232" s="7" t="e">
        <f t="shared" si="19"/>
        <v>#VALUE!</v>
      </c>
      <c r="D232" s="7" t="e">
        <f t="shared" si="24"/>
        <v>#VALUE!</v>
      </c>
      <c r="E232" s="7" t="e">
        <f>C231*Remodelacion!$E$17</f>
        <v>#VALUE!</v>
      </c>
      <c r="F232" s="8" t="e">
        <f>IF(C231&lt;1,0,IF(Remodelacion!$D$26="Si",($C$17*(VLOOKUP(Remodelacion!$C$22,Seguros_Oblig!$A$3:$F$55,6,FALSE))),IF(Remodelacion!$C$10="TARIFA 1",(C231*(VLOOKUP(Remodelacion!$C$22,Seguros_Oblig!$A$3:$B$55,2,FALSE))),(C231*(VLOOKUP(Remodelacion!$C$22,Seguros_Oblig!$A$3:$D$55,4,FALSE))))))</f>
        <v>#VALUE!</v>
      </c>
      <c r="G232" s="8" t="e">
        <f>IF(Remodelacion!$C$10="TARIFA 1",(C231*(VLOOKUP(Remodelacion!$C$23,Seguros_Oblig!$A$3:$B$55,2,FALSE))),(C231*(VLOOKUP(Remodelacion!$C$23,Seguros_Oblig!$A$3:$D$55,4,FALSE))))</f>
        <v>#VALUE!</v>
      </c>
      <c r="H232" s="8" t="e">
        <f>IF(Remodelacion!$C$10="TARIFA 1",(C231*(VLOOKUP(Remodelacion!$C$24,Seguros_Oblig!$A$3:$B$55,2,FALSE))),(C231*(VLOOKUP(Remodelacion!$C$24,Seguros_Oblig!$A$3:$D$55,4,FALSE))))</f>
        <v>#VALUE!</v>
      </c>
      <c r="I232" s="8" t="e">
        <f>IF(Remodelacion!$C$10="TARIFA 1",(C231*(VLOOKUP(Remodelacion!$C$25,Seguros_Oblig!$A$3:$B$55,2,FALSE))),(C231*(VLOOKUP(Remodelacion!$C$25,Seguros_Oblig!$A$3:$D$55,4,FALSE))))</f>
        <v>#VALUE!</v>
      </c>
      <c r="J232" s="10">
        <f t="shared" si="20"/>
        <v>0</v>
      </c>
      <c r="K232" s="7" t="e">
        <f>IF(RM!$D$11="Si",0,IF(C231&lt;1,"0",Seguros_Oblig!$K$2*Remodelacion!$C$12))</f>
        <v>#VALUE!</v>
      </c>
      <c r="L232" s="7" t="e">
        <f>IF(B232=" ","0",PMT(Remodelacion!$E$17,Remodelacion!$C$18,-Remodelacion!$C$15,,))</f>
        <v>#VALUE!</v>
      </c>
      <c r="M232" s="9" t="e">
        <f t="shared" si="21"/>
        <v>#VALUE!</v>
      </c>
      <c r="N232" s="7" t="e">
        <f>IF(C231&lt;1,"0",Remodelacion!$C$38)</f>
        <v>#VALUE!</v>
      </c>
      <c r="O232" s="9" t="e">
        <f t="shared" si="22"/>
        <v>#VALUE!</v>
      </c>
    </row>
    <row r="233" spans="2:15" ht="15.5" x14ac:dyDescent="0.35">
      <c r="B233" s="6" t="e">
        <f t="shared" si="23"/>
        <v>#VALUE!</v>
      </c>
      <c r="C233" s="7" t="e">
        <f t="shared" si="19"/>
        <v>#VALUE!</v>
      </c>
      <c r="D233" s="7" t="e">
        <f t="shared" si="24"/>
        <v>#VALUE!</v>
      </c>
      <c r="E233" s="7" t="e">
        <f>C232*Remodelacion!$E$17</f>
        <v>#VALUE!</v>
      </c>
      <c r="F233" s="8" t="e">
        <f>IF(C232&lt;1,0,IF(Remodelacion!$D$26="Si",($C$17*(VLOOKUP(Remodelacion!$C$22,Seguros_Oblig!$A$3:$F$55,6,FALSE))),IF(Remodelacion!$C$10="TARIFA 1",(C232*(VLOOKUP(Remodelacion!$C$22,Seguros_Oblig!$A$3:$B$55,2,FALSE))),(C232*(VLOOKUP(Remodelacion!$C$22,Seguros_Oblig!$A$3:$D$55,4,FALSE))))))</f>
        <v>#VALUE!</v>
      </c>
      <c r="G233" s="8" t="e">
        <f>IF(Remodelacion!$C$10="TARIFA 1",(C232*(VLOOKUP(Remodelacion!$C$23,Seguros_Oblig!$A$3:$B$55,2,FALSE))),(C232*(VLOOKUP(Remodelacion!$C$23,Seguros_Oblig!$A$3:$D$55,4,FALSE))))</f>
        <v>#VALUE!</v>
      </c>
      <c r="H233" s="8" t="e">
        <f>IF(Remodelacion!$C$10="TARIFA 1",(C232*(VLOOKUP(Remodelacion!$C$24,Seguros_Oblig!$A$3:$B$55,2,FALSE))),(C232*(VLOOKUP(Remodelacion!$C$24,Seguros_Oblig!$A$3:$D$55,4,FALSE))))</f>
        <v>#VALUE!</v>
      </c>
      <c r="I233" s="8" t="e">
        <f>IF(Remodelacion!$C$10="TARIFA 1",(C232*(VLOOKUP(Remodelacion!$C$25,Seguros_Oblig!$A$3:$B$55,2,FALSE))),(C232*(VLOOKUP(Remodelacion!$C$25,Seguros_Oblig!$A$3:$D$55,4,FALSE))))</f>
        <v>#VALUE!</v>
      </c>
      <c r="J233" s="10">
        <f t="shared" si="20"/>
        <v>0</v>
      </c>
      <c r="K233" s="7" t="e">
        <f>IF(RM!$D$11="Si",0,IF(C232&lt;1,"0",Seguros_Oblig!$K$2*Remodelacion!$C$12))</f>
        <v>#VALUE!</v>
      </c>
      <c r="L233" s="7" t="e">
        <f>IF(B233=" ","0",PMT(Remodelacion!$E$17,Remodelacion!$C$18,-Remodelacion!$C$15,,))</f>
        <v>#VALUE!</v>
      </c>
      <c r="M233" s="9" t="e">
        <f t="shared" si="21"/>
        <v>#VALUE!</v>
      </c>
      <c r="N233" s="7" t="e">
        <f>IF(C232&lt;1,"0",Remodelacion!$C$38)</f>
        <v>#VALUE!</v>
      </c>
      <c r="O233" s="9" t="e">
        <f t="shared" si="22"/>
        <v>#VALUE!</v>
      </c>
    </row>
    <row r="234" spans="2:15" ht="15.5" x14ac:dyDescent="0.35">
      <c r="B234" s="6" t="e">
        <f t="shared" si="23"/>
        <v>#VALUE!</v>
      </c>
      <c r="C234" s="7" t="e">
        <f t="shared" si="19"/>
        <v>#VALUE!</v>
      </c>
      <c r="D234" s="7" t="e">
        <f t="shared" si="24"/>
        <v>#VALUE!</v>
      </c>
      <c r="E234" s="7" t="e">
        <f>C233*Remodelacion!$E$17</f>
        <v>#VALUE!</v>
      </c>
      <c r="F234" s="8" t="e">
        <f>IF(C233&lt;1,0,IF(Remodelacion!$D$26="Si",($C$17*(VLOOKUP(Remodelacion!$C$22,Seguros_Oblig!$A$3:$F$55,6,FALSE))),IF(Remodelacion!$C$10="TARIFA 1",(C233*(VLOOKUP(Remodelacion!$C$22,Seguros_Oblig!$A$3:$B$55,2,FALSE))),(C233*(VLOOKUP(Remodelacion!$C$22,Seguros_Oblig!$A$3:$D$55,4,FALSE))))))</f>
        <v>#VALUE!</v>
      </c>
      <c r="G234" s="8" t="e">
        <f>IF(Remodelacion!$C$10="TARIFA 1",(C233*(VLOOKUP(Remodelacion!$C$23,Seguros_Oblig!$A$3:$B$55,2,FALSE))),(C233*(VLOOKUP(Remodelacion!$C$23,Seguros_Oblig!$A$3:$D$55,4,FALSE))))</f>
        <v>#VALUE!</v>
      </c>
      <c r="H234" s="8" t="e">
        <f>IF(Remodelacion!$C$10="TARIFA 1",(C233*(VLOOKUP(Remodelacion!$C$24,Seguros_Oblig!$A$3:$B$55,2,FALSE))),(C233*(VLOOKUP(Remodelacion!$C$24,Seguros_Oblig!$A$3:$D$55,4,FALSE))))</f>
        <v>#VALUE!</v>
      </c>
      <c r="I234" s="8" t="e">
        <f>IF(Remodelacion!$C$10="TARIFA 1",(C233*(VLOOKUP(Remodelacion!$C$25,Seguros_Oblig!$A$3:$B$55,2,FALSE))),(C233*(VLOOKUP(Remodelacion!$C$25,Seguros_Oblig!$A$3:$D$55,4,FALSE))))</f>
        <v>#VALUE!</v>
      </c>
      <c r="J234" s="10">
        <f t="shared" si="20"/>
        <v>0</v>
      </c>
      <c r="K234" s="7" t="e">
        <f>IF(RM!$D$11="Si",0,IF(C233&lt;1,"0",Seguros_Oblig!$K$2*Remodelacion!$C$12))</f>
        <v>#VALUE!</v>
      </c>
      <c r="L234" s="7" t="e">
        <f>IF(B234=" ","0",PMT(Remodelacion!$E$17,Remodelacion!$C$18,-Remodelacion!$C$15,,))</f>
        <v>#VALUE!</v>
      </c>
      <c r="M234" s="9" t="e">
        <f t="shared" si="21"/>
        <v>#VALUE!</v>
      </c>
      <c r="N234" s="7" t="e">
        <f>IF(C233&lt;1,"0",Remodelacion!$C$38)</f>
        <v>#VALUE!</v>
      </c>
      <c r="O234" s="9" t="e">
        <f t="shared" si="22"/>
        <v>#VALUE!</v>
      </c>
    </row>
    <row r="235" spans="2:15" ht="15.5" x14ac:dyDescent="0.35">
      <c r="B235" s="6" t="e">
        <f t="shared" si="23"/>
        <v>#VALUE!</v>
      </c>
      <c r="C235" s="7" t="e">
        <f t="shared" si="19"/>
        <v>#VALUE!</v>
      </c>
      <c r="D235" s="7" t="e">
        <f t="shared" si="24"/>
        <v>#VALUE!</v>
      </c>
      <c r="E235" s="7" t="e">
        <f>C234*Remodelacion!$E$17</f>
        <v>#VALUE!</v>
      </c>
      <c r="F235" s="8" t="e">
        <f>IF(C234&lt;1,0,IF(Remodelacion!$D$26="Si",($C$17*(VLOOKUP(Remodelacion!$C$22,Seguros_Oblig!$A$3:$F$55,6,FALSE))),IF(Remodelacion!$C$10="TARIFA 1",(C234*(VLOOKUP(Remodelacion!$C$22,Seguros_Oblig!$A$3:$B$55,2,FALSE))),(C234*(VLOOKUP(Remodelacion!$C$22,Seguros_Oblig!$A$3:$D$55,4,FALSE))))))</f>
        <v>#VALUE!</v>
      </c>
      <c r="G235" s="8" t="e">
        <f>IF(Remodelacion!$C$10="TARIFA 1",(C234*(VLOOKUP(Remodelacion!$C$23,Seguros_Oblig!$A$3:$B$55,2,FALSE))),(C234*(VLOOKUP(Remodelacion!$C$23,Seguros_Oblig!$A$3:$D$55,4,FALSE))))</f>
        <v>#VALUE!</v>
      </c>
      <c r="H235" s="8" t="e">
        <f>IF(Remodelacion!$C$10="TARIFA 1",(C234*(VLOOKUP(Remodelacion!$C$24,Seguros_Oblig!$A$3:$B$55,2,FALSE))),(C234*(VLOOKUP(Remodelacion!$C$24,Seguros_Oblig!$A$3:$D$55,4,FALSE))))</f>
        <v>#VALUE!</v>
      </c>
      <c r="I235" s="8" t="e">
        <f>IF(Remodelacion!$C$10="TARIFA 1",(C234*(VLOOKUP(Remodelacion!$C$25,Seguros_Oblig!$A$3:$B$55,2,FALSE))),(C234*(VLOOKUP(Remodelacion!$C$25,Seguros_Oblig!$A$3:$D$55,4,FALSE))))</f>
        <v>#VALUE!</v>
      </c>
      <c r="J235" s="10">
        <f t="shared" si="20"/>
        <v>0</v>
      </c>
      <c r="K235" s="7" t="e">
        <f>IF(RM!$D$11="Si",0,IF(C234&lt;1,"0",Seguros_Oblig!$K$2*Remodelacion!$C$12))</f>
        <v>#VALUE!</v>
      </c>
      <c r="L235" s="7" t="e">
        <f>IF(B235=" ","0",PMT(Remodelacion!$E$17,Remodelacion!$C$18,-Remodelacion!$C$15,,))</f>
        <v>#VALUE!</v>
      </c>
      <c r="M235" s="9" t="e">
        <f t="shared" si="21"/>
        <v>#VALUE!</v>
      </c>
      <c r="N235" s="7" t="e">
        <f>IF(C234&lt;1,"0",Remodelacion!$C$38)</f>
        <v>#VALUE!</v>
      </c>
      <c r="O235" s="9" t="e">
        <f t="shared" si="22"/>
        <v>#VALUE!</v>
      </c>
    </row>
    <row r="236" spans="2:15" ht="15.5" x14ac:dyDescent="0.35">
      <c r="B236" s="6" t="e">
        <f t="shared" si="23"/>
        <v>#VALUE!</v>
      </c>
      <c r="C236" s="7" t="e">
        <f t="shared" si="19"/>
        <v>#VALUE!</v>
      </c>
      <c r="D236" s="7" t="e">
        <f t="shared" si="24"/>
        <v>#VALUE!</v>
      </c>
      <c r="E236" s="7" t="e">
        <f>C235*Remodelacion!$E$17</f>
        <v>#VALUE!</v>
      </c>
      <c r="F236" s="8" t="e">
        <f>IF(C235&lt;1,0,IF(Remodelacion!$D$26="Si",($C$17*(VLOOKUP(Remodelacion!$C$22,Seguros_Oblig!$A$3:$F$55,6,FALSE))),IF(Remodelacion!$C$10="TARIFA 1",(C235*(VLOOKUP(Remodelacion!$C$22,Seguros_Oblig!$A$3:$B$55,2,FALSE))),(C235*(VLOOKUP(Remodelacion!$C$22,Seguros_Oblig!$A$3:$D$55,4,FALSE))))))</f>
        <v>#VALUE!</v>
      </c>
      <c r="G236" s="8" t="e">
        <f>IF(Remodelacion!$C$10="TARIFA 1",(C235*(VLOOKUP(Remodelacion!$C$23,Seguros_Oblig!$A$3:$B$55,2,FALSE))),(C235*(VLOOKUP(Remodelacion!$C$23,Seguros_Oblig!$A$3:$D$55,4,FALSE))))</f>
        <v>#VALUE!</v>
      </c>
      <c r="H236" s="8" t="e">
        <f>IF(Remodelacion!$C$10="TARIFA 1",(C235*(VLOOKUP(Remodelacion!$C$24,Seguros_Oblig!$A$3:$B$55,2,FALSE))),(C235*(VLOOKUP(Remodelacion!$C$24,Seguros_Oblig!$A$3:$D$55,4,FALSE))))</f>
        <v>#VALUE!</v>
      </c>
      <c r="I236" s="8" t="e">
        <f>IF(Remodelacion!$C$10="TARIFA 1",(C235*(VLOOKUP(Remodelacion!$C$25,Seguros_Oblig!$A$3:$B$55,2,FALSE))),(C235*(VLOOKUP(Remodelacion!$C$25,Seguros_Oblig!$A$3:$D$55,4,FALSE))))</f>
        <v>#VALUE!</v>
      </c>
      <c r="J236" s="10">
        <f t="shared" si="20"/>
        <v>0</v>
      </c>
      <c r="K236" s="7" t="e">
        <f>IF(RM!$D$11="Si",0,IF(C235&lt;1,"0",Seguros_Oblig!$K$2*Remodelacion!$C$12))</f>
        <v>#VALUE!</v>
      </c>
      <c r="L236" s="7" t="e">
        <f>IF(B236=" ","0",PMT(Remodelacion!$E$17,Remodelacion!$C$18,-Remodelacion!$C$15,,))</f>
        <v>#VALUE!</v>
      </c>
      <c r="M236" s="9" t="e">
        <f t="shared" si="21"/>
        <v>#VALUE!</v>
      </c>
      <c r="N236" s="7" t="e">
        <f>IF(C235&lt;1,"0",Remodelacion!$C$38)</f>
        <v>#VALUE!</v>
      </c>
      <c r="O236" s="9" t="e">
        <f t="shared" si="22"/>
        <v>#VALUE!</v>
      </c>
    </row>
    <row r="237" spans="2:15" ht="15.5" x14ac:dyDescent="0.35">
      <c r="B237" s="6" t="e">
        <f t="shared" si="23"/>
        <v>#VALUE!</v>
      </c>
      <c r="C237" s="7" t="e">
        <f t="shared" si="19"/>
        <v>#VALUE!</v>
      </c>
      <c r="D237" s="7" t="e">
        <f t="shared" si="24"/>
        <v>#VALUE!</v>
      </c>
      <c r="E237" s="7" t="e">
        <f>C236*Remodelacion!$E$17</f>
        <v>#VALUE!</v>
      </c>
      <c r="F237" s="8" t="e">
        <f>IF(C236&lt;1,0,IF(Remodelacion!$D$26="Si",($C$17*(VLOOKUP(Remodelacion!$C$22,Seguros_Oblig!$A$3:$F$55,6,FALSE))),IF(Remodelacion!$C$10="TARIFA 1",(C236*(VLOOKUP(Remodelacion!$C$22,Seguros_Oblig!$A$3:$B$55,2,FALSE))),(C236*(VLOOKUP(Remodelacion!$C$22,Seguros_Oblig!$A$3:$D$55,4,FALSE))))))</f>
        <v>#VALUE!</v>
      </c>
      <c r="G237" s="8" t="e">
        <f>IF(Remodelacion!$C$10="TARIFA 1",(C236*(VLOOKUP(Remodelacion!$C$23,Seguros_Oblig!$A$3:$B$55,2,FALSE))),(C236*(VLOOKUP(Remodelacion!$C$23,Seguros_Oblig!$A$3:$D$55,4,FALSE))))</f>
        <v>#VALUE!</v>
      </c>
      <c r="H237" s="8" t="e">
        <f>IF(Remodelacion!$C$10="TARIFA 1",(C236*(VLOOKUP(Remodelacion!$C$24,Seguros_Oblig!$A$3:$B$55,2,FALSE))),(C236*(VLOOKUP(Remodelacion!$C$24,Seguros_Oblig!$A$3:$D$55,4,FALSE))))</f>
        <v>#VALUE!</v>
      </c>
      <c r="I237" s="8" t="e">
        <f>IF(Remodelacion!$C$10="TARIFA 1",(C236*(VLOOKUP(Remodelacion!$C$25,Seguros_Oblig!$A$3:$B$55,2,FALSE))),(C236*(VLOOKUP(Remodelacion!$C$25,Seguros_Oblig!$A$3:$D$55,4,FALSE))))</f>
        <v>#VALUE!</v>
      </c>
      <c r="J237" s="10">
        <f t="shared" si="20"/>
        <v>0</v>
      </c>
      <c r="K237" s="7" t="e">
        <f>IF(RM!$D$11="Si",0,IF(C236&lt;1,"0",Seguros_Oblig!$K$2*Remodelacion!$C$12))</f>
        <v>#VALUE!</v>
      </c>
      <c r="L237" s="7" t="e">
        <f>IF(B237=" ","0",PMT(Remodelacion!$E$17,Remodelacion!$C$18,-Remodelacion!$C$15,,))</f>
        <v>#VALUE!</v>
      </c>
      <c r="M237" s="9" t="e">
        <f t="shared" si="21"/>
        <v>#VALUE!</v>
      </c>
      <c r="N237" s="7" t="e">
        <f>IF(C236&lt;1,"0",Remodelacion!$C$38)</f>
        <v>#VALUE!</v>
      </c>
      <c r="O237" s="9" t="e">
        <f t="shared" si="22"/>
        <v>#VALUE!</v>
      </c>
    </row>
    <row r="238" spans="2:15" ht="15.5" x14ac:dyDescent="0.35">
      <c r="B238" s="6" t="e">
        <f t="shared" si="23"/>
        <v>#VALUE!</v>
      </c>
      <c r="C238" s="7" t="e">
        <f t="shared" si="19"/>
        <v>#VALUE!</v>
      </c>
      <c r="D238" s="7" t="e">
        <f t="shared" si="24"/>
        <v>#VALUE!</v>
      </c>
      <c r="E238" s="7" t="e">
        <f>C237*Remodelacion!$E$17</f>
        <v>#VALUE!</v>
      </c>
      <c r="F238" s="8" t="e">
        <f>IF(C237&lt;1,0,IF(Remodelacion!$D$26="Si",($C$17*(VLOOKUP(Remodelacion!$C$22,Seguros_Oblig!$A$3:$F$55,6,FALSE))),IF(Remodelacion!$C$10="TARIFA 1",(C237*(VLOOKUP(Remodelacion!$C$22,Seguros_Oblig!$A$3:$B$55,2,FALSE))),(C237*(VLOOKUP(Remodelacion!$C$22,Seguros_Oblig!$A$3:$D$55,4,FALSE))))))</f>
        <v>#VALUE!</v>
      </c>
      <c r="G238" s="8" t="e">
        <f>IF(Remodelacion!$C$10="TARIFA 1",(C237*(VLOOKUP(Remodelacion!$C$23,Seguros_Oblig!$A$3:$B$55,2,FALSE))),(C237*(VLOOKUP(Remodelacion!$C$23,Seguros_Oblig!$A$3:$D$55,4,FALSE))))</f>
        <v>#VALUE!</v>
      </c>
      <c r="H238" s="8" t="e">
        <f>IF(Remodelacion!$C$10="TARIFA 1",(C237*(VLOOKUP(Remodelacion!$C$24,Seguros_Oblig!$A$3:$B$55,2,FALSE))),(C237*(VLOOKUP(Remodelacion!$C$24,Seguros_Oblig!$A$3:$D$55,4,FALSE))))</f>
        <v>#VALUE!</v>
      </c>
      <c r="I238" s="8" t="e">
        <f>IF(Remodelacion!$C$10="TARIFA 1",(C237*(VLOOKUP(Remodelacion!$C$25,Seguros_Oblig!$A$3:$B$55,2,FALSE))),(C237*(VLOOKUP(Remodelacion!$C$25,Seguros_Oblig!$A$3:$D$55,4,FALSE))))</f>
        <v>#VALUE!</v>
      </c>
      <c r="J238" s="10">
        <f t="shared" si="20"/>
        <v>0</v>
      </c>
      <c r="K238" s="7" t="e">
        <f>IF(RM!$D$11="Si",0,IF(C237&lt;1,"0",Seguros_Oblig!$K$2*Remodelacion!$C$12))</f>
        <v>#VALUE!</v>
      </c>
      <c r="L238" s="7" t="e">
        <f>IF(B238=" ","0",PMT(Remodelacion!$E$17,Remodelacion!$C$18,-Remodelacion!$C$15,,))</f>
        <v>#VALUE!</v>
      </c>
      <c r="M238" s="9" t="e">
        <f t="shared" si="21"/>
        <v>#VALUE!</v>
      </c>
      <c r="N238" s="7" t="e">
        <f>IF(C237&lt;1,"0",Remodelacion!$C$38)</f>
        <v>#VALUE!</v>
      </c>
      <c r="O238" s="9" t="e">
        <f t="shared" si="22"/>
        <v>#VALUE!</v>
      </c>
    </row>
    <row r="239" spans="2:15" ht="15.5" x14ac:dyDescent="0.35">
      <c r="B239" s="6" t="e">
        <f t="shared" si="23"/>
        <v>#VALUE!</v>
      </c>
      <c r="C239" s="7" t="e">
        <f t="shared" si="19"/>
        <v>#VALUE!</v>
      </c>
      <c r="D239" s="7" t="e">
        <f t="shared" si="24"/>
        <v>#VALUE!</v>
      </c>
      <c r="E239" s="7" t="e">
        <f>C238*Remodelacion!$E$17</f>
        <v>#VALUE!</v>
      </c>
      <c r="F239" s="8" t="e">
        <f>IF(C238&lt;1,0,IF(Remodelacion!$D$26="Si",($C$17*(VLOOKUP(Remodelacion!$C$22,Seguros_Oblig!$A$3:$F$55,6,FALSE))),IF(Remodelacion!$C$10="TARIFA 1",(C238*(VLOOKUP(Remodelacion!$C$22,Seguros_Oblig!$A$3:$B$55,2,FALSE))),(C238*(VLOOKUP(Remodelacion!$C$22,Seguros_Oblig!$A$3:$D$55,4,FALSE))))))</f>
        <v>#VALUE!</v>
      </c>
      <c r="G239" s="8" t="e">
        <f>IF(Remodelacion!$C$10="TARIFA 1",(C238*(VLOOKUP(Remodelacion!$C$23,Seguros_Oblig!$A$3:$B$55,2,FALSE))),(C238*(VLOOKUP(Remodelacion!$C$23,Seguros_Oblig!$A$3:$D$55,4,FALSE))))</f>
        <v>#VALUE!</v>
      </c>
      <c r="H239" s="8" t="e">
        <f>IF(Remodelacion!$C$10="TARIFA 1",(C238*(VLOOKUP(Remodelacion!$C$24,Seguros_Oblig!$A$3:$B$55,2,FALSE))),(C238*(VLOOKUP(Remodelacion!$C$24,Seguros_Oblig!$A$3:$D$55,4,FALSE))))</f>
        <v>#VALUE!</v>
      </c>
      <c r="I239" s="8" t="e">
        <f>IF(Remodelacion!$C$10="TARIFA 1",(C238*(VLOOKUP(Remodelacion!$C$25,Seguros_Oblig!$A$3:$B$55,2,FALSE))),(C238*(VLOOKUP(Remodelacion!$C$25,Seguros_Oblig!$A$3:$D$55,4,FALSE))))</f>
        <v>#VALUE!</v>
      </c>
      <c r="J239" s="10">
        <f t="shared" si="20"/>
        <v>0</v>
      </c>
      <c r="K239" s="7" t="e">
        <f>IF(RM!$D$11="Si",0,IF(C238&lt;1,"0",Seguros_Oblig!$K$2*Remodelacion!$C$12))</f>
        <v>#VALUE!</v>
      </c>
      <c r="L239" s="7" t="e">
        <f>IF(B239=" ","0",PMT(Remodelacion!$E$17,Remodelacion!$C$18,-Remodelacion!$C$15,,))</f>
        <v>#VALUE!</v>
      </c>
      <c r="M239" s="9" t="e">
        <f t="shared" si="21"/>
        <v>#VALUE!</v>
      </c>
      <c r="N239" s="7" t="e">
        <f>IF(C238&lt;1,"0",Remodelacion!$C$38)</f>
        <v>#VALUE!</v>
      </c>
      <c r="O239" s="9" t="e">
        <f t="shared" si="22"/>
        <v>#VALUE!</v>
      </c>
    </row>
    <row r="240" spans="2:15" ht="15.5" x14ac:dyDescent="0.35">
      <c r="B240" s="6" t="e">
        <f t="shared" si="23"/>
        <v>#VALUE!</v>
      </c>
      <c r="C240" s="7" t="e">
        <f t="shared" si="19"/>
        <v>#VALUE!</v>
      </c>
      <c r="D240" s="7" t="e">
        <f t="shared" si="24"/>
        <v>#VALUE!</v>
      </c>
      <c r="E240" s="7" t="e">
        <f>C239*Remodelacion!$E$17</f>
        <v>#VALUE!</v>
      </c>
      <c r="F240" s="8" t="e">
        <f>IF(C239&lt;1,0,IF(Remodelacion!$D$26="Si",($C$17*(VLOOKUP(Remodelacion!$C$22,Seguros_Oblig!$A$3:$F$55,6,FALSE))),IF(Remodelacion!$C$10="TARIFA 1",(C239*(VLOOKUP(Remodelacion!$C$22,Seguros_Oblig!$A$3:$B$55,2,FALSE))),(C239*(VLOOKUP(Remodelacion!$C$22,Seguros_Oblig!$A$3:$D$55,4,FALSE))))))</f>
        <v>#VALUE!</v>
      </c>
      <c r="G240" s="8" t="e">
        <f>IF(Remodelacion!$C$10="TARIFA 1",(C239*(VLOOKUP(Remodelacion!$C$23,Seguros_Oblig!$A$3:$B$55,2,FALSE))),(C239*(VLOOKUP(Remodelacion!$C$23,Seguros_Oblig!$A$3:$D$55,4,FALSE))))</f>
        <v>#VALUE!</v>
      </c>
      <c r="H240" s="8" t="e">
        <f>IF(Remodelacion!$C$10="TARIFA 1",(C239*(VLOOKUP(Remodelacion!$C$24,Seguros_Oblig!$A$3:$B$55,2,FALSE))),(C239*(VLOOKUP(Remodelacion!$C$24,Seguros_Oblig!$A$3:$D$55,4,FALSE))))</f>
        <v>#VALUE!</v>
      </c>
      <c r="I240" s="8" t="e">
        <f>IF(Remodelacion!$C$10="TARIFA 1",(C239*(VLOOKUP(Remodelacion!$C$25,Seguros_Oblig!$A$3:$B$55,2,FALSE))),(C239*(VLOOKUP(Remodelacion!$C$25,Seguros_Oblig!$A$3:$D$55,4,FALSE))))</f>
        <v>#VALUE!</v>
      </c>
      <c r="J240" s="10">
        <f t="shared" si="20"/>
        <v>0</v>
      </c>
      <c r="K240" s="7" t="e">
        <f>IF(RM!$D$11="Si",0,IF(C239&lt;1,"0",Seguros_Oblig!$K$2*Remodelacion!$C$12))</f>
        <v>#VALUE!</v>
      </c>
      <c r="L240" s="7" t="e">
        <f>IF(B240=" ","0",PMT(Remodelacion!$E$17,Remodelacion!$C$18,-Remodelacion!$C$15,,))</f>
        <v>#VALUE!</v>
      </c>
      <c r="M240" s="9" t="e">
        <f t="shared" si="21"/>
        <v>#VALUE!</v>
      </c>
      <c r="N240" s="7" t="e">
        <f>IF(C239&lt;1,"0",Remodelacion!$C$38)</f>
        <v>#VALUE!</v>
      </c>
      <c r="O240" s="9" t="e">
        <f t="shared" si="22"/>
        <v>#VALUE!</v>
      </c>
    </row>
    <row r="241" spans="2:15" ht="15.5" x14ac:dyDescent="0.35">
      <c r="B241" s="6" t="e">
        <f t="shared" si="23"/>
        <v>#VALUE!</v>
      </c>
      <c r="C241" s="7" t="e">
        <f t="shared" si="19"/>
        <v>#VALUE!</v>
      </c>
      <c r="D241" s="7" t="e">
        <f t="shared" si="24"/>
        <v>#VALUE!</v>
      </c>
      <c r="E241" s="7" t="e">
        <f>C240*Remodelacion!$E$17</f>
        <v>#VALUE!</v>
      </c>
      <c r="F241" s="8" t="e">
        <f>IF(C240&lt;1,0,IF(Remodelacion!$D$26="Si",($C$17*(VLOOKUP(Remodelacion!$C$22,Seguros_Oblig!$A$3:$F$55,6,FALSE))),IF(Remodelacion!$C$10="TARIFA 1",(C240*(VLOOKUP(Remodelacion!$C$22,Seguros_Oblig!$A$3:$B$55,2,FALSE))),(C240*(VLOOKUP(Remodelacion!$C$22,Seguros_Oblig!$A$3:$D$55,4,FALSE))))))</f>
        <v>#VALUE!</v>
      </c>
      <c r="G241" s="8" t="e">
        <f>IF(Remodelacion!$C$10="TARIFA 1",(C240*(VLOOKUP(Remodelacion!$C$23,Seguros_Oblig!$A$3:$B$55,2,FALSE))),(C240*(VLOOKUP(Remodelacion!$C$23,Seguros_Oblig!$A$3:$D$55,4,FALSE))))</f>
        <v>#VALUE!</v>
      </c>
      <c r="H241" s="8" t="e">
        <f>IF(Remodelacion!$C$10="TARIFA 1",(C240*(VLOOKUP(Remodelacion!$C$24,Seguros_Oblig!$A$3:$B$55,2,FALSE))),(C240*(VLOOKUP(Remodelacion!$C$24,Seguros_Oblig!$A$3:$D$55,4,FALSE))))</f>
        <v>#VALUE!</v>
      </c>
      <c r="I241" s="8" t="e">
        <f>IF(Remodelacion!$C$10="TARIFA 1",(C240*(VLOOKUP(Remodelacion!$C$25,Seguros_Oblig!$A$3:$B$55,2,FALSE))),(C240*(VLOOKUP(Remodelacion!$C$25,Seguros_Oblig!$A$3:$D$55,4,FALSE))))</f>
        <v>#VALUE!</v>
      </c>
      <c r="J241" s="10">
        <f t="shared" si="20"/>
        <v>0</v>
      </c>
      <c r="K241" s="7" t="e">
        <f>IF(RM!$D$11="Si",0,IF(C240&lt;1,"0",Seguros_Oblig!$K$2*Remodelacion!$C$12))</f>
        <v>#VALUE!</v>
      </c>
      <c r="L241" s="7" t="e">
        <f>IF(B241=" ","0",PMT(Remodelacion!$E$17,Remodelacion!$C$18,-Remodelacion!$C$15,,))</f>
        <v>#VALUE!</v>
      </c>
      <c r="M241" s="9" t="e">
        <f t="shared" si="21"/>
        <v>#VALUE!</v>
      </c>
      <c r="N241" s="7" t="e">
        <f>IF(C240&lt;1,"0",Remodelacion!$C$38)</f>
        <v>#VALUE!</v>
      </c>
      <c r="O241" s="9" t="e">
        <f t="shared" si="22"/>
        <v>#VALUE!</v>
      </c>
    </row>
    <row r="242" spans="2:15" ht="15.5" x14ac:dyDescent="0.35">
      <c r="B242" s="6" t="e">
        <f t="shared" si="23"/>
        <v>#VALUE!</v>
      </c>
      <c r="C242" s="7" t="e">
        <f t="shared" si="19"/>
        <v>#VALUE!</v>
      </c>
      <c r="D242" s="7" t="e">
        <f t="shared" si="24"/>
        <v>#VALUE!</v>
      </c>
      <c r="E242" s="7" t="e">
        <f>C241*Remodelacion!$E$17</f>
        <v>#VALUE!</v>
      </c>
      <c r="F242" s="8" t="e">
        <f>IF(C241&lt;1,0,IF(Remodelacion!$D$26="Si",($C$17*(VLOOKUP(Remodelacion!$C$22,Seguros_Oblig!$A$3:$F$55,6,FALSE))),IF(Remodelacion!$C$10="TARIFA 1",(C241*(VLOOKUP(Remodelacion!$C$22,Seguros_Oblig!$A$3:$B$55,2,FALSE))),(C241*(VLOOKUP(Remodelacion!$C$22,Seguros_Oblig!$A$3:$D$55,4,FALSE))))))</f>
        <v>#VALUE!</v>
      </c>
      <c r="G242" s="8" t="e">
        <f>IF(Remodelacion!$C$10="TARIFA 1",(C241*(VLOOKUP(Remodelacion!$C$23,Seguros_Oblig!$A$3:$B$55,2,FALSE))),(C241*(VLOOKUP(Remodelacion!$C$23,Seguros_Oblig!$A$3:$D$55,4,FALSE))))</f>
        <v>#VALUE!</v>
      </c>
      <c r="H242" s="8" t="e">
        <f>IF(Remodelacion!$C$10="TARIFA 1",(C241*(VLOOKUP(Remodelacion!$C$24,Seguros_Oblig!$A$3:$B$55,2,FALSE))),(C241*(VLOOKUP(Remodelacion!$C$24,Seguros_Oblig!$A$3:$D$55,4,FALSE))))</f>
        <v>#VALUE!</v>
      </c>
      <c r="I242" s="8" t="e">
        <f>IF(Remodelacion!$C$10="TARIFA 1",(C241*(VLOOKUP(Remodelacion!$C$25,Seguros_Oblig!$A$3:$B$55,2,FALSE))),(C241*(VLOOKUP(Remodelacion!$C$25,Seguros_Oblig!$A$3:$D$55,4,FALSE))))</f>
        <v>#VALUE!</v>
      </c>
      <c r="J242" s="10">
        <f t="shared" si="20"/>
        <v>0</v>
      </c>
      <c r="K242" s="7" t="e">
        <f>IF(RM!$D$11="Si",0,IF(C241&lt;1,"0",Seguros_Oblig!$K$2*Remodelacion!$C$12))</f>
        <v>#VALUE!</v>
      </c>
      <c r="L242" s="7" t="e">
        <f>IF(B242=" ","0",PMT(Remodelacion!$E$17,Remodelacion!$C$18,-Remodelacion!$C$15,,))</f>
        <v>#VALUE!</v>
      </c>
      <c r="M242" s="9" t="e">
        <f t="shared" si="21"/>
        <v>#VALUE!</v>
      </c>
      <c r="N242" s="7" t="e">
        <f>IF(C241&lt;1,"0",Remodelacion!$C$38)</f>
        <v>#VALUE!</v>
      </c>
      <c r="O242" s="9" t="e">
        <f t="shared" si="22"/>
        <v>#VALUE!</v>
      </c>
    </row>
    <row r="243" spans="2:15" ht="15.5" x14ac:dyDescent="0.35">
      <c r="B243" s="6" t="e">
        <f t="shared" si="23"/>
        <v>#VALUE!</v>
      </c>
      <c r="C243" s="7" t="e">
        <f t="shared" si="19"/>
        <v>#VALUE!</v>
      </c>
      <c r="D243" s="7" t="e">
        <f t="shared" si="24"/>
        <v>#VALUE!</v>
      </c>
      <c r="E243" s="7" t="e">
        <f>C242*Remodelacion!$E$17</f>
        <v>#VALUE!</v>
      </c>
      <c r="F243" s="8" t="e">
        <f>IF(C242&lt;1,0,IF(Remodelacion!$D$26="Si",($C$17*(VLOOKUP(Remodelacion!$C$22,Seguros_Oblig!$A$3:$F$55,6,FALSE))),IF(Remodelacion!$C$10="TARIFA 1",(C242*(VLOOKUP(Remodelacion!$C$22,Seguros_Oblig!$A$3:$B$55,2,FALSE))),(C242*(VLOOKUP(Remodelacion!$C$22,Seguros_Oblig!$A$3:$D$55,4,FALSE))))))</f>
        <v>#VALUE!</v>
      </c>
      <c r="G243" s="8" t="e">
        <f>IF(Remodelacion!$C$10="TARIFA 1",(C242*(VLOOKUP(Remodelacion!$C$23,Seguros_Oblig!$A$3:$B$55,2,FALSE))),(C242*(VLOOKUP(Remodelacion!$C$23,Seguros_Oblig!$A$3:$D$55,4,FALSE))))</f>
        <v>#VALUE!</v>
      </c>
      <c r="H243" s="8" t="e">
        <f>IF(Remodelacion!$C$10="TARIFA 1",(C242*(VLOOKUP(Remodelacion!$C$24,Seguros_Oblig!$A$3:$B$55,2,FALSE))),(C242*(VLOOKUP(Remodelacion!$C$24,Seguros_Oblig!$A$3:$D$55,4,FALSE))))</f>
        <v>#VALUE!</v>
      </c>
      <c r="I243" s="8" t="e">
        <f>IF(Remodelacion!$C$10="TARIFA 1",(C242*(VLOOKUP(Remodelacion!$C$25,Seguros_Oblig!$A$3:$B$55,2,FALSE))),(C242*(VLOOKUP(Remodelacion!$C$25,Seguros_Oblig!$A$3:$D$55,4,FALSE))))</f>
        <v>#VALUE!</v>
      </c>
      <c r="J243" s="10">
        <f t="shared" si="20"/>
        <v>0</v>
      </c>
      <c r="K243" s="7" t="e">
        <f>IF(RM!$D$11="Si",0,IF(C242&lt;1,"0",Seguros_Oblig!$K$2*Remodelacion!$C$12))</f>
        <v>#VALUE!</v>
      </c>
      <c r="L243" s="7" t="e">
        <f>IF(B243=" ","0",PMT(Remodelacion!$E$17,Remodelacion!$C$18,-Remodelacion!$C$15,,))</f>
        <v>#VALUE!</v>
      </c>
      <c r="M243" s="9" t="e">
        <f t="shared" si="21"/>
        <v>#VALUE!</v>
      </c>
      <c r="N243" s="7" t="e">
        <f>IF(C242&lt;1,"0",Remodelacion!$C$38)</f>
        <v>#VALUE!</v>
      </c>
      <c r="O243" s="9" t="e">
        <f t="shared" si="22"/>
        <v>#VALUE!</v>
      </c>
    </row>
    <row r="244" spans="2:15" ht="15.5" x14ac:dyDescent="0.35">
      <c r="B244" s="6" t="e">
        <f t="shared" si="23"/>
        <v>#VALUE!</v>
      </c>
      <c r="C244" s="7" t="e">
        <f t="shared" si="19"/>
        <v>#VALUE!</v>
      </c>
      <c r="D244" s="7" t="e">
        <f t="shared" si="24"/>
        <v>#VALUE!</v>
      </c>
      <c r="E244" s="7" t="e">
        <f>C243*Remodelacion!$E$17</f>
        <v>#VALUE!</v>
      </c>
      <c r="F244" s="8" t="e">
        <f>IF(C243&lt;1,0,IF(Remodelacion!$D$26="Si",($C$17*(VLOOKUP(Remodelacion!$C$22,Seguros_Oblig!$A$3:$F$55,6,FALSE))),IF(Remodelacion!$C$10="TARIFA 1",(C243*(VLOOKUP(Remodelacion!$C$22,Seguros_Oblig!$A$3:$B$55,2,FALSE))),(C243*(VLOOKUP(Remodelacion!$C$22,Seguros_Oblig!$A$3:$D$55,4,FALSE))))))</f>
        <v>#VALUE!</v>
      </c>
      <c r="G244" s="8" t="e">
        <f>IF(Remodelacion!$C$10="TARIFA 1",(C243*(VLOOKUP(Remodelacion!$C$23,Seguros_Oblig!$A$3:$B$55,2,FALSE))),(C243*(VLOOKUP(Remodelacion!$C$23,Seguros_Oblig!$A$3:$D$55,4,FALSE))))</f>
        <v>#VALUE!</v>
      </c>
      <c r="H244" s="8" t="e">
        <f>IF(Remodelacion!$C$10="TARIFA 1",(C243*(VLOOKUP(Remodelacion!$C$24,Seguros_Oblig!$A$3:$B$55,2,FALSE))),(C243*(VLOOKUP(Remodelacion!$C$24,Seguros_Oblig!$A$3:$D$55,4,FALSE))))</f>
        <v>#VALUE!</v>
      </c>
      <c r="I244" s="8" t="e">
        <f>IF(Remodelacion!$C$10="TARIFA 1",(C243*(VLOOKUP(Remodelacion!$C$25,Seguros_Oblig!$A$3:$B$55,2,FALSE))),(C243*(VLOOKUP(Remodelacion!$C$25,Seguros_Oblig!$A$3:$D$55,4,FALSE))))</f>
        <v>#VALUE!</v>
      </c>
      <c r="J244" s="10">
        <f t="shared" si="20"/>
        <v>0</v>
      </c>
      <c r="K244" s="7" t="e">
        <f>IF(RM!$D$11="Si",0,IF(C243&lt;1,"0",Seguros_Oblig!$K$2*Remodelacion!$C$12))</f>
        <v>#VALUE!</v>
      </c>
      <c r="L244" s="7" t="e">
        <f>IF(B244=" ","0",PMT(Remodelacion!$E$17,Remodelacion!$C$18,-Remodelacion!$C$15,,))</f>
        <v>#VALUE!</v>
      </c>
      <c r="M244" s="9" t="e">
        <f t="shared" si="21"/>
        <v>#VALUE!</v>
      </c>
      <c r="N244" s="7" t="e">
        <f>IF(C243&lt;1,"0",Remodelacion!$C$38)</f>
        <v>#VALUE!</v>
      </c>
      <c r="O244" s="9" t="e">
        <f t="shared" si="22"/>
        <v>#VALUE!</v>
      </c>
    </row>
    <row r="245" spans="2:15" ht="15.5" x14ac:dyDescent="0.35">
      <c r="B245" s="6" t="e">
        <f t="shared" si="23"/>
        <v>#VALUE!</v>
      </c>
      <c r="C245" s="7" t="e">
        <f t="shared" si="19"/>
        <v>#VALUE!</v>
      </c>
      <c r="D245" s="7" t="e">
        <f t="shared" si="24"/>
        <v>#VALUE!</v>
      </c>
      <c r="E245" s="7" t="e">
        <f>C244*Remodelacion!$E$17</f>
        <v>#VALUE!</v>
      </c>
      <c r="F245" s="8" t="e">
        <f>IF(C244&lt;1,0,IF(Remodelacion!$D$26="Si",($C$17*(VLOOKUP(Remodelacion!$C$22,Seguros_Oblig!$A$3:$F$55,6,FALSE))),IF(Remodelacion!$C$10="TARIFA 1",(C244*(VLOOKUP(Remodelacion!$C$22,Seguros_Oblig!$A$3:$B$55,2,FALSE))),(C244*(VLOOKUP(Remodelacion!$C$22,Seguros_Oblig!$A$3:$D$55,4,FALSE))))))</f>
        <v>#VALUE!</v>
      </c>
      <c r="G245" s="8" t="e">
        <f>IF(Remodelacion!$C$10="TARIFA 1",(C244*(VLOOKUP(Remodelacion!$C$23,Seguros_Oblig!$A$3:$B$55,2,FALSE))),(C244*(VLOOKUP(Remodelacion!$C$23,Seguros_Oblig!$A$3:$D$55,4,FALSE))))</f>
        <v>#VALUE!</v>
      </c>
      <c r="H245" s="8" t="e">
        <f>IF(Remodelacion!$C$10="TARIFA 1",(C244*(VLOOKUP(Remodelacion!$C$24,Seguros_Oblig!$A$3:$B$55,2,FALSE))),(C244*(VLOOKUP(Remodelacion!$C$24,Seguros_Oblig!$A$3:$D$55,4,FALSE))))</f>
        <v>#VALUE!</v>
      </c>
      <c r="I245" s="8" t="e">
        <f>IF(Remodelacion!$C$10="TARIFA 1",(C244*(VLOOKUP(Remodelacion!$C$25,Seguros_Oblig!$A$3:$B$55,2,FALSE))),(C244*(VLOOKUP(Remodelacion!$C$25,Seguros_Oblig!$A$3:$D$55,4,FALSE))))</f>
        <v>#VALUE!</v>
      </c>
      <c r="J245" s="10">
        <f t="shared" si="20"/>
        <v>0</v>
      </c>
      <c r="K245" s="7" t="e">
        <f>IF(RM!$D$11="Si",0,IF(C244&lt;1,"0",Seguros_Oblig!$K$2*Remodelacion!$C$12))</f>
        <v>#VALUE!</v>
      </c>
      <c r="L245" s="7" t="e">
        <f>IF(B245=" ","0",PMT(Remodelacion!$E$17,Remodelacion!$C$18,-Remodelacion!$C$15,,))</f>
        <v>#VALUE!</v>
      </c>
      <c r="M245" s="9" t="e">
        <f t="shared" si="21"/>
        <v>#VALUE!</v>
      </c>
      <c r="N245" s="7" t="e">
        <f>IF(C244&lt;1,"0",Remodelacion!$C$38)</f>
        <v>#VALUE!</v>
      </c>
      <c r="O245" s="9" t="e">
        <f t="shared" si="22"/>
        <v>#VALUE!</v>
      </c>
    </row>
    <row r="246" spans="2:15" ht="15.5" x14ac:dyDescent="0.35">
      <c r="B246" s="6" t="e">
        <f t="shared" si="23"/>
        <v>#VALUE!</v>
      </c>
      <c r="C246" s="7" t="e">
        <f t="shared" si="19"/>
        <v>#VALUE!</v>
      </c>
      <c r="D246" s="7" t="e">
        <f t="shared" si="24"/>
        <v>#VALUE!</v>
      </c>
      <c r="E246" s="7" t="e">
        <f>C245*Remodelacion!$E$17</f>
        <v>#VALUE!</v>
      </c>
      <c r="F246" s="8" t="e">
        <f>IF(C245&lt;1,0,IF(Remodelacion!$D$26="Si",($C$17*(VLOOKUP(Remodelacion!$C$22,Seguros_Oblig!$A$3:$F$55,6,FALSE))),IF(Remodelacion!$C$10="TARIFA 1",(C245*(VLOOKUP(Remodelacion!$C$22,Seguros_Oblig!$A$3:$B$55,2,FALSE))),(C245*(VLOOKUP(Remodelacion!$C$22,Seguros_Oblig!$A$3:$D$55,4,FALSE))))))</f>
        <v>#VALUE!</v>
      </c>
      <c r="G246" s="8" t="e">
        <f>IF(Remodelacion!$C$10="TARIFA 1",(C245*(VLOOKUP(Remodelacion!$C$23,Seguros_Oblig!$A$3:$B$55,2,FALSE))),(C245*(VLOOKUP(Remodelacion!$C$23,Seguros_Oblig!$A$3:$D$55,4,FALSE))))</f>
        <v>#VALUE!</v>
      </c>
      <c r="H246" s="8" t="e">
        <f>IF(Remodelacion!$C$10="TARIFA 1",(C245*(VLOOKUP(Remodelacion!$C$24,Seguros_Oblig!$A$3:$B$55,2,FALSE))),(C245*(VLOOKUP(Remodelacion!$C$24,Seguros_Oblig!$A$3:$D$55,4,FALSE))))</f>
        <v>#VALUE!</v>
      </c>
      <c r="I246" s="8" t="e">
        <f>IF(Remodelacion!$C$10="TARIFA 1",(C245*(VLOOKUP(Remodelacion!$C$25,Seguros_Oblig!$A$3:$B$55,2,FALSE))),(C245*(VLOOKUP(Remodelacion!$C$25,Seguros_Oblig!$A$3:$D$55,4,FALSE))))</f>
        <v>#VALUE!</v>
      </c>
      <c r="J246" s="10">
        <f t="shared" si="20"/>
        <v>0</v>
      </c>
      <c r="K246" s="7" t="e">
        <f>IF(RM!$D$11="Si",0,IF(C245&lt;1,"0",Seguros_Oblig!$K$2*Remodelacion!$C$12))</f>
        <v>#VALUE!</v>
      </c>
      <c r="L246" s="7" t="e">
        <f>IF(B246=" ","0",PMT(Remodelacion!$E$17,Remodelacion!$C$18,-Remodelacion!$C$15,,))</f>
        <v>#VALUE!</v>
      </c>
      <c r="M246" s="9" t="e">
        <f t="shared" si="21"/>
        <v>#VALUE!</v>
      </c>
      <c r="N246" s="7" t="e">
        <f>IF(C245&lt;1,"0",Remodelacion!$C$38)</f>
        <v>#VALUE!</v>
      </c>
      <c r="O246" s="9" t="e">
        <f t="shared" si="22"/>
        <v>#VALUE!</v>
      </c>
    </row>
    <row r="247" spans="2:15" ht="15.5" x14ac:dyDescent="0.35">
      <c r="B247" s="6" t="e">
        <f t="shared" si="23"/>
        <v>#VALUE!</v>
      </c>
      <c r="C247" s="7" t="e">
        <f t="shared" si="19"/>
        <v>#VALUE!</v>
      </c>
      <c r="D247" s="7" t="e">
        <f t="shared" si="24"/>
        <v>#VALUE!</v>
      </c>
      <c r="E247" s="7" t="e">
        <f>C246*Remodelacion!$E$17</f>
        <v>#VALUE!</v>
      </c>
      <c r="F247" s="8" t="e">
        <f>IF(C246&lt;1,0,IF(Remodelacion!$D$26="Si",($C$17*(VLOOKUP(Remodelacion!$C$22,Seguros_Oblig!$A$3:$F$55,6,FALSE))),IF(Remodelacion!$C$10="TARIFA 1",(C246*(VLOOKUP(Remodelacion!$C$22,Seguros_Oblig!$A$3:$B$55,2,FALSE))),(C246*(VLOOKUP(Remodelacion!$C$22,Seguros_Oblig!$A$3:$D$55,4,FALSE))))))</f>
        <v>#VALUE!</v>
      </c>
      <c r="G247" s="8" t="e">
        <f>IF(Remodelacion!$C$10="TARIFA 1",(C246*(VLOOKUP(Remodelacion!$C$23,Seguros_Oblig!$A$3:$B$55,2,FALSE))),(C246*(VLOOKUP(Remodelacion!$C$23,Seguros_Oblig!$A$3:$D$55,4,FALSE))))</f>
        <v>#VALUE!</v>
      </c>
      <c r="H247" s="8" t="e">
        <f>IF(Remodelacion!$C$10="TARIFA 1",(C246*(VLOOKUP(Remodelacion!$C$24,Seguros_Oblig!$A$3:$B$55,2,FALSE))),(C246*(VLOOKUP(Remodelacion!$C$24,Seguros_Oblig!$A$3:$D$55,4,FALSE))))</f>
        <v>#VALUE!</v>
      </c>
      <c r="I247" s="8" t="e">
        <f>IF(Remodelacion!$C$10="TARIFA 1",(C246*(VLOOKUP(Remodelacion!$C$25,Seguros_Oblig!$A$3:$B$55,2,FALSE))),(C246*(VLOOKUP(Remodelacion!$C$25,Seguros_Oblig!$A$3:$D$55,4,FALSE))))</f>
        <v>#VALUE!</v>
      </c>
      <c r="J247" s="10">
        <f t="shared" si="20"/>
        <v>0</v>
      </c>
      <c r="K247" s="7" t="e">
        <f>IF(RM!$D$11="Si",0,IF(C246&lt;1,"0",Seguros_Oblig!$K$2*Remodelacion!$C$12))</f>
        <v>#VALUE!</v>
      </c>
      <c r="L247" s="7" t="e">
        <f>IF(B247=" ","0",PMT(Remodelacion!$E$17,Remodelacion!$C$18,-Remodelacion!$C$15,,))</f>
        <v>#VALUE!</v>
      </c>
      <c r="M247" s="9" t="e">
        <f t="shared" si="21"/>
        <v>#VALUE!</v>
      </c>
      <c r="N247" s="7" t="e">
        <f>IF(C246&lt;1,"0",Remodelacion!$C$38)</f>
        <v>#VALUE!</v>
      </c>
      <c r="O247" s="9" t="e">
        <f t="shared" si="22"/>
        <v>#VALUE!</v>
      </c>
    </row>
    <row r="248" spans="2:15" ht="15.5" x14ac:dyDescent="0.35">
      <c r="B248" s="6" t="e">
        <f t="shared" si="23"/>
        <v>#VALUE!</v>
      </c>
      <c r="C248" s="7" t="e">
        <f t="shared" si="19"/>
        <v>#VALUE!</v>
      </c>
      <c r="D248" s="7" t="e">
        <f t="shared" si="24"/>
        <v>#VALUE!</v>
      </c>
      <c r="E248" s="7" t="e">
        <f>C247*Remodelacion!$E$17</f>
        <v>#VALUE!</v>
      </c>
      <c r="F248" s="8" t="e">
        <f>IF(C247&lt;1,0,IF(Remodelacion!$D$26="Si",($C$17*(VLOOKUP(Remodelacion!$C$22,Seguros_Oblig!$A$3:$F$55,6,FALSE))),IF(Remodelacion!$C$10="TARIFA 1",(C247*(VLOOKUP(Remodelacion!$C$22,Seguros_Oblig!$A$3:$B$55,2,FALSE))),(C247*(VLOOKUP(Remodelacion!$C$22,Seguros_Oblig!$A$3:$D$55,4,FALSE))))))</f>
        <v>#VALUE!</v>
      </c>
      <c r="G248" s="8" t="e">
        <f>IF(Remodelacion!$C$10="TARIFA 1",(C247*(VLOOKUP(Remodelacion!$C$23,Seguros_Oblig!$A$3:$B$55,2,FALSE))),(C247*(VLOOKUP(Remodelacion!$C$23,Seguros_Oblig!$A$3:$D$55,4,FALSE))))</f>
        <v>#VALUE!</v>
      </c>
      <c r="H248" s="8" t="e">
        <f>IF(Remodelacion!$C$10="TARIFA 1",(C247*(VLOOKUP(Remodelacion!$C$24,Seguros_Oblig!$A$3:$B$55,2,FALSE))),(C247*(VLOOKUP(Remodelacion!$C$24,Seguros_Oblig!$A$3:$D$55,4,FALSE))))</f>
        <v>#VALUE!</v>
      </c>
      <c r="I248" s="8" t="e">
        <f>IF(Remodelacion!$C$10="TARIFA 1",(C247*(VLOOKUP(Remodelacion!$C$25,Seguros_Oblig!$A$3:$B$55,2,FALSE))),(C247*(VLOOKUP(Remodelacion!$C$25,Seguros_Oblig!$A$3:$D$55,4,FALSE))))</f>
        <v>#VALUE!</v>
      </c>
      <c r="J248" s="10">
        <f t="shared" si="20"/>
        <v>0</v>
      </c>
      <c r="K248" s="7" t="e">
        <f>IF(RM!$D$11="Si",0,IF(C247&lt;1,"0",Seguros_Oblig!$K$2*Remodelacion!$C$12))</f>
        <v>#VALUE!</v>
      </c>
      <c r="L248" s="7" t="e">
        <f>IF(B248=" ","0",PMT(Remodelacion!$E$17,Remodelacion!$C$18,-Remodelacion!$C$15,,))</f>
        <v>#VALUE!</v>
      </c>
      <c r="M248" s="9" t="e">
        <f t="shared" si="21"/>
        <v>#VALUE!</v>
      </c>
      <c r="N248" s="7" t="e">
        <f>IF(C247&lt;1,"0",Remodelacion!$C$38)</f>
        <v>#VALUE!</v>
      </c>
      <c r="O248" s="9" t="e">
        <f t="shared" si="22"/>
        <v>#VALUE!</v>
      </c>
    </row>
    <row r="249" spans="2:15" ht="15.5" x14ac:dyDescent="0.35">
      <c r="B249" s="6" t="e">
        <f t="shared" si="23"/>
        <v>#VALUE!</v>
      </c>
      <c r="C249" s="7" t="e">
        <f t="shared" si="19"/>
        <v>#VALUE!</v>
      </c>
      <c r="D249" s="7" t="e">
        <f t="shared" si="24"/>
        <v>#VALUE!</v>
      </c>
      <c r="E249" s="7" t="e">
        <f>C248*Remodelacion!$E$17</f>
        <v>#VALUE!</v>
      </c>
      <c r="F249" s="8" t="e">
        <f>IF(C248&lt;1,0,IF(Remodelacion!$D$26="Si",($C$17*(VLOOKUP(Remodelacion!$C$22,Seguros_Oblig!$A$3:$F$55,6,FALSE))),IF(Remodelacion!$C$10="TARIFA 1",(C248*(VLOOKUP(Remodelacion!$C$22,Seguros_Oblig!$A$3:$B$55,2,FALSE))),(C248*(VLOOKUP(Remodelacion!$C$22,Seguros_Oblig!$A$3:$D$55,4,FALSE))))))</f>
        <v>#VALUE!</v>
      </c>
      <c r="G249" s="8" t="e">
        <f>IF(Remodelacion!$C$10="TARIFA 1",(C248*(VLOOKUP(Remodelacion!$C$23,Seguros_Oblig!$A$3:$B$55,2,FALSE))),(C248*(VLOOKUP(Remodelacion!$C$23,Seguros_Oblig!$A$3:$D$55,4,FALSE))))</f>
        <v>#VALUE!</v>
      </c>
      <c r="H249" s="8" t="e">
        <f>IF(Remodelacion!$C$10="TARIFA 1",(C248*(VLOOKUP(Remodelacion!$C$24,Seguros_Oblig!$A$3:$B$55,2,FALSE))),(C248*(VLOOKUP(Remodelacion!$C$24,Seguros_Oblig!$A$3:$D$55,4,FALSE))))</f>
        <v>#VALUE!</v>
      </c>
      <c r="I249" s="8" t="e">
        <f>IF(Remodelacion!$C$10="TARIFA 1",(C248*(VLOOKUP(Remodelacion!$C$25,Seguros_Oblig!$A$3:$B$55,2,FALSE))),(C248*(VLOOKUP(Remodelacion!$C$25,Seguros_Oblig!$A$3:$D$55,4,FALSE))))</f>
        <v>#VALUE!</v>
      </c>
      <c r="J249" s="10">
        <f t="shared" si="20"/>
        <v>0</v>
      </c>
      <c r="K249" s="7" t="e">
        <f>IF(RM!$D$11="Si",0,IF(C248&lt;1,"0",Seguros_Oblig!$K$2*Remodelacion!$C$12))</f>
        <v>#VALUE!</v>
      </c>
      <c r="L249" s="7" t="e">
        <f>IF(B249=" ","0",PMT(Remodelacion!$E$17,Remodelacion!$C$18,-Remodelacion!$C$15,,))</f>
        <v>#VALUE!</v>
      </c>
      <c r="M249" s="9" t="e">
        <f t="shared" si="21"/>
        <v>#VALUE!</v>
      </c>
      <c r="N249" s="7" t="e">
        <f>IF(C248&lt;1,"0",Remodelacion!$C$38)</f>
        <v>#VALUE!</v>
      </c>
      <c r="O249" s="9" t="e">
        <f t="shared" si="22"/>
        <v>#VALUE!</v>
      </c>
    </row>
    <row r="250" spans="2:15" ht="15.5" x14ac:dyDescent="0.35">
      <c r="B250" s="6" t="e">
        <f t="shared" si="23"/>
        <v>#VALUE!</v>
      </c>
      <c r="C250" s="7" t="e">
        <f t="shared" si="19"/>
        <v>#VALUE!</v>
      </c>
      <c r="D250" s="7" t="e">
        <f t="shared" si="24"/>
        <v>#VALUE!</v>
      </c>
      <c r="E250" s="7" t="e">
        <f>C249*Remodelacion!$E$17</f>
        <v>#VALUE!</v>
      </c>
      <c r="F250" s="8" t="e">
        <f>IF(C249&lt;1,0,IF(Remodelacion!$D$26="Si",($C$17*(VLOOKUP(Remodelacion!$C$22,Seguros_Oblig!$A$3:$F$55,6,FALSE))),IF(Remodelacion!$C$10="TARIFA 1",(C249*(VLOOKUP(Remodelacion!$C$22,Seguros_Oblig!$A$3:$B$55,2,FALSE))),(C249*(VLOOKUP(Remodelacion!$C$22,Seguros_Oblig!$A$3:$D$55,4,FALSE))))))</f>
        <v>#VALUE!</v>
      </c>
      <c r="G250" s="8" t="e">
        <f>IF(Remodelacion!$C$10="TARIFA 1",(C249*(VLOOKUP(Remodelacion!$C$23,Seguros_Oblig!$A$3:$B$55,2,FALSE))),(C249*(VLOOKUP(Remodelacion!$C$23,Seguros_Oblig!$A$3:$D$55,4,FALSE))))</f>
        <v>#VALUE!</v>
      </c>
      <c r="H250" s="8" t="e">
        <f>IF(Remodelacion!$C$10="TARIFA 1",(C249*(VLOOKUP(Remodelacion!$C$24,Seguros_Oblig!$A$3:$B$55,2,FALSE))),(C249*(VLOOKUP(Remodelacion!$C$24,Seguros_Oblig!$A$3:$D$55,4,FALSE))))</f>
        <v>#VALUE!</v>
      </c>
      <c r="I250" s="8" t="e">
        <f>IF(Remodelacion!$C$10="TARIFA 1",(C249*(VLOOKUP(Remodelacion!$C$25,Seguros_Oblig!$A$3:$B$55,2,FALSE))),(C249*(VLOOKUP(Remodelacion!$C$25,Seguros_Oblig!$A$3:$D$55,4,FALSE))))</f>
        <v>#VALUE!</v>
      </c>
      <c r="J250" s="10">
        <f t="shared" si="20"/>
        <v>0</v>
      </c>
      <c r="K250" s="7" t="e">
        <f>IF(RM!$D$11="Si",0,IF(C249&lt;1,"0",Seguros_Oblig!$K$2*Remodelacion!$C$12))</f>
        <v>#VALUE!</v>
      </c>
      <c r="L250" s="7" t="e">
        <f>IF(B250=" ","0",PMT(Remodelacion!$E$17,Remodelacion!$C$18,-Remodelacion!$C$15,,))</f>
        <v>#VALUE!</v>
      </c>
      <c r="M250" s="9" t="e">
        <f t="shared" si="21"/>
        <v>#VALUE!</v>
      </c>
      <c r="N250" s="7" t="e">
        <f>IF(C249&lt;1,"0",Remodelacion!$C$38)</f>
        <v>#VALUE!</v>
      </c>
      <c r="O250" s="9" t="e">
        <f t="shared" si="22"/>
        <v>#VALUE!</v>
      </c>
    </row>
    <row r="251" spans="2:15" ht="15.5" x14ac:dyDescent="0.35">
      <c r="B251" s="6" t="e">
        <f t="shared" si="23"/>
        <v>#VALUE!</v>
      </c>
      <c r="C251" s="7" t="e">
        <f t="shared" si="19"/>
        <v>#VALUE!</v>
      </c>
      <c r="D251" s="7" t="e">
        <f t="shared" si="24"/>
        <v>#VALUE!</v>
      </c>
      <c r="E251" s="7" t="e">
        <f>C250*Remodelacion!$E$17</f>
        <v>#VALUE!</v>
      </c>
      <c r="F251" s="8" t="e">
        <f>IF(C250&lt;1,0,IF(Remodelacion!$D$26="Si",($C$17*(VLOOKUP(Remodelacion!$C$22,Seguros_Oblig!$A$3:$F$55,6,FALSE))),IF(Remodelacion!$C$10="TARIFA 1",(C250*(VLOOKUP(Remodelacion!$C$22,Seguros_Oblig!$A$3:$B$55,2,FALSE))),(C250*(VLOOKUP(Remodelacion!$C$22,Seguros_Oblig!$A$3:$D$55,4,FALSE))))))</f>
        <v>#VALUE!</v>
      </c>
      <c r="G251" s="8" t="e">
        <f>IF(Remodelacion!$C$10="TARIFA 1",(C250*(VLOOKUP(Remodelacion!$C$23,Seguros_Oblig!$A$3:$B$55,2,FALSE))),(C250*(VLOOKUP(Remodelacion!$C$23,Seguros_Oblig!$A$3:$D$55,4,FALSE))))</f>
        <v>#VALUE!</v>
      </c>
      <c r="H251" s="8" t="e">
        <f>IF(Remodelacion!$C$10="TARIFA 1",(C250*(VLOOKUP(Remodelacion!$C$24,Seguros_Oblig!$A$3:$B$55,2,FALSE))),(C250*(VLOOKUP(Remodelacion!$C$24,Seguros_Oblig!$A$3:$D$55,4,FALSE))))</f>
        <v>#VALUE!</v>
      </c>
      <c r="I251" s="8" t="e">
        <f>IF(Remodelacion!$C$10="TARIFA 1",(C250*(VLOOKUP(Remodelacion!$C$25,Seguros_Oblig!$A$3:$B$55,2,FALSE))),(C250*(VLOOKUP(Remodelacion!$C$25,Seguros_Oblig!$A$3:$D$55,4,FALSE))))</f>
        <v>#VALUE!</v>
      </c>
      <c r="J251" s="10">
        <f t="shared" si="20"/>
        <v>0</v>
      </c>
      <c r="K251" s="7" t="e">
        <f>IF(RM!$D$11="Si",0,IF(C250&lt;1,"0",Seguros_Oblig!$K$2*Remodelacion!$C$12))</f>
        <v>#VALUE!</v>
      </c>
      <c r="L251" s="7" t="e">
        <f>IF(B251=" ","0",PMT(Remodelacion!$E$17,Remodelacion!$C$18,-Remodelacion!$C$15,,))</f>
        <v>#VALUE!</v>
      </c>
      <c r="M251" s="9" t="e">
        <f t="shared" si="21"/>
        <v>#VALUE!</v>
      </c>
      <c r="N251" s="7" t="e">
        <f>IF(C250&lt;1,"0",Remodelacion!$C$38)</f>
        <v>#VALUE!</v>
      </c>
      <c r="O251" s="9" t="e">
        <f t="shared" si="22"/>
        <v>#VALUE!</v>
      </c>
    </row>
    <row r="252" spans="2:15" ht="15.5" x14ac:dyDescent="0.35">
      <c r="B252" s="6" t="e">
        <f t="shared" si="23"/>
        <v>#VALUE!</v>
      </c>
      <c r="C252" s="7" t="e">
        <f t="shared" si="19"/>
        <v>#VALUE!</v>
      </c>
      <c r="D252" s="7" t="e">
        <f t="shared" si="24"/>
        <v>#VALUE!</v>
      </c>
      <c r="E252" s="7" t="e">
        <f>C251*Remodelacion!$E$17</f>
        <v>#VALUE!</v>
      </c>
      <c r="F252" s="8" t="e">
        <f>IF(C251&lt;1,0,IF(Remodelacion!$D$26="Si",($C$17*(VLOOKUP(Remodelacion!$C$22,Seguros_Oblig!$A$3:$F$55,6,FALSE))),IF(Remodelacion!$C$10="TARIFA 1",(C251*(VLOOKUP(Remodelacion!$C$22,Seguros_Oblig!$A$3:$B$55,2,FALSE))),(C251*(VLOOKUP(Remodelacion!$C$22,Seguros_Oblig!$A$3:$D$55,4,FALSE))))))</f>
        <v>#VALUE!</v>
      </c>
      <c r="G252" s="8" t="e">
        <f>IF(Remodelacion!$C$10="TARIFA 1",(C251*(VLOOKUP(Remodelacion!$C$23,Seguros_Oblig!$A$3:$B$55,2,FALSE))),(C251*(VLOOKUP(Remodelacion!$C$23,Seguros_Oblig!$A$3:$D$55,4,FALSE))))</f>
        <v>#VALUE!</v>
      </c>
      <c r="H252" s="8" t="e">
        <f>IF(Remodelacion!$C$10="TARIFA 1",(C251*(VLOOKUP(Remodelacion!$C$24,Seguros_Oblig!$A$3:$B$55,2,FALSE))),(C251*(VLOOKUP(Remodelacion!$C$24,Seguros_Oblig!$A$3:$D$55,4,FALSE))))</f>
        <v>#VALUE!</v>
      </c>
      <c r="I252" s="8" t="e">
        <f>IF(Remodelacion!$C$10="TARIFA 1",(C251*(VLOOKUP(Remodelacion!$C$25,Seguros_Oblig!$A$3:$B$55,2,FALSE))),(C251*(VLOOKUP(Remodelacion!$C$25,Seguros_Oblig!$A$3:$D$55,4,FALSE))))</f>
        <v>#VALUE!</v>
      </c>
      <c r="J252" s="10">
        <f t="shared" si="20"/>
        <v>0</v>
      </c>
      <c r="K252" s="7" t="e">
        <f>IF(RM!$D$11="Si",0,IF(C251&lt;1,"0",Seguros_Oblig!$K$2*Remodelacion!$C$12))</f>
        <v>#VALUE!</v>
      </c>
      <c r="L252" s="7" t="e">
        <f>IF(B252=" ","0",PMT(Remodelacion!$E$17,Remodelacion!$C$18,-Remodelacion!$C$15,,))</f>
        <v>#VALUE!</v>
      </c>
      <c r="M252" s="9" t="e">
        <f t="shared" si="21"/>
        <v>#VALUE!</v>
      </c>
      <c r="N252" s="7" t="e">
        <f>IF(C251&lt;1,"0",Remodelacion!$C$38)</f>
        <v>#VALUE!</v>
      </c>
      <c r="O252" s="9" t="e">
        <f t="shared" si="22"/>
        <v>#VALUE!</v>
      </c>
    </row>
    <row r="253" spans="2:15" ht="15.5" x14ac:dyDescent="0.35">
      <c r="B253" s="6" t="e">
        <f t="shared" si="23"/>
        <v>#VALUE!</v>
      </c>
      <c r="C253" s="7" t="e">
        <f t="shared" si="19"/>
        <v>#VALUE!</v>
      </c>
      <c r="D253" s="7" t="e">
        <f t="shared" si="24"/>
        <v>#VALUE!</v>
      </c>
      <c r="E253" s="7" t="e">
        <f>C252*Remodelacion!$E$17</f>
        <v>#VALUE!</v>
      </c>
      <c r="F253" s="8" t="e">
        <f>IF(C252&lt;1,0,IF(Remodelacion!$D$26="Si",($C$17*(VLOOKUP(Remodelacion!$C$22,Seguros_Oblig!$A$3:$F$55,6,FALSE))),IF(Remodelacion!$C$10="TARIFA 1",(C252*(VLOOKUP(Remodelacion!$C$22,Seguros_Oblig!$A$3:$B$55,2,FALSE))),(C252*(VLOOKUP(Remodelacion!$C$22,Seguros_Oblig!$A$3:$D$55,4,FALSE))))))</f>
        <v>#VALUE!</v>
      </c>
      <c r="G253" s="8" t="e">
        <f>IF(Remodelacion!$C$10="TARIFA 1",(C252*(VLOOKUP(Remodelacion!$C$23,Seguros_Oblig!$A$3:$B$55,2,FALSE))),(C252*(VLOOKUP(Remodelacion!$C$23,Seguros_Oblig!$A$3:$D$55,4,FALSE))))</f>
        <v>#VALUE!</v>
      </c>
      <c r="H253" s="8" t="e">
        <f>IF(Remodelacion!$C$10="TARIFA 1",(C252*(VLOOKUP(Remodelacion!$C$24,Seguros_Oblig!$A$3:$B$55,2,FALSE))),(C252*(VLOOKUP(Remodelacion!$C$24,Seguros_Oblig!$A$3:$D$55,4,FALSE))))</f>
        <v>#VALUE!</v>
      </c>
      <c r="I253" s="8" t="e">
        <f>IF(Remodelacion!$C$10="TARIFA 1",(C252*(VLOOKUP(Remodelacion!$C$25,Seguros_Oblig!$A$3:$B$55,2,FALSE))),(C252*(VLOOKUP(Remodelacion!$C$25,Seguros_Oblig!$A$3:$D$55,4,FALSE))))</f>
        <v>#VALUE!</v>
      </c>
      <c r="J253" s="10">
        <f t="shared" si="20"/>
        <v>0</v>
      </c>
      <c r="K253" s="7" t="e">
        <f>IF(RM!$D$11="Si",0,IF(C252&lt;1,"0",Seguros_Oblig!$K$2*Remodelacion!$C$12))</f>
        <v>#VALUE!</v>
      </c>
      <c r="L253" s="7" t="e">
        <f>IF(B253=" ","0",PMT(Remodelacion!$E$17,Remodelacion!$C$18,-Remodelacion!$C$15,,))</f>
        <v>#VALUE!</v>
      </c>
      <c r="M253" s="9" t="e">
        <f t="shared" si="21"/>
        <v>#VALUE!</v>
      </c>
      <c r="N253" s="7" t="e">
        <f>IF(C252&lt;1,"0",Remodelacion!$C$38)</f>
        <v>#VALUE!</v>
      </c>
      <c r="O253" s="9" t="e">
        <f t="shared" si="22"/>
        <v>#VALUE!</v>
      </c>
    </row>
    <row r="254" spans="2:15" ht="15.5" x14ac:dyDescent="0.35">
      <c r="B254" s="6" t="e">
        <f>IF(C253&gt;1,B253+1," ")</f>
        <v>#VALUE!</v>
      </c>
      <c r="C254" s="7" t="e">
        <f t="shared" si="19"/>
        <v>#VALUE!</v>
      </c>
      <c r="D254" s="7" t="e">
        <f t="shared" si="24"/>
        <v>#VALUE!</v>
      </c>
      <c r="E254" s="7" t="e">
        <f>C253*Remodelacion!$E$17</f>
        <v>#VALUE!</v>
      </c>
      <c r="F254" s="8" t="e">
        <f>IF(C253&lt;1,0,IF(Remodelacion!$D$26="Si",($C$17*(VLOOKUP(Remodelacion!$C$22,Seguros_Oblig!$A$3:$F$55,6,FALSE))),IF(Remodelacion!$C$10="TARIFA 1",(C253*(VLOOKUP(Remodelacion!$C$22,Seguros_Oblig!$A$3:$B$55,2,FALSE))),(C253*(VLOOKUP(Remodelacion!$C$22,Seguros_Oblig!$A$3:$D$55,4,FALSE))))))</f>
        <v>#VALUE!</v>
      </c>
      <c r="G254" s="8" t="e">
        <f>IF(Remodelacion!$C$10="TARIFA 1",(C253*(VLOOKUP(Remodelacion!$C$23,Seguros_Oblig!$A$3:$B$55,2,FALSE))),(C253*(VLOOKUP(Remodelacion!$C$23,Seguros_Oblig!$A$3:$D$55,4,FALSE))))</f>
        <v>#VALUE!</v>
      </c>
      <c r="H254" s="8" t="e">
        <f>IF(Remodelacion!$C$10="TARIFA 1",(C253*(VLOOKUP(Remodelacion!$C$24,Seguros_Oblig!$A$3:$B$55,2,FALSE))),(C253*(VLOOKUP(Remodelacion!$C$24,Seguros_Oblig!$A$3:$D$55,4,FALSE))))</f>
        <v>#VALUE!</v>
      </c>
      <c r="I254" s="8" t="e">
        <f>IF(Remodelacion!$C$10="TARIFA 1",(C253*(VLOOKUP(Remodelacion!$C$25,Seguros_Oblig!$A$3:$B$55,2,FALSE))),(C253*(VLOOKUP(Remodelacion!$C$25,Seguros_Oblig!$A$3:$D$55,4,FALSE))))</f>
        <v>#VALUE!</v>
      </c>
      <c r="J254" s="10">
        <f t="shared" si="20"/>
        <v>0</v>
      </c>
      <c r="K254" s="7" t="e">
        <f>IF(RM!$D$11="Si",0,IF(C253&lt;1,"0",Seguros_Oblig!$K$2*Remodelacion!$C$12))</f>
        <v>#VALUE!</v>
      </c>
      <c r="L254" s="7" t="e">
        <f>IF(B254=" ","0",PMT(Remodelacion!$E$17,Remodelacion!$C$18,-Remodelacion!$C$15,,))</f>
        <v>#VALUE!</v>
      </c>
      <c r="M254" s="9" t="e">
        <f t="shared" si="21"/>
        <v>#VALUE!</v>
      </c>
      <c r="N254" s="7" t="e">
        <f>IF(C253&lt;1,"0",Remodelacion!$C$38)</f>
        <v>#VALUE!</v>
      </c>
      <c r="O254" s="9" t="e">
        <f t="shared" si="22"/>
        <v>#VALUE!</v>
      </c>
    </row>
    <row r="255" spans="2:15" ht="15.5" x14ac:dyDescent="0.35">
      <c r="B255" s="6" t="e">
        <f t="shared" si="23"/>
        <v>#VALUE!</v>
      </c>
      <c r="C255" s="7" t="e">
        <f t="shared" si="19"/>
        <v>#VALUE!</v>
      </c>
      <c r="D255" s="7" t="e">
        <f t="shared" si="24"/>
        <v>#VALUE!</v>
      </c>
      <c r="E255" s="7" t="e">
        <f>C254*Remodelacion!$E$17</f>
        <v>#VALUE!</v>
      </c>
      <c r="F255" s="8" t="e">
        <f>IF(C254&lt;1,0,IF(Remodelacion!$D$26="Si",($C$17*(VLOOKUP(Remodelacion!$C$22,Seguros_Oblig!$A$3:$F$55,6,FALSE))),IF(Remodelacion!$C$10="TARIFA 1",(C254*(VLOOKUP(Remodelacion!$C$22,Seguros_Oblig!$A$3:$B$55,2,FALSE))),(C254*(VLOOKUP(Remodelacion!$C$22,Seguros_Oblig!$A$3:$D$55,4,FALSE))))))</f>
        <v>#VALUE!</v>
      </c>
      <c r="G255" s="8" t="e">
        <f>IF(Remodelacion!$C$10="TARIFA 1",(C254*(VLOOKUP(Remodelacion!$C$23,Seguros_Oblig!$A$3:$B$55,2,FALSE))),(C254*(VLOOKUP(Remodelacion!$C$23,Seguros_Oblig!$A$3:$D$55,4,FALSE))))</f>
        <v>#VALUE!</v>
      </c>
      <c r="H255" s="8" t="e">
        <f>IF(Remodelacion!$C$10="TARIFA 1",(C254*(VLOOKUP(Remodelacion!$C$24,Seguros_Oblig!$A$3:$B$55,2,FALSE))),(C254*(VLOOKUP(Remodelacion!$C$24,Seguros_Oblig!$A$3:$D$55,4,FALSE))))</f>
        <v>#VALUE!</v>
      </c>
      <c r="I255" s="8" t="e">
        <f>IF(Remodelacion!$C$10="TARIFA 1",(C254*(VLOOKUP(Remodelacion!$C$25,Seguros_Oblig!$A$3:$B$55,2,FALSE))),(C254*(VLOOKUP(Remodelacion!$C$25,Seguros_Oblig!$A$3:$D$55,4,FALSE))))</f>
        <v>#VALUE!</v>
      </c>
      <c r="J255" s="10">
        <f t="shared" si="20"/>
        <v>0</v>
      </c>
      <c r="K255" s="7" t="e">
        <f>IF(RM!$D$11="Si",0,IF(C254&lt;1,"0",Seguros_Oblig!$K$2*Remodelacion!$C$12))</f>
        <v>#VALUE!</v>
      </c>
      <c r="L255" s="7" t="e">
        <f>IF(B255=" ","0",PMT(Remodelacion!$E$17,Remodelacion!$C$18,-Remodelacion!$C$15,,))</f>
        <v>#VALUE!</v>
      </c>
      <c r="M255" s="9" t="e">
        <f t="shared" si="21"/>
        <v>#VALUE!</v>
      </c>
      <c r="N255" s="7" t="e">
        <f>IF(C254&lt;1,"0",Remodelacion!$C$38)</f>
        <v>#VALUE!</v>
      </c>
      <c r="O255" s="9" t="e">
        <f t="shared" si="22"/>
        <v>#VALUE!</v>
      </c>
    </row>
    <row r="256" spans="2:15" ht="15.5" x14ac:dyDescent="0.35">
      <c r="B256" s="6" t="e">
        <f t="shared" si="23"/>
        <v>#VALUE!</v>
      </c>
      <c r="C256" s="7" t="e">
        <f t="shared" si="19"/>
        <v>#VALUE!</v>
      </c>
      <c r="D256" s="7" t="e">
        <f t="shared" si="24"/>
        <v>#VALUE!</v>
      </c>
      <c r="E256" s="7" t="e">
        <f>C255*Remodelacion!$E$17</f>
        <v>#VALUE!</v>
      </c>
      <c r="F256" s="8" t="e">
        <f>IF(C255&lt;1,0,IF(Remodelacion!$D$26="Si",($C$17*(VLOOKUP(Remodelacion!$C$22,Seguros_Oblig!$A$3:$F$55,6,FALSE))),IF(Remodelacion!$C$10="TARIFA 1",(C255*(VLOOKUP(Remodelacion!$C$22,Seguros_Oblig!$A$3:$B$55,2,FALSE))),(C255*(VLOOKUP(Remodelacion!$C$22,Seguros_Oblig!$A$3:$D$55,4,FALSE))))))</f>
        <v>#VALUE!</v>
      </c>
      <c r="G256" s="8" t="e">
        <f>IF(Remodelacion!$C$10="TARIFA 1",(C255*(VLOOKUP(Remodelacion!$C$23,Seguros_Oblig!$A$3:$B$55,2,FALSE))),(C255*(VLOOKUP(Remodelacion!$C$23,Seguros_Oblig!$A$3:$D$55,4,FALSE))))</f>
        <v>#VALUE!</v>
      </c>
      <c r="H256" s="8" t="e">
        <f>IF(Remodelacion!$C$10="TARIFA 1",(C255*(VLOOKUP(Remodelacion!$C$24,Seguros_Oblig!$A$3:$B$55,2,FALSE))),(C255*(VLOOKUP(Remodelacion!$C$24,Seguros_Oblig!$A$3:$D$55,4,FALSE))))</f>
        <v>#VALUE!</v>
      </c>
      <c r="I256" s="8" t="e">
        <f>IF(Remodelacion!$C$10="TARIFA 1",(C255*(VLOOKUP(Remodelacion!$C$25,Seguros_Oblig!$A$3:$B$55,2,FALSE))),(C255*(VLOOKUP(Remodelacion!$C$25,Seguros_Oblig!$A$3:$D$55,4,FALSE))))</f>
        <v>#VALUE!</v>
      </c>
      <c r="J256" s="10">
        <f t="shared" si="20"/>
        <v>0</v>
      </c>
      <c r="K256" s="7" t="e">
        <f>IF(RM!$D$11="Si",0,IF(C255&lt;1,"0",Seguros_Oblig!$K$2*Remodelacion!$C$12))</f>
        <v>#VALUE!</v>
      </c>
      <c r="L256" s="7" t="e">
        <f>IF(B256=" ","0",PMT(Remodelacion!$E$17,Remodelacion!$C$18,-Remodelacion!$C$15,,))</f>
        <v>#VALUE!</v>
      </c>
      <c r="M256" s="9" t="e">
        <f t="shared" si="21"/>
        <v>#VALUE!</v>
      </c>
      <c r="N256" s="7" t="e">
        <f>IF(C255&lt;1,"0",Remodelacion!$C$38)</f>
        <v>#VALUE!</v>
      </c>
      <c r="O256" s="9" t="e">
        <f t="shared" si="22"/>
        <v>#VALUE!</v>
      </c>
    </row>
    <row r="257" spans="2:15" ht="15.5" x14ac:dyDescent="0.35">
      <c r="B257" s="6" t="e">
        <f t="shared" si="23"/>
        <v>#VALUE!</v>
      </c>
      <c r="C257" s="7" t="e">
        <f t="shared" si="19"/>
        <v>#VALUE!</v>
      </c>
      <c r="D257" s="7" t="e">
        <f t="shared" si="24"/>
        <v>#VALUE!</v>
      </c>
      <c r="E257" s="7" t="e">
        <f>C256*Remodelacion!$E$17</f>
        <v>#VALUE!</v>
      </c>
      <c r="F257" s="8" t="e">
        <f>IF(C256&lt;1,0,IF(Remodelacion!$D$26="Si",($C$17*(VLOOKUP(Remodelacion!$C$22,Seguros_Oblig!$A$3:$F$55,6,FALSE))),IF(Remodelacion!$C$10="TARIFA 1",(C256*(VLOOKUP(Remodelacion!$C$22,Seguros_Oblig!$A$3:$B$55,2,FALSE))),(C256*(VLOOKUP(Remodelacion!$C$22,Seguros_Oblig!$A$3:$D$55,4,FALSE))))))</f>
        <v>#VALUE!</v>
      </c>
      <c r="G257" s="8" t="e">
        <f>IF(Remodelacion!$C$10="TARIFA 1",(C256*(VLOOKUP(Remodelacion!$C$23,Seguros_Oblig!$A$3:$B$55,2,FALSE))),(C256*(VLOOKUP(Remodelacion!$C$23,Seguros_Oblig!$A$3:$D$55,4,FALSE))))</f>
        <v>#VALUE!</v>
      </c>
      <c r="H257" s="8" t="e">
        <f>IF(Remodelacion!$C$10="TARIFA 1",(C256*(VLOOKUP(Remodelacion!$C$24,Seguros_Oblig!$A$3:$B$55,2,FALSE))),(C256*(VLOOKUP(Remodelacion!$C$24,Seguros_Oblig!$A$3:$D$55,4,FALSE))))</f>
        <v>#VALUE!</v>
      </c>
      <c r="I257" s="8" t="e">
        <f>IF(Remodelacion!$C$10="TARIFA 1",(C256*(VLOOKUP(Remodelacion!$C$25,Seguros_Oblig!$A$3:$B$55,2,FALSE))),(C256*(VLOOKUP(Remodelacion!$C$25,Seguros_Oblig!$A$3:$D$55,4,FALSE))))</f>
        <v>#VALUE!</v>
      </c>
      <c r="J257" s="10">
        <f t="shared" si="20"/>
        <v>0</v>
      </c>
      <c r="K257" s="7" t="e">
        <f>IF(RM!$D$11="Si",0,IF(C256&lt;1,"0",Seguros_Oblig!$K$2*Remodelacion!$C$12))</f>
        <v>#VALUE!</v>
      </c>
      <c r="L257" s="7" t="e">
        <f>IF(B257=" ","0",PMT(Remodelacion!$E$17,Remodelacion!$C$18,-Remodelacion!$C$15,,))</f>
        <v>#VALUE!</v>
      </c>
      <c r="M257" s="9" t="e">
        <f t="shared" si="21"/>
        <v>#VALUE!</v>
      </c>
      <c r="N257" s="7" t="e">
        <f>IF(C256&lt;1,"0",Remodelacion!$C$38)</f>
        <v>#VALUE!</v>
      </c>
      <c r="O257" s="9" t="e">
        <f t="shared" si="22"/>
        <v>#VALUE!</v>
      </c>
    </row>
    <row r="258" spans="2:15" ht="15.5" hidden="1" x14ac:dyDescent="0.35">
      <c r="B258" s="6" t="e">
        <f t="shared" si="23"/>
        <v>#VALUE!</v>
      </c>
      <c r="C258" s="7" t="e">
        <f t="shared" si="19"/>
        <v>#VALUE!</v>
      </c>
      <c r="D258" s="7" t="e">
        <f t="shared" si="24"/>
        <v>#VALUE!</v>
      </c>
      <c r="E258" s="7" t="e">
        <f>C257*Remodelacion!$E$17</f>
        <v>#VALUE!</v>
      </c>
      <c r="F258" s="8" t="e">
        <f>IF(C257&lt;1,0,IF(Remodelacion!$D$26="Si",($C$17*(VLOOKUP(Remodelacion!$C$22,Seguros_Oblig!$A$3:$F$55,6,FALSE))),IF(Remodelacion!$C$10="TARIFA 1",(C257*(VLOOKUP(Remodelacion!$C$22,Seguros_Oblig!$A$3:$B$55,2,FALSE))),(C257*(VLOOKUP(Remodelacion!$C$22,Seguros_Oblig!$A$3:$D$55,4,FALSE))))))</f>
        <v>#VALUE!</v>
      </c>
      <c r="G258" s="8" t="e">
        <f>IF(Remodelacion!$C$10="TARIFA 1",(C257*(VLOOKUP(Remodelacion!$C$23,Seguros_Oblig!$A$3:$B$55,2,FALSE))),(C257*(VLOOKUP(Remodelacion!$C$23,Seguros_Oblig!$A$3:$D$55,4,FALSE))))</f>
        <v>#VALUE!</v>
      </c>
      <c r="H258" s="8" t="e">
        <f>IF(Remodelacion!$C$10="TARIFA 1",(C257*(VLOOKUP(Remodelacion!$C$24,Seguros_Oblig!$A$3:$B$55,2,FALSE))),(C257*(VLOOKUP(Remodelacion!$C$24,Seguros_Oblig!$A$3:$D$55,4,FALSE))))</f>
        <v>#VALUE!</v>
      </c>
      <c r="I258" s="8" t="e">
        <f>IF(Remodelacion!$C$10="TARIFA 1",(C257*(VLOOKUP(Remodelacion!$C$25,Seguros_Oblig!$A$3:$B$55,2,FALSE))),(C257*(VLOOKUP(Remodelacion!$C$25,Seguros_Oblig!$A$3:$D$55,4,FALSE))))</f>
        <v>#VALUE!</v>
      </c>
      <c r="J258" s="10">
        <f t="shared" si="20"/>
        <v>0</v>
      </c>
      <c r="K258" s="7" t="e">
        <f>IF(RM!$D$11="Si",0,IF(C257&lt;1,"0",Seguros_Oblig!$K$2*Remodelacion!$C$12))</f>
        <v>#VALUE!</v>
      </c>
      <c r="L258" s="7" t="e">
        <f>IF(B258=" ","0",PMT(Remodelacion!$E$17,Remodelacion!$C$18,-Remodelacion!$C$15,,))</f>
        <v>#VALUE!</v>
      </c>
      <c r="M258" s="9" t="e">
        <f t="shared" si="21"/>
        <v>#VALUE!</v>
      </c>
      <c r="N258" s="7" t="e">
        <f>IF(C257&lt;1,"0",Remodelacion!$C$38)</f>
        <v>#VALUE!</v>
      </c>
      <c r="O258" s="9" t="e">
        <f t="shared" si="22"/>
        <v>#VALUE!</v>
      </c>
    </row>
    <row r="259" spans="2:15" ht="15.5" hidden="1" x14ac:dyDescent="0.35">
      <c r="B259" s="6" t="e">
        <f t="shared" si="23"/>
        <v>#VALUE!</v>
      </c>
      <c r="C259" s="7" t="e">
        <f t="shared" si="19"/>
        <v>#VALUE!</v>
      </c>
      <c r="D259" s="7" t="e">
        <f t="shared" si="24"/>
        <v>#VALUE!</v>
      </c>
      <c r="E259" s="7" t="e">
        <f>C258*Remodelacion!$E$17</f>
        <v>#VALUE!</v>
      </c>
      <c r="F259" s="8" t="e">
        <f>IF(C258&lt;1,0,IF(Remodelacion!$D$26="Si",($C$17*(VLOOKUP(Remodelacion!$C$22,Seguros_Oblig!$A$3:$F$55,6,FALSE))),IF(Remodelacion!$C$10="TARIFA 1",(C258*(VLOOKUP(Remodelacion!$C$22,Seguros_Oblig!$A$3:$B$55,2,FALSE))),(C258*(VLOOKUP(Remodelacion!$C$22,Seguros_Oblig!$A$3:$D$55,4,FALSE))))))</f>
        <v>#VALUE!</v>
      </c>
      <c r="G259" s="8" t="e">
        <f>IF(Remodelacion!$C$10="TARIFA 1",(C258*(VLOOKUP(Remodelacion!$C$23,Seguros_Oblig!$A$3:$B$55,2,FALSE))),(C258*(VLOOKUP(Remodelacion!$C$23,Seguros_Oblig!$A$3:$D$55,4,FALSE))))</f>
        <v>#VALUE!</v>
      </c>
      <c r="H259" s="8" t="e">
        <f>IF(Remodelacion!$C$10="TARIFA 1",(C258*(VLOOKUP(Remodelacion!$C$24,Seguros_Oblig!$A$3:$B$55,2,FALSE))),(C258*(VLOOKUP(Remodelacion!$C$24,Seguros_Oblig!$A$3:$D$55,4,FALSE))))</f>
        <v>#VALUE!</v>
      </c>
      <c r="I259" s="8" t="e">
        <f>IF(Remodelacion!$C$10="TARIFA 1",(C258*(VLOOKUP(Remodelacion!$C$25,Seguros_Oblig!$A$3:$B$55,2,FALSE))),(C258*(VLOOKUP(Remodelacion!$C$25,Seguros_Oblig!$A$3:$D$55,4,FALSE))))</f>
        <v>#VALUE!</v>
      </c>
      <c r="J259" s="10">
        <f t="shared" si="20"/>
        <v>0</v>
      </c>
      <c r="K259" s="7" t="e">
        <f>IF(RM!$D$11="Si",0,IF(C258&lt;1,"0",Seguros_Oblig!$K$2*Remodelacion!$C$12))</f>
        <v>#VALUE!</v>
      </c>
      <c r="L259" s="7" t="e">
        <f>IF(B259=" ","0",PMT(Remodelacion!$E$17,Remodelacion!$C$18,-Remodelacion!$C$15,,))</f>
        <v>#VALUE!</v>
      </c>
      <c r="M259" s="9" t="e">
        <f t="shared" si="21"/>
        <v>#VALUE!</v>
      </c>
      <c r="N259" s="7" t="e">
        <f>IF(C258&lt;1,"0",Remodelacion!$C$38)</f>
        <v>#VALUE!</v>
      </c>
      <c r="O259" s="9" t="e">
        <f t="shared" si="22"/>
        <v>#VALUE!</v>
      </c>
    </row>
    <row r="260" spans="2:15" ht="15.5" hidden="1" x14ac:dyDescent="0.35">
      <c r="B260" s="6" t="e">
        <f t="shared" si="23"/>
        <v>#VALUE!</v>
      </c>
      <c r="C260" s="7" t="e">
        <f t="shared" si="19"/>
        <v>#VALUE!</v>
      </c>
      <c r="D260" s="7" t="e">
        <f t="shared" si="24"/>
        <v>#VALUE!</v>
      </c>
      <c r="E260" s="7" t="e">
        <f>C259*Remodelacion!$E$17</f>
        <v>#VALUE!</v>
      </c>
      <c r="F260" s="8" t="e">
        <f>IF(C259&lt;1,0,IF(Remodelacion!$D$26="Si",($C$17*(VLOOKUP(Remodelacion!$C$22,Seguros_Oblig!$A$3:$F$55,6,FALSE))),IF(Remodelacion!$C$10="TARIFA 1",(C259*(VLOOKUP(Remodelacion!$C$22,Seguros_Oblig!$A$3:$B$55,2,FALSE))),(C259*(VLOOKUP(Remodelacion!$C$22,Seguros_Oblig!$A$3:$D$55,4,FALSE))))))</f>
        <v>#VALUE!</v>
      </c>
      <c r="G260" s="8" t="e">
        <f>IF(Remodelacion!$C$10="TARIFA 1",(C259*(VLOOKUP(Remodelacion!$C$23,Seguros_Oblig!$A$3:$B$55,2,FALSE))),(C259*(VLOOKUP(Remodelacion!$C$23,Seguros_Oblig!$A$3:$D$55,4,FALSE))))</f>
        <v>#VALUE!</v>
      </c>
      <c r="H260" s="8" t="e">
        <f>IF(Remodelacion!$C$10="TARIFA 1",(C259*(VLOOKUP(Remodelacion!$C$24,Seguros_Oblig!$A$3:$B$55,2,FALSE))),(C259*(VLOOKUP(Remodelacion!$C$24,Seguros_Oblig!$A$3:$D$55,4,FALSE))))</f>
        <v>#VALUE!</v>
      </c>
      <c r="I260" s="8" t="e">
        <f>IF(Remodelacion!$C$10="TARIFA 1",(C259*(VLOOKUP(Remodelacion!$C$25,Seguros_Oblig!$A$3:$B$55,2,FALSE))),(C259*(VLOOKUP(Remodelacion!$C$25,Seguros_Oblig!$A$3:$D$55,4,FALSE))))</f>
        <v>#VALUE!</v>
      </c>
      <c r="J260" s="10">
        <f t="shared" si="20"/>
        <v>0</v>
      </c>
      <c r="K260" s="7" t="e">
        <f>IF(RM!$D$11="Si",0,IF(C259&lt;1,"0",Seguros_Oblig!$K$2*Remodelacion!$C$12))</f>
        <v>#VALUE!</v>
      </c>
      <c r="L260" s="7" t="e">
        <f>IF(B260=" ","0",PMT(Remodelacion!$E$17,Remodelacion!$C$18,-Remodelacion!$C$15,,))</f>
        <v>#VALUE!</v>
      </c>
      <c r="M260" s="9" t="e">
        <f t="shared" si="21"/>
        <v>#VALUE!</v>
      </c>
      <c r="N260" s="7" t="e">
        <f>IF(C259&lt;1,"0",Remodelacion!$C$38)</f>
        <v>#VALUE!</v>
      </c>
      <c r="O260" s="9" t="e">
        <f t="shared" si="22"/>
        <v>#VALUE!</v>
      </c>
    </row>
    <row r="261" spans="2:15" ht="15.5" hidden="1" x14ac:dyDescent="0.35">
      <c r="B261" s="6" t="e">
        <f t="shared" si="23"/>
        <v>#VALUE!</v>
      </c>
      <c r="C261" s="7" t="e">
        <f t="shared" si="19"/>
        <v>#VALUE!</v>
      </c>
      <c r="D261" s="7" t="e">
        <f t="shared" si="24"/>
        <v>#VALUE!</v>
      </c>
      <c r="E261" s="7" t="e">
        <f>C260*Remodelacion!$E$17</f>
        <v>#VALUE!</v>
      </c>
      <c r="F261" s="8" t="e">
        <f>IF(C260&lt;1,0,IF(Remodelacion!$D$26="Si",($C$17*(VLOOKUP(Remodelacion!$C$22,Seguros_Oblig!$A$3:$F$55,6,FALSE))),IF(Remodelacion!$C$10="TARIFA 1",(C260*(VLOOKUP(Remodelacion!$C$22,Seguros_Oblig!$A$3:$B$55,2,FALSE))),(C260*(VLOOKUP(Remodelacion!$C$22,Seguros_Oblig!$A$3:$D$55,4,FALSE))))))</f>
        <v>#VALUE!</v>
      </c>
      <c r="G261" s="8" t="e">
        <f>IF(Remodelacion!$C$10="TARIFA 1",(C260*(VLOOKUP(Remodelacion!$C$23,Seguros_Oblig!$A$3:$B$55,2,FALSE))),(C260*(VLOOKUP(Remodelacion!$C$23,Seguros_Oblig!$A$3:$D$55,4,FALSE))))</f>
        <v>#VALUE!</v>
      </c>
      <c r="H261" s="8" t="e">
        <f>IF(Remodelacion!$C$10="TARIFA 1",(C260*(VLOOKUP(Remodelacion!$C$24,Seguros_Oblig!$A$3:$B$55,2,FALSE))),(C260*(VLOOKUP(Remodelacion!$C$24,Seguros_Oblig!$A$3:$D$55,4,FALSE))))</f>
        <v>#VALUE!</v>
      </c>
      <c r="I261" s="8" t="e">
        <f>IF(Remodelacion!$C$10="TARIFA 1",(C260*(VLOOKUP(Remodelacion!$C$25,Seguros_Oblig!$A$3:$B$55,2,FALSE))),(C260*(VLOOKUP(Remodelacion!$C$25,Seguros_Oblig!$A$3:$D$55,4,FALSE))))</f>
        <v>#VALUE!</v>
      </c>
      <c r="J261" s="10">
        <f t="shared" si="20"/>
        <v>0</v>
      </c>
      <c r="K261" s="7" t="e">
        <f>IF(RM!$D$11="Si",0,IF(C260&lt;1,"0",Seguros_Oblig!$K$2*Remodelacion!$C$12))</f>
        <v>#VALUE!</v>
      </c>
      <c r="L261" s="7" t="e">
        <f>IF(B261=" ","0",PMT(Remodelacion!$E$17,Remodelacion!$C$18,-Remodelacion!$C$15,,))</f>
        <v>#VALUE!</v>
      </c>
      <c r="M261" s="9" t="e">
        <f t="shared" si="21"/>
        <v>#VALUE!</v>
      </c>
      <c r="N261" s="7" t="e">
        <f>IF(C260&lt;1,"0",Remodelacion!$C$38)</f>
        <v>#VALUE!</v>
      </c>
      <c r="O261" s="9" t="e">
        <f t="shared" si="22"/>
        <v>#VALUE!</v>
      </c>
    </row>
    <row r="262" spans="2:15" ht="15.5" hidden="1" x14ac:dyDescent="0.35">
      <c r="B262" s="6" t="e">
        <f t="shared" si="23"/>
        <v>#VALUE!</v>
      </c>
      <c r="C262" s="7" t="e">
        <f t="shared" si="19"/>
        <v>#VALUE!</v>
      </c>
      <c r="D262" s="7" t="e">
        <f t="shared" si="24"/>
        <v>#VALUE!</v>
      </c>
      <c r="E262" s="7" t="e">
        <f>C261*Remodelacion!$E$17</f>
        <v>#VALUE!</v>
      </c>
      <c r="F262" s="8" t="e">
        <f>IF(C261&lt;1,0,IF(Remodelacion!$D$26="Si",($C$17*(VLOOKUP(Remodelacion!$C$22,Seguros_Oblig!$A$3:$F$55,6,FALSE))),IF(Remodelacion!$C$10="TARIFA 1",(C261*(VLOOKUP(Remodelacion!$C$22,Seguros_Oblig!$A$3:$B$55,2,FALSE))),(C261*(VLOOKUP(Remodelacion!$C$22,Seguros_Oblig!$A$3:$D$55,4,FALSE))))))</f>
        <v>#VALUE!</v>
      </c>
      <c r="G262" s="8" t="e">
        <f>IF(Remodelacion!$C$10="TARIFA 1",(C261*(VLOOKUP(Remodelacion!$C$23,Seguros_Oblig!$A$3:$B$55,2,FALSE))),(C261*(VLOOKUP(Remodelacion!$C$23,Seguros_Oblig!$A$3:$D$55,4,FALSE))))</f>
        <v>#VALUE!</v>
      </c>
      <c r="H262" s="8" t="e">
        <f>IF(Remodelacion!$C$10="TARIFA 1",(C261*(VLOOKUP(Remodelacion!$C$24,Seguros_Oblig!$A$3:$B$55,2,FALSE))),(C261*(VLOOKUP(Remodelacion!$C$24,Seguros_Oblig!$A$3:$D$55,4,FALSE))))</f>
        <v>#VALUE!</v>
      </c>
      <c r="I262" s="8" t="e">
        <f>IF(Remodelacion!$C$10="TARIFA 1",(C261*(VLOOKUP(Remodelacion!$C$25,Seguros_Oblig!$A$3:$B$55,2,FALSE))),(C261*(VLOOKUP(Remodelacion!$C$25,Seguros_Oblig!$A$3:$D$55,4,FALSE))))</f>
        <v>#VALUE!</v>
      </c>
      <c r="J262" s="10">
        <f t="shared" si="20"/>
        <v>0</v>
      </c>
      <c r="K262" s="7" t="e">
        <f>IF(RM!$D$11="Si",0,IF(C261&lt;1,"0",Seguros_Oblig!$K$2*Remodelacion!$C$12))</f>
        <v>#VALUE!</v>
      </c>
      <c r="L262" s="7" t="e">
        <f>IF(B262=" ","0",PMT(Remodelacion!$E$17,Remodelacion!$C$18,-Remodelacion!$C$15,,))</f>
        <v>#VALUE!</v>
      </c>
      <c r="M262" s="9" t="e">
        <f t="shared" si="21"/>
        <v>#VALUE!</v>
      </c>
      <c r="N262" s="7" t="e">
        <f>IF(C261&lt;1,"0",Remodelacion!$C$38)</f>
        <v>#VALUE!</v>
      </c>
      <c r="O262" s="9" t="e">
        <f t="shared" si="22"/>
        <v>#VALUE!</v>
      </c>
    </row>
    <row r="263" spans="2:15" ht="15.5" hidden="1" x14ac:dyDescent="0.35">
      <c r="B263" s="6" t="e">
        <f t="shared" si="23"/>
        <v>#VALUE!</v>
      </c>
      <c r="C263" s="7" t="e">
        <f t="shared" si="19"/>
        <v>#VALUE!</v>
      </c>
      <c r="D263" s="7" t="e">
        <f t="shared" si="24"/>
        <v>#VALUE!</v>
      </c>
      <c r="E263" s="7" t="e">
        <f>C262*Remodelacion!$E$17</f>
        <v>#VALUE!</v>
      </c>
      <c r="F263" s="8" t="e">
        <f>IF(C262&lt;1,0,IF(Remodelacion!$D$26="Si",($C$17*(VLOOKUP(Remodelacion!$C$22,Seguros_Oblig!$A$3:$F$55,6,FALSE))),IF(Remodelacion!$C$10="TARIFA 1",(C262*(VLOOKUP(Remodelacion!$C$22,Seguros_Oblig!$A$3:$B$55,2,FALSE))),(C262*(VLOOKUP(Remodelacion!$C$22,Seguros_Oblig!$A$3:$D$55,4,FALSE))))))</f>
        <v>#VALUE!</v>
      </c>
      <c r="G263" s="8" t="e">
        <f>IF(Remodelacion!$C$10="TARIFA 1",(C262*(VLOOKUP(Remodelacion!$C$23,Seguros_Oblig!$A$3:$B$55,2,FALSE))),(C262*(VLOOKUP(Remodelacion!$C$23,Seguros_Oblig!$A$3:$D$55,4,FALSE))))</f>
        <v>#VALUE!</v>
      </c>
      <c r="H263" s="8" t="e">
        <f>IF(Remodelacion!$C$10="TARIFA 1",(C262*(VLOOKUP(Remodelacion!$C$24,Seguros_Oblig!$A$3:$B$55,2,FALSE))),(C262*(VLOOKUP(Remodelacion!$C$24,Seguros_Oblig!$A$3:$D$55,4,FALSE))))</f>
        <v>#VALUE!</v>
      </c>
      <c r="I263" s="8" t="e">
        <f>IF(Remodelacion!$C$10="TARIFA 1",(C262*(VLOOKUP(Remodelacion!$C$25,Seguros_Oblig!$A$3:$B$55,2,FALSE))),(C262*(VLOOKUP(Remodelacion!$C$25,Seguros_Oblig!$A$3:$D$55,4,FALSE))))</f>
        <v>#VALUE!</v>
      </c>
      <c r="J263" s="10">
        <f t="shared" si="20"/>
        <v>0</v>
      </c>
      <c r="K263" s="7" t="e">
        <f>IF(RM!$D$11="Si",0,IF(C262&lt;1,"0",Seguros_Oblig!$K$2*Remodelacion!$C$12))</f>
        <v>#VALUE!</v>
      </c>
      <c r="L263" s="7" t="e">
        <f>IF(B263=" ","0",PMT(Remodelacion!$E$17,Remodelacion!$C$18,-Remodelacion!$C$15,,))</f>
        <v>#VALUE!</v>
      </c>
      <c r="M263" s="9" t="e">
        <f t="shared" si="21"/>
        <v>#VALUE!</v>
      </c>
      <c r="N263" s="7" t="e">
        <f>IF(C262&lt;1,"0",Remodelacion!$C$38)</f>
        <v>#VALUE!</v>
      </c>
      <c r="O263" s="9" t="e">
        <f t="shared" si="22"/>
        <v>#VALUE!</v>
      </c>
    </row>
    <row r="264" spans="2:15" ht="15.5" hidden="1" x14ac:dyDescent="0.35">
      <c r="B264" s="6" t="e">
        <f t="shared" si="23"/>
        <v>#VALUE!</v>
      </c>
      <c r="C264" s="7" t="e">
        <f t="shared" si="19"/>
        <v>#VALUE!</v>
      </c>
      <c r="D264" s="7" t="e">
        <f t="shared" si="24"/>
        <v>#VALUE!</v>
      </c>
      <c r="E264" s="7" t="e">
        <f>C263*Remodelacion!$E$17</f>
        <v>#VALUE!</v>
      </c>
      <c r="F264" s="8" t="e">
        <f>IF(C263&lt;1,0,IF(Remodelacion!$D$26="Si",($C$17*(VLOOKUP(Remodelacion!$C$22,Seguros_Oblig!$A$3:$F$55,6,FALSE))),IF(Remodelacion!$C$10="TARIFA 1",(C263*(VLOOKUP(Remodelacion!$C$22,Seguros_Oblig!$A$3:$B$55,2,FALSE))),(C263*(VLOOKUP(Remodelacion!$C$22,Seguros_Oblig!$A$3:$D$55,4,FALSE))))))</f>
        <v>#VALUE!</v>
      </c>
      <c r="G264" s="8" t="e">
        <f>IF(Remodelacion!$C$10="TARIFA 1",(C263*(VLOOKUP(Remodelacion!$C$23,Seguros_Oblig!$A$3:$B$55,2,FALSE))),(C263*(VLOOKUP(Remodelacion!$C$23,Seguros_Oblig!$A$3:$D$55,4,FALSE))))</f>
        <v>#VALUE!</v>
      </c>
      <c r="H264" s="8" t="e">
        <f>IF(Remodelacion!$C$10="TARIFA 1",(C263*(VLOOKUP(Remodelacion!$C$24,Seguros_Oblig!$A$3:$B$55,2,FALSE))),(C263*(VLOOKUP(Remodelacion!$C$24,Seguros_Oblig!$A$3:$D$55,4,FALSE))))</f>
        <v>#VALUE!</v>
      </c>
      <c r="I264" s="8" t="e">
        <f>IF(Remodelacion!$C$10="TARIFA 1",(C263*(VLOOKUP(Remodelacion!$C$25,Seguros_Oblig!$A$3:$B$55,2,FALSE))),(C263*(VLOOKUP(Remodelacion!$C$25,Seguros_Oblig!$A$3:$D$55,4,FALSE))))</f>
        <v>#VALUE!</v>
      </c>
      <c r="J264" s="10">
        <f t="shared" si="20"/>
        <v>0</v>
      </c>
      <c r="K264" s="7" t="e">
        <f>IF(RM!$D$11="Si",0,IF(C263&lt;1,"0",Seguros_Oblig!$K$2*Remodelacion!$C$12))</f>
        <v>#VALUE!</v>
      </c>
      <c r="L264" s="7" t="e">
        <f>IF(B264=" ","0",PMT(Remodelacion!$E$17,Remodelacion!$C$18,-Remodelacion!$C$15,,))</f>
        <v>#VALUE!</v>
      </c>
      <c r="M264" s="9" t="e">
        <f t="shared" si="21"/>
        <v>#VALUE!</v>
      </c>
      <c r="N264" s="7" t="e">
        <f>IF(C263&lt;1,"0",Remodelacion!$C$38)</f>
        <v>#VALUE!</v>
      </c>
      <c r="O264" s="9" t="e">
        <f t="shared" si="22"/>
        <v>#VALUE!</v>
      </c>
    </row>
    <row r="265" spans="2:15" ht="15.5" hidden="1" x14ac:dyDescent="0.35">
      <c r="B265" s="6" t="e">
        <f t="shared" si="23"/>
        <v>#VALUE!</v>
      </c>
      <c r="C265" s="7" t="e">
        <f t="shared" si="19"/>
        <v>#VALUE!</v>
      </c>
      <c r="D265" s="7" t="e">
        <f t="shared" si="24"/>
        <v>#VALUE!</v>
      </c>
      <c r="E265" s="7" t="e">
        <f>C264*Remodelacion!$E$17</f>
        <v>#VALUE!</v>
      </c>
      <c r="F265" s="8" t="e">
        <f>IF(C264&lt;1,0,IF(Remodelacion!$D$26="Si",($C$17*(VLOOKUP(Remodelacion!$C$22,Seguros_Oblig!$A$3:$F$55,6,FALSE))),IF(Remodelacion!$C$10="TARIFA 1",(C264*(VLOOKUP(Remodelacion!$C$22,Seguros_Oblig!$A$3:$B$55,2,FALSE))),(C264*(VLOOKUP(Remodelacion!$C$22,Seguros_Oblig!$A$3:$D$55,4,FALSE))))))</f>
        <v>#VALUE!</v>
      </c>
      <c r="G265" s="8" t="e">
        <f>IF(Remodelacion!$C$10="TARIFA 1",(C264*(VLOOKUP(Remodelacion!$C$23,Seguros_Oblig!$A$3:$B$55,2,FALSE))),(C264*(VLOOKUP(Remodelacion!$C$23,Seguros_Oblig!$A$3:$D$55,4,FALSE))))</f>
        <v>#VALUE!</v>
      </c>
      <c r="H265" s="8" t="e">
        <f>IF(Remodelacion!$C$10="TARIFA 1",(C264*(VLOOKUP(Remodelacion!$C$24,Seguros_Oblig!$A$3:$B$55,2,FALSE))),(C264*(VLOOKUP(Remodelacion!$C$24,Seguros_Oblig!$A$3:$D$55,4,FALSE))))</f>
        <v>#VALUE!</v>
      </c>
      <c r="I265" s="8" t="e">
        <f>IF(Remodelacion!$C$10="TARIFA 1",(C264*(VLOOKUP(Remodelacion!$C$25,Seguros_Oblig!$A$3:$B$55,2,FALSE))),(C264*(VLOOKUP(Remodelacion!$C$25,Seguros_Oblig!$A$3:$D$55,4,FALSE))))</f>
        <v>#VALUE!</v>
      </c>
      <c r="J265" s="10">
        <f t="shared" si="20"/>
        <v>0</v>
      </c>
      <c r="K265" s="7" t="e">
        <f>IF(RM!$D$11="Si",0,IF(C264&lt;1,"0",Seguros_Oblig!$K$2*Remodelacion!$C$12))</f>
        <v>#VALUE!</v>
      </c>
      <c r="L265" s="7" t="e">
        <f>IF(B265=" ","0",PMT(Remodelacion!$E$17,Remodelacion!$C$18,-Remodelacion!$C$15,,))</f>
        <v>#VALUE!</v>
      </c>
      <c r="M265" s="9" t="e">
        <f t="shared" si="21"/>
        <v>#VALUE!</v>
      </c>
      <c r="N265" s="7" t="e">
        <f>IF(C264&lt;1,"0",Remodelacion!$C$38)</f>
        <v>#VALUE!</v>
      </c>
      <c r="O265" s="9" t="e">
        <f t="shared" si="22"/>
        <v>#VALUE!</v>
      </c>
    </row>
    <row r="266" spans="2:15" ht="15.5" hidden="1" x14ac:dyDescent="0.35">
      <c r="B266" s="6" t="e">
        <f t="shared" si="23"/>
        <v>#VALUE!</v>
      </c>
      <c r="C266" s="7" t="e">
        <f t="shared" si="19"/>
        <v>#VALUE!</v>
      </c>
      <c r="D266" s="7" t="e">
        <f t="shared" si="24"/>
        <v>#VALUE!</v>
      </c>
      <c r="E266" s="7" t="e">
        <f>C265*Remodelacion!$E$17</f>
        <v>#VALUE!</v>
      </c>
      <c r="F266" s="8" t="e">
        <f>IF(C265&lt;1,0,IF(Remodelacion!$D$26="Si",($C$17*(VLOOKUP(Remodelacion!$C$22,Seguros_Oblig!$A$3:$F$55,6,FALSE))),IF(Remodelacion!$C$10="TARIFA 1",(C265*(VLOOKUP(Remodelacion!$C$22,Seguros_Oblig!$A$3:$B$55,2,FALSE))),(C265*(VLOOKUP(Remodelacion!$C$22,Seguros_Oblig!$A$3:$D$55,4,FALSE))))))</f>
        <v>#VALUE!</v>
      </c>
      <c r="G266" s="8" t="e">
        <f>IF(Remodelacion!$C$10="TARIFA 1",(C265*(VLOOKUP(Remodelacion!$C$23,Seguros_Oblig!$A$3:$B$55,2,FALSE))),(C265*(VLOOKUP(Remodelacion!$C$23,Seguros_Oblig!$A$3:$D$55,4,FALSE))))</f>
        <v>#VALUE!</v>
      </c>
      <c r="H266" s="8" t="e">
        <f>IF(Remodelacion!$C$10="TARIFA 1",(C265*(VLOOKUP(Remodelacion!$C$24,Seguros_Oblig!$A$3:$B$55,2,FALSE))),(C265*(VLOOKUP(Remodelacion!$C$24,Seguros_Oblig!$A$3:$D$55,4,FALSE))))</f>
        <v>#VALUE!</v>
      </c>
      <c r="I266" s="8" t="e">
        <f>IF(Remodelacion!$C$10="TARIFA 1",(C265*(VLOOKUP(Remodelacion!$C$25,Seguros_Oblig!$A$3:$B$55,2,FALSE))),(C265*(VLOOKUP(Remodelacion!$C$25,Seguros_Oblig!$A$3:$D$55,4,FALSE))))</f>
        <v>#VALUE!</v>
      </c>
      <c r="J266" s="10">
        <f t="shared" si="20"/>
        <v>0</v>
      </c>
      <c r="K266" s="7" t="e">
        <f>IF(RM!$D$11="Si",0,IF(C265&lt;1,"0",Seguros_Oblig!$K$2*Remodelacion!$C$12))</f>
        <v>#VALUE!</v>
      </c>
      <c r="L266" s="7" t="e">
        <f>IF(B266=" ","0",PMT(Remodelacion!$E$17,Remodelacion!$C$18,-Remodelacion!$C$15,,))</f>
        <v>#VALUE!</v>
      </c>
      <c r="M266" s="9" t="e">
        <f t="shared" si="21"/>
        <v>#VALUE!</v>
      </c>
      <c r="N266" s="7" t="e">
        <f>IF(C265&lt;1,"0",Remodelacion!$C$38)</f>
        <v>#VALUE!</v>
      </c>
      <c r="O266" s="9" t="e">
        <f t="shared" si="22"/>
        <v>#VALUE!</v>
      </c>
    </row>
    <row r="267" spans="2:15" ht="15.5" hidden="1" x14ac:dyDescent="0.35">
      <c r="B267" s="6" t="e">
        <f t="shared" si="23"/>
        <v>#VALUE!</v>
      </c>
      <c r="C267" s="7" t="e">
        <f t="shared" si="19"/>
        <v>#VALUE!</v>
      </c>
      <c r="D267" s="7" t="e">
        <f t="shared" si="24"/>
        <v>#VALUE!</v>
      </c>
      <c r="E267" s="7" t="e">
        <f>C266*Remodelacion!$E$17</f>
        <v>#VALUE!</v>
      </c>
      <c r="F267" s="8" t="e">
        <f>IF(C266&lt;1,0,IF(Remodelacion!$D$26="Si",($C$17*(VLOOKUP(Remodelacion!$C$22,Seguros_Oblig!$A$3:$F$55,6,FALSE))),IF(Remodelacion!$C$10="TARIFA 1",(C266*(VLOOKUP(Remodelacion!$C$22,Seguros_Oblig!$A$3:$B$55,2,FALSE))),(C266*(VLOOKUP(Remodelacion!$C$22,Seguros_Oblig!$A$3:$D$55,4,FALSE))))))</f>
        <v>#VALUE!</v>
      </c>
      <c r="G267" s="8" t="e">
        <f>IF(Remodelacion!$C$10="TARIFA 1",(C266*(VLOOKUP(Remodelacion!$C$23,Seguros_Oblig!$A$3:$B$55,2,FALSE))),(C266*(VLOOKUP(Remodelacion!$C$23,Seguros_Oblig!$A$3:$D$55,4,FALSE))))</f>
        <v>#VALUE!</v>
      </c>
      <c r="H267" s="8" t="e">
        <f>IF(Remodelacion!$C$10="TARIFA 1",(C266*(VLOOKUP(Remodelacion!$C$24,Seguros_Oblig!$A$3:$B$55,2,FALSE))),(C266*(VLOOKUP(Remodelacion!$C$24,Seguros_Oblig!$A$3:$D$55,4,FALSE))))</f>
        <v>#VALUE!</v>
      </c>
      <c r="I267" s="8" t="e">
        <f>IF(Remodelacion!$C$10="TARIFA 1",(C266*(VLOOKUP(Remodelacion!$C$25,Seguros_Oblig!$A$3:$B$55,2,FALSE))),(C266*(VLOOKUP(Remodelacion!$C$25,Seguros_Oblig!$A$3:$D$55,4,FALSE))))</f>
        <v>#VALUE!</v>
      </c>
      <c r="J267" s="10">
        <f t="shared" si="20"/>
        <v>0</v>
      </c>
      <c r="K267" s="7" t="e">
        <f>IF(RM!$D$11="Si",0,IF(C266&lt;1,"0",Seguros_Oblig!$K$2*Remodelacion!$C$12))</f>
        <v>#VALUE!</v>
      </c>
      <c r="L267" s="7" t="e">
        <f>IF(B267=" ","0",PMT(Remodelacion!$E$17,Remodelacion!$C$18,-Remodelacion!$C$15,,))</f>
        <v>#VALUE!</v>
      </c>
      <c r="M267" s="9" t="e">
        <f t="shared" si="21"/>
        <v>#VALUE!</v>
      </c>
      <c r="N267" s="7" t="e">
        <f>IF(C266&lt;1,"0",Remodelacion!$C$38)</f>
        <v>#VALUE!</v>
      </c>
      <c r="O267" s="9" t="e">
        <f t="shared" si="22"/>
        <v>#VALUE!</v>
      </c>
    </row>
    <row r="268" spans="2:15" ht="15.5" hidden="1" x14ac:dyDescent="0.35">
      <c r="B268" s="6" t="e">
        <f t="shared" si="23"/>
        <v>#VALUE!</v>
      </c>
      <c r="C268" s="7" t="e">
        <f t="shared" si="19"/>
        <v>#VALUE!</v>
      </c>
      <c r="D268" s="7" t="e">
        <f t="shared" si="24"/>
        <v>#VALUE!</v>
      </c>
      <c r="E268" s="7" t="e">
        <f>C267*Remodelacion!$E$17</f>
        <v>#VALUE!</v>
      </c>
      <c r="F268" s="8" t="e">
        <f>IF(C267&lt;1,0,IF(Remodelacion!$D$26="Si",($C$17*(VLOOKUP(Remodelacion!$C$22,Seguros_Oblig!$A$3:$F$55,6,FALSE))),IF(Remodelacion!$C$10="TARIFA 1",(C267*(VLOOKUP(Remodelacion!$C$22,Seguros_Oblig!$A$3:$B$55,2,FALSE))),(C267*(VLOOKUP(Remodelacion!$C$22,Seguros_Oblig!$A$3:$D$55,4,FALSE))))))</f>
        <v>#VALUE!</v>
      </c>
      <c r="G268" s="8" t="e">
        <f>IF(Remodelacion!$C$10="TARIFA 1",(C267*(VLOOKUP(Remodelacion!$C$23,Seguros_Oblig!$A$3:$B$55,2,FALSE))),(C267*(VLOOKUP(Remodelacion!$C$23,Seguros_Oblig!$A$3:$D$55,4,FALSE))))</f>
        <v>#VALUE!</v>
      </c>
      <c r="H268" s="8" t="e">
        <f>IF(Remodelacion!$C$10="TARIFA 1",(C267*(VLOOKUP(Remodelacion!$C$24,Seguros_Oblig!$A$3:$B$55,2,FALSE))),(C267*(VLOOKUP(Remodelacion!$C$24,Seguros_Oblig!$A$3:$D$55,4,FALSE))))</f>
        <v>#VALUE!</v>
      </c>
      <c r="I268" s="8" t="e">
        <f>IF(Remodelacion!$C$10="TARIFA 1",(C267*(VLOOKUP(Remodelacion!$C$25,Seguros_Oblig!$A$3:$B$55,2,FALSE))),(C267*(VLOOKUP(Remodelacion!$C$25,Seguros_Oblig!$A$3:$D$55,4,FALSE))))</f>
        <v>#VALUE!</v>
      </c>
      <c r="J268" s="10">
        <f t="shared" si="20"/>
        <v>0</v>
      </c>
      <c r="K268" s="7" t="e">
        <f>IF(RM!$D$11="Si",0,IF(C267&lt;1,"0",Seguros_Oblig!$K$2*Remodelacion!$C$12))</f>
        <v>#VALUE!</v>
      </c>
      <c r="L268" s="7" t="e">
        <f>IF(B268=" ","0",PMT(Remodelacion!$E$17,Remodelacion!$C$18,-Remodelacion!$C$15,,))</f>
        <v>#VALUE!</v>
      </c>
      <c r="M268" s="9" t="e">
        <f t="shared" si="21"/>
        <v>#VALUE!</v>
      </c>
      <c r="N268" s="7" t="e">
        <f>IF(C267&lt;1,"0",Remodelacion!$C$38)</f>
        <v>#VALUE!</v>
      </c>
      <c r="O268" s="9" t="e">
        <f t="shared" si="22"/>
        <v>#VALUE!</v>
      </c>
    </row>
    <row r="269" spans="2:15" ht="15.5" hidden="1" x14ac:dyDescent="0.35">
      <c r="B269" s="6" t="e">
        <f t="shared" si="23"/>
        <v>#VALUE!</v>
      </c>
      <c r="C269" s="7" t="e">
        <f t="shared" si="19"/>
        <v>#VALUE!</v>
      </c>
      <c r="D269" s="7" t="e">
        <f t="shared" si="24"/>
        <v>#VALUE!</v>
      </c>
      <c r="E269" s="7" t="e">
        <f>C268*Remodelacion!$E$17</f>
        <v>#VALUE!</v>
      </c>
      <c r="F269" s="8" t="e">
        <f>IF(C268&lt;1,0,IF(Remodelacion!$D$26="Si",($C$17*(VLOOKUP(Remodelacion!$C$22,Seguros_Oblig!$A$3:$F$55,6,FALSE))),IF(Remodelacion!$C$10="TARIFA 1",(C268*(VLOOKUP(Remodelacion!$C$22,Seguros_Oblig!$A$3:$B$55,2,FALSE))),(C268*(VLOOKUP(Remodelacion!$C$22,Seguros_Oblig!$A$3:$D$55,4,FALSE))))))</f>
        <v>#VALUE!</v>
      </c>
      <c r="G269" s="8" t="e">
        <f>IF(Remodelacion!$C$10="TARIFA 1",(C268*(VLOOKUP(Remodelacion!$C$23,Seguros_Oblig!$A$3:$B$55,2,FALSE))),(C268*(VLOOKUP(Remodelacion!$C$23,Seguros_Oblig!$A$3:$D$55,4,FALSE))))</f>
        <v>#VALUE!</v>
      </c>
      <c r="H269" s="8" t="e">
        <f>IF(Remodelacion!$C$10="TARIFA 1",(C268*(VLOOKUP(Remodelacion!$C$24,Seguros_Oblig!$A$3:$B$55,2,FALSE))),(C268*(VLOOKUP(Remodelacion!$C$24,Seguros_Oblig!$A$3:$D$55,4,FALSE))))</f>
        <v>#VALUE!</v>
      </c>
      <c r="I269" s="8" t="e">
        <f>IF(Remodelacion!$C$10="TARIFA 1",(C268*(VLOOKUP(Remodelacion!$C$25,Seguros_Oblig!$A$3:$B$55,2,FALSE))),(C268*(VLOOKUP(Remodelacion!$C$25,Seguros_Oblig!$A$3:$D$55,4,FALSE))))</f>
        <v>#VALUE!</v>
      </c>
      <c r="J269" s="10">
        <f t="shared" si="20"/>
        <v>0</v>
      </c>
      <c r="K269" s="7" t="e">
        <f>IF(RM!$D$11="Si",0,IF(C268&lt;1,"0",Seguros_Oblig!$K$2*Remodelacion!$C$12))</f>
        <v>#VALUE!</v>
      </c>
      <c r="L269" s="7" t="e">
        <f>IF(B269=" ","0",PMT(Remodelacion!$E$17,Remodelacion!$C$18,-Remodelacion!$C$15,,))</f>
        <v>#VALUE!</v>
      </c>
      <c r="M269" s="9" t="e">
        <f t="shared" si="21"/>
        <v>#VALUE!</v>
      </c>
      <c r="N269" s="7" t="e">
        <f>IF(C268&lt;1,"0",Remodelacion!$C$38)</f>
        <v>#VALUE!</v>
      </c>
      <c r="O269" s="9" t="e">
        <f t="shared" si="22"/>
        <v>#VALUE!</v>
      </c>
    </row>
    <row r="270" spans="2:15" ht="15.5" hidden="1" x14ac:dyDescent="0.35">
      <c r="B270" s="6" t="e">
        <f t="shared" si="23"/>
        <v>#VALUE!</v>
      </c>
      <c r="C270" s="7" t="e">
        <f t="shared" si="19"/>
        <v>#VALUE!</v>
      </c>
      <c r="D270" s="7" t="e">
        <f t="shared" si="24"/>
        <v>#VALUE!</v>
      </c>
      <c r="E270" s="7" t="e">
        <f>C269*Remodelacion!$E$17</f>
        <v>#VALUE!</v>
      </c>
      <c r="F270" s="8" t="e">
        <f>IF(C269&lt;1,0,IF(Remodelacion!$D$26="Si",($C$17*(VLOOKUP(Remodelacion!$C$22,Seguros_Oblig!$A$3:$F$55,6,FALSE))),IF(Remodelacion!$C$10="TARIFA 1",(C269*(VLOOKUP(Remodelacion!$C$22,Seguros_Oblig!$A$3:$B$55,2,FALSE))),(C269*(VLOOKUP(Remodelacion!$C$22,Seguros_Oblig!$A$3:$D$55,4,FALSE))))))</f>
        <v>#VALUE!</v>
      </c>
      <c r="G270" s="8" t="e">
        <f>IF(Remodelacion!$C$10="TARIFA 1",(C269*(VLOOKUP(Remodelacion!$C$23,Seguros_Oblig!$A$3:$B$55,2,FALSE))),(C269*(VLOOKUP(Remodelacion!$C$23,Seguros_Oblig!$A$3:$D$55,4,FALSE))))</f>
        <v>#VALUE!</v>
      </c>
      <c r="H270" s="8" t="e">
        <f>IF(Remodelacion!$C$10="TARIFA 1",(C269*(VLOOKUP(Remodelacion!$C$24,Seguros_Oblig!$A$3:$B$55,2,FALSE))),(C269*(VLOOKUP(Remodelacion!$C$24,Seguros_Oblig!$A$3:$D$55,4,FALSE))))</f>
        <v>#VALUE!</v>
      </c>
      <c r="I270" s="8" t="e">
        <f>IF(Remodelacion!$C$10="TARIFA 1",(C269*(VLOOKUP(Remodelacion!$C$25,Seguros_Oblig!$A$3:$B$55,2,FALSE))),(C269*(VLOOKUP(Remodelacion!$C$25,Seguros_Oblig!$A$3:$D$55,4,FALSE))))</f>
        <v>#VALUE!</v>
      </c>
      <c r="J270" s="10">
        <f t="shared" si="20"/>
        <v>0</v>
      </c>
      <c r="K270" s="7" t="e">
        <f>IF(RM!$D$11="Si",0,IF(C269&lt;1,"0",Seguros_Oblig!$K$2*Remodelacion!$C$12))</f>
        <v>#VALUE!</v>
      </c>
      <c r="L270" s="7" t="e">
        <f>IF(B270=" ","0",PMT(Remodelacion!$E$17,Remodelacion!$C$18,-Remodelacion!$C$15,,))</f>
        <v>#VALUE!</v>
      </c>
      <c r="M270" s="9" t="e">
        <f t="shared" si="21"/>
        <v>#VALUE!</v>
      </c>
      <c r="N270" s="7" t="e">
        <f>IF(C269&lt;1,"0",Remodelacion!$C$38)</f>
        <v>#VALUE!</v>
      </c>
      <c r="O270" s="9" t="e">
        <f t="shared" si="22"/>
        <v>#VALUE!</v>
      </c>
    </row>
    <row r="271" spans="2:15" ht="15.5" hidden="1" x14ac:dyDescent="0.35">
      <c r="B271" s="6" t="e">
        <f t="shared" si="23"/>
        <v>#VALUE!</v>
      </c>
      <c r="C271" s="7" t="e">
        <f t="shared" si="19"/>
        <v>#VALUE!</v>
      </c>
      <c r="D271" s="7" t="e">
        <f t="shared" si="24"/>
        <v>#VALUE!</v>
      </c>
      <c r="E271" s="7" t="e">
        <f>C270*Remodelacion!$E$17</f>
        <v>#VALUE!</v>
      </c>
      <c r="F271" s="8" t="e">
        <f>IF(C270&lt;1,0,IF(Remodelacion!$D$26="Si",($C$17*(VLOOKUP(Remodelacion!$C$22,Seguros_Oblig!$A$3:$F$55,6,FALSE))),IF(Remodelacion!$C$10="TARIFA 1",(C270*(VLOOKUP(Remodelacion!$C$22,Seguros_Oblig!$A$3:$B$55,2,FALSE))),(C270*(VLOOKUP(Remodelacion!$C$22,Seguros_Oblig!$A$3:$D$55,4,FALSE))))))</f>
        <v>#VALUE!</v>
      </c>
      <c r="G271" s="8" t="e">
        <f>IF(Remodelacion!$C$10="TARIFA 1",(C270*(VLOOKUP(Remodelacion!$C$23,Seguros_Oblig!$A$3:$B$55,2,FALSE))),(C270*(VLOOKUP(Remodelacion!$C$23,Seguros_Oblig!$A$3:$D$55,4,FALSE))))</f>
        <v>#VALUE!</v>
      </c>
      <c r="H271" s="8" t="e">
        <f>IF(Remodelacion!$C$10="TARIFA 1",(C270*(VLOOKUP(Remodelacion!$C$24,Seguros_Oblig!$A$3:$B$55,2,FALSE))),(C270*(VLOOKUP(Remodelacion!$C$24,Seguros_Oblig!$A$3:$D$55,4,FALSE))))</f>
        <v>#VALUE!</v>
      </c>
      <c r="I271" s="8" t="e">
        <f>IF(Remodelacion!$C$10="TARIFA 1",(C270*(VLOOKUP(Remodelacion!$C$25,Seguros_Oblig!$A$3:$B$55,2,FALSE))),(C270*(VLOOKUP(Remodelacion!$C$25,Seguros_Oblig!$A$3:$D$55,4,FALSE))))</f>
        <v>#VALUE!</v>
      </c>
      <c r="J271" s="10">
        <f t="shared" si="20"/>
        <v>0</v>
      </c>
      <c r="K271" s="7" t="e">
        <f>IF(RM!$D$11="Si",0,IF(C270&lt;1,"0",Seguros_Oblig!$K$2*Remodelacion!$C$12))</f>
        <v>#VALUE!</v>
      </c>
      <c r="L271" s="7" t="e">
        <f>IF(B271=" ","0",PMT(Remodelacion!$E$17,Remodelacion!$C$18,-Remodelacion!$C$15,,))</f>
        <v>#VALUE!</v>
      </c>
      <c r="M271" s="9" t="e">
        <f t="shared" si="21"/>
        <v>#VALUE!</v>
      </c>
      <c r="N271" s="7" t="e">
        <f>IF(C270&lt;1,"0",Remodelacion!$C$38)</f>
        <v>#VALUE!</v>
      </c>
      <c r="O271" s="9" t="e">
        <f t="shared" si="22"/>
        <v>#VALUE!</v>
      </c>
    </row>
    <row r="272" spans="2:15" ht="15.5" hidden="1" x14ac:dyDescent="0.35">
      <c r="B272" s="6" t="e">
        <f t="shared" si="23"/>
        <v>#VALUE!</v>
      </c>
      <c r="C272" s="7" t="e">
        <f t="shared" si="19"/>
        <v>#VALUE!</v>
      </c>
      <c r="D272" s="7" t="e">
        <f t="shared" si="24"/>
        <v>#VALUE!</v>
      </c>
      <c r="E272" s="7" t="e">
        <f>C271*Remodelacion!$E$17</f>
        <v>#VALUE!</v>
      </c>
      <c r="F272" s="8" t="e">
        <f>IF(C271&lt;1,0,IF(Remodelacion!$D$26="Si",($C$17*(VLOOKUP(Remodelacion!$C$22,Seguros_Oblig!$A$3:$F$55,6,FALSE))),IF(Remodelacion!$C$10="TARIFA 1",(C271*(VLOOKUP(Remodelacion!$C$22,Seguros_Oblig!$A$3:$B$55,2,FALSE))),(C271*(VLOOKUP(Remodelacion!$C$22,Seguros_Oblig!$A$3:$D$55,4,FALSE))))))</f>
        <v>#VALUE!</v>
      </c>
      <c r="G272" s="8" t="e">
        <f>IF(Remodelacion!$C$10="TARIFA 1",(C271*(VLOOKUP(Remodelacion!$C$23,Seguros_Oblig!$A$3:$B$55,2,FALSE))),(C271*(VLOOKUP(Remodelacion!$C$23,Seguros_Oblig!$A$3:$D$55,4,FALSE))))</f>
        <v>#VALUE!</v>
      </c>
      <c r="H272" s="8" t="e">
        <f>IF(Remodelacion!$C$10="TARIFA 1",(C271*(VLOOKUP(Remodelacion!$C$24,Seguros_Oblig!$A$3:$B$55,2,FALSE))),(C271*(VLOOKUP(Remodelacion!$C$24,Seguros_Oblig!$A$3:$D$55,4,FALSE))))</f>
        <v>#VALUE!</v>
      </c>
      <c r="I272" s="8" t="e">
        <f>IF(Remodelacion!$C$10="TARIFA 1",(C271*(VLOOKUP(Remodelacion!$C$25,Seguros_Oblig!$A$3:$B$55,2,FALSE))),(C271*(VLOOKUP(Remodelacion!$C$25,Seguros_Oblig!$A$3:$D$55,4,FALSE))))</f>
        <v>#VALUE!</v>
      </c>
      <c r="J272" s="10">
        <f t="shared" si="20"/>
        <v>0</v>
      </c>
      <c r="K272" s="7" t="e">
        <f>IF(RM!$D$11="Si",0,IF(C271&lt;1,"0",Seguros_Oblig!$K$2*Remodelacion!$C$12))</f>
        <v>#VALUE!</v>
      </c>
      <c r="L272" s="7" t="e">
        <f>IF(B272=" ","0",PMT(Remodelacion!$E$17,Remodelacion!$C$18,-Remodelacion!$C$15,,))</f>
        <v>#VALUE!</v>
      </c>
      <c r="M272" s="9" t="e">
        <f t="shared" si="21"/>
        <v>#VALUE!</v>
      </c>
      <c r="N272" s="7" t="e">
        <f>IF(C271&lt;1,"0",Remodelacion!$C$38)</f>
        <v>#VALUE!</v>
      </c>
      <c r="O272" s="9" t="e">
        <f t="shared" si="22"/>
        <v>#VALUE!</v>
      </c>
    </row>
    <row r="273" spans="2:15" ht="15.5" hidden="1" x14ac:dyDescent="0.35">
      <c r="B273" s="6" t="e">
        <f t="shared" si="23"/>
        <v>#VALUE!</v>
      </c>
      <c r="C273" s="7" t="e">
        <f t="shared" si="19"/>
        <v>#VALUE!</v>
      </c>
      <c r="D273" s="7" t="e">
        <f t="shared" si="24"/>
        <v>#VALUE!</v>
      </c>
      <c r="E273" s="7" t="e">
        <f>C272*Remodelacion!$E$17</f>
        <v>#VALUE!</v>
      </c>
      <c r="F273" s="8" t="e">
        <f>IF(C272&lt;1,0,IF(Remodelacion!$D$26="Si",($C$17*(VLOOKUP(Remodelacion!$C$22,Seguros_Oblig!$A$3:$F$55,6,FALSE))),IF(Remodelacion!$C$10="TARIFA 1",(C272*(VLOOKUP(Remodelacion!$C$22,Seguros_Oblig!$A$3:$B$55,2,FALSE))),(C272*(VLOOKUP(Remodelacion!$C$22,Seguros_Oblig!$A$3:$D$55,4,FALSE))))))</f>
        <v>#VALUE!</v>
      </c>
      <c r="G273" s="8" t="e">
        <f>IF(Remodelacion!$C$10="TARIFA 1",(C272*(VLOOKUP(Remodelacion!$C$23,Seguros_Oblig!$A$3:$B$55,2,FALSE))),(C272*(VLOOKUP(Remodelacion!$C$23,Seguros_Oblig!$A$3:$D$55,4,FALSE))))</f>
        <v>#VALUE!</v>
      </c>
      <c r="H273" s="8" t="e">
        <f>IF(Remodelacion!$C$10="TARIFA 1",(C272*(VLOOKUP(Remodelacion!$C$24,Seguros_Oblig!$A$3:$B$55,2,FALSE))),(C272*(VLOOKUP(Remodelacion!$C$24,Seguros_Oblig!$A$3:$D$55,4,FALSE))))</f>
        <v>#VALUE!</v>
      </c>
      <c r="I273" s="8" t="e">
        <f>IF(Remodelacion!$C$10="TARIFA 1",(C272*(VLOOKUP(Remodelacion!$C$25,Seguros_Oblig!$A$3:$B$55,2,FALSE))),(C272*(VLOOKUP(Remodelacion!$C$25,Seguros_Oblig!$A$3:$D$55,4,FALSE))))</f>
        <v>#VALUE!</v>
      </c>
      <c r="J273" s="10">
        <f t="shared" si="20"/>
        <v>0</v>
      </c>
      <c r="K273" s="7" t="e">
        <f>IF(RM!$D$11="Si",0,IF(C272&lt;1,"0",Seguros_Oblig!$K$2*Remodelacion!$C$12))</f>
        <v>#VALUE!</v>
      </c>
      <c r="L273" s="7" t="e">
        <f>IF(B273=" ","0",PMT(Remodelacion!$E$17,Remodelacion!$C$18,-Remodelacion!$C$15,,))</f>
        <v>#VALUE!</v>
      </c>
      <c r="M273" s="9" t="e">
        <f t="shared" si="21"/>
        <v>#VALUE!</v>
      </c>
      <c r="N273" s="7" t="e">
        <f>IF(C272&lt;1,"0",Remodelacion!$C$38)</f>
        <v>#VALUE!</v>
      </c>
      <c r="O273" s="9" t="e">
        <f t="shared" si="22"/>
        <v>#VALUE!</v>
      </c>
    </row>
    <row r="274" spans="2:15" ht="15.5" hidden="1" x14ac:dyDescent="0.35">
      <c r="B274" s="6" t="e">
        <f t="shared" si="23"/>
        <v>#VALUE!</v>
      </c>
      <c r="C274" s="7" t="e">
        <f t="shared" si="19"/>
        <v>#VALUE!</v>
      </c>
      <c r="D274" s="7" t="e">
        <f t="shared" si="24"/>
        <v>#VALUE!</v>
      </c>
      <c r="E274" s="7" t="e">
        <f>C273*Remodelacion!$E$17</f>
        <v>#VALUE!</v>
      </c>
      <c r="F274" s="8" t="e">
        <f>IF(C273&lt;1,0,IF(Remodelacion!$D$26="Si",($C$17*(VLOOKUP(Remodelacion!$C$22,Seguros_Oblig!$A$3:$F$55,6,FALSE))),IF(Remodelacion!$C$10="TARIFA 1",(C273*(VLOOKUP(Remodelacion!$C$22,Seguros_Oblig!$A$3:$B$55,2,FALSE))),(C273*(VLOOKUP(Remodelacion!$C$22,Seguros_Oblig!$A$3:$D$55,4,FALSE))))))</f>
        <v>#VALUE!</v>
      </c>
      <c r="G274" s="8" t="e">
        <f>IF(Remodelacion!$C$10="TARIFA 1",(C273*(VLOOKUP(Remodelacion!$C$23,Seguros_Oblig!$A$3:$B$55,2,FALSE))),(C273*(VLOOKUP(Remodelacion!$C$23,Seguros_Oblig!$A$3:$D$55,4,FALSE))))</f>
        <v>#VALUE!</v>
      </c>
      <c r="H274" s="8" t="e">
        <f>IF(Remodelacion!$C$10="TARIFA 1",(C273*(VLOOKUP(Remodelacion!$C$24,Seguros_Oblig!$A$3:$B$55,2,FALSE))),(C273*(VLOOKUP(Remodelacion!$C$24,Seguros_Oblig!$A$3:$D$55,4,FALSE))))</f>
        <v>#VALUE!</v>
      </c>
      <c r="I274" s="8" t="e">
        <f>IF(Remodelacion!$C$10="TARIFA 1",(C273*(VLOOKUP(Remodelacion!$C$25,Seguros_Oblig!$A$3:$B$55,2,FALSE))),(C273*(VLOOKUP(Remodelacion!$C$25,Seguros_Oblig!$A$3:$D$55,4,FALSE))))</f>
        <v>#VALUE!</v>
      </c>
      <c r="J274" s="10">
        <f t="shared" si="20"/>
        <v>0</v>
      </c>
      <c r="K274" s="7" t="e">
        <f>IF(RM!$D$11="Si",0,IF(C273&lt;1,"0",Seguros_Oblig!$K$2*Remodelacion!$C$12))</f>
        <v>#VALUE!</v>
      </c>
      <c r="L274" s="7" t="e">
        <f>IF(B274=" ","0",PMT(Remodelacion!$E$17,Remodelacion!$C$18,-Remodelacion!$C$15,,))</f>
        <v>#VALUE!</v>
      </c>
      <c r="M274" s="9" t="e">
        <f t="shared" si="21"/>
        <v>#VALUE!</v>
      </c>
      <c r="N274" s="7" t="e">
        <f>IF(C273&lt;1,"0",Remodelacion!$C$38)</f>
        <v>#VALUE!</v>
      </c>
      <c r="O274" s="9" t="e">
        <f t="shared" si="22"/>
        <v>#VALUE!</v>
      </c>
    </row>
    <row r="275" spans="2:15" ht="15.5" hidden="1" x14ac:dyDescent="0.35">
      <c r="B275" s="6" t="e">
        <f t="shared" si="23"/>
        <v>#VALUE!</v>
      </c>
      <c r="C275" s="7" t="e">
        <f t="shared" ref="C275:C338" si="25">C274-D275</f>
        <v>#VALUE!</v>
      </c>
      <c r="D275" s="7" t="e">
        <f t="shared" si="24"/>
        <v>#VALUE!</v>
      </c>
      <c r="E275" s="7" t="e">
        <f>C274*Remodelacion!$E$17</f>
        <v>#VALUE!</v>
      </c>
      <c r="F275" s="8" t="e">
        <f>IF(C274&lt;1,0,IF(Remodelacion!$D$26="Si",($C$17*(VLOOKUP(Remodelacion!$C$22,Seguros_Oblig!$A$3:$F$55,6,FALSE))),IF(Remodelacion!$C$10="TARIFA 1",(C274*(VLOOKUP(Remodelacion!$C$22,Seguros_Oblig!$A$3:$B$55,2,FALSE))),(C274*(VLOOKUP(Remodelacion!$C$22,Seguros_Oblig!$A$3:$D$55,4,FALSE))))))</f>
        <v>#VALUE!</v>
      </c>
      <c r="G275" s="8" t="e">
        <f>IF(Remodelacion!$C$10="TARIFA 1",(C274*(VLOOKUP(Remodelacion!$C$23,Seguros_Oblig!$A$3:$B$55,2,FALSE))),(C274*(VLOOKUP(Remodelacion!$C$23,Seguros_Oblig!$A$3:$D$55,4,FALSE))))</f>
        <v>#VALUE!</v>
      </c>
      <c r="H275" s="8" t="e">
        <f>IF(Remodelacion!$C$10="TARIFA 1",(C274*(VLOOKUP(Remodelacion!$C$24,Seguros_Oblig!$A$3:$B$55,2,FALSE))),(C274*(VLOOKUP(Remodelacion!$C$24,Seguros_Oblig!$A$3:$D$55,4,FALSE))))</f>
        <v>#VALUE!</v>
      </c>
      <c r="I275" s="8" t="e">
        <f>IF(Remodelacion!$C$10="TARIFA 1",(C274*(VLOOKUP(Remodelacion!$C$25,Seguros_Oblig!$A$3:$B$55,2,FALSE))),(C274*(VLOOKUP(Remodelacion!$C$25,Seguros_Oblig!$A$3:$D$55,4,FALSE))))</f>
        <v>#VALUE!</v>
      </c>
      <c r="J275" s="10">
        <f t="shared" ref="J275:J338" si="26">_xlfn.AGGREGATE(9,6,F275:I275)</f>
        <v>0</v>
      </c>
      <c r="K275" s="7" t="e">
        <f>IF(RM!$D$11="Si",0,IF(C274&lt;1,"0",Seguros_Oblig!$K$2*Remodelacion!$C$12))</f>
        <v>#VALUE!</v>
      </c>
      <c r="L275" s="7" t="e">
        <f>IF(B275=" ","0",PMT(Remodelacion!$E$17,Remodelacion!$C$18,-Remodelacion!$C$15,,))</f>
        <v>#VALUE!</v>
      </c>
      <c r="M275" s="9" t="e">
        <f t="shared" ref="M275:M338" si="27">K275+L275+J275</f>
        <v>#VALUE!</v>
      </c>
      <c r="N275" s="7" t="e">
        <f>IF(C274&lt;1,"0",Remodelacion!$C$38)</f>
        <v>#VALUE!</v>
      </c>
      <c r="O275" s="9" t="e">
        <f t="shared" ref="O275:O338" si="28">M275+N275</f>
        <v>#VALUE!</v>
      </c>
    </row>
    <row r="276" spans="2:15" ht="15.5" hidden="1" x14ac:dyDescent="0.35">
      <c r="B276" s="6" t="e">
        <f t="shared" si="23"/>
        <v>#VALUE!</v>
      </c>
      <c r="C276" s="7" t="e">
        <f t="shared" si="25"/>
        <v>#VALUE!</v>
      </c>
      <c r="D276" s="7" t="e">
        <f t="shared" si="24"/>
        <v>#VALUE!</v>
      </c>
      <c r="E276" s="7" t="e">
        <f>C275*Remodelacion!$E$17</f>
        <v>#VALUE!</v>
      </c>
      <c r="F276" s="8" t="e">
        <f>IF(C275&lt;1,0,IF(Remodelacion!$D$26="Si",($C$17*(VLOOKUP(Remodelacion!$C$22,Seguros_Oblig!$A$3:$F$55,6,FALSE))),IF(Remodelacion!$C$10="TARIFA 1",(C275*(VLOOKUP(Remodelacion!$C$22,Seguros_Oblig!$A$3:$B$55,2,FALSE))),(C275*(VLOOKUP(Remodelacion!$C$22,Seguros_Oblig!$A$3:$D$55,4,FALSE))))))</f>
        <v>#VALUE!</v>
      </c>
      <c r="G276" s="8" t="e">
        <f>IF(Remodelacion!$C$10="TARIFA 1",(C275*(VLOOKUP(Remodelacion!$C$23,Seguros_Oblig!$A$3:$B$55,2,FALSE))),(C275*(VLOOKUP(Remodelacion!$C$23,Seguros_Oblig!$A$3:$D$55,4,FALSE))))</f>
        <v>#VALUE!</v>
      </c>
      <c r="H276" s="8" t="e">
        <f>IF(Remodelacion!$C$10="TARIFA 1",(C275*(VLOOKUP(Remodelacion!$C$24,Seguros_Oblig!$A$3:$B$55,2,FALSE))),(C275*(VLOOKUP(Remodelacion!$C$24,Seguros_Oblig!$A$3:$D$55,4,FALSE))))</f>
        <v>#VALUE!</v>
      </c>
      <c r="I276" s="8" t="e">
        <f>IF(Remodelacion!$C$10="TARIFA 1",(C275*(VLOOKUP(Remodelacion!$C$25,Seguros_Oblig!$A$3:$B$55,2,FALSE))),(C275*(VLOOKUP(Remodelacion!$C$25,Seguros_Oblig!$A$3:$D$55,4,FALSE))))</f>
        <v>#VALUE!</v>
      </c>
      <c r="J276" s="10">
        <f t="shared" si="26"/>
        <v>0</v>
      </c>
      <c r="K276" s="7" t="e">
        <f>IF(RM!$D$11="Si",0,IF(C275&lt;1,"0",Seguros_Oblig!$K$2*Remodelacion!$C$12))</f>
        <v>#VALUE!</v>
      </c>
      <c r="L276" s="7" t="e">
        <f>IF(B276=" ","0",PMT(Remodelacion!$E$17,Remodelacion!$C$18,-Remodelacion!$C$15,,))</f>
        <v>#VALUE!</v>
      </c>
      <c r="M276" s="9" t="e">
        <f t="shared" si="27"/>
        <v>#VALUE!</v>
      </c>
      <c r="N276" s="7" t="e">
        <f>IF(C275&lt;1,"0",Remodelacion!$C$38)</f>
        <v>#VALUE!</v>
      </c>
      <c r="O276" s="9" t="e">
        <f t="shared" si="28"/>
        <v>#VALUE!</v>
      </c>
    </row>
    <row r="277" spans="2:15" ht="15.5" hidden="1" x14ac:dyDescent="0.35">
      <c r="B277" s="6" t="e">
        <f t="shared" si="23"/>
        <v>#VALUE!</v>
      </c>
      <c r="C277" s="7" t="e">
        <f t="shared" si="25"/>
        <v>#VALUE!</v>
      </c>
      <c r="D277" s="7" t="e">
        <f t="shared" si="24"/>
        <v>#VALUE!</v>
      </c>
      <c r="E277" s="7" t="e">
        <f>C276*Remodelacion!$E$17</f>
        <v>#VALUE!</v>
      </c>
      <c r="F277" s="8" t="e">
        <f>IF(C276&lt;1,0,IF(Remodelacion!$D$26="Si",($C$17*(VLOOKUP(Remodelacion!$C$22,Seguros_Oblig!$A$3:$F$55,6,FALSE))),IF(Remodelacion!$C$10="TARIFA 1",(C276*(VLOOKUP(Remodelacion!$C$22,Seguros_Oblig!$A$3:$B$55,2,FALSE))),(C276*(VLOOKUP(Remodelacion!$C$22,Seguros_Oblig!$A$3:$D$55,4,FALSE))))))</f>
        <v>#VALUE!</v>
      </c>
      <c r="G277" s="8" t="e">
        <f>IF(Remodelacion!$C$10="TARIFA 1",(C276*(VLOOKUP(Remodelacion!$C$23,Seguros_Oblig!$A$3:$B$55,2,FALSE))),(C276*(VLOOKUP(Remodelacion!$C$23,Seguros_Oblig!$A$3:$D$55,4,FALSE))))</f>
        <v>#VALUE!</v>
      </c>
      <c r="H277" s="8" t="e">
        <f>IF(Remodelacion!$C$10="TARIFA 1",(C276*(VLOOKUP(Remodelacion!$C$24,Seguros_Oblig!$A$3:$B$55,2,FALSE))),(C276*(VLOOKUP(Remodelacion!$C$24,Seguros_Oblig!$A$3:$D$55,4,FALSE))))</f>
        <v>#VALUE!</v>
      </c>
      <c r="I277" s="8" t="e">
        <f>IF(Remodelacion!$C$10="TARIFA 1",(C276*(VLOOKUP(Remodelacion!$C$25,Seguros_Oblig!$A$3:$B$55,2,FALSE))),(C276*(VLOOKUP(Remodelacion!$C$25,Seguros_Oblig!$A$3:$D$55,4,FALSE))))</f>
        <v>#VALUE!</v>
      </c>
      <c r="J277" s="10">
        <f t="shared" si="26"/>
        <v>0</v>
      </c>
      <c r="K277" s="7" t="e">
        <f>IF(RM!$D$11="Si",0,IF(C276&lt;1,"0",Seguros_Oblig!$K$2*Remodelacion!$C$12))</f>
        <v>#VALUE!</v>
      </c>
      <c r="L277" s="7" t="e">
        <f>IF(B277=" ","0",PMT(Remodelacion!$E$17,Remodelacion!$C$18,-Remodelacion!$C$15,,))</f>
        <v>#VALUE!</v>
      </c>
      <c r="M277" s="9" t="e">
        <f t="shared" si="27"/>
        <v>#VALUE!</v>
      </c>
      <c r="N277" s="7" t="e">
        <f>IF(C276&lt;1,"0",Remodelacion!$C$38)</f>
        <v>#VALUE!</v>
      </c>
      <c r="O277" s="9" t="e">
        <f t="shared" si="28"/>
        <v>#VALUE!</v>
      </c>
    </row>
    <row r="278" spans="2:15" ht="15.5" hidden="1" x14ac:dyDescent="0.35">
      <c r="B278" s="6" t="e">
        <f t="shared" si="23"/>
        <v>#VALUE!</v>
      </c>
      <c r="C278" s="7" t="e">
        <f t="shared" si="25"/>
        <v>#VALUE!</v>
      </c>
      <c r="D278" s="7" t="e">
        <f t="shared" si="24"/>
        <v>#VALUE!</v>
      </c>
      <c r="E278" s="7" t="e">
        <f>C277*Remodelacion!$E$17</f>
        <v>#VALUE!</v>
      </c>
      <c r="F278" s="8" t="e">
        <f>IF(C277&lt;1,0,IF(Remodelacion!$D$26="Si",($C$17*(VLOOKUP(Remodelacion!$C$22,Seguros_Oblig!$A$3:$F$55,6,FALSE))),IF(Remodelacion!$C$10="TARIFA 1",(C277*(VLOOKUP(Remodelacion!$C$22,Seguros_Oblig!$A$3:$B$55,2,FALSE))),(C277*(VLOOKUP(Remodelacion!$C$22,Seguros_Oblig!$A$3:$D$55,4,FALSE))))))</f>
        <v>#VALUE!</v>
      </c>
      <c r="G278" s="8" t="e">
        <f>IF(Remodelacion!$C$10="TARIFA 1",(C277*(VLOOKUP(Remodelacion!$C$23,Seguros_Oblig!$A$3:$B$55,2,FALSE))),(C277*(VLOOKUP(Remodelacion!$C$23,Seguros_Oblig!$A$3:$D$55,4,FALSE))))</f>
        <v>#VALUE!</v>
      </c>
      <c r="H278" s="8" t="e">
        <f>IF(Remodelacion!$C$10="TARIFA 1",(C277*(VLOOKUP(Remodelacion!$C$24,Seguros_Oblig!$A$3:$B$55,2,FALSE))),(C277*(VLOOKUP(Remodelacion!$C$24,Seguros_Oblig!$A$3:$D$55,4,FALSE))))</f>
        <v>#VALUE!</v>
      </c>
      <c r="I278" s="8" t="e">
        <f>IF(Remodelacion!$C$10="TARIFA 1",(C277*(VLOOKUP(Remodelacion!$C$25,Seguros_Oblig!$A$3:$B$55,2,FALSE))),(C277*(VLOOKUP(Remodelacion!$C$25,Seguros_Oblig!$A$3:$D$55,4,FALSE))))</f>
        <v>#VALUE!</v>
      </c>
      <c r="J278" s="10">
        <f t="shared" si="26"/>
        <v>0</v>
      </c>
      <c r="K278" s="7" t="e">
        <f>IF(RM!$D$11="Si",0,IF(C277&lt;1,"0",Seguros_Oblig!$K$2*Remodelacion!$C$12))</f>
        <v>#VALUE!</v>
      </c>
      <c r="L278" s="7" t="e">
        <f>IF(B278=" ","0",PMT(Remodelacion!$E$17,Remodelacion!$C$18,-Remodelacion!$C$15,,))</f>
        <v>#VALUE!</v>
      </c>
      <c r="M278" s="9" t="e">
        <f t="shared" si="27"/>
        <v>#VALUE!</v>
      </c>
      <c r="N278" s="7" t="e">
        <f>IF(C277&lt;1,"0",Remodelacion!$C$38)</f>
        <v>#VALUE!</v>
      </c>
      <c r="O278" s="9" t="e">
        <f t="shared" si="28"/>
        <v>#VALUE!</v>
      </c>
    </row>
    <row r="279" spans="2:15" ht="15.5" hidden="1" x14ac:dyDescent="0.35">
      <c r="B279" s="6" t="e">
        <f t="shared" si="23"/>
        <v>#VALUE!</v>
      </c>
      <c r="C279" s="7" t="e">
        <f t="shared" si="25"/>
        <v>#VALUE!</v>
      </c>
      <c r="D279" s="7" t="e">
        <f t="shared" si="24"/>
        <v>#VALUE!</v>
      </c>
      <c r="E279" s="7" t="e">
        <f>C278*Remodelacion!$E$17</f>
        <v>#VALUE!</v>
      </c>
      <c r="F279" s="8" t="e">
        <f>IF(C278&lt;1,0,IF(Remodelacion!$D$26="Si",($C$17*(VLOOKUP(Remodelacion!$C$22,Seguros_Oblig!$A$3:$F$55,6,FALSE))),IF(Remodelacion!$C$10="TARIFA 1",(C278*(VLOOKUP(Remodelacion!$C$22,Seguros_Oblig!$A$3:$B$55,2,FALSE))),(C278*(VLOOKUP(Remodelacion!$C$22,Seguros_Oblig!$A$3:$D$55,4,FALSE))))))</f>
        <v>#VALUE!</v>
      </c>
      <c r="G279" s="8" t="e">
        <f>IF(Remodelacion!$C$10="TARIFA 1",(C278*(VLOOKUP(Remodelacion!$C$23,Seguros_Oblig!$A$3:$B$55,2,FALSE))),(C278*(VLOOKUP(Remodelacion!$C$23,Seguros_Oblig!$A$3:$D$55,4,FALSE))))</f>
        <v>#VALUE!</v>
      </c>
      <c r="H279" s="8" t="e">
        <f>IF(Remodelacion!$C$10="TARIFA 1",(C278*(VLOOKUP(Remodelacion!$C$24,Seguros_Oblig!$A$3:$B$55,2,FALSE))),(C278*(VLOOKUP(Remodelacion!$C$24,Seguros_Oblig!$A$3:$D$55,4,FALSE))))</f>
        <v>#VALUE!</v>
      </c>
      <c r="I279" s="8" t="e">
        <f>IF(Remodelacion!$C$10="TARIFA 1",(C278*(VLOOKUP(Remodelacion!$C$25,Seguros_Oblig!$A$3:$B$55,2,FALSE))),(C278*(VLOOKUP(Remodelacion!$C$25,Seguros_Oblig!$A$3:$D$55,4,FALSE))))</f>
        <v>#VALUE!</v>
      </c>
      <c r="J279" s="10">
        <f t="shared" si="26"/>
        <v>0</v>
      </c>
      <c r="K279" s="7" t="e">
        <f>IF(RM!$D$11="Si",0,IF(C278&lt;1,"0",Seguros_Oblig!$K$2*Remodelacion!$C$12))</f>
        <v>#VALUE!</v>
      </c>
      <c r="L279" s="7" t="e">
        <f>IF(B279=" ","0",PMT(Remodelacion!$E$17,Remodelacion!$C$18,-Remodelacion!$C$15,,))</f>
        <v>#VALUE!</v>
      </c>
      <c r="M279" s="9" t="e">
        <f t="shared" si="27"/>
        <v>#VALUE!</v>
      </c>
      <c r="N279" s="7" t="e">
        <f>IF(C278&lt;1,"0",Remodelacion!$C$38)</f>
        <v>#VALUE!</v>
      </c>
      <c r="O279" s="9" t="e">
        <f t="shared" si="28"/>
        <v>#VALUE!</v>
      </c>
    </row>
    <row r="280" spans="2:15" ht="15.5" hidden="1" x14ac:dyDescent="0.35">
      <c r="B280" s="6" t="e">
        <f t="shared" ref="B280:B343" si="29">IF(C279&gt;1,B279+1," ")</f>
        <v>#VALUE!</v>
      </c>
      <c r="C280" s="7" t="e">
        <f t="shared" si="25"/>
        <v>#VALUE!</v>
      </c>
      <c r="D280" s="7" t="e">
        <f t="shared" si="24"/>
        <v>#VALUE!</v>
      </c>
      <c r="E280" s="7" t="e">
        <f>C279*Remodelacion!$E$17</f>
        <v>#VALUE!</v>
      </c>
      <c r="F280" s="8" t="e">
        <f>IF(C279&lt;1,0,IF(Remodelacion!$D$26="Si",($C$17*(VLOOKUP(Remodelacion!$C$22,Seguros_Oblig!$A$3:$F$55,6,FALSE))),IF(Remodelacion!$C$10="TARIFA 1",(C279*(VLOOKUP(Remodelacion!$C$22,Seguros_Oblig!$A$3:$B$55,2,FALSE))),(C279*(VLOOKUP(Remodelacion!$C$22,Seguros_Oblig!$A$3:$D$55,4,FALSE))))))</f>
        <v>#VALUE!</v>
      </c>
      <c r="G280" s="8" t="e">
        <f>IF(Remodelacion!$C$10="TARIFA 1",(C279*(VLOOKUP(Remodelacion!$C$23,Seguros_Oblig!$A$3:$B$55,2,FALSE))),(C279*(VLOOKUP(Remodelacion!$C$23,Seguros_Oblig!$A$3:$D$55,4,FALSE))))</f>
        <v>#VALUE!</v>
      </c>
      <c r="H280" s="8" t="e">
        <f>IF(Remodelacion!$C$10="TARIFA 1",(C279*(VLOOKUP(Remodelacion!$C$24,Seguros_Oblig!$A$3:$B$55,2,FALSE))),(C279*(VLOOKUP(Remodelacion!$C$24,Seguros_Oblig!$A$3:$D$55,4,FALSE))))</f>
        <v>#VALUE!</v>
      </c>
      <c r="I280" s="8" t="e">
        <f>IF(Remodelacion!$C$10="TARIFA 1",(C279*(VLOOKUP(Remodelacion!$C$25,Seguros_Oblig!$A$3:$B$55,2,FALSE))),(C279*(VLOOKUP(Remodelacion!$C$25,Seguros_Oblig!$A$3:$D$55,4,FALSE))))</f>
        <v>#VALUE!</v>
      </c>
      <c r="J280" s="10">
        <f t="shared" si="26"/>
        <v>0</v>
      </c>
      <c r="K280" s="7" t="e">
        <f>IF(RM!$D$11="Si",0,IF(C279&lt;1,"0",Seguros_Oblig!$K$2*Remodelacion!$C$12))</f>
        <v>#VALUE!</v>
      </c>
      <c r="L280" s="7" t="e">
        <f>IF(B280=" ","0",PMT(Remodelacion!$E$17,Remodelacion!$C$18,-Remodelacion!$C$15,,))</f>
        <v>#VALUE!</v>
      </c>
      <c r="M280" s="9" t="e">
        <f t="shared" si="27"/>
        <v>#VALUE!</v>
      </c>
      <c r="N280" s="7" t="e">
        <f>IF(C279&lt;1,"0",Remodelacion!$C$38)</f>
        <v>#VALUE!</v>
      </c>
      <c r="O280" s="9" t="e">
        <f t="shared" si="28"/>
        <v>#VALUE!</v>
      </c>
    </row>
    <row r="281" spans="2:15" ht="15.5" hidden="1" x14ac:dyDescent="0.35">
      <c r="B281" s="6" t="e">
        <f t="shared" si="29"/>
        <v>#VALUE!</v>
      </c>
      <c r="C281" s="7" t="e">
        <f t="shared" si="25"/>
        <v>#VALUE!</v>
      </c>
      <c r="D281" s="7" t="e">
        <f t="shared" si="24"/>
        <v>#VALUE!</v>
      </c>
      <c r="E281" s="7" t="e">
        <f>C280*Remodelacion!$E$17</f>
        <v>#VALUE!</v>
      </c>
      <c r="F281" s="8" t="e">
        <f>IF(C280&lt;1,0,IF(Remodelacion!$D$26="Si",($C$17*(VLOOKUP(Remodelacion!$C$22,Seguros_Oblig!$A$3:$F$55,6,FALSE))),IF(Remodelacion!$C$10="TARIFA 1",(C280*(VLOOKUP(Remodelacion!$C$22,Seguros_Oblig!$A$3:$B$55,2,FALSE))),(C280*(VLOOKUP(Remodelacion!$C$22,Seguros_Oblig!$A$3:$D$55,4,FALSE))))))</f>
        <v>#VALUE!</v>
      </c>
      <c r="G281" s="8" t="e">
        <f>IF(Remodelacion!$C$10="TARIFA 1",(C280*(VLOOKUP(Remodelacion!$C$23,Seguros_Oblig!$A$3:$B$55,2,FALSE))),(C280*(VLOOKUP(Remodelacion!$C$23,Seguros_Oblig!$A$3:$D$55,4,FALSE))))</f>
        <v>#VALUE!</v>
      </c>
      <c r="H281" s="8" t="e">
        <f>IF(Remodelacion!$C$10="TARIFA 1",(C280*(VLOOKUP(Remodelacion!$C$24,Seguros_Oblig!$A$3:$B$55,2,FALSE))),(C280*(VLOOKUP(Remodelacion!$C$24,Seguros_Oblig!$A$3:$D$55,4,FALSE))))</f>
        <v>#VALUE!</v>
      </c>
      <c r="I281" s="8" t="e">
        <f>IF(Remodelacion!$C$10="TARIFA 1",(C280*(VLOOKUP(Remodelacion!$C$25,Seguros_Oblig!$A$3:$B$55,2,FALSE))),(C280*(VLOOKUP(Remodelacion!$C$25,Seguros_Oblig!$A$3:$D$55,4,FALSE))))</f>
        <v>#VALUE!</v>
      </c>
      <c r="J281" s="10">
        <f t="shared" si="26"/>
        <v>0</v>
      </c>
      <c r="K281" s="7" t="e">
        <f>IF(RM!$D$11="Si",0,IF(C280&lt;1,"0",Seguros_Oblig!$K$2*Remodelacion!$C$12))</f>
        <v>#VALUE!</v>
      </c>
      <c r="L281" s="7" t="e">
        <f>IF(B281=" ","0",PMT(Remodelacion!$E$17,Remodelacion!$C$18,-Remodelacion!$C$15,,))</f>
        <v>#VALUE!</v>
      </c>
      <c r="M281" s="9" t="e">
        <f t="shared" si="27"/>
        <v>#VALUE!</v>
      </c>
      <c r="N281" s="7" t="e">
        <f>IF(C280&lt;1,"0",Remodelacion!$C$38)</f>
        <v>#VALUE!</v>
      </c>
      <c r="O281" s="9" t="e">
        <f t="shared" si="28"/>
        <v>#VALUE!</v>
      </c>
    </row>
    <row r="282" spans="2:15" ht="15.5" hidden="1" x14ac:dyDescent="0.35">
      <c r="B282" s="6" t="e">
        <f t="shared" si="29"/>
        <v>#VALUE!</v>
      </c>
      <c r="C282" s="7" t="e">
        <f t="shared" si="25"/>
        <v>#VALUE!</v>
      </c>
      <c r="D282" s="7" t="e">
        <f t="shared" si="24"/>
        <v>#VALUE!</v>
      </c>
      <c r="E282" s="7" t="e">
        <f>C281*Remodelacion!$E$17</f>
        <v>#VALUE!</v>
      </c>
      <c r="F282" s="8" t="e">
        <f>IF(C281&lt;1,0,IF(Remodelacion!$D$26="Si",($C$17*(VLOOKUP(Remodelacion!$C$22,Seguros_Oblig!$A$3:$F$55,6,FALSE))),IF(Remodelacion!$C$10="TARIFA 1",(C281*(VLOOKUP(Remodelacion!$C$22,Seguros_Oblig!$A$3:$B$55,2,FALSE))),(C281*(VLOOKUP(Remodelacion!$C$22,Seguros_Oblig!$A$3:$D$55,4,FALSE))))))</f>
        <v>#VALUE!</v>
      </c>
      <c r="G282" s="8" t="e">
        <f>IF(Remodelacion!$C$10="TARIFA 1",(C281*(VLOOKUP(Remodelacion!$C$23,Seguros_Oblig!$A$3:$B$55,2,FALSE))),(C281*(VLOOKUP(Remodelacion!$C$23,Seguros_Oblig!$A$3:$D$55,4,FALSE))))</f>
        <v>#VALUE!</v>
      </c>
      <c r="H282" s="8" t="e">
        <f>IF(Remodelacion!$C$10="TARIFA 1",(C281*(VLOOKUP(Remodelacion!$C$24,Seguros_Oblig!$A$3:$B$55,2,FALSE))),(C281*(VLOOKUP(Remodelacion!$C$24,Seguros_Oblig!$A$3:$D$55,4,FALSE))))</f>
        <v>#VALUE!</v>
      </c>
      <c r="I282" s="8" t="e">
        <f>IF(Remodelacion!$C$10="TARIFA 1",(C281*(VLOOKUP(Remodelacion!$C$25,Seguros_Oblig!$A$3:$B$55,2,FALSE))),(C281*(VLOOKUP(Remodelacion!$C$25,Seguros_Oblig!$A$3:$D$55,4,FALSE))))</f>
        <v>#VALUE!</v>
      </c>
      <c r="J282" s="10">
        <f t="shared" si="26"/>
        <v>0</v>
      </c>
      <c r="K282" s="7" t="e">
        <f>IF(RM!$D$11="Si",0,IF(C281&lt;1,"0",Seguros_Oblig!$K$2*Remodelacion!$C$12))</f>
        <v>#VALUE!</v>
      </c>
      <c r="L282" s="7" t="e">
        <f>IF(B282=" ","0",PMT(Remodelacion!$E$17,Remodelacion!$C$18,-Remodelacion!$C$15,,))</f>
        <v>#VALUE!</v>
      </c>
      <c r="M282" s="9" t="e">
        <f t="shared" si="27"/>
        <v>#VALUE!</v>
      </c>
      <c r="N282" s="7" t="e">
        <f>IF(C281&lt;1,"0",Remodelacion!$C$38)</f>
        <v>#VALUE!</v>
      </c>
      <c r="O282" s="9" t="e">
        <f t="shared" si="28"/>
        <v>#VALUE!</v>
      </c>
    </row>
    <row r="283" spans="2:15" ht="15.5" hidden="1" x14ac:dyDescent="0.35">
      <c r="B283" s="6" t="e">
        <f t="shared" si="29"/>
        <v>#VALUE!</v>
      </c>
      <c r="C283" s="7" t="e">
        <f t="shared" si="25"/>
        <v>#VALUE!</v>
      </c>
      <c r="D283" s="7" t="e">
        <f t="shared" si="24"/>
        <v>#VALUE!</v>
      </c>
      <c r="E283" s="7" t="e">
        <f>C282*Remodelacion!$E$17</f>
        <v>#VALUE!</v>
      </c>
      <c r="F283" s="8" t="e">
        <f>IF(C282&lt;1,0,IF(Remodelacion!$D$26="Si",($C$17*(VLOOKUP(Remodelacion!$C$22,Seguros_Oblig!$A$3:$F$55,6,FALSE))),IF(Remodelacion!$C$10="TARIFA 1",(C282*(VLOOKUP(Remodelacion!$C$22,Seguros_Oblig!$A$3:$B$55,2,FALSE))),(C282*(VLOOKUP(Remodelacion!$C$22,Seguros_Oblig!$A$3:$D$55,4,FALSE))))))</f>
        <v>#VALUE!</v>
      </c>
      <c r="G283" s="8" t="e">
        <f>IF(Remodelacion!$C$10="TARIFA 1",(C282*(VLOOKUP(Remodelacion!$C$23,Seguros_Oblig!$A$3:$B$55,2,FALSE))),(C282*(VLOOKUP(Remodelacion!$C$23,Seguros_Oblig!$A$3:$D$55,4,FALSE))))</f>
        <v>#VALUE!</v>
      </c>
      <c r="H283" s="8" t="e">
        <f>IF(Remodelacion!$C$10="TARIFA 1",(C282*(VLOOKUP(Remodelacion!$C$24,Seguros_Oblig!$A$3:$B$55,2,FALSE))),(C282*(VLOOKUP(Remodelacion!$C$24,Seguros_Oblig!$A$3:$D$55,4,FALSE))))</f>
        <v>#VALUE!</v>
      </c>
      <c r="I283" s="8" t="e">
        <f>IF(Remodelacion!$C$10="TARIFA 1",(C282*(VLOOKUP(Remodelacion!$C$25,Seguros_Oblig!$A$3:$B$55,2,FALSE))),(C282*(VLOOKUP(Remodelacion!$C$25,Seguros_Oblig!$A$3:$D$55,4,FALSE))))</f>
        <v>#VALUE!</v>
      </c>
      <c r="J283" s="10">
        <f t="shared" si="26"/>
        <v>0</v>
      </c>
      <c r="K283" s="7" t="e">
        <f>IF(RM!$D$11="Si",0,IF(C282&lt;1,"0",Seguros_Oblig!$K$2*Remodelacion!$C$12))</f>
        <v>#VALUE!</v>
      </c>
      <c r="L283" s="7" t="e">
        <f>IF(B283=" ","0",PMT(Remodelacion!$E$17,Remodelacion!$C$18,-Remodelacion!$C$15,,))</f>
        <v>#VALUE!</v>
      </c>
      <c r="M283" s="9" t="e">
        <f t="shared" si="27"/>
        <v>#VALUE!</v>
      </c>
      <c r="N283" s="7" t="e">
        <f>IF(C282&lt;1,"0",Remodelacion!$C$38)</f>
        <v>#VALUE!</v>
      </c>
      <c r="O283" s="9" t="e">
        <f t="shared" si="28"/>
        <v>#VALUE!</v>
      </c>
    </row>
    <row r="284" spans="2:15" ht="15.5" hidden="1" x14ac:dyDescent="0.35">
      <c r="B284" s="6" t="e">
        <f t="shared" si="29"/>
        <v>#VALUE!</v>
      </c>
      <c r="C284" s="7" t="e">
        <f t="shared" si="25"/>
        <v>#VALUE!</v>
      </c>
      <c r="D284" s="7" t="e">
        <f t="shared" si="24"/>
        <v>#VALUE!</v>
      </c>
      <c r="E284" s="7" t="e">
        <f>C283*Remodelacion!$E$17</f>
        <v>#VALUE!</v>
      </c>
      <c r="F284" s="8" t="e">
        <f>IF(C283&lt;1,0,IF(Remodelacion!$D$26="Si",($C$17*(VLOOKUP(Remodelacion!$C$22,Seguros_Oblig!$A$3:$F$55,6,FALSE))),IF(Remodelacion!$C$10="TARIFA 1",(C283*(VLOOKUP(Remodelacion!$C$22,Seguros_Oblig!$A$3:$B$55,2,FALSE))),(C283*(VLOOKUP(Remodelacion!$C$22,Seguros_Oblig!$A$3:$D$55,4,FALSE))))))</f>
        <v>#VALUE!</v>
      </c>
      <c r="G284" s="8" t="e">
        <f>IF(Remodelacion!$C$10="TARIFA 1",(C283*(VLOOKUP(Remodelacion!$C$23,Seguros_Oblig!$A$3:$B$55,2,FALSE))),(C283*(VLOOKUP(Remodelacion!$C$23,Seguros_Oblig!$A$3:$D$55,4,FALSE))))</f>
        <v>#VALUE!</v>
      </c>
      <c r="H284" s="8" t="e">
        <f>IF(Remodelacion!$C$10="TARIFA 1",(C283*(VLOOKUP(Remodelacion!$C$24,Seguros_Oblig!$A$3:$B$55,2,FALSE))),(C283*(VLOOKUP(Remodelacion!$C$24,Seguros_Oblig!$A$3:$D$55,4,FALSE))))</f>
        <v>#VALUE!</v>
      </c>
      <c r="I284" s="8" t="e">
        <f>IF(Remodelacion!$C$10="TARIFA 1",(C283*(VLOOKUP(Remodelacion!$C$25,Seguros_Oblig!$A$3:$B$55,2,FALSE))),(C283*(VLOOKUP(Remodelacion!$C$25,Seguros_Oblig!$A$3:$D$55,4,FALSE))))</f>
        <v>#VALUE!</v>
      </c>
      <c r="J284" s="10">
        <f t="shared" si="26"/>
        <v>0</v>
      </c>
      <c r="K284" s="7" t="e">
        <f>IF(RM!$D$11="Si",0,IF(C283&lt;1,"0",Seguros_Oblig!$K$2*Remodelacion!$C$12))</f>
        <v>#VALUE!</v>
      </c>
      <c r="L284" s="7" t="e">
        <f>IF(B284=" ","0",PMT(Remodelacion!$E$17,Remodelacion!$C$18,-Remodelacion!$C$15,,))</f>
        <v>#VALUE!</v>
      </c>
      <c r="M284" s="9" t="e">
        <f t="shared" si="27"/>
        <v>#VALUE!</v>
      </c>
      <c r="N284" s="7" t="e">
        <f>IF(C283&lt;1,"0",Remodelacion!$C$38)</f>
        <v>#VALUE!</v>
      </c>
      <c r="O284" s="9" t="e">
        <f t="shared" si="28"/>
        <v>#VALUE!</v>
      </c>
    </row>
    <row r="285" spans="2:15" ht="15.5" hidden="1" x14ac:dyDescent="0.35">
      <c r="B285" s="6" t="e">
        <f t="shared" si="29"/>
        <v>#VALUE!</v>
      </c>
      <c r="C285" s="7" t="e">
        <f t="shared" si="25"/>
        <v>#VALUE!</v>
      </c>
      <c r="D285" s="7" t="e">
        <f t="shared" si="24"/>
        <v>#VALUE!</v>
      </c>
      <c r="E285" s="7" t="e">
        <f>C284*Remodelacion!$E$17</f>
        <v>#VALUE!</v>
      </c>
      <c r="F285" s="8" t="e">
        <f>IF(C284&lt;1,0,IF(Remodelacion!$D$26="Si",($C$17*(VLOOKUP(Remodelacion!$C$22,Seguros_Oblig!$A$3:$F$55,6,FALSE))),IF(Remodelacion!$C$10="TARIFA 1",(C284*(VLOOKUP(Remodelacion!$C$22,Seguros_Oblig!$A$3:$B$55,2,FALSE))),(C284*(VLOOKUP(Remodelacion!$C$22,Seguros_Oblig!$A$3:$D$55,4,FALSE))))))</f>
        <v>#VALUE!</v>
      </c>
      <c r="G285" s="8" t="e">
        <f>IF(Remodelacion!$C$10="TARIFA 1",(C284*(VLOOKUP(Remodelacion!$C$23,Seguros_Oblig!$A$3:$B$55,2,FALSE))),(C284*(VLOOKUP(Remodelacion!$C$23,Seguros_Oblig!$A$3:$D$55,4,FALSE))))</f>
        <v>#VALUE!</v>
      </c>
      <c r="H285" s="8" t="e">
        <f>IF(Remodelacion!$C$10="TARIFA 1",(C284*(VLOOKUP(Remodelacion!$C$24,Seguros_Oblig!$A$3:$B$55,2,FALSE))),(C284*(VLOOKUP(Remodelacion!$C$24,Seguros_Oblig!$A$3:$D$55,4,FALSE))))</f>
        <v>#VALUE!</v>
      </c>
      <c r="I285" s="8" t="e">
        <f>IF(Remodelacion!$C$10="TARIFA 1",(C284*(VLOOKUP(Remodelacion!$C$25,Seguros_Oblig!$A$3:$B$55,2,FALSE))),(C284*(VLOOKUP(Remodelacion!$C$25,Seguros_Oblig!$A$3:$D$55,4,FALSE))))</f>
        <v>#VALUE!</v>
      </c>
      <c r="J285" s="10">
        <f t="shared" si="26"/>
        <v>0</v>
      </c>
      <c r="K285" s="7" t="e">
        <f>IF(RM!$D$11="Si",0,IF(C284&lt;1,"0",Seguros_Oblig!$K$2*Remodelacion!$C$12))</f>
        <v>#VALUE!</v>
      </c>
      <c r="L285" s="7" t="e">
        <f>IF(B285=" ","0",PMT(Remodelacion!$E$17,Remodelacion!$C$18,-Remodelacion!$C$15,,))</f>
        <v>#VALUE!</v>
      </c>
      <c r="M285" s="9" t="e">
        <f t="shared" si="27"/>
        <v>#VALUE!</v>
      </c>
      <c r="N285" s="7" t="e">
        <f>IF(C284&lt;1,"0",Remodelacion!$C$38)</f>
        <v>#VALUE!</v>
      </c>
      <c r="O285" s="9" t="e">
        <f t="shared" si="28"/>
        <v>#VALUE!</v>
      </c>
    </row>
    <row r="286" spans="2:15" ht="15.5" hidden="1" x14ac:dyDescent="0.35">
      <c r="B286" s="6" t="e">
        <f t="shared" si="29"/>
        <v>#VALUE!</v>
      </c>
      <c r="C286" s="7" t="e">
        <f t="shared" si="25"/>
        <v>#VALUE!</v>
      </c>
      <c r="D286" s="7" t="e">
        <f t="shared" si="24"/>
        <v>#VALUE!</v>
      </c>
      <c r="E286" s="7" t="e">
        <f>C285*Remodelacion!$E$17</f>
        <v>#VALUE!</v>
      </c>
      <c r="F286" s="8" t="e">
        <f>IF(C285&lt;1,0,IF(Remodelacion!$D$26="Si",($C$17*(VLOOKUP(Remodelacion!$C$22,Seguros_Oblig!$A$3:$F$55,6,FALSE))),IF(Remodelacion!$C$10="TARIFA 1",(C285*(VLOOKUP(Remodelacion!$C$22,Seguros_Oblig!$A$3:$B$55,2,FALSE))),(C285*(VLOOKUP(Remodelacion!$C$22,Seguros_Oblig!$A$3:$D$55,4,FALSE))))))</f>
        <v>#VALUE!</v>
      </c>
      <c r="G286" s="8" t="e">
        <f>IF(Remodelacion!$C$10="TARIFA 1",(C285*(VLOOKUP(Remodelacion!$C$23,Seguros_Oblig!$A$3:$B$55,2,FALSE))),(C285*(VLOOKUP(Remodelacion!$C$23,Seguros_Oblig!$A$3:$D$55,4,FALSE))))</f>
        <v>#VALUE!</v>
      </c>
      <c r="H286" s="8" t="e">
        <f>IF(Remodelacion!$C$10="TARIFA 1",(C285*(VLOOKUP(Remodelacion!$C$24,Seguros_Oblig!$A$3:$B$55,2,FALSE))),(C285*(VLOOKUP(Remodelacion!$C$24,Seguros_Oblig!$A$3:$D$55,4,FALSE))))</f>
        <v>#VALUE!</v>
      </c>
      <c r="I286" s="8" t="e">
        <f>IF(Remodelacion!$C$10="TARIFA 1",(C285*(VLOOKUP(Remodelacion!$C$25,Seguros_Oblig!$A$3:$B$55,2,FALSE))),(C285*(VLOOKUP(Remodelacion!$C$25,Seguros_Oblig!$A$3:$D$55,4,FALSE))))</f>
        <v>#VALUE!</v>
      </c>
      <c r="J286" s="10">
        <f t="shared" si="26"/>
        <v>0</v>
      </c>
      <c r="K286" s="7" t="e">
        <f>IF(RM!$D$11="Si",0,IF(C285&lt;1,"0",Seguros_Oblig!$K$2*Remodelacion!$C$12))</f>
        <v>#VALUE!</v>
      </c>
      <c r="L286" s="7" t="e">
        <f>IF(B286=" ","0",PMT(Remodelacion!$E$17,Remodelacion!$C$18,-Remodelacion!$C$15,,))</f>
        <v>#VALUE!</v>
      </c>
      <c r="M286" s="9" t="e">
        <f t="shared" si="27"/>
        <v>#VALUE!</v>
      </c>
      <c r="N286" s="7" t="e">
        <f>IF(C285&lt;1,"0",Remodelacion!$C$38)</f>
        <v>#VALUE!</v>
      </c>
      <c r="O286" s="9" t="e">
        <f t="shared" si="28"/>
        <v>#VALUE!</v>
      </c>
    </row>
    <row r="287" spans="2:15" ht="15.5" hidden="1" x14ac:dyDescent="0.35">
      <c r="B287" s="6" t="e">
        <f t="shared" si="29"/>
        <v>#VALUE!</v>
      </c>
      <c r="C287" s="7" t="e">
        <f t="shared" si="25"/>
        <v>#VALUE!</v>
      </c>
      <c r="D287" s="7" t="e">
        <f t="shared" ref="D287:D350" si="30">IF(C286&lt;1,"0",L287-E287)</f>
        <v>#VALUE!</v>
      </c>
      <c r="E287" s="7" t="e">
        <f>C286*Remodelacion!$E$17</f>
        <v>#VALUE!</v>
      </c>
      <c r="F287" s="8" t="e">
        <f>IF(C286&lt;1,0,IF(Remodelacion!$D$26="Si",($C$17*(VLOOKUP(Remodelacion!$C$22,Seguros_Oblig!$A$3:$F$55,6,FALSE))),IF(Remodelacion!$C$10="TARIFA 1",(C286*(VLOOKUP(Remodelacion!$C$22,Seguros_Oblig!$A$3:$B$55,2,FALSE))),(C286*(VLOOKUP(Remodelacion!$C$22,Seguros_Oblig!$A$3:$D$55,4,FALSE))))))</f>
        <v>#VALUE!</v>
      </c>
      <c r="G287" s="8" t="e">
        <f>IF(Remodelacion!$C$10="TARIFA 1",(C286*(VLOOKUP(Remodelacion!$C$23,Seguros_Oblig!$A$3:$B$55,2,FALSE))),(C286*(VLOOKUP(Remodelacion!$C$23,Seguros_Oblig!$A$3:$D$55,4,FALSE))))</f>
        <v>#VALUE!</v>
      </c>
      <c r="H287" s="8" t="e">
        <f>IF(Remodelacion!$C$10="TARIFA 1",(C286*(VLOOKUP(Remodelacion!$C$24,Seguros_Oblig!$A$3:$B$55,2,FALSE))),(C286*(VLOOKUP(Remodelacion!$C$24,Seguros_Oblig!$A$3:$D$55,4,FALSE))))</f>
        <v>#VALUE!</v>
      </c>
      <c r="I287" s="8" t="e">
        <f>IF(Remodelacion!$C$10="TARIFA 1",(C286*(VLOOKUP(Remodelacion!$C$25,Seguros_Oblig!$A$3:$B$55,2,FALSE))),(C286*(VLOOKUP(Remodelacion!$C$25,Seguros_Oblig!$A$3:$D$55,4,FALSE))))</f>
        <v>#VALUE!</v>
      </c>
      <c r="J287" s="10">
        <f t="shared" si="26"/>
        <v>0</v>
      </c>
      <c r="K287" s="7" t="e">
        <f>IF(RM!$D$11="Si",0,IF(C286&lt;1,"0",Seguros_Oblig!$K$2*Remodelacion!$C$12))</f>
        <v>#VALUE!</v>
      </c>
      <c r="L287" s="7" t="e">
        <f>IF(B287=" ","0",PMT(Remodelacion!$E$17,Remodelacion!$C$18,-Remodelacion!$C$15,,))</f>
        <v>#VALUE!</v>
      </c>
      <c r="M287" s="9" t="e">
        <f t="shared" si="27"/>
        <v>#VALUE!</v>
      </c>
      <c r="N287" s="7" t="e">
        <f>IF(C286&lt;1,"0",Remodelacion!$C$38)</f>
        <v>#VALUE!</v>
      </c>
      <c r="O287" s="9" t="e">
        <f t="shared" si="28"/>
        <v>#VALUE!</v>
      </c>
    </row>
    <row r="288" spans="2:15" ht="15.5" hidden="1" x14ac:dyDescent="0.35">
      <c r="B288" s="6" t="e">
        <f t="shared" si="29"/>
        <v>#VALUE!</v>
      </c>
      <c r="C288" s="7" t="e">
        <f t="shared" si="25"/>
        <v>#VALUE!</v>
      </c>
      <c r="D288" s="7" t="e">
        <f t="shared" si="30"/>
        <v>#VALUE!</v>
      </c>
      <c r="E288" s="7" t="e">
        <f>C287*Remodelacion!$E$17</f>
        <v>#VALUE!</v>
      </c>
      <c r="F288" s="8" t="e">
        <f>IF(C287&lt;1,0,IF(Remodelacion!$D$26="Si",($C$17*(VLOOKUP(Remodelacion!$C$22,Seguros_Oblig!$A$3:$F$55,6,FALSE))),IF(Remodelacion!$C$10="TARIFA 1",(C287*(VLOOKUP(Remodelacion!$C$22,Seguros_Oblig!$A$3:$B$55,2,FALSE))),(C287*(VLOOKUP(Remodelacion!$C$22,Seguros_Oblig!$A$3:$D$55,4,FALSE))))))</f>
        <v>#VALUE!</v>
      </c>
      <c r="G288" s="8" t="e">
        <f>IF(Remodelacion!$C$10="TARIFA 1",(C287*(VLOOKUP(Remodelacion!$C$23,Seguros_Oblig!$A$3:$B$55,2,FALSE))),(C287*(VLOOKUP(Remodelacion!$C$23,Seguros_Oblig!$A$3:$D$55,4,FALSE))))</f>
        <v>#VALUE!</v>
      </c>
      <c r="H288" s="8" t="e">
        <f>IF(Remodelacion!$C$10="TARIFA 1",(C287*(VLOOKUP(Remodelacion!$C$24,Seguros_Oblig!$A$3:$B$55,2,FALSE))),(C287*(VLOOKUP(Remodelacion!$C$24,Seguros_Oblig!$A$3:$D$55,4,FALSE))))</f>
        <v>#VALUE!</v>
      </c>
      <c r="I288" s="8" t="e">
        <f>IF(Remodelacion!$C$10="TARIFA 1",(C287*(VLOOKUP(Remodelacion!$C$25,Seguros_Oblig!$A$3:$B$55,2,FALSE))),(C287*(VLOOKUP(Remodelacion!$C$25,Seguros_Oblig!$A$3:$D$55,4,FALSE))))</f>
        <v>#VALUE!</v>
      </c>
      <c r="J288" s="10">
        <f t="shared" si="26"/>
        <v>0</v>
      </c>
      <c r="K288" s="7" t="e">
        <f>IF(RM!$D$11="Si",0,IF(C287&lt;1,"0",Seguros_Oblig!$K$2*Remodelacion!$C$12))</f>
        <v>#VALUE!</v>
      </c>
      <c r="L288" s="7" t="e">
        <f>IF(B288=" ","0",PMT(Remodelacion!$E$17,Remodelacion!$C$18,-Remodelacion!$C$15,,))</f>
        <v>#VALUE!</v>
      </c>
      <c r="M288" s="9" t="e">
        <f t="shared" si="27"/>
        <v>#VALUE!</v>
      </c>
      <c r="N288" s="7" t="e">
        <f>IF(C287&lt;1,"0",Remodelacion!$C$38)</f>
        <v>#VALUE!</v>
      </c>
      <c r="O288" s="9" t="e">
        <f t="shared" si="28"/>
        <v>#VALUE!</v>
      </c>
    </row>
    <row r="289" spans="2:15" ht="15.5" hidden="1" x14ac:dyDescent="0.35">
      <c r="B289" s="6" t="e">
        <f t="shared" si="29"/>
        <v>#VALUE!</v>
      </c>
      <c r="C289" s="7" t="e">
        <f t="shared" si="25"/>
        <v>#VALUE!</v>
      </c>
      <c r="D289" s="7" t="e">
        <f t="shared" si="30"/>
        <v>#VALUE!</v>
      </c>
      <c r="E289" s="7" t="e">
        <f>C288*Remodelacion!$E$17</f>
        <v>#VALUE!</v>
      </c>
      <c r="F289" s="8" t="e">
        <f>IF(C288&lt;1,0,IF(Remodelacion!$D$26="Si",($C$17*(VLOOKUP(Remodelacion!$C$22,Seguros_Oblig!$A$3:$F$55,6,FALSE))),IF(Remodelacion!$C$10="TARIFA 1",(C288*(VLOOKUP(Remodelacion!$C$22,Seguros_Oblig!$A$3:$B$55,2,FALSE))),(C288*(VLOOKUP(Remodelacion!$C$22,Seguros_Oblig!$A$3:$D$55,4,FALSE))))))</f>
        <v>#VALUE!</v>
      </c>
      <c r="G289" s="8" t="e">
        <f>IF(Remodelacion!$C$10="TARIFA 1",(C288*(VLOOKUP(Remodelacion!$C$23,Seguros_Oblig!$A$3:$B$55,2,FALSE))),(C288*(VLOOKUP(Remodelacion!$C$23,Seguros_Oblig!$A$3:$D$55,4,FALSE))))</f>
        <v>#VALUE!</v>
      </c>
      <c r="H289" s="8" t="e">
        <f>IF(Remodelacion!$C$10="TARIFA 1",(C288*(VLOOKUP(Remodelacion!$C$24,Seguros_Oblig!$A$3:$B$55,2,FALSE))),(C288*(VLOOKUP(Remodelacion!$C$24,Seguros_Oblig!$A$3:$D$55,4,FALSE))))</f>
        <v>#VALUE!</v>
      </c>
      <c r="I289" s="8" t="e">
        <f>IF(Remodelacion!$C$10="TARIFA 1",(C288*(VLOOKUP(Remodelacion!$C$25,Seguros_Oblig!$A$3:$B$55,2,FALSE))),(C288*(VLOOKUP(Remodelacion!$C$25,Seguros_Oblig!$A$3:$D$55,4,FALSE))))</f>
        <v>#VALUE!</v>
      </c>
      <c r="J289" s="10">
        <f t="shared" si="26"/>
        <v>0</v>
      </c>
      <c r="K289" s="7" t="e">
        <f>IF(RM!$D$11="Si",0,IF(C288&lt;1,"0",Seguros_Oblig!$K$2*Remodelacion!$C$12))</f>
        <v>#VALUE!</v>
      </c>
      <c r="L289" s="7" t="e">
        <f>IF(B289=" ","0",PMT(Remodelacion!$E$17,Remodelacion!$C$18,-Remodelacion!$C$15,,))</f>
        <v>#VALUE!</v>
      </c>
      <c r="M289" s="9" t="e">
        <f t="shared" si="27"/>
        <v>#VALUE!</v>
      </c>
      <c r="N289" s="7" t="e">
        <f>IF(C288&lt;1,"0",Remodelacion!$C$38)</f>
        <v>#VALUE!</v>
      </c>
      <c r="O289" s="9" t="e">
        <f t="shared" si="28"/>
        <v>#VALUE!</v>
      </c>
    </row>
    <row r="290" spans="2:15" ht="15.5" hidden="1" x14ac:dyDescent="0.35">
      <c r="B290" s="6" t="e">
        <f t="shared" si="29"/>
        <v>#VALUE!</v>
      </c>
      <c r="C290" s="7" t="e">
        <f t="shared" si="25"/>
        <v>#VALUE!</v>
      </c>
      <c r="D290" s="7" t="e">
        <f t="shared" si="30"/>
        <v>#VALUE!</v>
      </c>
      <c r="E290" s="7" t="e">
        <f>C289*Remodelacion!$E$17</f>
        <v>#VALUE!</v>
      </c>
      <c r="F290" s="8" t="e">
        <f>IF(C289&lt;1,0,IF(Remodelacion!$D$26="Si",($C$17*(VLOOKUP(Remodelacion!$C$22,Seguros_Oblig!$A$3:$F$55,6,FALSE))),IF(Remodelacion!$C$10="TARIFA 1",(C289*(VLOOKUP(Remodelacion!$C$22,Seguros_Oblig!$A$3:$B$55,2,FALSE))),(C289*(VLOOKUP(Remodelacion!$C$22,Seguros_Oblig!$A$3:$D$55,4,FALSE))))))</f>
        <v>#VALUE!</v>
      </c>
      <c r="G290" s="8" t="e">
        <f>IF(Remodelacion!$C$10="TARIFA 1",(C289*(VLOOKUP(Remodelacion!$C$23,Seguros_Oblig!$A$3:$B$55,2,FALSE))),(C289*(VLOOKUP(Remodelacion!$C$23,Seguros_Oblig!$A$3:$D$55,4,FALSE))))</f>
        <v>#VALUE!</v>
      </c>
      <c r="H290" s="8" t="e">
        <f>IF(Remodelacion!$C$10="TARIFA 1",(C289*(VLOOKUP(Remodelacion!$C$24,Seguros_Oblig!$A$3:$B$55,2,FALSE))),(C289*(VLOOKUP(Remodelacion!$C$24,Seguros_Oblig!$A$3:$D$55,4,FALSE))))</f>
        <v>#VALUE!</v>
      </c>
      <c r="I290" s="8" t="e">
        <f>IF(Remodelacion!$C$10="TARIFA 1",(C289*(VLOOKUP(Remodelacion!$C$25,Seguros_Oblig!$A$3:$B$55,2,FALSE))),(C289*(VLOOKUP(Remodelacion!$C$25,Seguros_Oblig!$A$3:$D$55,4,FALSE))))</f>
        <v>#VALUE!</v>
      </c>
      <c r="J290" s="10">
        <f t="shared" si="26"/>
        <v>0</v>
      </c>
      <c r="K290" s="7" t="e">
        <f>IF(RM!$D$11="Si",0,IF(C289&lt;1,"0",Seguros_Oblig!$K$2*Remodelacion!$C$12))</f>
        <v>#VALUE!</v>
      </c>
      <c r="L290" s="7" t="e">
        <f>IF(B290=" ","0",PMT(Remodelacion!$E$17,Remodelacion!$C$18,-Remodelacion!$C$15,,))</f>
        <v>#VALUE!</v>
      </c>
      <c r="M290" s="9" t="e">
        <f t="shared" si="27"/>
        <v>#VALUE!</v>
      </c>
      <c r="N290" s="7" t="e">
        <f>IF(C289&lt;1,"0",Remodelacion!$C$38)</f>
        <v>#VALUE!</v>
      </c>
      <c r="O290" s="9" t="e">
        <f t="shared" si="28"/>
        <v>#VALUE!</v>
      </c>
    </row>
    <row r="291" spans="2:15" ht="15.5" hidden="1" x14ac:dyDescent="0.35">
      <c r="B291" s="6" t="e">
        <f t="shared" si="29"/>
        <v>#VALUE!</v>
      </c>
      <c r="C291" s="7" t="e">
        <f t="shared" si="25"/>
        <v>#VALUE!</v>
      </c>
      <c r="D291" s="7" t="e">
        <f t="shared" si="30"/>
        <v>#VALUE!</v>
      </c>
      <c r="E291" s="7" t="e">
        <f>C290*Remodelacion!$E$17</f>
        <v>#VALUE!</v>
      </c>
      <c r="F291" s="8" t="e">
        <f>IF(C290&lt;1,0,IF(Remodelacion!$D$26="Si",($C$17*(VLOOKUP(Remodelacion!$C$22,Seguros_Oblig!$A$3:$F$55,6,FALSE))),IF(Remodelacion!$C$10="TARIFA 1",(C290*(VLOOKUP(Remodelacion!$C$22,Seguros_Oblig!$A$3:$B$55,2,FALSE))),(C290*(VLOOKUP(Remodelacion!$C$22,Seguros_Oblig!$A$3:$D$55,4,FALSE))))))</f>
        <v>#VALUE!</v>
      </c>
      <c r="G291" s="8" t="e">
        <f>IF(Remodelacion!$C$10="TARIFA 1",(C290*(VLOOKUP(Remodelacion!$C$23,Seguros_Oblig!$A$3:$B$55,2,FALSE))),(C290*(VLOOKUP(Remodelacion!$C$23,Seguros_Oblig!$A$3:$D$55,4,FALSE))))</f>
        <v>#VALUE!</v>
      </c>
      <c r="H291" s="8" t="e">
        <f>IF(Remodelacion!$C$10="TARIFA 1",(C290*(VLOOKUP(Remodelacion!$C$24,Seguros_Oblig!$A$3:$B$55,2,FALSE))),(C290*(VLOOKUP(Remodelacion!$C$24,Seguros_Oblig!$A$3:$D$55,4,FALSE))))</f>
        <v>#VALUE!</v>
      </c>
      <c r="I291" s="8" t="e">
        <f>IF(Remodelacion!$C$10="TARIFA 1",(C290*(VLOOKUP(Remodelacion!$C$25,Seguros_Oblig!$A$3:$B$55,2,FALSE))),(C290*(VLOOKUP(Remodelacion!$C$25,Seguros_Oblig!$A$3:$D$55,4,FALSE))))</f>
        <v>#VALUE!</v>
      </c>
      <c r="J291" s="10">
        <f t="shared" si="26"/>
        <v>0</v>
      </c>
      <c r="K291" s="7" t="e">
        <f>IF(RM!$D$11="Si",0,IF(C290&lt;1,"0",Seguros_Oblig!$K$2*Remodelacion!$C$12))</f>
        <v>#VALUE!</v>
      </c>
      <c r="L291" s="7" t="e">
        <f>IF(B291=" ","0",PMT(Remodelacion!$E$17,Remodelacion!$C$18,-Remodelacion!$C$15,,))</f>
        <v>#VALUE!</v>
      </c>
      <c r="M291" s="9" t="e">
        <f t="shared" si="27"/>
        <v>#VALUE!</v>
      </c>
      <c r="N291" s="7" t="e">
        <f>IF(C290&lt;1,"0",Remodelacion!$C$38)</f>
        <v>#VALUE!</v>
      </c>
      <c r="O291" s="9" t="e">
        <f t="shared" si="28"/>
        <v>#VALUE!</v>
      </c>
    </row>
    <row r="292" spans="2:15" ht="15.5" hidden="1" x14ac:dyDescent="0.35">
      <c r="B292" s="6" t="e">
        <f t="shared" si="29"/>
        <v>#VALUE!</v>
      </c>
      <c r="C292" s="7" t="e">
        <f t="shared" si="25"/>
        <v>#VALUE!</v>
      </c>
      <c r="D292" s="7" t="e">
        <f t="shared" si="30"/>
        <v>#VALUE!</v>
      </c>
      <c r="E292" s="7" t="e">
        <f>C291*Remodelacion!$E$17</f>
        <v>#VALUE!</v>
      </c>
      <c r="F292" s="8" t="e">
        <f>IF(C291&lt;1,0,IF(Remodelacion!$D$26="Si",($C$17*(VLOOKUP(Remodelacion!$C$22,Seguros_Oblig!$A$3:$F$55,6,FALSE))),IF(Remodelacion!$C$10="TARIFA 1",(C291*(VLOOKUP(Remodelacion!$C$22,Seguros_Oblig!$A$3:$B$55,2,FALSE))),(C291*(VLOOKUP(Remodelacion!$C$22,Seguros_Oblig!$A$3:$D$55,4,FALSE))))))</f>
        <v>#VALUE!</v>
      </c>
      <c r="G292" s="8" t="e">
        <f>IF(Remodelacion!$C$10="TARIFA 1",(C291*(VLOOKUP(Remodelacion!$C$23,Seguros_Oblig!$A$3:$B$55,2,FALSE))),(C291*(VLOOKUP(Remodelacion!$C$23,Seguros_Oblig!$A$3:$D$55,4,FALSE))))</f>
        <v>#VALUE!</v>
      </c>
      <c r="H292" s="8" t="e">
        <f>IF(Remodelacion!$C$10="TARIFA 1",(C291*(VLOOKUP(Remodelacion!$C$24,Seguros_Oblig!$A$3:$B$55,2,FALSE))),(C291*(VLOOKUP(Remodelacion!$C$24,Seguros_Oblig!$A$3:$D$55,4,FALSE))))</f>
        <v>#VALUE!</v>
      </c>
      <c r="I292" s="8" t="e">
        <f>IF(Remodelacion!$C$10="TARIFA 1",(C291*(VLOOKUP(Remodelacion!$C$25,Seguros_Oblig!$A$3:$B$55,2,FALSE))),(C291*(VLOOKUP(Remodelacion!$C$25,Seguros_Oblig!$A$3:$D$55,4,FALSE))))</f>
        <v>#VALUE!</v>
      </c>
      <c r="J292" s="10">
        <f t="shared" si="26"/>
        <v>0</v>
      </c>
      <c r="K292" s="7" t="e">
        <f>IF(RM!$D$11="Si",0,IF(C291&lt;1,"0",Seguros_Oblig!$K$2*Remodelacion!$C$12))</f>
        <v>#VALUE!</v>
      </c>
      <c r="L292" s="7" t="e">
        <f>IF(B292=" ","0",PMT(Remodelacion!$E$17,Remodelacion!$C$18,-Remodelacion!$C$15,,))</f>
        <v>#VALUE!</v>
      </c>
      <c r="M292" s="9" t="e">
        <f t="shared" si="27"/>
        <v>#VALUE!</v>
      </c>
      <c r="N292" s="7" t="e">
        <f>IF(C291&lt;1,"0",Remodelacion!$C$38)</f>
        <v>#VALUE!</v>
      </c>
      <c r="O292" s="9" t="e">
        <f t="shared" si="28"/>
        <v>#VALUE!</v>
      </c>
    </row>
    <row r="293" spans="2:15" ht="15.5" hidden="1" x14ac:dyDescent="0.35">
      <c r="B293" s="6" t="e">
        <f t="shared" si="29"/>
        <v>#VALUE!</v>
      </c>
      <c r="C293" s="7" t="e">
        <f t="shared" si="25"/>
        <v>#VALUE!</v>
      </c>
      <c r="D293" s="7" t="e">
        <f t="shared" si="30"/>
        <v>#VALUE!</v>
      </c>
      <c r="E293" s="7" t="e">
        <f>C292*Remodelacion!$E$17</f>
        <v>#VALUE!</v>
      </c>
      <c r="F293" s="8" t="e">
        <f>IF(C292&lt;1,0,IF(Remodelacion!$D$26="Si",($C$17*(VLOOKUP(Remodelacion!$C$22,Seguros_Oblig!$A$3:$F$55,6,FALSE))),IF(Remodelacion!$C$10="TARIFA 1",(C292*(VLOOKUP(Remodelacion!$C$22,Seguros_Oblig!$A$3:$B$55,2,FALSE))),(C292*(VLOOKUP(Remodelacion!$C$22,Seguros_Oblig!$A$3:$D$55,4,FALSE))))))</f>
        <v>#VALUE!</v>
      </c>
      <c r="G293" s="8" t="e">
        <f>IF(Remodelacion!$C$10="TARIFA 1",(C292*(VLOOKUP(Remodelacion!$C$23,Seguros_Oblig!$A$3:$B$55,2,FALSE))),(C292*(VLOOKUP(Remodelacion!$C$23,Seguros_Oblig!$A$3:$D$55,4,FALSE))))</f>
        <v>#VALUE!</v>
      </c>
      <c r="H293" s="8" t="e">
        <f>IF(Remodelacion!$C$10="TARIFA 1",(C292*(VLOOKUP(Remodelacion!$C$24,Seguros_Oblig!$A$3:$B$55,2,FALSE))),(C292*(VLOOKUP(Remodelacion!$C$24,Seguros_Oblig!$A$3:$D$55,4,FALSE))))</f>
        <v>#VALUE!</v>
      </c>
      <c r="I293" s="8" t="e">
        <f>IF(Remodelacion!$C$10="TARIFA 1",(C292*(VLOOKUP(Remodelacion!$C$25,Seguros_Oblig!$A$3:$B$55,2,FALSE))),(C292*(VLOOKUP(Remodelacion!$C$25,Seguros_Oblig!$A$3:$D$55,4,FALSE))))</f>
        <v>#VALUE!</v>
      </c>
      <c r="J293" s="10">
        <f t="shared" si="26"/>
        <v>0</v>
      </c>
      <c r="K293" s="7" t="e">
        <f>IF(RM!$D$11="Si",0,IF(C292&lt;1,"0",Seguros_Oblig!$K$2*Remodelacion!$C$12))</f>
        <v>#VALUE!</v>
      </c>
      <c r="L293" s="7" t="e">
        <f>IF(B293=" ","0",PMT(Remodelacion!$E$17,Remodelacion!$C$18,-Remodelacion!$C$15,,))</f>
        <v>#VALUE!</v>
      </c>
      <c r="M293" s="9" t="e">
        <f t="shared" si="27"/>
        <v>#VALUE!</v>
      </c>
      <c r="N293" s="7" t="e">
        <f>IF(C292&lt;1,"0",Remodelacion!$C$38)</f>
        <v>#VALUE!</v>
      </c>
      <c r="O293" s="9" t="e">
        <f t="shared" si="28"/>
        <v>#VALUE!</v>
      </c>
    </row>
    <row r="294" spans="2:15" ht="15.5" hidden="1" x14ac:dyDescent="0.35">
      <c r="B294" s="6" t="e">
        <f t="shared" si="29"/>
        <v>#VALUE!</v>
      </c>
      <c r="C294" s="7" t="e">
        <f t="shared" si="25"/>
        <v>#VALUE!</v>
      </c>
      <c r="D294" s="7" t="e">
        <f t="shared" si="30"/>
        <v>#VALUE!</v>
      </c>
      <c r="E294" s="7" t="e">
        <f>C293*Remodelacion!$E$17</f>
        <v>#VALUE!</v>
      </c>
      <c r="F294" s="8" t="e">
        <f>IF(C293&lt;1,0,IF(Remodelacion!$D$26="Si",($C$17*(VLOOKUP(Remodelacion!$C$22,Seguros_Oblig!$A$3:$F$55,6,FALSE))),IF(Remodelacion!$C$10="TARIFA 1",(C293*(VLOOKUP(Remodelacion!$C$22,Seguros_Oblig!$A$3:$B$55,2,FALSE))),(C293*(VLOOKUP(Remodelacion!$C$22,Seguros_Oblig!$A$3:$D$55,4,FALSE))))))</f>
        <v>#VALUE!</v>
      </c>
      <c r="G294" s="8" t="e">
        <f>IF(Remodelacion!$C$10="TARIFA 1",(C293*(VLOOKUP(Remodelacion!$C$23,Seguros_Oblig!$A$3:$B$55,2,FALSE))),(C293*(VLOOKUP(Remodelacion!$C$23,Seguros_Oblig!$A$3:$D$55,4,FALSE))))</f>
        <v>#VALUE!</v>
      </c>
      <c r="H294" s="8" t="e">
        <f>IF(Remodelacion!$C$10="TARIFA 1",(C293*(VLOOKUP(Remodelacion!$C$24,Seguros_Oblig!$A$3:$B$55,2,FALSE))),(C293*(VLOOKUP(Remodelacion!$C$24,Seguros_Oblig!$A$3:$D$55,4,FALSE))))</f>
        <v>#VALUE!</v>
      </c>
      <c r="I294" s="8" t="e">
        <f>IF(Remodelacion!$C$10="TARIFA 1",(C293*(VLOOKUP(Remodelacion!$C$25,Seguros_Oblig!$A$3:$B$55,2,FALSE))),(C293*(VLOOKUP(Remodelacion!$C$25,Seguros_Oblig!$A$3:$D$55,4,FALSE))))</f>
        <v>#VALUE!</v>
      </c>
      <c r="J294" s="10">
        <f t="shared" si="26"/>
        <v>0</v>
      </c>
      <c r="K294" s="7" t="e">
        <f>IF(RM!$D$11="Si",0,IF(C293&lt;1,"0",Seguros_Oblig!$K$2*Remodelacion!$C$12))</f>
        <v>#VALUE!</v>
      </c>
      <c r="L294" s="7" t="e">
        <f>IF(B294=" ","0",PMT(Remodelacion!$E$17,Remodelacion!$C$18,-Remodelacion!$C$15,,))</f>
        <v>#VALUE!</v>
      </c>
      <c r="M294" s="9" t="e">
        <f t="shared" si="27"/>
        <v>#VALUE!</v>
      </c>
      <c r="N294" s="7" t="e">
        <f>IF(C293&lt;1,"0",Remodelacion!$C$38)</f>
        <v>#VALUE!</v>
      </c>
      <c r="O294" s="9" t="e">
        <f t="shared" si="28"/>
        <v>#VALUE!</v>
      </c>
    </row>
    <row r="295" spans="2:15" ht="15.5" hidden="1" x14ac:dyDescent="0.35">
      <c r="B295" s="6" t="e">
        <f t="shared" si="29"/>
        <v>#VALUE!</v>
      </c>
      <c r="C295" s="7" t="e">
        <f t="shared" si="25"/>
        <v>#VALUE!</v>
      </c>
      <c r="D295" s="7" t="e">
        <f t="shared" si="30"/>
        <v>#VALUE!</v>
      </c>
      <c r="E295" s="7" t="e">
        <f>C294*Remodelacion!$E$17</f>
        <v>#VALUE!</v>
      </c>
      <c r="F295" s="8" t="e">
        <f>IF(C294&lt;1,0,IF(Remodelacion!$D$26="Si",($C$17*(VLOOKUP(Remodelacion!$C$22,Seguros_Oblig!$A$3:$F$55,6,FALSE))),IF(Remodelacion!$C$10="TARIFA 1",(C294*(VLOOKUP(Remodelacion!$C$22,Seguros_Oblig!$A$3:$B$55,2,FALSE))),(C294*(VLOOKUP(Remodelacion!$C$22,Seguros_Oblig!$A$3:$D$55,4,FALSE))))))</f>
        <v>#VALUE!</v>
      </c>
      <c r="G295" s="8" t="e">
        <f>IF(Remodelacion!$C$10="TARIFA 1",(C294*(VLOOKUP(Remodelacion!$C$23,Seguros_Oblig!$A$3:$B$55,2,FALSE))),(C294*(VLOOKUP(Remodelacion!$C$23,Seguros_Oblig!$A$3:$D$55,4,FALSE))))</f>
        <v>#VALUE!</v>
      </c>
      <c r="H295" s="8" t="e">
        <f>IF(Remodelacion!$C$10="TARIFA 1",(C294*(VLOOKUP(Remodelacion!$C$24,Seguros_Oblig!$A$3:$B$55,2,FALSE))),(C294*(VLOOKUP(Remodelacion!$C$24,Seguros_Oblig!$A$3:$D$55,4,FALSE))))</f>
        <v>#VALUE!</v>
      </c>
      <c r="I295" s="8" t="e">
        <f>IF(Remodelacion!$C$10="TARIFA 1",(C294*(VLOOKUP(Remodelacion!$C$25,Seguros_Oblig!$A$3:$B$55,2,FALSE))),(C294*(VLOOKUP(Remodelacion!$C$25,Seguros_Oblig!$A$3:$D$55,4,FALSE))))</f>
        <v>#VALUE!</v>
      </c>
      <c r="J295" s="10">
        <f t="shared" si="26"/>
        <v>0</v>
      </c>
      <c r="K295" s="7" t="e">
        <f>IF(RM!$D$11="Si",0,IF(C294&lt;1,"0",Seguros_Oblig!$K$2*Remodelacion!$C$12))</f>
        <v>#VALUE!</v>
      </c>
      <c r="L295" s="7" t="e">
        <f>IF(B295=" ","0",PMT(Remodelacion!$E$17,Remodelacion!$C$18,-Remodelacion!$C$15,,))</f>
        <v>#VALUE!</v>
      </c>
      <c r="M295" s="9" t="e">
        <f t="shared" si="27"/>
        <v>#VALUE!</v>
      </c>
      <c r="N295" s="7" t="e">
        <f>IF(C294&lt;1,"0",Remodelacion!$C$38)</f>
        <v>#VALUE!</v>
      </c>
      <c r="O295" s="9" t="e">
        <f t="shared" si="28"/>
        <v>#VALUE!</v>
      </c>
    </row>
    <row r="296" spans="2:15" ht="15.5" hidden="1" x14ac:dyDescent="0.35">
      <c r="B296" s="6" t="e">
        <f t="shared" si="29"/>
        <v>#VALUE!</v>
      </c>
      <c r="C296" s="7" t="e">
        <f t="shared" si="25"/>
        <v>#VALUE!</v>
      </c>
      <c r="D296" s="7" t="e">
        <f t="shared" si="30"/>
        <v>#VALUE!</v>
      </c>
      <c r="E296" s="7" t="e">
        <f>C295*Remodelacion!$E$17</f>
        <v>#VALUE!</v>
      </c>
      <c r="F296" s="8" t="e">
        <f>IF(C295&lt;1,0,IF(Remodelacion!$D$26="Si",($C$17*(VLOOKUP(Remodelacion!$C$22,Seguros_Oblig!$A$3:$F$55,6,FALSE))),IF(Remodelacion!$C$10="TARIFA 1",(C295*(VLOOKUP(Remodelacion!$C$22,Seguros_Oblig!$A$3:$B$55,2,FALSE))),(C295*(VLOOKUP(Remodelacion!$C$22,Seguros_Oblig!$A$3:$D$55,4,FALSE))))))</f>
        <v>#VALUE!</v>
      </c>
      <c r="G296" s="8" t="e">
        <f>IF(Remodelacion!$C$10="TARIFA 1",(C295*(VLOOKUP(Remodelacion!$C$23,Seguros_Oblig!$A$3:$B$55,2,FALSE))),(C295*(VLOOKUP(Remodelacion!$C$23,Seguros_Oblig!$A$3:$D$55,4,FALSE))))</f>
        <v>#VALUE!</v>
      </c>
      <c r="H296" s="8" t="e">
        <f>IF(Remodelacion!$C$10="TARIFA 1",(C295*(VLOOKUP(Remodelacion!$C$24,Seguros_Oblig!$A$3:$B$55,2,FALSE))),(C295*(VLOOKUP(Remodelacion!$C$24,Seguros_Oblig!$A$3:$D$55,4,FALSE))))</f>
        <v>#VALUE!</v>
      </c>
      <c r="I296" s="8" t="e">
        <f>IF(Remodelacion!$C$10="TARIFA 1",(C295*(VLOOKUP(Remodelacion!$C$25,Seguros_Oblig!$A$3:$B$55,2,FALSE))),(C295*(VLOOKUP(Remodelacion!$C$25,Seguros_Oblig!$A$3:$D$55,4,FALSE))))</f>
        <v>#VALUE!</v>
      </c>
      <c r="J296" s="10">
        <f t="shared" si="26"/>
        <v>0</v>
      </c>
      <c r="K296" s="7" t="e">
        <f>IF(RM!$D$11="Si",0,IF(C295&lt;1,"0",Seguros_Oblig!$K$2*Remodelacion!$C$12))</f>
        <v>#VALUE!</v>
      </c>
      <c r="L296" s="7" t="e">
        <f>IF(B296=" ","0",PMT(Remodelacion!$E$17,Remodelacion!$C$18,-Remodelacion!$C$15,,))</f>
        <v>#VALUE!</v>
      </c>
      <c r="M296" s="9" t="e">
        <f t="shared" si="27"/>
        <v>#VALUE!</v>
      </c>
      <c r="N296" s="7" t="e">
        <f>IF(C295&lt;1,"0",Remodelacion!$C$38)</f>
        <v>#VALUE!</v>
      </c>
      <c r="O296" s="9" t="e">
        <f t="shared" si="28"/>
        <v>#VALUE!</v>
      </c>
    </row>
    <row r="297" spans="2:15" ht="15.5" hidden="1" x14ac:dyDescent="0.35">
      <c r="B297" s="6" t="e">
        <f t="shared" si="29"/>
        <v>#VALUE!</v>
      </c>
      <c r="C297" s="7" t="e">
        <f t="shared" si="25"/>
        <v>#VALUE!</v>
      </c>
      <c r="D297" s="7" t="e">
        <f t="shared" si="30"/>
        <v>#VALUE!</v>
      </c>
      <c r="E297" s="7" t="e">
        <f>C296*Remodelacion!$E$17</f>
        <v>#VALUE!</v>
      </c>
      <c r="F297" s="8" t="e">
        <f>IF(C296&lt;1,0,IF(Remodelacion!$D$26="Si",($C$17*(VLOOKUP(Remodelacion!$C$22,Seguros_Oblig!$A$3:$F$55,6,FALSE))),IF(Remodelacion!$C$10="TARIFA 1",(C296*(VLOOKUP(Remodelacion!$C$22,Seguros_Oblig!$A$3:$B$55,2,FALSE))),(C296*(VLOOKUP(Remodelacion!$C$22,Seguros_Oblig!$A$3:$D$55,4,FALSE))))))</f>
        <v>#VALUE!</v>
      </c>
      <c r="G297" s="8" t="e">
        <f>IF(Remodelacion!$C$10="TARIFA 1",(C296*(VLOOKUP(Remodelacion!$C$23,Seguros_Oblig!$A$3:$B$55,2,FALSE))),(C296*(VLOOKUP(Remodelacion!$C$23,Seguros_Oblig!$A$3:$D$55,4,FALSE))))</f>
        <v>#VALUE!</v>
      </c>
      <c r="H297" s="8" t="e">
        <f>IF(Remodelacion!$C$10="TARIFA 1",(C296*(VLOOKUP(Remodelacion!$C$24,Seguros_Oblig!$A$3:$B$55,2,FALSE))),(C296*(VLOOKUP(Remodelacion!$C$24,Seguros_Oblig!$A$3:$D$55,4,FALSE))))</f>
        <v>#VALUE!</v>
      </c>
      <c r="I297" s="8" t="e">
        <f>IF(Remodelacion!$C$10="TARIFA 1",(C296*(VLOOKUP(Remodelacion!$C$25,Seguros_Oblig!$A$3:$B$55,2,FALSE))),(C296*(VLOOKUP(Remodelacion!$C$25,Seguros_Oblig!$A$3:$D$55,4,FALSE))))</f>
        <v>#VALUE!</v>
      </c>
      <c r="J297" s="10">
        <f t="shared" si="26"/>
        <v>0</v>
      </c>
      <c r="K297" s="7" t="e">
        <f>IF(RM!$D$11="Si",0,IF(C296&lt;1,"0",Seguros_Oblig!$K$2*Remodelacion!$C$12))</f>
        <v>#VALUE!</v>
      </c>
      <c r="L297" s="7" t="e">
        <f>IF(B297=" ","0",PMT(Remodelacion!$E$17,Remodelacion!$C$18,-Remodelacion!$C$15,,))</f>
        <v>#VALUE!</v>
      </c>
      <c r="M297" s="9" t="e">
        <f t="shared" si="27"/>
        <v>#VALUE!</v>
      </c>
      <c r="N297" s="7" t="e">
        <f>IF(C296&lt;1,"0",Remodelacion!$C$38)</f>
        <v>#VALUE!</v>
      </c>
      <c r="O297" s="9" t="e">
        <f t="shared" si="28"/>
        <v>#VALUE!</v>
      </c>
    </row>
    <row r="298" spans="2:15" ht="15.5" hidden="1" x14ac:dyDescent="0.35">
      <c r="B298" s="6" t="e">
        <f t="shared" si="29"/>
        <v>#VALUE!</v>
      </c>
      <c r="C298" s="7" t="e">
        <f t="shared" si="25"/>
        <v>#VALUE!</v>
      </c>
      <c r="D298" s="7" t="e">
        <f t="shared" si="30"/>
        <v>#VALUE!</v>
      </c>
      <c r="E298" s="7" t="e">
        <f>C297*Remodelacion!$E$17</f>
        <v>#VALUE!</v>
      </c>
      <c r="F298" s="8" t="e">
        <f>IF(C297&lt;1,0,IF(Remodelacion!$D$26="Si",($C$17*(VLOOKUP(Remodelacion!$C$22,Seguros_Oblig!$A$3:$F$55,6,FALSE))),IF(Remodelacion!$C$10="TARIFA 1",(C297*(VLOOKUP(Remodelacion!$C$22,Seguros_Oblig!$A$3:$B$55,2,FALSE))),(C297*(VLOOKUP(Remodelacion!$C$22,Seguros_Oblig!$A$3:$D$55,4,FALSE))))))</f>
        <v>#VALUE!</v>
      </c>
      <c r="G298" s="8" t="e">
        <f>IF(Remodelacion!$C$10="TARIFA 1",(C297*(VLOOKUP(Remodelacion!$C$23,Seguros_Oblig!$A$3:$B$55,2,FALSE))),(C297*(VLOOKUP(Remodelacion!$C$23,Seguros_Oblig!$A$3:$D$55,4,FALSE))))</f>
        <v>#VALUE!</v>
      </c>
      <c r="H298" s="8" t="e">
        <f>IF(Remodelacion!$C$10="TARIFA 1",(C297*(VLOOKUP(Remodelacion!$C$24,Seguros_Oblig!$A$3:$B$55,2,FALSE))),(C297*(VLOOKUP(Remodelacion!$C$24,Seguros_Oblig!$A$3:$D$55,4,FALSE))))</f>
        <v>#VALUE!</v>
      </c>
      <c r="I298" s="8" t="e">
        <f>IF(Remodelacion!$C$10="TARIFA 1",(C297*(VLOOKUP(Remodelacion!$C$25,Seguros_Oblig!$A$3:$B$55,2,FALSE))),(C297*(VLOOKUP(Remodelacion!$C$25,Seguros_Oblig!$A$3:$D$55,4,FALSE))))</f>
        <v>#VALUE!</v>
      </c>
      <c r="J298" s="10">
        <f t="shared" si="26"/>
        <v>0</v>
      </c>
      <c r="K298" s="7" t="e">
        <f>IF(RM!$D$11="Si",0,IF(C297&lt;1,"0",Seguros_Oblig!$K$2*Remodelacion!$C$12))</f>
        <v>#VALUE!</v>
      </c>
      <c r="L298" s="7" t="e">
        <f>IF(B298=" ","0",PMT(Remodelacion!$E$17,Remodelacion!$C$18,-Remodelacion!$C$15,,))</f>
        <v>#VALUE!</v>
      </c>
      <c r="M298" s="9" t="e">
        <f t="shared" si="27"/>
        <v>#VALUE!</v>
      </c>
      <c r="N298" s="7" t="e">
        <f>IF(C297&lt;1,"0",Remodelacion!$C$38)</f>
        <v>#VALUE!</v>
      </c>
      <c r="O298" s="9" t="e">
        <f t="shared" si="28"/>
        <v>#VALUE!</v>
      </c>
    </row>
    <row r="299" spans="2:15" ht="15.5" hidden="1" x14ac:dyDescent="0.35">
      <c r="B299" s="6" t="e">
        <f t="shared" si="29"/>
        <v>#VALUE!</v>
      </c>
      <c r="C299" s="7" t="e">
        <f t="shared" si="25"/>
        <v>#VALUE!</v>
      </c>
      <c r="D299" s="7" t="e">
        <f t="shared" si="30"/>
        <v>#VALUE!</v>
      </c>
      <c r="E299" s="7" t="e">
        <f>C298*Remodelacion!$E$17</f>
        <v>#VALUE!</v>
      </c>
      <c r="F299" s="8" t="e">
        <f>IF(C298&lt;1,0,IF(Remodelacion!$D$26="Si",($C$17*(VLOOKUP(Remodelacion!$C$22,Seguros_Oblig!$A$3:$F$55,6,FALSE))),IF(Remodelacion!$C$10="TARIFA 1",(C298*(VLOOKUP(Remodelacion!$C$22,Seguros_Oblig!$A$3:$B$55,2,FALSE))),(C298*(VLOOKUP(Remodelacion!$C$22,Seguros_Oblig!$A$3:$D$55,4,FALSE))))))</f>
        <v>#VALUE!</v>
      </c>
      <c r="G299" s="8" t="e">
        <f>IF(Remodelacion!$C$10="TARIFA 1",(C298*(VLOOKUP(Remodelacion!$C$23,Seguros_Oblig!$A$3:$B$55,2,FALSE))),(C298*(VLOOKUP(Remodelacion!$C$23,Seguros_Oblig!$A$3:$D$55,4,FALSE))))</f>
        <v>#VALUE!</v>
      </c>
      <c r="H299" s="8" t="e">
        <f>IF(Remodelacion!$C$10="TARIFA 1",(C298*(VLOOKUP(Remodelacion!$C$24,Seguros_Oblig!$A$3:$B$55,2,FALSE))),(C298*(VLOOKUP(Remodelacion!$C$24,Seguros_Oblig!$A$3:$D$55,4,FALSE))))</f>
        <v>#VALUE!</v>
      </c>
      <c r="I299" s="8" t="e">
        <f>IF(Remodelacion!$C$10="TARIFA 1",(C298*(VLOOKUP(Remodelacion!$C$25,Seguros_Oblig!$A$3:$B$55,2,FALSE))),(C298*(VLOOKUP(Remodelacion!$C$25,Seguros_Oblig!$A$3:$D$55,4,FALSE))))</f>
        <v>#VALUE!</v>
      </c>
      <c r="J299" s="10">
        <f t="shared" si="26"/>
        <v>0</v>
      </c>
      <c r="K299" s="7" t="e">
        <f>IF(RM!$D$11="Si",0,IF(C298&lt;1,"0",Seguros_Oblig!$K$2*Remodelacion!$C$12))</f>
        <v>#VALUE!</v>
      </c>
      <c r="L299" s="7" t="e">
        <f>IF(B299=" ","0",PMT(Remodelacion!$E$17,Remodelacion!$C$18,-Remodelacion!$C$15,,))</f>
        <v>#VALUE!</v>
      </c>
      <c r="M299" s="9" t="e">
        <f t="shared" si="27"/>
        <v>#VALUE!</v>
      </c>
      <c r="N299" s="7" t="e">
        <f>IF(C298&lt;1,"0",Remodelacion!$C$38)</f>
        <v>#VALUE!</v>
      </c>
      <c r="O299" s="9" t="e">
        <f t="shared" si="28"/>
        <v>#VALUE!</v>
      </c>
    </row>
    <row r="300" spans="2:15" ht="15.5" hidden="1" x14ac:dyDescent="0.35">
      <c r="B300" s="6" t="e">
        <f t="shared" si="29"/>
        <v>#VALUE!</v>
      </c>
      <c r="C300" s="7" t="e">
        <f t="shared" si="25"/>
        <v>#VALUE!</v>
      </c>
      <c r="D300" s="7" t="e">
        <f t="shared" si="30"/>
        <v>#VALUE!</v>
      </c>
      <c r="E300" s="7" t="e">
        <f>C299*Remodelacion!$E$17</f>
        <v>#VALUE!</v>
      </c>
      <c r="F300" s="8" t="e">
        <f>IF(C299&lt;1,0,IF(Remodelacion!$D$26="Si",($C$17*(VLOOKUP(Remodelacion!$C$22,Seguros_Oblig!$A$3:$F$55,6,FALSE))),IF(Remodelacion!$C$10="TARIFA 1",(C299*(VLOOKUP(Remodelacion!$C$22,Seguros_Oblig!$A$3:$B$55,2,FALSE))),(C299*(VLOOKUP(Remodelacion!$C$22,Seguros_Oblig!$A$3:$D$55,4,FALSE))))))</f>
        <v>#VALUE!</v>
      </c>
      <c r="G300" s="8" t="e">
        <f>IF(Remodelacion!$C$10="TARIFA 1",(C299*(VLOOKUP(Remodelacion!$C$23,Seguros_Oblig!$A$3:$B$55,2,FALSE))),(C299*(VLOOKUP(Remodelacion!$C$23,Seguros_Oblig!$A$3:$D$55,4,FALSE))))</f>
        <v>#VALUE!</v>
      </c>
      <c r="H300" s="8" t="e">
        <f>IF(Remodelacion!$C$10="TARIFA 1",(C299*(VLOOKUP(Remodelacion!$C$24,Seguros_Oblig!$A$3:$B$55,2,FALSE))),(C299*(VLOOKUP(Remodelacion!$C$24,Seguros_Oblig!$A$3:$D$55,4,FALSE))))</f>
        <v>#VALUE!</v>
      </c>
      <c r="I300" s="8" t="e">
        <f>IF(Remodelacion!$C$10="TARIFA 1",(C299*(VLOOKUP(Remodelacion!$C$25,Seguros_Oblig!$A$3:$B$55,2,FALSE))),(C299*(VLOOKUP(Remodelacion!$C$25,Seguros_Oblig!$A$3:$D$55,4,FALSE))))</f>
        <v>#VALUE!</v>
      </c>
      <c r="J300" s="10">
        <f t="shared" si="26"/>
        <v>0</v>
      </c>
      <c r="K300" s="7" t="e">
        <f>IF(RM!$D$11="Si",0,IF(C299&lt;1,"0",Seguros_Oblig!$K$2*Remodelacion!$C$12))</f>
        <v>#VALUE!</v>
      </c>
      <c r="L300" s="7" t="e">
        <f>IF(B300=" ","0",PMT(Remodelacion!$E$17,Remodelacion!$C$18,-Remodelacion!$C$15,,))</f>
        <v>#VALUE!</v>
      </c>
      <c r="M300" s="9" t="e">
        <f t="shared" si="27"/>
        <v>#VALUE!</v>
      </c>
      <c r="N300" s="7" t="e">
        <f>IF(C299&lt;1,"0",Remodelacion!$C$38)</f>
        <v>#VALUE!</v>
      </c>
      <c r="O300" s="9" t="e">
        <f t="shared" si="28"/>
        <v>#VALUE!</v>
      </c>
    </row>
    <row r="301" spans="2:15" ht="15.5" hidden="1" x14ac:dyDescent="0.35">
      <c r="B301" s="6" t="e">
        <f t="shared" si="29"/>
        <v>#VALUE!</v>
      </c>
      <c r="C301" s="7" t="e">
        <f t="shared" si="25"/>
        <v>#VALUE!</v>
      </c>
      <c r="D301" s="7" t="e">
        <f t="shared" si="30"/>
        <v>#VALUE!</v>
      </c>
      <c r="E301" s="7" t="e">
        <f>C300*Remodelacion!$E$17</f>
        <v>#VALUE!</v>
      </c>
      <c r="F301" s="8" t="e">
        <f>IF(C300&lt;1,0,IF(Remodelacion!$D$26="Si",($C$17*(VLOOKUP(Remodelacion!$C$22,Seguros_Oblig!$A$3:$F$55,6,FALSE))),IF(Remodelacion!$C$10="TARIFA 1",(C300*(VLOOKUP(Remodelacion!$C$22,Seguros_Oblig!$A$3:$B$55,2,FALSE))),(C300*(VLOOKUP(Remodelacion!$C$22,Seguros_Oblig!$A$3:$D$55,4,FALSE))))))</f>
        <v>#VALUE!</v>
      </c>
      <c r="G301" s="8" t="e">
        <f>IF(Remodelacion!$C$10="TARIFA 1",(C300*(VLOOKUP(Remodelacion!$C$23,Seguros_Oblig!$A$3:$B$55,2,FALSE))),(C300*(VLOOKUP(Remodelacion!$C$23,Seguros_Oblig!$A$3:$D$55,4,FALSE))))</f>
        <v>#VALUE!</v>
      </c>
      <c r="H301" s="8" t="e">
        <f>IF(Remodelacion!$C$10="TARIFA 1",(C300*(VLOOKUP(Remodelacion!$C$24,Seguros_Oblig!$A$3:$B$55,2,FALSE))),(C300*(VLOOKUP(Remodelacion!$C$24,Seguros_Oblig!$A$3:$D$55,4,FALSE))))</f>
        <v>#VALUE!</v>
      </c>
      <c r="I301" s="8" t="e">
        <f>IF(Remodelacion!$C$10="TARIFA 1",(C300*(VLOOKUP(Remodelacion!$C$25,Seguros_Oblig!$A$3:$B$55,2,FALSE))),(C300*(VLOOKUP(Remodelacion!$C$25,Seguros_Oblig!$A$3:$D$55,4,FALSE))))</f>
        <v>#VALUE!</v>
      </c>
      <c r="J301" s="10">
        <f t="shared" si="26"/>
        <v>0</v>
      </c>
      <c r="K301" s="7" t="e">
        <f>IF(RM!$D$11="Si",0,IF(C300&lt;1,"0",Seguros_Oblig!$K$2*Remodelacion!$C$12))</f>
        <v>#VALUE!</v>
      </c>
      <c r="L301" s="7" t="e">
        <f>IF(B301=" ","0",PMT(Remodelacion!$E$17,Remodelacion!$C$18,-Remodelacion!$C$15,,))</f>
        <v>#VALUE!</v>
      </c>
      <c r="M301" s="9" t="e">
        <f t="shared" si="27"/>
        <v>#VALUE!</v>
      </c>
      <c r="N301" s="7" t="e">
        <f>IF(C300&lt;1,"0",Remodelacion!$C$38)</f>
        <v>#VALUE!</v>
      </c>
      <c r="O301" s="9" t="e">
        <f t="shared" si="28"/>
        <v>#VALUE!</v>
      </c>
    </row>
    <row r="302" spans="2:15" ht="15.5" hidden="1" x14ac:dyDescent="0.35">
      <c r="B302" s="6" t="e">
        <f t="shared" si="29"/>
        <v>#VALUE!</v>
      </c>
      <c r="C302" s="7" t="e">
        <f t="shared" si="25"/>
        <v>#VALUE!</v>
      </c>
      <c r="D302" s="7" t="e">
        <f t="shared" si="30"/>
        <v>#VALUE!</v>
      </c>
      <c r="E302" s="7" t="e">
        <f>C301*Remodelacion!$E$17</f>
        <v>#VALUE!</v>
      </c>
      <c r="F302" s="8" t="e">
        <f>IF(C301&lt;1,0,IF(Remodelacion!$D$26="Si",($C$17*(VLOOKUP(Remodelacion!$C$22,Seguros_Oblig!$A$3:$F$55,6,FALSE))),IF(Remodelacion!$C$10="TARIFA 1",(C301*(VLOOKUP(Remodelacion!$C$22,Seguros_Oblig!$A$3:$B$55,2,FALSE))),(C301*(VLOOKUP(Remodelacion!$C$22,Seguros_Oblig!$A$3:$D$55,4,FALSE))))))</f>
        <v>#VALUE!</v>
      </c>
      <c r="G302" s="8" t="e">
        <f>IF(Remodelacion!$C$10="TARIFA 1",(C301*(VLOOKUP(Remodelacion!$C$23,Seguros_Oblig!$A$3:$B$55,2,FALSE))),(C301*(VLOOKUP(Remodelacion!$C$23,Seguros_Oblig!$A$3:$D$55,4,FALSE))))</f>
        <v>#VALUE!</v>
      </c>
      <c r="H302" s="8" t="e">
        <f>IF(Remodelacion!$C$10="TARIFA 1",(C301*(VLOOKUP(Remodelacion!$C$24,Seguros_Oblig!$A$3:$B$55,2,FALSE))),(C301*(VLOOKUP(Remodelacion!$C$24,Seguros_Oblig!$A$3:$D$55,4,FALSE))))</f>
        <v>#VALUE!</v>
      </c>
      <c r="I302" s="8" t="e">
        <f>IF(Remodelacion!$C$10="TARIFA 1",(C301*(VLOOKUP(Remodelacion!$C$25,Seguros_Oblig!$A$3:$B$55,2,FALSE))),(C301*(VLOOKUP(Remodelacion!$C$25,Seguros_Oblig!$A$3:$D$55,4,FALSE))))</f>
        <v>#VALUE!</v>
      </c>
      <c r="J302" s="10">
        <f t="shared" si="26"/>
        <v>0</v>
      </c>
      <c r="K302" s="7" t="e">
        <f>IF(RM!$D$11="Si",0,IF(C301&lt;1,"0",Seguros_Oblig!$K$2*Remodelacion!$C$12))</f>
        <v>#VALUE!</v>
      </c>
      <c r="L302" s="7" t="e">
        <f>IF(B302=" ","0",PMT(Remodelacion!$E$17,Remodelacion!$C$18,-Remodelacion!$C$15,,))</f>
        <v>#VALUE!</v>
      </c>
      <c r="M302" s="9" t="e">
        <f t="shared" si="27"/>
        <v>#VALUE!</v>
      </c>
      <c r="N302" s="7" t="e">
        <f>IF(C301&lt;1,"0",Remodelacion!$C$38)</f>
        <v>#VALUE!</v>
      </c>
      <c r="O302" s="9" t="e">
        <f t="shared" si="28"/>
        <v>#VALUE!</v>
      </c>
    </row>
    <row r="303" spans="2:15" ht="15.5" hidden="1" x14ac:dyDescent="0.35">
      <c r="B303" s="6" t="e">
        <f t="shared" si="29"/>
        <v>#VALUE!</v>
      </c>
      <c r="C303" s="7" t="e">
        <f t="shared" si="25"/>
        <v>#VALUE!</v>
      </c>
      <c r="D303" s="7" t="e">
        <f t="shared" si="30"/>
        <v>#VALUE!</v>
      </c>
      <c r="E303" s="7" t="e">
        <f>C302*Remodelacion!$E$17</f>
        <v>#VALUE!</v>
      </c>
      <c r="F303" s="8" t="e">
        <f>IF(C302&lt;1,0,IF(Remodelacion!$D$26="Si",($C$17*(VLOOKUP(Remodelacion!$C$22,Seguros_Oblig!$A$3:$F$55,6,FALSE))),IF(Remodelacion!$C$10="TARIFA 1",(C302*(VLOOKUP(Remodelacion!$C$22,Seguros_Oblig!$A$3:$B$55,2,FALSE))),(C302*(VLOOKUP(Remodelacion!$C$22,Seguros_Oblig!$A$3:$D$55,4,FALSE))))))</f>
        <v>#VALUE!</v>
      </c>
      <c r="G303" s="8" t="e">
        <f>IF(Remodelacion!$C$10="TARIFA 1",(C302*(VLOOKUP(Remodelacion!$C$23,Seguros_Oblig!$A$3:$B$55,2,FALSE))),(C302*(VLOOKUP(Remodelacion!$C$23,Seguros_Oblig!$A$3:$D$55,4,FALSE))))</f>
        <v>#VALUE!</v>
      </c>
      <c r="H303" s="8" t="e">
        <f>IF(Remodelacion!$C$10="TARIFA 1",(C302*(VLOOKUP(Remodelacion!$C$24,Seguros_Oblig!$A$3:$B$55,2,FALSE))),(C302*(VLOOKUP(Remodelacion!$C$24,Seguros_Oblig!$A$3:$D$55,4,FALSE))))</f>
        <v>#VALUE!</v>
      </c>
      <c r="I303" s="8" t="e">
        <f>IF(Remodelacion!$C$10="TARIFA 1",(C302*(VLOOKUP(Remodelacion!$C$25,Seguros_Oblig!$A$3:$B$55,2,FALSE))),(C302*(VLOOKUP(Remodelacion!$C$25,Seguros_Oblig!$A$3:$D$55,4,FALSE))))</f>
        <v>#VALUE!</v>
      </c>
      <c r="J303" s="10">
        <f t="shared" si="26"/>
        <v>0</v>
      </c>
      <c r="K303" s="7" t="e">
        <f>IF(RM!$D$11="Si",0,IF(C302&lt;1,"0",Seguros_Oblig!$K$2*Remodelacion!$C$12))</f>
        <v>#VALUE!</v>
      </c>
      <c r="L303" s="7" t="e">
        <f>IF(B303=" ","0",PMT(Remodelacion!$E$17,Remodelacion!$C$18,-Remodelacion!$C$15,,))</f>
        <v>#VALUE!</v>
      </c>
      <c r="M303" s="9" t="e">
        <f t="shared" si="27"/>
        <v>#VALUE!</v>
      </c>
      <c r="N303" s="7" t="e">
        <f>IF(C302&lt;1,"0",Remodelacion!$C$38)</f>
        <v>#VALUE!</v>
      </c>
      <c r="O303" s="9" t="e">
        <f t="shared" si="28"/>
        <v>#VALUE!</v>
      </c>
    </row>
    <row r="304" spans="2:15" ht="15.5" hidden="1" x14ac:dyDescent="0.35">
      <c r="B304" s="6" t="e">
        <f t="shared" si="29"/>
        <v>#VALUE!</v>
      </c>
      <c r="C304" s="7" t="e">
        <f t="shared" si="25"/>
        <v>#VALUE!</v>
      </c>
      <c r="D304" s="7" t="e">
        <f t="shared" si="30"/>
        <v>#VALUE!</v>
      </c>
      <c r="E304" s="7" t="e">
        <f>C303*Remodelacion!$E$17</f>
        <v>#VALUE!</v>
      </c>
      <c r="F304" s="8" t="e">
        <f>IF(C303&lt;1,0,IF(Remodelacion!$D$26="Si",($C$17*(VLOOKUP(Remodelacion!$C$22,Seguros_Oblig!$A$3:$F$55,6,FALSE))),IF(Remodelacion!$C$10="TARIFA 1",(C303*(VLOOKUP(Remodelacion!$C$22,Seguros_Oblig!$A$3:$B$55,2,FALSE))),(C303*(VLOOKUP(Remodelacion!$C$22,Seguros_Oblig!$A$3:$D$55,4,FALSE))))))</f>
        <v>#VALUE!</v>
      </c>
      <c r="G304" s="8" t="e">
        <f>IF(Remodelacion!$C$10="TARIFA 1",(C303*(VLOOKUP(Remodelacion!$C$23,Seguros_Oblig!$A$3:$B$55,2,FALSE))),(C303*(VLOOKUP(Remodelacion!$C$23,Seguros_Oblig!$A$3:$D$55,4,FALSE))))</f>
        <v>#VALUE!</v>
      </c>
      <c r="H304" s="8" t="e">
        <f>IF(Remodelacion!$C$10="TARIFA 1",(C303*(VLOOKUP(Remodelacion!$C$24,Seguros_Oblig!$A$3:$B$55,2,FALSE))),(C303*(VLOOKUP(Remodelacion!$C$24,Seguros_Oblig!$A$3:$D$55,4,FALSE))))</f>
        <v>#VALUE!</v>
      </c>
      <c r="I304" s="8" t="e">
        <f>IF(Remodelacion!$C$10="TARIFA 1",(C303*(VLOOKUP(Remodelacion!$C$25,Seguros_Oblig!$A$3:$B$55,2,FALSE))),(C303*(VLOOKUP(Remodelacion!$C$25,Seguros_Oblig!$A$3:$D$55,4,FALSE))))</f>
        <v>#VALUE!</v>
      </c>
      <c r="J304" s="10">
        <f t="shared" si="26"/>
        <v>0</v>
      </c>
      <c r="K304" s="7" t="e">
        <f>IF(RM!$D$11="Si",0,IF(C303&lt;1,"0",Seguros_Oblig!$K$2*Remodelacion!$C$12))</f>
        <v>#VALUE!</v>
      </c>
      <c r="L304" s="7" t="e">
        <f>IF(B304=" ","0",PMT(Remodelacion!$E$17,Remodelacion!$C$18,-Remodelacion!$C$15,,))</f>
        <v>#VALUE!</v>
      </c>
      <c r="M304" s="9" t="e">
        <f t="shared" si="27"/>
        <v>#VALUE!</v>
      </c>
      <c r="N304" s="7" t="e">
        <f>IF(C303&lt;1,"0",Remodelacion!$C$38)</f>
        <v>#VALUE!</v>
      </c>
      <c r="O304" s="9" t="e">
        <f t="shared" si="28"/>
        <v>#VALUE!</v>
      </c>
    </row>
    <row r="305" spans="2:15" ht="15.5" hidden="1" x14ac:dyDescent="0.35">
      <c r="B305" s="6" t="e">
        <f t="shared" si="29"/>
        <v>#VALUE!</v>
      </c>
      <c r="C305" s="7" t="e">
        <f t="shared" si="25"/>
        <v>#VALUE!</v>
      </c>
      <c r="D305" s="7" t="e">
        <f t="shared" si="30"/>
        <v>#VALUE!</v>
      </c>
      <c r="E305" s="7" t="e">
        <f>C304*Remodelacion!$E$17</f>
        <v>#VALUE!</v>
      </c>
      <c r="F305" s="8" t="e">
        <f>IF(C304&lt;1,0,IF(Remodelacion!$D$26="Si",($C$17*(VLOOKUP(Remodelacion!$C$22,Seguros_Oblig!$A$3:$F$55,6,FALSE))),IF(Remodelacion!$C$10="TARIFA 1",(C304*(VLOOKUP(Remodelacion!$C$22,Seguros_Oblig!$A$3:$B$55,2,FALSE))),(C304*(VLOOKUP(Remodelacion!$C$22,Seguros_Oblig!$A$3:$D$55,4,FALSE))))))</f>
        <v>#VALUE!</v>
      </c>
      <c r="G305" s="8" t="e">
        <f>IF(Remodelacion!$C$10="TARIFA 1",(C304*(VLOOKUP(Remodelacion!$C$23,Seguros_Oblig!$A$3:$B$55,2,FALSE))),(C304*(VLOOKUP(Remodelacion!$C$23,Seguros_Oblig!$A$3:$D$55,4,FALSE))))</f>
        <v>#VALUE!</v>
      </c>
      <c r="H305" s="8" t="e">
        <f>IF(Remodelacion!$C$10="TARIFA 1",(C304*(VLOOKUP(Remodelacion!$C$24,Seguros_Oblig!$A$3:$B$55,2,FALSE))),(C304*(VLOOKUP(Remodelacion!$C$24,Seguros_Oblig!$A$3:$D$55,4,FALSE))))</f>
        <v>#VALUE!</v>
      </c>
      <c r="I305" s="8" t="e">
        <f>IF(Remodelacion!$C$10="TARIFA 1",(C304*(VLOOKUP(Remodelacion!$C$25,Seguros_Oblig!$A$3:$B$55,2,FALSE))),(C304*(VLOOKUP(Remodelacion!$C$25,Seguros_Oblig!$A$3:$D$55,4,FALSE))))</f>
        <v>#VALUE!</v>
      </c>
      <c r="J305" s="10">
        <f t="shared" si="26"/>
        <v>0</v>
      </c>
      <c r="K305" s="7" t="e">
        <f>IF(RM!$D$11="Si",0,IF(C304&lt;1,"0",Seguros_Oblig!$K$2*Remodelacion!$C$12))</f>
        <v>#VALUE!</v>
      </c>
      <c r="L305" s="7" t="e">
        <f>IF(B305=" ","0",PMT(Remodelacion!$E$17,Remodelacion!$C$18,-Remodelacion!$C$15,,))</f>
        <v>#VALUE!</v>
      </c>
      <c r="M305" s="9" t="e">
        <f t="shared" si="27"/>
        <v>#VALUE!</v>
      </c>
      <c r="N305" s="7" t="e">
        <f>IF(C304&lt;1,"0",Remodelacion!$C$38)</f>
        <v>#VALUE!</v>
      </c>
      <c r="O305" s="9" t="e">
        <f t="shared" si="28"/>
        <v>#VALUE!</v>
      </c>
    </row>
    <row r="306" spans="2:15" ht="15.5" hidden="1" x14ac:dyDescent="0.35">
      <c r="B306" s="6" t="e">
        <f t="shared" si="29"/>
        <v>#VALUE!</v>
      </c>
      <c r="C306" s="7" t="e">
        <f t="shared" si="25"/>
        <v>#VALUE!</v>
      </c>
      <c r="D306" s="7" t="e">
        <f t="shared" si="30"/>
        <v>#VALUE!</v>
      </c>
      <c r="E306" s="7" t="e">
        <f>C305*Remodelacion!$E$17</f>
        <v>#VALUE!</v>
      </c>
      <c r="F306" s="8" t="e">
        <f>IF(C305&lt;1,0,IF(Remodelacion!$D$26="Si",($C$17*(VLOOKUP(Remodelacion!$C$22,Seguros_Oblig!$A$3:$F$55,6,FALSE))),IF(Remodelacion!$C$10="TARIFA 1",(C305*(VLOOKUP(Remodelacion!$C$22,Seguros_Oblig!$A$3:$B$55,2,FALSE))),(C305*(VLOOKUP(Remodelacion!$C$22,Seguros_Oblig!$A$3:$D$55,4,FALSE))))))</f>
        <v>#VALUE!</v>
      </c>
      <c r="G306" s="8" t="e">
        <f>IF(Remodelacion!$C$10="TARIFA 1",(C305*(VLOOKUP(Remodelacion!$C$23,Seguros_Oblig!$A$3:$B$55,2,FALSE))),(C305*(VLOOKUP(Remodelacion!$C$23,Seguros_Oblig!$A$3:$D$55,4,FALSE))))</f>
        <v>#VALUE!</v>
      </c>
      <c r="H306" s="8" t="e">
        <f>IF(Remodelacion!$C$10="TARIFA 1",(C305*(VLOOKUP(Remodelacion!$C$24,Seguros_Oblig!$A$3:$B$55,2,FALSE))),(C305*(VLOOKUP(Remodelacion!$C$24,Seguros_Oblig!$A$3:$D$55,4,FALSE))))</f>
        <v>#VALUE!</v>
      </c>
      <c r="I306" s="8" t="e">
        <f>IF(Remodelacion!$C$10="TARIFA 1",(C305*(VLOOKUP(Remodelacion!$C$25,Seguros_Oblig!$A$3:$B$55,2,FALSE))),(C305*(VLOOKUP(Remodelacion!$C$25,Seguros_Oblig!$A$3:$D$55,4,FALSE))))</f>
        <v>#VALUE!</v>
      </c>
      <c r="J306" s="10">
        <f t="shared" si="26"/>
        <v>0</v>
      </c>
      <c r="K306" s="7" t="e">
        <f>IF(RM!$D$11="Si",0,IF(C305&lt;1,"0",Seguros_Oblig!$K$2*Remodelacion!$C$12))</f>
        <v>#VALUE!</v>
      </c>
      <c r="L306" s="7" t="e">
        <f>IF(B306=" ","0",PMT(Remodelacion!$E$17,Remodelacion!$C$18,-Remodelacion!$C$15,,))</f>
        <v>#VALUE!</v>
      </c>
      <c r="M306" s="9" t="e">
        <f t="shared" si="27"/>
        <v>#VALUE!</v>
      </c>
      <c r="N306" s="7" t="e">
        <f>IF(C305&lt;1,"0",Remodelacion!$C$38)</f>
        <v>#VALUE!</v>
      </c>
      <c r="O306" s="9" t="e">
        <f t="shared" si="28"/>
        <v>#VALUE!</v>
      </c>
    </row>
    <row r="307" spans="2:15" ht="15.5" hidden="1" x14ac:dyDescent="0.35">
      <c r="B307" s="6" t="e">
        <f t="shared" si="29"/>
        <v>#VALUE!</v>
      </c>
      <c r="C307" s="7" t="e">
        <f t="shared" si="25"/>
        <v>#VALUE!</v>
      </c>
      <c r="D307" s="7" t="e">
        <f t="shared" si="30"/>
        <v>#VALUE!</v>
      </c>
      <c r="E307" s="7" t="e">
        <f>C306*Remodelacion!$E$17</f>
        <v>#VALUE!</v>
      </c>
      <c r="F307" s="8" t="e">
        <f>IF(C306&lt;1,0,IF(Remodelacion!$D$26="Si",($C$17*(VLOOKUP(Remodelacion!$C$22,Seguros_Oblig!$A$3:$F$55,6,FALSE))),IF(Remodelacion!$C$10="TARIFA 1",(C306*(VLOOKUP(Remodelacion!$C$22,Seguros_Oblig!$A$3:$B$55,2,FALSE))),(C306*(VLOOKUP(Remodelacion!$C$22,Seguros_Oblig!$A$3:$D$55,4,FALSE))))))</f>
        <v>#VALUE!</v>
      </c>
      <c r="G307" s="8" t="e">
        <f>IF(Remodelacion!$C$10="TARIFA 1",(C306*(VLOOKUP(Remodelacion!$C$23,Seguros_Oblig!$A$3:$B$55,2,FALSE))),(C306*(VLOOKUP(Remodelacion!$C$23,Seguros_Oblig!$A$3:$D$55,4,FALSE))))</f>
        <v>#VALUE!</v>
      </c>
      <c r="H307" s="8" t="e">
        <f>IF(Remodelacion!$C$10="TARIFA 1",(C306*(VLOOKUP(Remodelacion!$C$24,Seguros_Oblig!$A$3:$B$55,2,FALSE))),(C306*(VLOOKUP(Remodelacion!$C$24,Seguros_Oblig!$A$3:$D$55,4,FALSE))))</f>
        <v>#VALUE!</v>
      </c>
      <c r="I307" s="8" t="e">
        <f>IF(Remodelacion!$C$10="TARIFA 1",(C306*(VLOOKUP(Remodelacion!$C$25,Seguros_Oblig!$A$3:$B$55,2,FALSE))),(C306*(VLOOKUP(Remodelacion!$C$25,Seguros_Oblig!$A$3:$D$55,4,FALSE))))</f>
        <v>#VALUE!</v>
      </c>
      <c r="J307" s="10">
        <f t="shared" si="26"/>
        <v>0</v>
      </c>
      <c r="K307" s="7" t="e">
        <f>IF(RM!$D$11="Si",0,IF(C306&lt;1,"0",Seguros_Oblig!$K$2*Remodelacion!$C$12))</f>
        <v>#VALUE!</v>
      </c>
      <c r="L307" s="7" t="e">
        <f>IF(B307=" ","0",PMT(Remodelacion!$E$17,Remodelacion!$C$18,-Remodelacion!$C$15,,))</f>
        <v>#VALUE!</v>
      </c>
      <c r="M307" s="9" t="e">
        <f t="shared" si="27"/>
        <v>#VALUE!</v>
      </c>
      <c r="N307" s="7" t="e">
        <f>IF(C306&lt;1,"0",Remodelacion!$C$38)</f>
        <v>#VALUE!</v>
      </c>
      <c r="O307" s="9" t="e">
        <f t="shared" si="28"/>
        <v>#VALUE!</v>
      </c>
    </row>
    <row r="308" spans="2:15" ht="15.5" hidden="1" x14ac:dyDescent="0.35">
      <c r="B308" s="6" t="e">
        <f t="shared" si="29"/>
        <v>#VALUE!</v>
      </c>
      <c r="C308" s="7" t="e">
        <f t="shared" si="25"/>
        <v>#VALUE!</v>
      </c>
      <c r="D308" s="7" t="e">
        <f t="shared" si="30"/>
        <v>#VALUE!</v>
      </c>
      <c r="E308" s="7" t="e">
        <f>C307*Remodelacion!$E$17</f>
        <v>#VALUE!</v>
      </c>
      <c r="F308" s="8" t="e">
        <f>IF(C307&lt;1,0,IF(Remodelacion!$D$26="Si",($C$17*(VLOOKUP(Remodelacion!$C$22,Seguros_Oblig!$A$3:$F$55,6,FALSE))),IF(Remodelacion!$C$10="TARIFA 1",(C307*(VLOOKUP(Remodelacion!$C$22,Seguros_Oblig!$A$3:$B$55,2,FALSE))),(C307*(VLOOKUP(Remodelacion!$C$22,Seguros_Oblig!$A$3:$D$55,4,FALSE))))))</f>
        <v>#VALUE!</v>
      </c>
      <c r="G308" s="8" t="e">
        <f>IF(Remodelacion!$C$10="TARIFA 1",(C307*(VLOOKUP(Remodelacion!$C$23,Seguros_Oblig!$A$3:$B$55,2,FALSE))),(C307*(VLOOKUP(Remodelacion!$C$23,Seguros_Oblig!$A$3:$D$55,4,FALSE))))</f>
        <v>#VALUE!</v>
      </c>
      <c r="H308" s="8" t="e">
        <f>IF(Remodelacion!$C$10="TARIFA 1",(C307*(VLOOKUP(Remodelacion!$C$24,Seguros_Oblig!$A$3:$B$55,2,FALSE))),(C307*(VLOOKUP(Remodelacion!$C$24,Seguros_Oblig!$A$3:$D$55,4,FALSE))))</f>
        <v>#VALUE!</v>
      </c>
      <c r="I308" s="8" t="e">
        <f>IF(Remodelacion!$C$10="TARIFA 1",(C307*(VLOOKUP(Remodelacion!$C$25,Seguros_Oblig!$A$3:$B$55,2,FALSE))),(C307*(VLOOKUP(Remodelacion!$C$25,Seguros_Oblig!$A$3:$D$55,4,FALSE))))</f>
        <v>#VALUE!</v>
      </c>
      <c r="J308" s="10">
        <f t="shared" si="26"/>
        <v>0</v>
      </c>
      <c r="K308" s="7" t="e">
        <f>IF(RM!$D$11="Si",0,IF(C307&lt;1,"0",Seguros_Oblig!$K$2*Remodelacion!$C$12))</f>
        <v>#VALUE!</v>
      </c>
      <c r="L308" s="7" t="e">
        <f>IF(B308=" ","0",PMT(Remodelacion!$E$17,Remodelacion!$C$18,-Remodelacion!$C$15,,))</f>
        <v>#VALUE!</v>
      </c>
      <c r="M308" s="9" t="e">
        <f t="shared" si="27"/>
        <v>#VALUE!</v>
      </c>
      <c r="N308" s="7" t="e">
        <f>IF(C307&lt;1,"0",Remodelacion!$C$38)</f>
        <v>#VALUE!</v>
      </c>
      <c r="O308" s="9" t="e">
        <f t="shared" si="28"/>
        <v>#VALUE!</v>
      </c>
    </row>
    <row r="309" spans="2:15" ht="15.5" hidden="1" x14ac:dyDescent="0.35">
      <c r="B309" s="6" t="e">
        <f t="shared" si="29"/>
        <v>#VALUE!</v>
      </c>
      <c r="C309" s="7" t="e">
        <f t="shared" si="25"/>
        <v>#VALUE!</v>
      </c>
      <c r="D309" s="7" t="e">
        <f t="shared" si="30"/>
        <v>#VALUE!</v>
      </c>
      <c r="E309" s="7" t="e">
        <f>C308*Remodelacion!$E$17</f>
        <v>#VALUE!</v>
      </c>
      <c r="F309" s="8" t="e">
        <f>IF(C308&lt;1,0,IF(Remodelacion!$D$26="Si",($C$17*(VLOOKUP(Remodelacion!$C$22,Seguros_Oblig!$A$3:$F$55,6,FALSE))),IF(Remodelacion!$C$10="TARIFA 1",(C308*(VLOOKUP(Remodelacion!$C$22,Seguros_Oblig!$A$3:$B$55,2,FALSE))),(C308*(VLOOKUP(Remodelacion!$C$22,Seguros_Oblig!$A$3:$D$55,4,FALSE))))))</f>
        <v>#VALUE!</v>
      </c>
      <c r="G309" s="8" t="e">
        <f>IF(Remodelacion!$C$10="TARIFA 1",(C308*(VLOOKUP(Remodelacion!$C$23,Seguros_Oblig!$A$3:$B$55,2,FALSE))),(C308*(VLOOKUP(Remodelacion!$C$23,Seguros_Oblig!$A$3:$D$55,4,FALSE))))</f>
        <v>#VALUE!</v>
      </c>
      <c r="H309" s="8" t="e">
        <f>IF(Remodelacion!$C$10="TARIFA 1",(C308*(VLOOKUP(Remodelacion!$C$24,Seguros_Oblig!$A$3:$B$55,2,FALSE))),(C308*(VLOOKUP(Remodelacion!$C$24,Seguros_Oblig!$A$3:$D$55,4,FALSE))))</f>
        <v>#VALUE!</v>
      </c>
      <c r="I309" s="8" t="e">
        <f>IF(Remodelacion!$C$10="TARIFA 1",(C308*(VLOOKUP(Remodelacion!$C$25,Seguros_Oblig!$A$3:$B$55,2,FALSE))),(C308*(VLOOKUP(Remodelacion!$C$25,Seguros_Oblig!$A$3:$D$55,4,FALSE))))</f>
        <v>#VALUE!</v>
      </c>
      <c r="J309" s="10">
        <f t="shared" si="26"/>
        <v>0</v>
      </c>
      <c r="K309" s="7" t="e">
        <f>IF(RM!$D$11="Si",0,IF(C308&lt;1,"0",Seguros_Oblig!$K$2*Remodelacion!$C$12))</f>
        <v>#VALUE!</v>
      </c>
      <c r="L309" s="7" t="e">
        <f>IF(B309=" ","0",PMT(Remodelacion!$E$17,Remodelacion!$C$18,-Remodelacion!$C$15,,))</f>
        <v>#VALUE!</v>
      </c>
      <c r="M309" s="9" t="e">
        <f t="shared" si="27"/>
        <v>#VALUE!</v>
      </c>
      <c r="N309" s="7" t="e">
        <f>IF(C308&lt;1,"0",Remodelacion!$C$38)</f>
        <v>#VALUE!</v>
      </c>
      <c r="O309" s="9" t="e">
        <f t="shared" si="28"/>
        <v>#VALUE!</v>
      </c>
    </row>
    <row r="310" spans="2:15" ht="15.5" hidden="1" x14ac:dyDescent="0.35">
      <c r="B310" s="6" t="e">
        <f t="shared" si="29"/>
        <v>#VALUE!</v>
      </c>
      <c r="C310" s="7" t="e">
        <f t="shared" si="25"/>
        <v>#VALUE!</v>
      </c>
      <c r="D310" s="7" t="e">
        <f t="shared" si="30"/>
        <v>#VALUE!</v>
      </c>
      <c r="E310" s="7" t="e">
        <f>C309*Remodelacion!$E$17</f>
        <v>#VALUE!</v>
      </c>
      <c r="F310" s="8" t="e">
        <f>IF(C309&lt;1,0,IF(Remodelacion!$D$26="Si",($C$17*(VLOOKUP(Remodelacion!$C$22,Seguros_Oblig!$A$3:$F$55,6,FALSE))),IF(Remodelacion!$C$10="TARIFA 1",(C309*(VLOOKUP(Remodelacion!$C$22,Seguros_Oblig!$A$3:$B$55,2,FALSE))),(C309*(VLOOKUP(Remodelacion!$C$22,Seguros_Oblig!$A$3:$D$55,4,FALSE))))))</f>
        <v>#VALUE!</v>
      </c>
      <c r="G310" s="8" t="e">
        <f>IF(Remodelacion!$C$10="TARIFA 1",(C309*(VLOOKUP(Remodelacion!$C$23,Seguros_Oblig!$A$3:$B$55,2,FALSE))),(C309*(VLOOKUP(Remodelacion!$C$23,Seguros_Oblig!$A$3:$D$55,4,FALSE))))</f>
        <v>#VALUE!</v>
      </c>
      <c r="H310" s="8" t="e">
        <f>IF(Remodelacion!$C$10="TARIFA 1",(C309*(VLOOKUP(Remodelacion!$C$24,Seguros_Oblig!$A$3:$B$55,2,FALSE))),(C309*(VLOOKUP(Remodelacion!$C$24,Seguros_Oblig!$A$3:$D$55,4,FALSE))))</f>
        <v>#VALUE!</v>
      </c>
      <c r="I310" s="8" t="e">
        <f>IF(Remodelacion!$C$10="TARIFA 1",(C309*(VLOOKUP(Remodelacion!$C$25,Seguros_Oblig!$A$3:$B$55,2,FALSE))),(C309*(VLOOKUP(Remodelacion!$C$25,Seguros_Oblig!$A$3:$D$55,4,FALSE))))</f>
        <v>#VALUE!</v>
      </c>
      <c r="J310" s="10">
        <f t="shared" si="26"/>
        <v>0</v>
      </c>
      <c r="K310" s="7" t="e">
        <f>IF(RM!$D$11="Si",0,IF(C309&lt;1,"0",Seguros_Oblig!$K$2*Remodelacion!$C$12))</f>
        <v>#VALUE!</v>
      </c>
      <c r="L310" s="7" t="e">
        <f>IF(B310=" ","0",PMT(Remodelacion!$E$17,Remodelacion!$C$18,-Remodelacion!$C$15,,))</f>
        <v>#VALUE!</v>
      </c>
      <c r="M310" s="9" t="e">
        <f t="shared" si="27"/>
        <v>#VALUE!</v>
      </c>
      <c r="N310" s="7" t="e">
        <f>IF(C309&lt;1,"0",Remodelacion!$C$38)</f>
        <v>#VALUE!</v>
      </c>
      <c r="O310" s="9" t="e">
        <f t="shared" si="28"/>
        <v>#VALUE!</v>
      </c>
    </row>
    <row r="311" spans="2:15" ht="15.5" hidden="1" x14ac:dyDescent="0.35">
      <c r="B311" s="6" t="e">
        <f t="shared" si="29"/>
        <v>#VALUE!</v>
      </c>
      <c r="C311" s="7" t="e">
        <f t="shared" si="25"/>
        <v>#VALUE!</v>
      </c>
      <c r="D311" s="7" t="e">
        <f t="shared" si="30"/>
        <v>#VALUE!</v>
      </c>
      <c r="E311" s="7" t="e">
        <f>C310*Remodelacion!$E$17</f>
        <v>#VALUE!</v>
      </c>
      <c r="F311" s="8" t="e">
        <f>IF(C310&lt;1,0,IF(Remodelacion!$D$26="Si",($C$17*(VLOOKUP(Remodelacion!$C$22,Seguros_Oblig!$A$3:$F$55,6,FALSE))),IF(Remodelacion!$C$10="TARIFA 1",(C310*(VLOOKUP(Remodelacion!$C$22,Seguros_Oblig!$A$3:$B$55,2,FALSE))),(C310*(VLOOKUP(Remodelacion!$C$22,Seguros_Oblig!$A$3:$D$55,4,FALSE))))))</f>
        <v>#VALUE!</v>
      </c>
      <c r="G311" s="8" t="e">
        <f>IF(Remodelacion!$C$10="TARIFA 1",(C310*(VLOOKUP(Remodelacion!$C$23,Seguros_Oblig!$A$3:$B$55,2,FALSE))),(C310*(VLOOKUP(Remodelacion!$C$23,Seguros_Oblig!$A$3:$D$55,4,FALSE))))</f>
        <v>#VALUE!</v>
      </c>
      <c r="H311" s="8" t="e">
        <f>IF(Remodelacion!$C$10="TARIFA 1",(C310*(VLOOKUP(Remodelacion!$C$24,Seguros_Oblig!$A$3:$B$55,2,FALSE))),(C310*(VLOOKUP(Remodelacion!$C$24,Seguros_Oblig!$A$3:$D$55,4,FALSE))))</f>
        <v>#VALUE!</v>
      </c>
      <c r="I311" s="8" t="e">
        <f>IF(Remodelacion!$C$10="TARIFA 1",(C310*(VLOOKUP(Remodelacion!$C$25,Seguros_Oblig!$A$3:$B$55,2,FALSE))),(C310*(VLOOKUP(Remodelacion!$C$25,Seguros_Oblig!$A$3:$D$55,4,FALSE))))</f>
        <v>#VALUE!</v>
      </c>
      <c r="J311" s="10">
        <f t="shared" si="26"/>
        <v>0</v>
      </c>
      <c r="K311" s="7" t="e">
        <f>IF(RM!$D$11="Si",0,IF(C310&lt;1,"0",Seguros_Oblig!$K$2*Remodelacion!$C$12))</f>
        <v>#VALUE!</v>
      </c>
      <c r="L311" s="7" t="e">
        <f>IF(B311=" ","0",PMT(Remodelacion!$E$17,Remodelacion!$C$18,-Remodelacion!$C$15,,))</f>
        <v>#VALUE!</v>
      </c>
      <c r="M311" s="9" t="e">
        <f t="shared" si="27"/>
        <v>#VALUE!</v>
      </c>
      <c r="N311" s="7" t="e">
        <f>IF(C310&lt;1,"0",Remodelacion!$C$38)</f>
        <v>#VALUE!</v>
      </c>
      <c r="O311" s="9" t="e">
        <f t="shared" si="28"/>
        <v>#VALUE!</v>
      </c>
    </row>
    <row r="312" spans="2:15" ht="15.5" hidden="1" x14ac:dyDescent="0.35">
      <c r="B312" s="6" t="e">
        <f t="shared" si="29"/>
        <v>#VALUE!</v>
      </c>
      <c r="C312" s="7" t="e">
        <f t="shared" si="25"/>
        <v>#VALUE!</v>
      </c>
      <c r="D312" s="7" t="e">
        <f t="shared" si="30"/>
        <v>#VALUE!</v>
      </c>
      <c r="E312" s="7" t="e">
        <f>C311*Remodelacion!$E$17</f>
        <v>#VALUE!</v>
      </c>
      <c r="F312" s="8" t="e">
        <f>IF(C311&lt;1,0,IF(Remodelacion!$D$26="Si",($C$17*(VLOOKUP(Remodelacion!$C$22,Seguros_Oblig!$A$3:$F$55,6,FALSE))),IF(Remodelacion!$C$10="TARIFA 1",(C311*(VLOOKUP(Remodelacion!$C$22,Seguros_Oblig!$A$3:$B$55,2,FALSE))),(C311*(VLOOKUP(Remodelacion!$C$22,Seguros_Oblig!$A$3:$D$55,4,FALSE))))))</f>
        <v>#VALUE!</v>
      </c>
      <c r="G312" s="8" t="e">
        <f>IF(Remodelacion!$C$10="TARIFA 1",(C311*(VLOOKUP(Remodelacion!$C$23,Seguros_Oblig!$A$3:$B$55,2,FALSE))),(C311*(VLOOKUP(Remodelacion!$C$23,Seguros_Oblig!$A$3:$D$55,4,FALSE))))</f>
        <v>#VALUE!</v>
      </c>
      <c r="H312" s="8" t="e">
        <f>IF(Remodelacion!$C$10="TARIFA 1",(C311*(VLOOKUP(Remodelacion!$C$24,Seguros_Oblig!$A$3:$B$55,2,FALSE))),(C311*(VLOOKUP(Remodelacion!$C$24,Seguros_Oblig!$A$3:$D$55,4,FALSE))))</f>
        <v>#VALUE!</v>
      </c>
      <c r="I312" s="8" t="e">
        <f>IF(Remodelacion!$C$10="TARIFA 1",(C311*(VLOOKUP(Remodelacion!$C$25,Seguros_Oblig!$A$3:$B$55,2,FALSE))),(C311*(VLOOKUP(Remodelacion!$C$25,Seguros_Oblig!$A$3:$D$55,4,FALSE))))</f>
        <v>#VALUE!</v>
      </c>
      <c r="J312" s="10">
        <f t="shared" si="26"/>
        <v>0</v>
      </c>
      <c r="K312" s="7" t="e">
        <f>IF(RM!$D$11="Si",0,IF(C311&lt;1,"0",Seguros_Oblig!$K$2*Remodelacion!$C$12))</f>
        <v>#VALUE!</v>
      </c>
      <c r="L312" s="7" t="e">
        <f>IF(B312=" ","0",PMT(Remodelacion!$E$17,Remodelacion!$C$18,-Remodelacion!$C$15,,))</f>
        <v>#VALUE!</v>
      </c>
      <c r="M312" s="9" t="e">
        <f t="shared" si="27"/>
        <v>#VALUE!</v>
      </c>
      <c r="N312" s="7" t="e">
        <f>IF(C311&lt;1,"0",Remodelacion!$C$38)</f>
        <v>#VALUE!</v>
      </c>
      <c r="O312" s="9" t="e">
        <f t="shared" si="28"/>
        <v>#VALUE!</v>
      </c>
    </row>
    <row r="313" spans="2:15" ht="15.5" hidden="1" x14ac:dyDescent="0.35">
      <c r="B313" s="6" t="e">
        <f t="shared" si="29"/>
        <v>#VALUE!</v>
      </c>
      <c r="C313" s="7" t="e">
        <f t="shared" si="25"/>
        <v>#VALUE!</v>
      </c>
      <c r="D313" s="7" t="e">
        <f t="shared" si="30"/>
        <v>#VALUE!</v>
      </c>
      <c r="E313" s="7" t="e">
        <f>C312*Remodelacion!$E$17</f>
        <v>#VALUE!</v>
      </c>
      <c r="F313" s="8" t="e">
        <f>IF(C312&lt;1,0,IF(Remodelacion!$D$26="Si",($C$17*(VLOOKUP(Remodelacion!$C$22,Seguros_Oblig!$A$3:$F$55,6,FALSE))),IF(Remodelacion!$C$10="TARIFA 1",(C312*(VLOOKUP(Remodelacion!$C$22,Seguros_Oblig!$A$3:$B$55,2,FALSE))),(C312*(VLOOKUP(Remodelacion!$C$22,Seguros_Oblig!$A$3:$D$55,4,FALSE))))))</f>
        <v>#VALUE!</v>
      </c>
      <c r="G313" s="8" t="e">
        <f>IF(Remodelacion!$C$10="TARIFA 1",(C312*(VLOOKUP(Remodelacion!$C$23,Seguros_Oblig!$A$3:$B$55,2,FALSE))),(C312*(VLOOKUP(Remodelacion!$C$23,Seguros_Oblig!$A$3:$D$55,4,FALSE))))</f>
        <v>#VALUE!</v>
      </c>
      <c r="H313" s="8" t="e">
        <f>IF(Remodelacion!$C$10="TARIFA 1",(C312*(VLOOKUP(Remodelacion!$C$24,Seguros_Oblig!$A$3:$B$55,2,FALSE))),(C312*(VLOOKUP(Remodelacion!$C$24,Seguros_Oblig!$A$3:$D$55,4,FALSE))))</f>
        <v>#VALUE!</v>
      </c>
      <c r="I313" s="8" t="e">
        <f>IF(Remodelacion!$C$10="TARIFA 1",(C312*(VLOOKUP(Remodelacion!$C$25,Seguros_Oblig!$A$3:$B$55,2,FALSE))),(C312*(VLOOKUP(Remodelacion!$C$25,Seguros_Oblig!$A$3:$D$55,4,FALSE))))</f>
        <v>#VALUE!</v>
      </c>
      <c r="J313" s="10">
        <f t="shared" si="26"/>
        <v>0</v>
      </c>
      <c r="K313" s="7" t="e">
        <f>IF(RM!$D$11="Si",0,IF(C312&lt;1,"0",Seguros_Oblig!$K$2*Remodelacion!$C$12))</f>
        <v>#VALUE!</v>
      </c>
      <c r="L313" s="7" t="e">
        <f>IF(B313=" ","0",PMT(Remodelacion!$E$17,Remodelacion!$C$18,-Remodelacion!$C$15,,))</f>
        <v>#VALUE!</v>
      </c>
      <c r="M313" s="9" t="e">
        <f t="shared" si="27"/>
        <v>#VALUE!</v>
      </c>
      <c r="N313" s="7" t="e">
        <f>IF(C312&lt;1,"0",Remodelacion!$C$38)</f>
        <v>#VALUE!</v>
      </c>
      <c r="O313" s="9" t="e">
        <f t="shared" si="28"/>
        <v>#VALUE!</v>
      </c>
    </row>
    <row r="314" spans="2:15" ht="15.5" hidden="1" x14ac:dyDescent="0.35">
      <c r="B314" s="6" t="e">
        <f t="shared" si="29"/>
        <v>#VALUE!</v>
      </c>
      <c r="C314" s="7" t="e">
        <f t="shared" si="25"/>
        <v>#VALUE!</v>
      </c>
      <c r="D314" s="7" t="e">
        <f t="shared" si="30"/>
        <v>#VALUE!</v>
      </c>
      <c r="E314" s="7" t="e">
        <f>C313*Remodelacion!$E$17</f>
        <v>#VALUE!</v>
      </c>
      <c r="F314" s="8" t="e">
        <f>IF(C313&lt;1,0,IF(Remodelacion!$D$26="Si",($C$17*(VLOOKUP(Remodelacion!$C$22,Seguros_Oblig!$A$3:$F$55,6,FALSE))),IF(Remodelacion!$C$10="TARIFA 1",(C313*(VLOOKUP(Remodelacion!$C$22,Seguros_Oblig!$A$3:$B$55,2,FALSE))),(C313*(VLOOKUP(Remodelacion!$C$22,Seguros_Oblig!$A$3:$D$55,4,FALSE))))))</f>
        <v>#VALUE!</v>
      </c>
      <c r="G314" s="8" t="e">
        <f>IF(Remodelacion!$C$10="TARIFA 1",(C313*(VLOOKUP(Remodelacion!$C$23,Seguros_Oblig!$A$3:$B$55,2,FALSE))),(C313*(VLOOKUP(Remodelacion!$C$23,Seguros_Oblig!$A$3:$D$55,4,FALSE))))</f>
        <v>#VALUE!</v>
      </c>
      <c r="H314" s="8" t="e">
        <f>IF(Remodelacion!$C$10="TARIFA 1",(C313*(VLOOKUP(Remodelacion!$C$24,Seguros_Oblig!$A$3:$B$55,2,FALSE))),(C313*(VLOOKUP(Remodelacion!$C$24,Seguros_Oblig!$A$3:$D$55,4,FALSE))))</f>
        <v>#VALUE!</v>
      </c>
      <c r="I314" s="8" t="e">
        <f>IF(Remodelacion!$C$10="TARIFA 1",(C313*(VLOOKUP(Remodelacion!$C$25,Seguros_Oblig!$A$3:$B$55,2,FALSE))),(C313*(VLOOKUP(Remodelacion!$C$25,Seguros_Oblig!$A$3:$D$55,4,FALSE))))</f>
        <v>#VALUE!</v>
      </c>
      <c r="J314" s="10">
        <f t="shared" si="26"/>
        <v>0</v>
      </c>
      <c r="K314" s="7" t="e">
        <f>IF(RM!$D$11="Si",0,IF(C313&lt;1,"0",Seguros_Oblig!$K$2*Remodelacion!$C$12))</f>
        <v>#VALUE!</v>
      </c>
      <c r="L314" s="7" t="e">
        <f>IF(B314=" ","0",PMT(Remodelacion!$E$17,Remodelacion!$C$18,-Remodelacion!$C$15,,))</f>
        <v>#VALUE!</v>
      </c>
      <c r="M314" s="9" t="e">
        <f t="shared" si="27"/>
        <v>#VALUE!</v>
      </c>
      <c r="N314" s="7" t="e">
        <f>IF(C313&lt;1,"0",Remodelacion!$C$38)</f>
        <v>#VALUE!</v>
      </c>
      <c r="O314" s="9" t="e">
        <f t="shared" si="28"/>
        <v>#VALUE!</v>
      </c>
    </row>
    <row r="315" spans="2:15" ht="15.5" hidden="1" x14ac:dyDescent="0.35">
      <c r="B315" s="6" t="e">
        <f t="shared" si="29"/>
        <v>#VALUE!</v>
      </c>
      <c r="C315" s="7" t="e">
        <f t="shared" si="25"/>
        <v>#VALUE!</v>
      </c>
      <c r="D315" s="7" t="e">
        <f t="shared" si="30"/>
        <v>#VALUE!</v>
      </c>
      <c r="E315" s="7" t="e">
        <f>C314*Remodelacion!$E$17</f>
        <v>#VALUE!</v>
      </c>
      <c r="F315" s="8" t="e">
        <f>IF(C314&lt;1,0,IF(Remodelacion!$D$26="Si",($C$17*(VLOOKUP(Remodelacion!$C$22,Seguros_Oblig!$A$3:$F$55,6,FALSE))),IF(Remodelacion!$C$10="TARIFA 1",(C314*(VLOOKUP(Remodelacion!$C$22,Seguros_Oblig!$A$3:$B$55,2,FALSE))),(C314*(VLOOKUP(Remodelacion!$C$22,Seguros_Oblig!$A$3:$D$55,4,FALSE))))))</f>
        <v>#VALUE!</v>
      </c>
      <c r="G315" s="8" t="e">
        <f>IF(Remodelacion!$C$10="TARIFA 1",(C314*(VLOOKUP(Remodelacion!$C$23,Seguros_Oblig!$A$3:$B$55,2,FALSE))),(C314*(VLOOKUP(Remodelacion!$C$23,Seguros_Oblig!$A$3:$D$55,4,FALSE))))</f>
        <v>#VALUE!</v>
      </c>
      <c r="H315" s="8" t="e">
        <f>IF(Remodelacion!$C$10="TARIFA 1",(C314*(VLOOKUP(Remodelacion!$C$24,Seguros_Oblig!$A$3:$B$55,2,FALSE))),(C314*(VLOOKUP(Remodelacion!$C$24,Seguros_Oblig!$A$3:$D$55,4,FALSE))))</f>
        <v>#VALUE!</v>
      </c>
      <c r="I315" s="8" t="e">
        <f>IF(Remodelacion!$C$10="TARIFA 1",(C314*(VLOOKUP(Remodelacion!$C$25,Seguros_Oblig!$A$3:$B$55,2,FALSE))),(C314*(VLOOKUP(Remodelacion!$C$25,Seguros_Oblig!$A$3:$D$55,4,FALSE))))</f>
        <v>#VALUE!</v>
      </c>
      <c r="J315" s="10">
        <f t="shared" si="26"/>
        <v>0</v>
      </c>
      <c r="K315" s="7" t="e">
        <f>IF(RM!$D$11="Si",0,IF(C314&lt;1,"0",Seguros_Oblig!$K$2*Remodelacion!$C$12))</f>
        <v>#VALUE!</v>
      </c>
      <c r="L315" s="7" t="e">
        <f>IF(B315=" ","0",PMT(Remodelacion!$E$17,Remodelacion!$C$18,-Remodelacion!$C$15,,))</f>
        <v>#VALUE!</v>
      </c>
      <c r="M315" s="9" t="e">
        <f t="shared" si="27"/>
        <v>#VALUE!</v>
      </c>
      <c r="N315" s="7" t="e">
        <f>IF(C314&lt;1,"0",Remodelacion!$C$38)</f>
        <v>#VALUE!</v>
      </c>
      <c r="O315" s="9" t="e">
        <f t="shared" si="28"/>
        <v>#VALUE!</v>
      </c>
    </row>
    <row r="316" spans="2:15" ht="15.5" hidden="1" x14ac:dyDescent="0.35">
      <c r="B316" s="6" t="e">
        <f t="shared" si="29"/>
        <v>#VALUE!</v>
      </c>
      <c r="C316" s="7" t="e">
        <f t="shared" si="25"/>
        <v>#VALUE!</v>
      </c>
      <c r="D316" s="7" t="e">
        <f t="shared" si="30"/>
        <v>#VALUE!</v>
      </c>
      <c r="E316" s="7" t="e">
        <f>C315*Remodelacion!$E$17</f>
        <v>#VALUE!</v>
      </c>
      <c r="F316" s="8" t="e">
        <f>IF(C315&lt;1,0,IF(Remodelacion!$D$26="Si",($C$17*(VLOOKUP(Remodelacion!$C$22,Seguros_Oblig!$A$3:$F$55,6,FALSE))),IF(Remodelacion!$C$10="TARIFA 1",(C315*(VLOOKUP(Remodelacion!$C$22,Seguros_Oblig!$A$3:$B$55,2,FALSE))),(C315*(VLOOKUP(Remodelacion!$C$22,Seguros_Oblig!$A$3:$D$55,4,FALSE))))))</f>
        <v>#VALUE!</v>
      </c>
      <c r="G316" s="8" t="e">
        <f>IF(Remodelacion!$C$10="TARIFA 1",(C315*(VLOOKUP(Remodelacion!$C$23,Seguros_Oblig!$A$3:$B$55,2,FALSE))),(C315*(VLOOKUP(Remodelacion!$C$23,Seguros_Oblig!$A$3:$D$55,4,FALSE))))</f>
        <v>#VALUE!</v>
      </c>
      <c r="H316" s="8" t="e">
        <f>IF(Remodelacion!$C$10="TARIFA 1",(C315*(VLOOKUP(Remodelacion!$C$24,Seguros_Oblig!$A$3:$B$55,2,FALSE))),(C315*(VLOOKUP(Remodelacion!$C$24,Seguros_Oblig!$A$3:$D$55,4,FALSE))))</f>
        <v>#VALUE!</v>
      </c>
      <c r="I316" s="8" t="e">
        <f>IF(Remodelacion!$C$10="TARIFA 1",(C315*(VLOOKUP(Remodelacion!$C$25,Seguros_Oblig!$A$3:$B$55,2,FALSE))),(C315*(VLOOKUP(Remodelacion!$C$25,Seguros_Oblig!$A$3:$D$55,4,FALSE))))</f>
        <v>#VALUE!</v>
      </c>
      <c r="J316" s="10">
        <f t="shared" si="26"/>
        <v>0</v>
      </c>
      <c r="K316" s="7" t="e">
        <f>IF(RM!$D$11="Si",0,IF(C315&lt;1,"0",Seguros_Oblig!$K$2*Remodelacion!$C$12))</f>
        <v>#VALUE!</v>
      </c>
      <c r="L316" s="7" t="e">
        <f>IF(B316=" ","0",PMT(Remodelacion!$E$17,Remodelacion!$C$18,-Remodelacion!$C$15,,))</f>
        <v>#VALUE!</v>
      </c>
      <c r="M316" s="9" t="e">
        <f t="shared" si="27"/>
        <v>#VALUE!</v>
      </c>
      <c r="N316" s="7" t="e">
        <f>IF(C315&lt;1,"0",Remodelacion!$C$38)</f>
        <v>#VALUE!</v>
      </c>
      <c r="O316" s="9" t="e">
        <f t="shared" si="28"/>
        <v>#VALUE!</v>
      </c>
    </row>
    <row r="317" spans="2:15" ht="15.5" hidden="1" x14ac:dyDescent="0.35">
      <c r="B317" s="6" t="e">
        <f t="shared" si="29"/>
        <v>#VALUE!</v>
      </c>
      <c r="C317" s="7" t="e">
        <f t="shared" si="25"/>
        <v>#VALUE!</v>
      </c>
      <c r="D317" s="7" t="e">
        <f t="shared" si="30"/>
        <v>#VALUE!</v>
      </c>
      <c r="E317" s="7" t="e">
        <f>C316*Remodelacion!$E$17</f>
        <v>#VALUE!</v>
      </c>
      <c r="F317" s="8" t="e">
        <f>IF(C316&lt;1,0,IF(Remodelacion!$D$26="Si",($C$17*(VLOOKUP(Remodelacion!$C$22,Seguros_Oblig!$A$3:$F$55,6,FALSE))),IF(Remodelacion!$C$10="TARIFA 1",(C316*(VLOOKUP(Remodelacion!$C$22,Seguros_Oblig!$A$3:$B$55,2,FALSE))),(C316*(VLOOKUP(Remodelacion!$C$22,Seguros_Oblig!$A$3:$D$55,4,FALSE))))))</f>
        <v>#VALUE!</v>
      </c>
      <c r="G317" s="8" t="e">
        <f>IF(Remodelacion!$C$10="TARIFA 1",(C316*(VLOOKUP(Remodelacion!$C$23,Seguros_Oblig!$A$3:$B$55,2,FALSE))),(C316*(VLOOKUP(Remodelacion!$C$23,Seguros_Oblig!$A$3:$D$55,4,FALSE))))</f>
        <v>#VALUE!</v>
      </c>
      <c r="H317" s="8" t="e">
        <f>IF(Remodelacion!$C$10="TARIFA 1",(C316*(VLOOKUP(Remodelacion!$C$24,Seguros_Oblig!$A$3:$B$55,2,FALSE))),(C316*(VLOOKUP(Remodelacion!$C$24,Seguros_Oblig!$A$3:$D$55,4,FALSE))))</f>
        <v>#VALUE!</v>
      </c>
      <c r="I317" s="8" t="e">
        <f>IF(Remodelacion!$C$10="TARIFA 1",(C316*(VLOOKUP(Remodelacion!$C$25,Seguros_Oblig!$A$3:$B$55,2,FALSE))),(C316*(VLOOKUP(Remodelacion!$C$25,Seguros_Oblig!$A$3:$D$55,4,FALSE))))</f>
        <v>#VALUE!</v>
      </c>
      <c r="J317" s="10">
        <f t="shared" si="26"/>
        <v>0</v>
      </c>
      <c r="K317" s="7" t="e">
        <f>IF(RM!$D$11="Si",0,IF(C316&lt;1,"0",Seguros_Oblig!$K$2*Remodelacion!$C$12))</f>
        <v>#VALUE!</v>
      </c>
      <c r="L317" s="7" t="e">
        <f>IF(B317=" ","0",PMT(Remodelacion!$E$17,Remodelacion!$C$18,-Remodelacion!$C$15,,))</f>
        <v>#VALUE!</v>
      </c>
      <c r="M317" s="9" t="e">
        <f t="shared" si="27"/>
        <v>#VALUE!</v>
      </c>
      <c r="N317" s="7" t="e">
        <f>IF(C316&lt;1,"0",Remodelacion!$C$38)</f>
        <v>#VALUE!</v>
      </c>
      <c r="O317" s="9" t="e">
        <f t="shared" si="28"/>
        <v>#VALUE!</v>
      </c>
    </row>
    <row r="318" spans="2:15" ht="15.5" hidden="1" x14ac:dyDescent="0.35">
      <c r="B318" s="6" t="e">
        <f t="shared" si="29"/>
        <v>#VALUE!</v>
      </c>
      <c r="C318" s="7" t="e">
        <f t="shared" si="25"/>
        <v>#VALUE!</v>
      </c>
      <c r="D318" s="7" t="e">
        <f t="shared" si="30"/>
        <v>#VALUE!</v>
      </c>
      <c r="E318" s="7" t="e">
        <f>C317*Remodelacion!$E$17</f>
        <v>#VALUE!</v>
      </c>
      <c r="F318" s="8" t="e">
        <f>IF(C317&lt;1,0,IF(Remodelacion!$D$26="Si",($C$17*(VLOOKUP(Remodelacion!$C$22,Seguros_Oblig!$A$3:$F$55,6,FALSE))),IF(Remodelacion!$C$10="TARIFA 1",(C317*(VLOOKUP(Remodelacion!$C$22,Seguros_Oblig!$A$3:$B$55,2,FALSE))),(C317*(VLOOKUP(Remodelacion!$C$22,Seguros_Oblig!$A$3:$D$55,4,FALSE))))))</f>
        <v>#VALUE!</v>
      </c>
      <c r="G318" s="8" t="e">
        <f>IF(Remodelacion!$C$10="TARIFA 1",(C317*(VLOOKUP(Remodelacion!$C$23,Seguros_Oblig!$A$3:$B$55,2,FALSE))),(C317*(VLOOKUP(Remodelacion!$C$23,Seguros_Oblig!$A$3:$D$55,4,FALSE))))</f>
        <v>#VALUE!</v>
      </c>
      <c r="H318" s="8" t="e">
        <f>IF(Remodelacion!$C$10="TARIFA 1",(C317*(VLOOKUP(Remodelacion!$C$24,Seguros_Oblig!$A$3:$B$55,2,FALSE))),(C317*(VLOOKUP(Remodelacion!$C$24,Seguros_Oblig!$A$3:$D$55,4,FALSE))))</f>
        <v>#VALUE!</v>
      </c>
      <c r="I318" s="8" t="e">
        <f>IF(Remodelacion!$C$10="TARIFA 1",(C317*(VLOOKUP(Remodelacion!$C$25,Seguros_Oblig!$A$3:$B$55,2,FALSE))),(C317*(VLOOKUP(Remodelacion!$C$25,Seguros_Oblig!$A$3:$D$55,4,FALSE))))</f>
        <v>#VALUE!</v>
      </c>
      <c r="J318" s="10">
        <f t="shared" si="26"/>
        <v>0</v>
      </c>
      <c r="K318" s="7" t="e">
        <f>IF(RM!$D$11="Si",0,IF(C317&lt;1,"0",Seguros_Oblig!$K$2*Remodelacion!$C$12))</f>
        <v>#VALUE!</v>
      </c>
      <c r="L318" s="7" t="e">
        <f>IF(B318=" ","0",PMT(Remodelacion!$E$17,Remodelacion!$C$18,-Remodelacion!$C$15,,))</f>
        <v>#VALUE!</v>
      </c>
      <c r="M318" s="9" t="e">
        <f t="shared" si="27"/>
        <v>#VALUE!</v>
      </c>
      <c r="N318" s="7" t="e">
        <f>IF(C317&lt;1,"0",Remodelacion!$C$38)</f>
        <v>#VALUE!</v>
      </c>
      <c r="O318" s="9" t="e">
        <f t="shared" si="28"/>
        <v>#VALUE!</v>
      </c>
    </row>
    <row r="319" spans="2:15" ht="15.5" hidden="1" x14ac:dyDescent="0.35">
      <c r="B319" s="6" t="e">
        <f t="shared" si="29"/>
        <v>#VALUE!</v>
      </c>
      <c r="C319" s="7" t="e">
        <f t="shared" si="25"/>
        <v>#VALUE!</v>
      </c>
      <c r="D319" s="7" t="e">
        <f t="shared" si="30"/>
        <v>#VALUE!</v>
      </c>
      <c r="E319" s="7" t="e">
        <f>C318*Remodelacion!$E$17</f>
        <v>#VALUE!</v>
      </c>
      <c r="F319" s="8" t="e">
        <f>IF(C318&lt;1,0,IF(Remodelacion!$D$26="Si",($C$17*(VLOOKUP(Remodelacion!$C$22,Seguros_Oblig!$A$3:$F$55,6,FALSE))),IF(Remodelacion!$C$10="TARIFA 1",(C318*(VLOOKUP(Remodelacion!$C$22,Seguros_Oblig!$A$3:$B$55,2,FALSE))),(C318*(VLOOKUP(Remodelacion!$C$22,Seguros_Oblig!$A$3:$D$55,4,FALSE))))))</f>
        <v>#VALUE!</v>
      </c>
      <c r="G319" s="8" t="e">
        <f>IF(Remodelacion!$C$10="TARIFA 1",(C318*(VLOOKUP(Remodelacion!$C$23,Seguros_Oblig!$A$3:$B$55,2,FALSE))),(C318*(VLOOKUP(Remodelacion!$C$23,Seguros_Oblig!$A$3:$D$55,4,FALSE))))</f>
        <v>#VALUE!</v>
      </c>
      <c r="H319" s="8" t="e">
        <f>IF(Remodelacion!$C$10="TARIFA 1",(C318*(VLOOKUP(Remodelacion!$C$24,Seguros_Oblig!$A$3:$B$55,2,FALSE))),(C318*(VLOOKUP(Remodelacion!$C$24,Seguros_Oblig!$A$3:$D$55,4,FALSE))))</f>
        <v>#VALUE!</v>
      </c>
      <c r="I319" s="8" t="e">
        <f>IF(Remodelacion!$C$10="TARIFA 1",(C318*(VLOOKUP(Remodelacion!$C$25,Seguros_Oblig!$A$3:$B$55,2,FALSE))),(C318*(VLOOKUP(Remodelacion!$C$25,Seguros_Oblig!$A$3:$D$55,4,FALSE))))</f>
        <v>#VALUE!</v>
      </c>
      <c r="J319" s="10">
        <f t="shared" si="26"/>
        <v>0</v>
      </c>
      <c r="K319" s="7" t="e">
        <f>IF(RM!$D$11="Si",0,IF(C318&lt;1,"0",Seguros_Oblig!$K$2*Remodelacion!$C$12))</f>
        <v>#VALUE!</v>
      </c>
      <c r="L319" s="7" t="e">
        <f>IF(B319=" ","0",PMT(Remodelacion!$E$17,Remodelacion!$C$18,-Remodelacion!$C$15,,))</f>
        <v>#VALUE!</v>
      </c>
      <c r="M319" s="9" t="e">
        <f t="shared" si="27"/>
        <v>#VALUE!</v>
      </c>
      <c r="N319" s="7" t="e">
        <f>IF(C318&lt;1,"0",Remodelacion!$C$38)</f>
        <v>#VALUE!</v>
      </c>
      <c r="O319" s="9" t="e">
        <f t="shared" si="28"/>
        <v>#VALUE!</v>
      </c>
    </row>
    <row r="320" spans="2:15" ht="15.5" hidden="1" x14ac:dyDescent="0.35">
      <c r="B320" s="6" t="e">
        <f t="shared" si="29"/>
        <v>#VALUE!</v>
      </c>
      <c r="C320" s="7" t="e">
        <f t="shared" si="25"/>
        <v>#VALUE!</v>
      </c>
      <c r="D320" s="7" t="e">
        <f t="shared" si="30"/>
        <v>#VALUE!</v>
      </c>
      <c r="E320" s="7" t="e">
        <f>C319*Remodelacion!$E$17</f>
        <v>#VALUE!</v>
      </c>
      <c r="F320" s="8" t="e">
        <f>IF(C319&lt;1,0,IF(Remodelacion!$D$26="Si",($C$17*(VLOOKUP(Remodelacion!$C$22,Seguros_Oblig!$A$3:$F$55,6,FALSE))),IF(Remodelacion!$C$10="TARIFA 1",(C319*(VLOOKUP(Remodelacion!$C$22,Seguros_Oblig!$A$3:$B$55,2,FALSE))),(C319*(VLOOKUP(Remodelacion!$C$22,Seguros_Oblig!$A$3:$D$55,4,FALSE))))))</f>
        <v>#VALUE!</v>
      </c>
      <c r="G320" s="8" t="e">
        <f>IF(Remodelacion!$C$10="TARIFA 1",(C319*(VLOOKUP(Remodelacion!$C$23,Seguros_Oblig!$A$3:$B$55,2,FALSE))),(C319*(VLOOKUP(Remodelacion!$C$23,Seguros_Oblig!$A$3:$D$55,4,FALSE))))</f>
        <v>#VALUE!</v>
      </c>
      <c r="H320" s="8" t="e">
        <f>IF(Remodelacion!$C$10="TARIFA 1",(C319*(VLOOKUP(Remodelacion!$C$24,Seguros_Oblig!$A$3:$B$55,2,FALSE))),(C319*(VLOOKUP(Remodelacion!$C$24,Seguros_Oblig!$A$3:$D$55,4,FALSE))))</f>
        <v>#VALUE!</v>
      </c>
      <c r="I320" s="8" t="e">
        <f>IF(Remodelacion!$C$10="TARIFA 1",(C319*(VLOOKUP(Remodelacion!$C$25,Seguros_Oblig!$A$3:$B$55,2,FALSE))),(C319*(VLOOKUP(Remodelacion!$C$25,Seguros_Oblig!$A$3:$D$55,4,FALSE))))</f>
        <v>#VALUE!</v>
      </c>
      <c r="J320" s="10">
        <f t="shared" si="26"/>
        <v>0</v>
      </c>
      <c r="K320" s="7" t="e">
        <f>IF(RM!$D$11="Si",0,IF(C319&lt;1,"0",Seguros_Oblig!$K$2*Remodelacion!$C$12))</f>
        <v>#VALUE!</v>
      </c>
      <c r="L320" s="7" t="e">
        <f>IF(B320=" ","0",PMT(Remodelacion!$E$17,Remodelacion!$C$18,-Remodelacion!$C$15,,))</f>
        <v>#VALUE!</v>
      </c>
      <c r="M320" s="9" t="e">
        <f t="shared" si="27"/>
        <v>#VALUE!</v>
      </c>
      <c r="N320" s="7" t="e">
        <f>IF(C319&lt;1,"0",Remodelacion!$C$38)</f>
        <v>#VALUE!</v>
      </c>
      <c r="O320" s="9" t="e">
        <f t="shared" si="28"/>
        <v>#VALUE!</v>
      </c>
    </row>
    <row r="321" spans="2:15" ht="15.5" hidden="1" x14ac:dyDescent="0.35">
      <c r="B321" s="6" t="e">
        <f t="shared" si="29"/>
        <v>#VALUE!</v>
      </c>
      <c r="C321" s="7" t="e">
        <f t="shared" si="25"/>
        <v>#VALUE!</v>
      </c>
      <c r="D321" s="7" t="e">
        <f t="shared" si="30"/>
        <v>#VALUE!</v>
      </c>
      <c r="E321" s="7" t="e">
        <f>C320*Remodelacion!$E$17</f>
        <v>#VALUE!</v>
      </c>
      <c r="F321" s="8" t="e">
        <f>IF(C320&lt;1,0,IF(Remodelacion!$D$26="Si",($C$17*(VLOOKUP(Remodelacion!$C$22,Seguros_Oblig!$A$3:$F$55,6,FALSE))),IF(Remodelacion!$C$10="TARIFA 1",(C320*(VLOOKUP(Remodelacion!$C$22,Seguros_Oblig!$A$3:$B$55,2,FALSE))),(C320*(VLOOKUP(Remodelacion!$C$22,Seguros_Oblig!$A$3:$D$55,4,FALSE))))))</f>
        <v>#VALUE!</v>
      </c>
      <c r="G321" s="8" t="e">
        <f>IF(Remodelacion!$C$10="TARIFA 1",(C320*(VLOOKUP(Remodelacion!$C$23,Seguros_Oblig!$A$3:$B$55,2,FALSE))),(C320*(VLOOKUP(Remodelacion!$C$23,Seguros_Oblig!$A$3:$D$55,4,FALSE))))</f>
        <v>#VALUE!</v>
      </c>
      <c r="H321" s="8" t="e">
        <f>IF(Remodelacion!$C$10="TARIFA 1",(C320*(VLOOKUP(Remodelacion!$C$24,Seguros_Oblig!$A$3:$B$55,2,FALSE))),(C320*(VLOOKUP(Remodelacion!$C$24,Seguros_Oblig!$A$3:$D$55,4,FALSE))))</f>
        <v>#VALUE!</v>
      </c>
      <c r="I321" s="8" t="e">
        <f>IF(Remodelacion!$C$10="TARIFA 1",(C320*(VLOOKUP(Remodelacion!$C$25,Seguros_Oblig!$A$3:$B$55,2,FALSE))),(C320*(VLOOKUP(Remodelacion!$C$25,Seguros_Oblig!$A$3:$D$55,4,FALSE))))</f>
        <v>#VALUE!</v>
      </c>
      <c r="J321" s="10">
        <f t="shared" si="26"/>
        <v>0</v>
      </c>
      <c r="K321" s="7" t="e">
        <f>IF(RM!$D$11="Si",0,IF(C320&lt;1,"0",Seguros_Oblig!$K$2*Remodelacion!$C$12))</f>
        <v>#VALUE!</v>
      </c>
      <c r="L321" s="7" t="e">
        <f>IF(B321=" ","0",PMT(Remodelacion!$E$17,Remodelacion!$C$18,-Remodelacion!$C$15,,))</f>
        <v>#VALUE!</v>
      </c>
      <c r="M321" s="9" t="e">
        <f t="shared" si="27"/>
        <v>#VALUE!</v>
      </c>
      <c r="N321" s="7" t="e">
        <f>IF(C320&lt;1,"0",Remodelacion!$C$38)</f>
        <v>#VALUE!</v>
      </c>
      <c r="O321" s="9" t="e">
        <f t="shared" si="28"/>
        <v>#VALUE!</v>
      </c>
    </row>
    <row r="322" spans="2:15" ht="15.5" hidden="1" x14ac:dyDescent="0.35">
      <c r="B322" s="6" t="e">
        <f t="shared" si="29"/>
        <v>#VALUE!</v>
      </c>
      <c r="C322" s="7" t="e">
        <f t="shared" si="25"/>
        <v>#VALUE!</v>
      </c>
      <c r="D322" s="7" t="e">
        <f t="shared" si="30"/>
        <v>#VALUE!</v>
      </c>
      <c r="E322" s="7" t="e">
        <f>C321*Remodelacion!$E$17</f>
        <v>#VALUE!</v>
      </c>
      <c r="F322" s="8" t="e">
        <f>IF(C321&lt;1,0,IF(Remodelacion!$D$26="Si",($C$17*(VLOOKUP(Remodelacion!$C$22,Seguros_Oblig!$A$3:$F$55,6,FALSE))),IF(Remodelacion!$C$10="TARIFA 1",(C321*(VLOOKUP(Remodelacion!$C$22,Seguros_Oblig!$A$3:$B$55,2,FALSE))),(C321*(VLOOKUP(Remodelacion!$C$22,Seguros_Oblig!$A$3:$D$55,4,FALSE))))))</f>
        <v>#VALUE!</v>
      </c>
      <c r="G322" s="8" t="e">
        <f>IF(Remodelacion!$C$10="TARIFA 1",(C321*(VLOOKUP(Remodelacion!$C$23,Seguros_Oblig!$A$3:$B$55,2,FALSE))),(C321*(VLOOKUP(Remodelacion!$C$23,Seguros_Oblig!$A$3:$D$55,4,FALSE))))</f>
        <v>#VALUE!</v>
      </c>
      <c r="H322" s="8" t="e">
        <f>IF(Remodelacion!$C$10="TARIFA 1",(C321*(VLOOKUP(Remodelacion!$C$24,Seguros_Oblig!$A$3:$B$55,2,FALSE))),(C321*(VLOOKUP(Remodelacion!$C$24,Seguros_Oblig!$A$3:$D$55,4,FALSE))))</f>
        <v>#VALUE!</v>
      </c>
      <c r="I322" s="8" t="e">
        <f>IF(Remodelacion!$C$10="TARIFA 1",(C321*(VLOOKUP(Remodelacion!$C$25,Seguros_Oblig!$A$3:$B$55,2,FALSE))),(C321*(VLOOKUP(Remodelacion!$C$25,Seguros_Oblig!$A$3:$D$55,4,FALSE))))</f>
        <v>#VALUE!</v>
      </c>
      <c r="J322" s="10">
        <f t="shared" si="26"/>
        <v>0</v>
      </c>
      <c r="K322" s="7" t="e">
        <f>IF(RM!$D$11="Si",0,IF(C321&lt;1,"0",Seguros_Oblig!$K$2*Remodelacion!$C$12))</f>
        <v>#VALUE!</v>
      </c>
      <c r="L322" s="7" t="e">
        <f>IF(B322=" ","0",PMT(Remodelacion!$E$17,Remodelacion!$C$18,-Remodelacion!$C$15,,))</f>
        <v>#VALUE!</v>
      </c>
      <c r="M322" s="9" t="e">
        <f t="shared" si="27"/>
        <v>#VALUE!</v>
      </c>
      <c r="N322" s="7" t="e">
        <f>IF(C321&lt;1,"0",Remodelacion!$C$38)</f>
        <v>#VALUE!</v>
      </c>
      <c r="O322" s="9" t="e">
        <f t="shared" si="28"/>
        <v>#VALUE!</v>
      </c>
    </row>
    <row r="323" spans="2:15" ht="15.5" hidden="1" x14ac:dyDescent="0.35">
      <c r="B323" s="6" t="e">
        <f t="shared" si="29"/>
        <v>#VALUE!</v>
      </c>
      <c r="C323" s="7" t="e">
        <f t="shared" si="25"/>
        <v>#VALUE!</v>
      </c>
      <c r="D323" s="7" t="e">
        <f t="shared" si="30"/>
        <v>#VALUE!</v>
      </c>
      <c r="E323" s="7" t="e">
        <f>C322*Remodelacion!$E$17</f>
        <v>#VALUE!</v>
      </c>
      <c r="F323" s="8" t="e">
        <f>IF(C322&lt;1,0,IF(Remodelacion!$D$26="Si",($C$17*(VLOOKUP(Remodelacion!$C$22,Seguros_Oblig!$A$3:$F$55,6,FALSE))),IF(Remodelacion!$C$10="TARIFA 1",(C322*(VLOOKUP(Remodelacion!$C$22,Seguros_Oblig!$A$3:$B$55,2,FALSE))),(C322*(VLOOKUP(Remodelacion!$C$22,Seguros_Oblig!$A$3:$D$55,4,FALSE))))))</f>
        <v>#VALUE!</v>
      </c>
      <c r="G323" s="8" t="e">
        <f>IF(Remodelacion!$C$10="TARIFA 1",(C322*(VLOOKUP(Remodelacion!$C$23,Seguros_Oblig!$A$3:$B$55,2,FALSE))),(C322*(VLOOKUP(Remodelacion!$C$23,Seguros_Oblig!$A$3:$D$55,4,FALSE))))</f>
        <v>#VALUE!</v>
      </c>
      <c r="H323" s="8" t="e">
        <f>IF(Remodelacion!$C$10="TARIFA 1",(C322*(VLOOKUP(Remodelacion!$C$24,Seguros_Oblig!$A$3:$B$55,2,FALSE))),(C322*(VLOOKUP(Remodelacion!$C$24,Seguros_Oblig!$A$3:$D$55,4,FALSE))))</f>
        <v>#VALUE!</v>
      </c>
      <c r="I323" s="8" t="e">
        <f>IF(Remodelacion!$C$10="TARIFA 1",(C322*(VLOOKUP(Remodelacion!$C$25,Seguros_Oblig!$A$3:$B$55,2,FALSE))),(C322*(VLOOKUP(Remodelacion!$C$25,Seguros_Oblig!$A$3:$D$55,4,FALSE))))</f>
        <v>#VALUE!</v>
      </c>
      <c r="J323" s="10">
        <f t="shared" si="26"/>
        <v>0</v>
      </c>
      <c r="K323" s="7" t="e">
        <f>IF(RM!$D$11="Si",0,IF(C322&lt;1,"0",Seguros_Oblig!$K$2*Remodelacion!$C$12))</f>
        <v>#VALUE!</v>
      </c>
      <c r="L323" s="7" t="e">
        <f>IF(B323=" ","0",PMT(Remodelacion!$E$17,Remodelacion!$C$18,-Remodelacion!$C$15,,))</f>
        <v>#VALUE!</v>
      </c>
      <c r="M323" s="9" t="e">
        <f t="shared" si="27"/>
        <v>#VALUE!</v>
      </c>
      <c r="N323" s="7" t="e">
        <f>IF(C322&lt;1,"0",Remodelacion!$C$38)</f>
        <v>#VALUE!</v>
      </c>
      <c r="O323" s="9" t="e">
        <f t="shared" si="28"/>
        <v>#VALUE!</v>
      </c>
    </row>
    <row r="324" spans="2:15" ht="15.5" hidden="1" x14ac:dyDescent="0.35">
      <c r="B324" s="6" t="e">
        <f t="shared" si="29"/>
        <v>#VALUE!</v>
      </c>
      <c r="C324" s="7" t="e">
        <f t="shared" si="25"/>
        <v>#VALUE!</v>
      </c>
      <c r="D324" s="7" t="e">
        <f t="shared" si="30"/>
        <v>#VALUE!</v>
      </c>
      <c r="E324" s="7" t="e">
        <f>C323*Remodelacion!$E$17</f>
        <v>#VALUE!</v>
      </c>
      <c r="F324" s="8" t="e">
        <f>IF(C323&lt;1,0,IF(Remodelacion!$D$26="Si",($C$17*(VLOOKUP(Remodelacion!$C$22,Seguros_Oblig!$A$3:$F$55,6,FALSE))),IF(Remodelacion!$C$10="TARIFA 1",(C323*(VLOOKUP(Remodelacion!$C$22,Seguros_Oblig!$A$3:$B$55,2,FALSE))),(C323*(VLOOKUP(Remodelacion!$C$22,Seguros_Oblig!$A$3:$D$55,4,FALSE))))))</f>
        <v>#VALUE!</v>
      </c>
      <c r="G324" s="8" t="e">
        <f>IF(Remodelacion!$C$10="TARIFA 1",(C323*(VLOOKUP(Remodelacion!$C$23,Seguros_Oblig!$A$3:$B$55,2,FALSE))),(C323*(VLOOKUP(Remodelacion!$C$23,Seguros_Oblig!$A$3:$D$55,4,FALSE))))</f>
        <v>#VALUE!</v>
      </c>
      <c r="H324" s="8" t="e">
        <f>IF(Remodelacion!$C$10="TARIFA 1",(C323*(VLOOKUP(Remodelacion!$C$24,Seguros_Oblig!$A$3:$B$55,2,FALSE))),(C323*(VLOOKUP(Remodelacion!$C$24,Seguros_Oblig!$A$3:$D$55,4,FALSE))))</f>
        <v>#VALUE!</v>
      </c>
      <c r="I324" s="8" t="e">
        <f>IF(Remodelacion!$C$10="TARIFA 1",(C323*(VLOOKUP(Remodelacion!$C$25,Seguros_Oblig!$A$3:$B$55,2,FALSE))),(C323*(VLOOKUP(Remodelacion!$C$25,Seguros_Oblig!$A$3:$D$55,4,FALSE))))</f>
        <v>#VALUE!</v>
      </c>
      <c r="J324" s="10">
        <f t="shared" si="26"/>
        <v>0</v>
      </c>
      <c r="K324" s="7" t="e">
        <f>IF(RM!$D$11="Si",0,IF(C323&lt;1,"0",Seguros_Oblig!$K$2*Remodelacion!$C$12))</f>
        <v>#VALUE!</v>
      </c>
      <c r="L324" s="7" t="e">
        <f>IF(B324=" ","0",PMT(Remodelacion!$E$17,Remodelacion!$C$18,-Remodelacion!$C$15,,))</f>
        <v>#VALUE!</v>
      </c>
      <c r="M324" s="9" t="e">
        <f t="shared" si="27"/>
        <v>#VALUE!</v>
      </c>
      <c r="N324" s="7" t="e">
        <f>IF(C323&lt;1,"0",Remodelacion!$C$38)</f>
        <v>#VALUE!</v>
      </c>
      <c r="O324" s="9" t="e">
        <f t="shared" si="28"/>
        <v>#VALUE!</v>
      </c>
    </row>
    <row r="325" spans="2:15" ht="15.5" hidden="1" x14ac:dyDescent="0.35">
      <c r="B325" s="6" t="e">
        <f t="shared" si="29"/>
        <v>#VALUE!</v>
      </c>
      <c r="C325" s="7" t="e">
        <f t="shared" si="25"/>
        <v>#VALUE!</v>
      </c>
      <c r="D325" s="7" t="e">
        <f t="shared" si="30"/>
        <v>#VALUE!</v>
      </c>
      <c r="E325" s="7" t="e">
        <f>C324*Remodelacion!$E$17</f>
        <v>#VALUE!</v>
      </c>
      <c r="F325" s="8" t="e">
        <f>IF(C324&lt;1,0,IF(Remodelacion!$D$26="Si",($C$17*(VLOOKUP(Remodelacion!$C$22,Seguros_Oblig!$A$3:$F$55,6,FALSE))),IF(Remodelacion!$C$10="TARIFA 1",(C324*(VLOOKUP(Remodelacion!$C$22,Seguros_Oblig!$A$3:$B$55,2,FALSE))),(C324*(VLOOKUP(Remodelacion!$C$22,Seguros_Oblig!$A$3:$D$55,4,FALSE))))))</f>
        <v>#VALUE!</v>
      </c>
      <c r="G325" s="8" t="e">
        <f>IF(Remodelacion!$C$10="TARIFA 1",(C324*(VLOOKUP(Remodelacion!$C$23,Seguros_Oblig!$A$3:$B$55,2,FALSE))),(C324*(VLOOKUP(Remodelacion!$C$23,Seguros_Oblig!$A$3:$D$55,4,FALSE))))</f>
        <v>#VALUE!</v>
      </c>
      <c r="H325" s="8" t="e">
        <f>IF(Remodelacion!$C$10="TARIFA 1",(C324*(VLOOKUP(Remodelacion!$C$24,Seguros_Oblig!$A$3:$B$55,2,FALSE))),(C324*(VLOOKUP(Remodelacion!$C$24,Seguros_Oblig!$A$3:$D$55,4,FALSE))))</f>
        <v>#VALUE!</v>
      </c>
      <c r="I325" s="8" t="e">
        <f>IF(Remodelacion!$C$10="TARIFA 1",(C324*(VLOOKUP(Remodelacion!$C$25,Seguros_Oblig!$A$3:$B$55,2,FALSE))),(C324*(VLOOKUP(Remodelacion!$C$25,Seguros_Oblig!$A$3:$D$55,4,FALSE))))</f>
        <v>#VALUE!</v>
      </c>
      <c r="J325" s="10">
        <f t="shared" si="26"/>
        <v>0</v>
      </c>
      <c r="K325" s="7" t="e">
        <f>IF(RM!$D$11="Si",0,IF(C324&lt;1,"0",Seguros_Oblig!$K$2*Remodelacion!$C$12))</f>
        <v>#VALUE!</v>
      </c>
      <c r="L325" s="7" t="e">
        <f>IF(B325=" ","0",PMT(Remodelacion!$E$17,Remodelacion!$C$18,-Remodelacion!$C$15,,))</f>
        <v>#VALUE!</v>
      </c>
      <c r="M325" s="9" t="e">
        <f t="shared" si="27"/>
        <v>#VALUE!</v>
      </c>
      <c r="N325" s="7" t="e">
        <f>IF(C324&lt;1,"0",Remodelacion!$C$38)</f>
        <v>#VALUE!</v>
      </c>
      <c r="O325" s="9" t="e">
        <f t="shared" si="28"/>
        <v>#VALUE!</v>
      </c>
    </row>
    <row r="326" spans="2:15" ht="15.5" hidden="1" x14ac:dyDescent="0.35">
      <c r="B326" s="6" t="e">
        <f t="shared" si="29"/>
        <v>#VALUE!</v>
      </c>
      <c r="C326" s="7" t="e">
        <f t="shared" si="25"/>
        <v>#VALUE!</v>
      </c>
      <c r="D326" s="7" t="e">
        <f t="shared" si="30"/>
        <v>#VALUE!</v>
      </c>
      <c r="E326" s="7" t="e">
        <f>C325*Remodelacion!$E$17</f>
        <v>#VALUE!</v>
      </c>
      <c r="F326" s="8" t="e">
        <f>IF(C325&lt;1,0,IF(Remodelacion!$D$26="Si",($C$17*(VLOOKUP(Remodelacion!$C$22,Seguros_Oblig!$A$3:$F$55,6,FALSE))),IF(Remodelacion!$C$10="TARIFA 1",(C325*(VLOOKUP(Remodelacion!$C$22,Seguros_Oblig!$A$3:$B$55,2,FALSE))),(C325*(VLOOKUP(Remodelacion!$C$22,Seguros_Oblig!$A$3:$D$55,4,FALSE))))))</f>
        <v>#VALUE!</v>
      </c>
      <c r="G326" s="8" t="e">
        <f>IF(Remodelacion!$C$10="TARIFA 1",(C325*(VLOOKUP(Remodelacion!$C$23,Seguros_Oblig!$A$3:$B$55,2,FALSE))),(C325*(VLOOKUP(Remodelacion!$C$23,Seguros_Oblig!$A$3:$D$55,4,FALSE))))</f>
        <v>#VALUE!</v>
      </c>
      <c r="H326" s="8" t="e">
        <f>IF(Remodelacion!$C$10="TARIFA 1",(C325*(VLOOKUP(Remodelacion!$C$24,Seguros_Oblig!$A$3:$B$55,2,FALSE))),(C325*(VLOOKUP(Remodelacion!$C$24,Seguros_Oblig!$A$3:$D$55,4,FALSE))))</f>
        <v>#VALUE!</v>
      </c>
      <c r="I326" s="8" t="e">
        <f>IF(Remodelacion!$C$10="TARIFA 1",(C325*(VLOOKUP(Remodelacion!$C$25,Seguros_Oblig!$A$3:$B$55,2,FALSE))),(C325*(VLOOKUP(Remodelacion!$C$25,Seguros_Oblig!$A$3:$D$55,4,FALSE))))</f>
        <v>#VALUE!</v>
      </c>
      <c r="J326" s="10">
        <f t="shared" si="26"/>
        <v>0</v>
      </c>
      <c r="K326" s="7" t="e">
        <f>IF(RM!$D$11="Si",0,IF(C325&lt;1,"0",Seguros_Oblig!$K$2*Remodelacion!$C$12))</f>
        <v>#VALUE!</v>
      </c>
      <c r="L326" s="7" t="e">
        <f>IF(B326=" ","0",PMT(Remodelacion!$E$17,Remodelacion!$C$18,-Remodelacion!$C$15,,))</f>
        <v>#VALUE!</v>
      </c>
      <c r="M326" s="9" t="e">
        <f t="shared" si="27"/>
        <v>#VALUE!</v>
      </c>
      <c r="N326" s="7" t="e">
        <f>IF(C325&lt;1,"0",Remodelacion!$C$38)</f>
        <v>#VALUE!</v>
      </c>
      <c r="O326" s="9" t="e">
        <f t="shared" si="28"/>
        <v>#VALUE!</v>
      </c>
    </row>
    <row r="327" spans="2:15" ht="15.5" hidden="1" x14ac:dyDescent="0.35">
      <c r="B327" s="6" t="e">
        <f t="shared" si="29"/>
        <v>#VALUE!</v>
      </c>
      <c r="C327" s="7" t="e">
        <f t="shared" si="25"/>
        <v>#VALUE!</v>
      </c>
      <c r="D327" s="7" t="e">
        <f t="shared" si="30"/>
        <v>#VALUE!</v>
      </c>
      <c r="E327" s="7" t="e">
        <f>C326*Remodelacion!$E$17</f>
        <v>#VALUE!</v>
      </c>
      <c r="F327" s="8" t="e">
        <f>IF(C326&lt;1,0,IF(Remodelacion!$D$26="Si",($C$17*(VLOOKUP(Remodelacion!$C$22,Seguros_Oblig!$A$3:$F$55,6,FALSE))),IF(Remodelacion!$C$10="TARIFA 1",(C326*(VLOOKUP(Remodelacion!$C$22,Seguros_Oblig!$A$3:$B$55,2,FALSE))),(C326*(VLOOKUP(Remodelacion!$C$22,Seguros_Oblig!$A$3:$D$55,4,FALSE))))))</f>
        <v>#VALUE!</v>
      </c>
      <c r="G327" s="8" t="e">
        <f>IF(Remodelacion!$C$10="TARIFA 1",(C326*(VLOOKUP(Remodelacion!$C$23,Seguros_Oblig!$A$3:$B$55,2,FALSE))),(C326*(VLOOKUP(Remodelacion!$C$23,Seguros_Oblig!$A$3:$D$55,4,FALSE))))</f>
        <v>#VALUE!</v>
      </c>
      <c r="H327" s="8" t="e">
        <f>IF(Remodelacion!$C$10="TARIFA 1",(C326*(VLOOKUP(Remodelacion!$C$24,Seguros_Oblig!$A$3:$B$55,2,FALSE))),(C326*(VLOOKUP(Remodelacion!$C$24,Seguros_Oblig!$A$3:$D$55,4,FALSE))))</f>
        <v>#VALUE!</v>
      </c>
      <c r="I327" s="8" t="e">
        <f>IF(Remodelacion!$C$10="TARIFA 1",(C326*(VLOOKUP(Remodelacion!$C$25,Seguros_Oblig!$A$3:$B$55,2,FALSE))),(C326*(VLOOKUP(Remodelacion!$C$25,Seguros_Oblig!$A$3:$D$55,4,FALSE))))</f>
        <v>#VALUE!</v>
      </c>
      <c r="J327" s="10">
        <f t="shared" si="26"/>
        <v>0</v>
      </c>
      <c r="K327" s="7" t="e">
        <f>IF(RM!$D$11="Si",0,IF(C326&lt;1,"0",Seguros_Oblig!$K$2*Remodelacion!$C$12))</f>
        <v>#VALUE!</v>
      </c>
      <c r="L327" s="7" t="e">
        <f>IF(B327=" ","0",PMT(Remodelacion!$E$17,Remodelacion!$C$18,-Remodelacion!$C$15,,))</f>
        <v>#VALUE!</v>
      </c>
      <c r="M327" s="9" t="e">
        <f t="shared" si="27"/>
        <v>#VALUE!</v>
      </c>
      <c r="N327" s="7" t="e">
        <f>IF(C326&lt;1,"0",Remodelacion!$C$38)</f>
        <v>#VALUE!</v>
      </c>
      <c r="O327" s="9" t="e">
        <f t="shared" si="28"/>
        <v>#VALUE!</v>
      </c>
    </row>
    <row r="328" spans="2:15" ht="15.5" hidden="1" x14ac:dyDescent="0.35">
      <c r="B328" s="6" t="e">
        <f t="shared" si="29"/>
        <v>#VALUE!</v>
      </c>
      <c r="C328" s="7" t="e">
        <f t="shared" si="25"/>
        <v>#VALUE!</v>
      </c>
      <c r="D328" s="7" t="e">
        <f t="shared" si="30"/>
        <v>#VALUE!</v>
      </c>
      <c r="E328" s="7" t="e">
        <f>C327*Remodelacion!$E$17</f>
        <v>#VALUE!</v>
      </c>
      <c r="F328" s="8" t="e">
        <f>IF(C327&lt;1,0,IF(Remodelacion!$D$26="Si",($C$17*(VLOOKUP(Remodelacion!$C$22,Seguros_Oblig!$A$3:$F$55,6,FALSE))),IF(Remodelacion!$C$10="TARIFA 1",(C327*(VLOOKUP(Remodelacion!$C$22,Seguros_Oblig!$A$3:$B$55,2,FALSE))),(C327*(VLOOKUP(Remodelacion!$C$22,Seguros_Oblig!$A$3:$D$55,4,FALSE))))))</f>
        <v>#VALUE!</v>
      </c>
      <c r="G328" s="8" t="e">
        <f>IF(Remodelacion!$C$10="TARIFA 1",(C327*(VLOOKUP(Remodelacion!$C$23,Seguros_Oblig!$A$3:$B$55,2,FALSE))),(C327*(VLOOKUP(Remodelacion!$C$23,Seguros_Oblig!$A$3:$D$55,4,FALSE))))</f>
        <v>#VALUE!</v>
      </c>
      <c r="H328" s="8" t="e">
        <f>IF(Remodelacion!$C$10="TARIFA 1",(C327*(VLOOKUP(Remodelacion!$C$24,Seguros_Oblig!$A$3:$B$55,2,FALSE))),(C327*(VLOOKUP(Remodelacion!$C$24,Seguros_Oblig!$A$3:$D$55,4,FALSE))))</f>
        <v>#VALUE!</v>
      </c>
      <c r="I328" s="8" t="e">
        <f>IF(Remodelacion!$C$10="TARIFA 1",(C327*(VLOOKUP(Remodelacion!$C$25,Seguros_Oblig!$A$3:$B$55,2,FALSE))),(C327*(VLOOKUP(Remodelacion!$C$25,Seguros_Oblig!$A$3:$D$55,4,FALSE))))</f>
        <v>#VALUE!</v>
      </c>
      <c r="J328" s="10">
        <f t="shared" si="26"/>
        <v>0</v>
      </c>
      <c r="K328" s="7" t="e">
        <f>IF(RM!$D$11="Si",0,IF(C327&lt;1,"0",Seguros_Oblig!$K$2*Remodelacion!$C$12))</f>
        <v>#VALUE!</v>
      </c>
      <c r="L328" s="7" t="e">
        <f>IF(B328=" ","0",PMT(Remodelacion!$E$17,Remodelacion!$C$18,-Remodelacion!$C$15,,))</f>
        <v>#VALUE!</v>
      </c>
      <c r="M328" s="9" t="e">
        <f t="shared" si="27"/>
        <v>#VALUE!</v>
      </c>
      <c r="N328" s="7" t="e">
        <f>IF(C327&lt;1,"0",Remodelacion!$C$38)</f>
        <v>#VALUE!</v>
      </c>
      <c r="O328" s="9" t="e">
        <f t="shared" si="28"/>
        <v>#VALUE!</v>
      </c>
    </row>
    <row r="329" spans="2:15" ht="15.5" hidden="1" x14ac:dyDescent="0.35">
      <c r="B329" s="6" t="e">
        <f t="shared" si="29"/>
        <v>#VALUE!</v>
      </c>
      <c r="C329" s="7" t="e">
        <f t="shared" si="25"/>
        <v>#VALUE!</v>
      </c>
      <c r="D329" s="7" t="e">
        <f t="shared" si="30"/>
        <v>#VALUE!</v>
      </c>
      <c r="E329" s="7" t="e">
        <f>C328*Remodelacion!$E$17</f>
        <v>#VALUE!</v>
      </c>
      <c r="F329" s="8" t="e">
        <f>IF(C328&lt;1,0,IF(Remodelacion!$D$26="Si",($C$17*(VLOOKUP(Remodelacion!$C$22,Seguros_Oblig!$A$3:$F$55,6,FALSE))),IF(Remodelacion!$C$10="TARIFA 1",(C328*(VLOOKUP(Remodelacion!$C$22,Seguros_Oblig!$A$3:$B$55,2,FALSE))),(C328*(VLOOKUP(Remodelacion!$C$22,Seguros_Oblig!$A$3:$D$55,4,FALSE))))))</f>
        <v>#VALUE!</v>
      </c>
      <c r="G329" s="8" t="e">
        <f>IF(Remodelacion!$C$10="TARIFA 1",(C328*(VLOOKUP(Remodelacion!$C$23,Seguros_Oblig!$A$3:$B$55,2,FALSE))),(C328*(VLOOKUP(Remodelacion!$C$23,Seguros_Oblig!$A$3:$D$55,4,FALSE))))</f>
        <v>#VALUE!</v>
      </c>
      <c r="H329" s="8" t="e">
        <f>IF(Remodelacion!$C$10="TARIFA 1",(C328*(VLOOKUP(Remodelacion!$C$24,Seguros_Oblig!$A$3:$B$55,2,FALSE))),(C328*(VLOOKUP(Remodelacion!$C$24,Seguros_Oblig!$A$3:$D$55,4,FALSE))))</f>
        <v>#VALUE!</v>
      </c>
      <c r="I329" s="8" t="e">
        <f>IF(Remodelacion!$C$10="TARIFA 1",(C328*(VLOOKUP(Remodelacion!$C$25,Seguros_Oblig!$A$3:$B$55,2,FALSE))),(C328*(VLOOKUP(Remodelacion!$C$25,Seguros_Oblig!$A$3:$D$55,4,FALSE))))</f>
        <v>#VALUE!</v>
      </c>
      <c r="J329" s="10">
        <f t="shared" si="26"/>
        <v>0</v>
      </c>
      <c r="K329" s="7" t="e">
        <f>IF(RM!$D$11="Si",0,IF(C328&lt;1,"0",Seguros_Oblig!$K$2*Remodelacion!$C$12))</f>
        <v>#VALUE!</v>
      </c>
      <c r="L329" s="7" t="e">
        <f>IF(B329=" ","0",PMT(Remodelacion!$E$17,Remodelacion!$C$18,-Remodelacion!$C$15,,))</f>
        <v>#VALUE!</v>
      </c>
      <c r="M329" s="9" t="e">
        <f t="shared" si="27"/>
        <v>#VALUE!</v>
      </c>
      <c r="N329" s="7" t="e">
        <f>IF(C328&lt;1,"0",Remodelacion!$C$38)</f>
        <v>#VALUE!</v>
      </c>
      <c r="O329" s="9" t="e">
        <f t="shared" si="28"/>
        <v>#VALUE!</v>
      </c>
    </row>
    <row r="330" spans="2:15" ht="15.5" hidden="1" x14ac:dyDescent="0.35">
      <c r="B330" s="6" t="e">
        <f t="shared" si="29"/>
        <v>#VALUE!</v>
      </c>
      <c r="C330" s="7" t="e">
        <f t="shared" si="25"/>
        <v>#VALUE!</v>
      </c>
      <c r="D330" s="7" t="e">
        <f t="shared" si="30"/>
        <v>#VALUE!</v>
      </c>
      <c r="E330" s="7" t="e">
        <f>C329*Remodelacion!$E$17</f>
        <v>#VALUE!</v>
      </c>
      <c r="F330" s="8" t="e">
        <f>IF(C329&lt;1,0,IF(Remodelacion!$D$26="Si",($C$17*(VLOOKUP(Remodelacion!$C$22,Seguros_Oblig!$A$3:$F$55,6,FALSE))),IF(Remodelacion!$C$10="TARIFA 1",(C329*(VLOOKUP(Remodelacion!$C$22,Seguros_Oblig!$A$3:$B$55,2,FALSE))),(C329*(VLOOKUP(Remodelacion!$C$22,Seguros_Oblig!$A$3:$D$55,4,FALSE))))))</f>
        <v>#VALUE!</v>
      </c>
      <c r="G330" s="8" t="e">
        <f>IF(Remodelacion!$C$10="TARIFA 1",(C329*(VLOOKUP(Remodelacion!$C$23,Seguros_Oblig!$A$3:$B$55,2,FALSE))),(C329*(VLOOKUP(Remodelacion!$C$23,Seguros_Oblig!$A$3:$D$55,4,FALSE))))</f>
        <v>#VALUE!</v>
      </c>
      <c r="H330" s="8" t="e">
        <f>IF(Remodelacion!$C$10="TARIFA 1",(C329*(VLOOKUP(Remodelacion!$C$24,Seguros_Oblig!$A$3:$B$55,2,FALSE))),(C329*(VLOOKUP(Remodelacion!$C$24,Seguros_Oblig!$A$3:$D$55,4,FALSE))))</f>
        <v>#VALUE!</v>
      </c>
      <c r="I330" s="8" t="e">
        <f>IF(Remodelacion!$C$10="TARIFA 1",(C329*(VLOOKUP(Remodelacion!$C$25,Seguros_Oblig!$A$3:$B$55,2,FALSE))),(C329*(VLOOKUP(Remodelacion!$C$25,Seguros_Oblig!$A$3:$D$55,4,FALSE))))</f>
        <v>#VALUE!</v>
      </c>
      <c r="J330" s="10">
        <f t="shared" si="26"/>
        <v>0</v>
      </c>
      <c r="K330" s="7" t="e">
        <f>IF(RM!$D$11="Si",0,IF(C329&lt;1,"0",Seguros_Oblig!$K$2*Remodelacion!$C$12))</f>
        <v>#VALUE!</v>
      </c>
      <c r="L330" s="7" t="e">
        <f>IF(B330=" ","0",PMT(Remodelacion!$E$17,Remodelacion!$C$18,-Remodelacion!$C$15,,))</f>
        <v>#VALUE!</v>
      </c>
      <c r="M330" s="9" t="e">
        <f t="shared" si="27"/>
        <v>#VALUE!</v>
      </c>
      <c r="N330" s="7" t="e">
        <f>IF(C329&lt;1,"0",Remodelacion!$C$38)</f>
        <v>#VALUE!</v>
      </c>
      <c r="O330" s="9" t="e">
        <f t="shared" si="28"/>
        <v>#VALUE!</v>
      </c>
    </row>
    <row r="331" spans="2:15" ht="15.5" hidden="1" x14ac:dyDescent="0.35">
      <c r="B331" s="6" t="e">
        <f t="shared" si="29"/>
        <v>#VALUE!</v>
      </c>
      <c r="C331" s="7" t="e">
        <f t="shared" si="25"/>
        <v>#VALUE!</v>
      </c>
      <c r="D331" s="7" t="e">
        <f t="shared" si="30"/>
        <v>#VALUE!</v>
      </c>
      <c r="E331" s="7" t="e">
        <f>C330*Remodelacion!$E$17</f>
        <v>#VALUE!</v>
      </c>
      <c r="F331" s="8" t="e">
        <f>IF(C330&lt;1,0,IF(Remodelacion!$D$26="Si",($C$17*(VLOOKUP(Remodelacion!$C$22,Seguros_Oblig!$A$3:$F$55,6,FALSE))),IF(Remodelacion!$C$10="TARIFA 1",(C330*(VLOOKUP(Remodelacion!$C$22,Seguros_Oblig!$A$3:$B$55,2,FALSE))),(C330*(VLOOKUP(Remodelacion!$C$22,Seguros_Oblig!$A$3:$D$55,4,FALSE))))))</f>
        <v>#VALUE!</v>
      </c>
      <c r="G331" s="8" t="e">
        <f>IF(Remodelacion!$C$10="TARIFA 1",(C330*(VLOOKUP(Remodelacion!$C$23,Seguros_Oblig!$A$3:$B$55,2,FALSE))),(C330*(VLOOKUP(Remodelacion!$C$23,Seguros_Oblig!$A$3:$D$55,4,FALSE))))</f>
        <v>#VALUE!</v>
      </c>
      <c r="H331" s="8" t="e">
        <f>IF(Remodelacion!$C$10="TARIFA 1",(C330*(VLOOKUP(Remodelacion!$C$24,Seguros_Oblig!$A$3:$B$55,2,FALSE))),(C330*(VLOOKUP(Remodelacion!$C$24,Seguros_Oblig!$A$3:$D$55,4,FALSE))))</f>
        <v>#VALUE!</v>
      </c>
      <c r="I331" s="8" t="e">
        <f>IF(Remodelacion!$C$10="TARIFA 1",(C330*(VLOOKUP(Remodelacion!$C$25,Seguros_Oblig!$A$3:$B$55,2,FALSE))),(C330*(VLOOKUP(Remodelacion!$C$25,Seguros_Oblig!$A$3:$D$55,4,FALSE))))</f>
        <v>#VALUE!</v>
      </c>
      <c r="J331" s="10">
        <f t="shared" si="26"/>
        <v>0</v>
      </c>
      <c r="K331" s="7" t="e">
        <f>IF(RM!$D$11="Si",0,IF(C330&lt;1,"0",Seguros_Oblig!$K$2*Remodelacion!$C$12))</f>
        <v>#VALUE!</v>
      </c>
      <c r="L331" s="7" t="e">
        <f>IF(B331=" ","0",PMT(Remodelacion!$E$17,Remodelacion!$C$18,-Remodelacion!$C$15,,))</f>
        <v>#VALUE!</v>
      </c>
      <c r="M331" s="9" t="e">
        <f t="shared" si="27"/>
        <v>#VALUE!</v>
      </c>
      <c r="N331" s="7" t="e">
        <f>IF(C330&lt;1,"0",Remodelacion!$C$38)</f>
        <v>#VALUE!</v>
      </c>
      <c r="O331" s="9" t="e">
        <f t="shared" si="28"/>
        <v>#VALUE!</v>
      </c>
    </row>
    <row r="332" spans="2:15" ht="15.5" hidden="1" x14ac:dyDescent="0.35">
      <c r="B332" s="6" t="e">
        <f t="shared" si="29"/>
        <v>#VALUE!</v>
      </c>
      <c r="C332" s="7" t="e">
        <f t="shared" si="25"/>
        <v>#VALUE!</v>
      </c>
      <c r="D332" s="7" t="e">
        <f t="shared" si="30"/>
        <v>#VALUE!</v>
      </c>
      <c r="E332" s="7" t="e">
        <f>C331*Remodelacion!$E$17</f>
        <v>#VALUE!</v>
      </c>
      <c r="F332" s="8" t="e">
        <f>IF(C331&lt;1,0,IF(Remodelacion!$D$26="Si",($C$17*(VLOOKUP(Remodelacion!$C$22,Seguros_Oblig!$A$3:$F$55,6,FALSE))),IF(Remodelacion!$C$10="TARIFA 1",(C331*(VLOOKUP(Remodelacion!$C$22,Seguros_Oblig!$A$3:$B$55,2,FALSE))),(C331*(VLOOKUP(Remodelacion!$C$22,Seguros_Oblig!$A$3:$D$55,4,FALSE))))))</f>
        <v>#VALUE!</v>
      </c>
      <c r="G332" s="8" t="e">
        <f>IF(Remodelacion!$C$10="TARIFA 1",(C331*(VLOOKUP(Remodelacion!$C$23,Seguros_Oblig!$A$3:$B$55,2,FALSE))),(C331*(VLOOKUP(Remodelacion!$C$23,Seguros_Oblig!$A$3:$D$55,4,FALSE))))</f>
        <v>#VALUE!</v>
      </c>
      <c r="H332" s="8" t="e">
        <f>IF(Remodelacion!$C$10="TARIFA 1",(C331*(VLOOKUP(Remodelacion!$C$24,Seguros_Oblig!$A$3:$B$55,2,FALSE))),(C331*(VLOOKUP(Remodelacion!$C$24,Seguros_Oblig!$A$3:$D$55,4,FALSE))))</f>
        <v>#VALUE!</v>
      </c>
      <c r="I332" s="8" t="e">
        <f>IF(Remodelacion!$C$10="TARIFA 1",(C331*(VLOOKUP(Remodelacion!$C$25,Seguros_Oblig!$A$3:$B$55,2,FALSE))),(C331*(VLOOKUP(Remodelacion!$C$25,Seguros_Oblig!$A$3:$D$55,4,FALSE))))</f>
        <v>#VALUE!</v>
      </c>
      <c r="J332" s="10">
        <f t="shared" si="26"/>
        <v>0</v>
      </c>
      <c r="K332" s="7" t="e">
        <f>IF(RM!$D$11="Si",0,IF(C331&lt;1,"0",Seguros_Oblig!$K$2*Remodelacion!$C$12))</f>
        <v>#VALUE!</v>
      </c>
      <c r="L332" s="7" t="e">
        <f>IF(B332=" ","0",PMT(Remodelacion!$E$17,Remodelacion!$C$18,-Remodelacion!$C$15,,))</f>
        <v>#VALUE!</v>
      </c>
      <c r="M332" s="9" t="e">
        <f t="shared" si="27"/>
        <v>#VALUE!</v>
      </c>
      <c r="N332" s="7" t="e">
        <f>IF(C331&lt;1,"0",Remodelacion!$C$38)</f>
        <v>#VALUE!</v>
      </c>
      <c r="O332" s="9" t="e">
        <f t="shared" si="28"/>
        <v>#VALUE!</v>
      </c>
    </row>
    <row r="333" spans="2:15" ht="15.5" hidden="1" x14ac:dyDescent="0.35">
      <c r="B333" s="6" t="e">
        <f t="shared" si="29"/>
        <v>#VALUE!</v>
      </c>
      <c r="C333" s="7" t="e">
        <f t="shared" si="25"/>
        <v>#VALUE!</v>
      </c>
      <c r="D333" s="7" t="e">
        <f t="shared" si="30"/>
        <v>#VALUE!</v>
      </c>
      <c r="E333" s="7" t="e">
        <f>C332*Remodelacion!$E$17</f>
        <v>#VALUE!</v>
      </c>
      <c r="F333" s="8" t="e">
        <f>IF(C332&lt;1,0,IF(Remodelacion!$D$26="Si",($C$17*(VLOOKUP(Remodelacion!$C$22,Seguros_Oblig!$A$3:$F$55,6,FALSE))),IF(Remodelacion!$C$10="TARIFA 1",(C332*(VLOOKUP(Remodelacion!$C$22,Seguros_Oblig!$A$3:$B$55,2,FALSE))),(C332*(VLOOKUP(Remodelacion!$C$22,Seguros_Oblig!$A$3:$D$55,4,FALSE))))))</f>
        <v>#VALUE!</v>
      </c>
      <c r="G333" s="8" t="e">
        <f>IF(Remodelacion!$C$10="TARIFA 1",(C332*(VLOOKUP(Remodelacion!$C$23,Seguros_Oblig!$A$3:$B$55,2,FALSE))),(C332*(VLOOKUP(Remodelacion!$C$23,Seguros_Oblig!$A$3:$D$55,4,FALSE))))</f>
        <v>#VALUE!</v>
      </c>
      <c r="H333" s="8" t="e">
        <f>IF(Remodelacion!$C$10="TARIFA 1",(C332*(VLOOKUP(Remodelacion!$C$24,Seguros_Oblig!$A$3:$B$55,2,FALSE))),(C332*(VLOOKUP(Remodelacion!$C$24,Seguros_Oblig!$A$3:$D$55,4,FALSE))))</f>
        <v>#VALUE!</v>
      </c>
      <c r="I333" s="8" t="e">
        <f>IF(Remodelacion!$C$10="TARIFA 1",(C332*(VLOOKUP(Remodelacion!$C$25,Seguros_Oblig!$A$3:$B$55,2,FALSE))),(C332*(VLOOKUP(Remodelacion!$C$25,Seguros_Oblig!$A$3:$D$55,4,FALSE))))</f>
        <v>#VALUE!</v>
      </c>
      <c r="J333" s="10">
        <f t="shared" si="26"/>
        <v>0</v>
      </c>
      <c r="K333" s="7" t="e">
        <f>IF(RM!$D$11="Si",0,IF(C332&lt;1,"0",Seguros_Oblig!$K$2*Remodelacion!$C$12))</f>
        <v>#VALUE!</v>
      </c>
      <c r="L333" s="7" t="e">
        <f>IF(B333=" ","0",PMT(Remodelacion!$E$17,Remodelacion!$C$18,-Remodelacion!$C$15,,))</f>
        <v>#VALUE!</v>
      </c>
      <c r="M333" s="9" t="e">
        <f t="shared" si="27"/>
        <v>#VALUE!</v>
      </c>
      <c r="N333" s="7" t="e">
        <f>IF(C332&lt;1,"0",Remodelacion!$C$38)</f>
        <v>#VALUE!</v>
      </c>
      <c r="O333" s="9" t="e">
        <f t="shared" si="28"/>
        <v>#VALUE!</v>
      </c>
    </row>
    <row r="334" spans="2:15" ht="15.5" hidden="1" x14ac:dyDescent="0.35">
      <c r="B334" s="6" t="e">
        <f t="shared" si="29"/>
        <v>#VALUE!</v>
      </c>
      <c r="C334" s="7" t="e">
        <f t="shared" si="25"/>
        <v>#VALUE!</v>
      </c>
      <c r="D334" s="7" t="e">
        <f t="shared" si="30"/>
        <v>#VALUE!</v>
      </c>
      <c r="E334" s="7" t="e">
        <f>C333*Remodelacion!$E$17</f>
        <v>#VALUE!</v>
      </c>
      <c r="F334" s="8" t="e">
        <f>IF(C333&lt;1,0,IF(Remodelacion!$D$26="Si",($C$17*(VLOOKUP(Remodelacion!$C$22,Seguros_Oblig!$A$3:$F$55,6,FALSE))),IF(Remodelacion!$C$10="TARIFA 1",(C333*(VLOOKUP(Remodelacion!$C$22,Seguros_Oblig!$A$3:$B$55,2,FALSE))),(C333*(VLOOKUP(Remodelacion!$C$22,Seguros_Oblig!$A$3:$D$55,4,FALSE))))))</f>
        <v>#VALUE!</v>
      </c>
      <c r="G334" s="8" t="e">
        <f>IF(Remodelacion!$C$10="TARIFA 1",(C333*(VLOOKUP(Remodelacion!$C$23,Seguros_Oblig!$A$3:$B$55,2,FALSE))),(C333*(VLOOKUP(Remodelacion!$C$23,Seguros_Oblig!$A$3:$D$55,4,FALSE))))</f>
        <v>#VALUE!</v>
      </c>
      <c r="H334" s="8" t="e">
        <f>IF(Remodelacion!$C$10="TARIFA 1",(C333*(VLOOKUP(Remodelacion!$C$24,Seguros_Oblig!$A$3:$B$55,2,FALSE))),(C333*(VLOOKUP(Remodelacion!$C$24,Seguros_Oblig!$A$3:$D$55,4,FALSE))))</f>
        <v>#VALUE!</v>
      </c>
      <c r="I334" s="8" t="e">
        <f>IF(Remodelacion!$C$10="TARIFA 1",(C333*(VLOOKUP(Remodelacion!$C$25,Seguros_Oblig!$A$3:$B$55,2,FALSE))),(C333*(VLOOKUP(Remodelacion!$C$25,Seguros_Oblig!$A$3:$D$55,4,FALSE))))</f>
        <v>#VALUE!</v>
      </c>
      <c r="J334" s="10">
        <f t="shared" si="26"/>
        <v>0</v>
      </c>
      <c r="K334" s="7" t="e">
        <f>IF(RM!$D$11="Si",0,IF(C333&lt;1,"0",Seguros_Oblig!$K$2*Remodelacion!$C$12))</f>
        <v>#VALUE!</v>
      </c>
      <c r="L334" s="7" t="e">
        <f>IF(B334=" ","0",PMT(Remodelacion!$E$17,Remodelacion!$C$18,-Remodelacion!$C$15,,))</f>
        <v>#VALUE!</v>
      </c>
      <c r="M334" s="9" t="e">
        <f t="shared" si="27"/>
        <v>#VALUE!</v>
      </c>
      <c r="N334" s="7" t="e">
        <f>IF(C333&lt;1,"0",Remodelacion!$C$38)</f>
        <v>#VALUE!</v>
      </c>
      <c r="O334" s="9" t="e">
        <f t="shared" si="28"/>
        <v>#VALUE!</v>
      </c>
    </row>
    <row r="335" spans="2:15" ht="15.5" hidden="1" x14ac:dyDescent="0.35">
      <c r="B335" s="6" t="e">
        <f t="shared" si="29"/>
        <v>#VALUE!</v>
      </c>
      <c r="C335" s="7" t="e">
        <f t="shared" si="25"/>
        <v>#VALUE!</v>
      </c>
      <c r="D335" s="7" t="e">
        <f t="shared" si="30"/>
        <v>#VALUE!</v>
      </c>
      <c r="E335" s="7" t="e">
        <f>C334*Remodelacion!$E$17</f>
        <v>#VALUE!</v>
      </c>
      <c r="F335" s="8" t="e">
        <f>IF(C334&lt;1,0,IF(Remodelacion!$D$26="Si",($C$17*(VLOOKUP(Remodelacion!$C$22,Seguros_Oblig!$A$3:$F$55,6,FALSE))),IF(Remodelacion!$C$10="TARIFA 1",(C334*(VLOOKUP(Remodelacion!$C$22,Seguros_Oblig!$A$3:$B$55,2,FALSE))),(C334*(VLOOKUP(Remodelacion!$C$22,Seguros_Oblig!$A$3:$D$55,4,FALSE))))))</f>
        <v>#VALUE!</v>
      </c>
      <c r="G335" s="8" t="e">
        <f>IF(Remodelacion!$C$10="TARIFA 1",(C334*(VLOOKUP(Remodelacion!$C$23,Seguros_Oblig!$A$3:$B$55,2,FALSE))),(C334*(VLOOKUP(Remodelacion!$C$23,Seguros_Oblig!$A$3:$D$55,4,FALSE))))</f>
        <v>#VALUE!</v>
      </c>
      <c r="H335" s="8" t="e">
        <f>IF(Remodelacion!$C$10="TARIFA 1",(C334*(VLOOKUP(Remodelacion!$C$24,Seguros_Oblig!$A$3:$B$55,2,FALSE))),(C334*(VLOOKUP(Remodelacion!$C$24,Seguros_Oblig!$A$3:$D$55,4,FALSE))))</f>
        <v>#VALUE!</v>
      </c>
      <c r="I335" s="8" t="e">
        <f>IF(Remodelacion!$C$10="TARIFA 1",(C334*(VLOOKUP(Remodelacion!$C$25,Seguros_Oblig!$A$3:$B$55,2,FALSE))),(C334*(VLOOKUP(Remodelacion!$C$25,Seguros_Oblig!$A$3:$D$55,4,FALSE))))</f>
        <v>#VALUE!</v>
      </c>
      <c r="J335" s="10">
        <f t="shared" si="26"/>
        <v>0</v>
      </c>
      <c r="K335" s="7" t="e">
        <f>IF(RM!$D$11="Si",0,IF(C334&lt;1,"0",Seguros_Oblig!$K$2*Remodelacion!$C$12))</f>
        <v>#VALUE!</v>
      </c>
      <c r="L335" s="7" t="e">
        <f>IF(B335=" ","0",PMT(Remodelacion!$E$17,Remodelacion!$C$18,-Remodelacion!$C$15,,))</f>
        <v>#VALUE!</v>
      </c>
      <c r="M335" s="9" t="e">
        <f t="shared" si="27"/>
        <v>#VALUE!</v>
      </c>
      <c r="N335" s="7" t="e">
        <f>IF(C334&lt;1,"0",Remodelacion!$C$38)</f>
        <v>#VALUE!</v>
      </c>
      <c r="O335" s="9" t="e">
        <f t="shared" si="28"/>
        <v>#VALUE!</v>
      </c>
    </row>
    <row r="336" spans="2:15" ht="15.5" hidden="1" x14ac:dyDescent="0.35">
      <c r="B336" s="6" t="e">
        <f t="shared" si="29"/>
        <v>#VALUE!</v>
      </c>
      <c r="C336" s="7" t="e">
        <f t="shared" si="25"/>
        <v>#VALUE!</v>
      </c>
      <c r="D336" s="7" t="e">
        <f t="shared" si="30"/>
        <v>#VALUE!</v>
      </c>
      <c r="E336" s="7" t="e">
        <f>C335*Remodelacion!$E$17</f>
        <v>#VALUE!</v>
      </c>
      <c r="F336" s="8" t="e">
        <f>IF(C335&lt;1,0,IF(Remodelacion!$D$26="Si",($C$17*(VLOOKUP(Remodelacion!$C$22,Seguros_Oblig!$A$3:$F$55,6,FALSE))),IF(Remodelacion!$C$10="TARIFA 1",(C335*(VLOOKUP(Remodelacion!$C$22,Seguros_Oblig!$A$3:$B$55,2,FALSE))),(C335*(VLOOKUP(Remodelacion!$C$22,Seguros_Oblig!$A$3:$D$55,4,FALSE))))))</f>
        <v>#VALUE!</v>
      </c>
      <c r="G336" s="8" t="e">
        <f>IF(Remodelacion!$C$10="TARIFA 1",(C335*(VLOOKUP(Remodelacion!$C$23,Seguros_Oblig!$A$3:$B$55,2,FALSE))),(C335*(VLOOKUP(Remodelacion!$C$23,Seguros_Oblig!$A$3:$D$55,4,FALSE))))</f>
        <v>#VALUE!</v>
      </c>
      <c r="H336" s="8" t="e">
        <f>IF(Remodelacion!$C$10="TARIFA 1",(C335*(VLOOKUP(Remodelacion!$C$24,Seguros_Oblig!$A$3:$B$55,2,FALSE))),(C335*(VLOOKUP(Remodelacion!$C$24,Seguros_Oblig!$A$3:$D$55,4,FALSE))))</f>
        <v>#VALUE!</v>
      </c>
      <c r="I336" s="8" t="e">
        <f>IF(Remodelacion!$C$10="TARIFA 1",(C335*(VLOOKUP(Remodelacion!$C$25,Seguros_Oblig!$A$3:$B$55,2,FALSE))),(C335*(VLOOKUP(Remodelacion!$C$25,Seguros_Oblig!$A$3:$D$55,4,FALSE))))</f>
        <v>#VALUE!</v>
      </c>
      <c r="J336" s="10">
        <f t="shared" si="26"/>
        <v>0</v>
      </c>
      <c r="K336" s="7" t="e">
        <f>IF(RM!$D$11="Si",0,IF(C335&lt;1,"0",Seguros_Oblig!$K$2*Remodelacion!$C$12))</f>
        <v>#VALUE!</v>
      </c>
      <c r="L336" s="7" t="e">
        <f>IF(B336=" ","0",PMT(Remodelacion!$E$17,Remodelacion!$C$18,-Remodelacion!$C$15,,))</f>
        <v>#VALUE!</v>
      </c>
      <c r="M336" s="9" t="e">
        <f t="shared" si="27"/>
        <v>#VALUE!</v>
      </c>
      <c r="N336" s="7" t="e">
        <f>IF(C335&lt;1,"0",Remodelacion!$C$38)</f>
        <v>#VALUE!</v>
      </c>
      <c r="O336" s="9" t="e">
        <f t="shared" si="28"/>
        <v>#VALUE!</v>
      </c>
    </row>
    <row r="337" spans="2:15" ht="15.5" hidden="1" x14ac:dyDescent="0.35">
      <c r="B337" s="6" t="e">
        <f t="shared" si="29"/>
        <v>#VALUE!</v>
      </c>
      <c r="C337" s="7" t="e">
        <f t="shared" si="25"/>
        <v>#VALUE!</v>
      </c>
      <c r="D337" s="7" t="e">
        <f t="shared" si="30"/>
        <v>#VALUE!</v>
      </c>
      <c r="E337" s="7" t="e">
        <f>C336*Remodelacion!$E$17</f>
        <v>#VALUE!</v>
      </c>
      <c r="F337" s="8" t="e">
        <f>IF(C336&lt;1,0,IF(Remodelacion!$D$26="Si",($C$17*(VLOOKUP(Remodelacion!$C$22,Seguros_Oblig!$A$3:$F$55,6,FALSE))),IF(Remodelacion!$C$10="TARIFA 1",(C336*(VLOOKUP(Remodelacion!$C$22,Seguros_Oblig!$A$3:$B$55,2,FALSE))),(C336*(VLOOKUP(Remodelacion!$C$22,Seguros_Oblig!$A$3:$D$55,4,FALSE))))))</f>
        <v>#VALUE!</v>
      </c>
      <c r="G337" s="8" t="e">
        <f>IF(Remodelacion!$C$10="TARIFA 1",(C336*(VLOOKUP(Remodelacion!$C$23,Seguros_Oblig!$A$3:$B$55,2,FALSE))),(C336*(VLOOKUP(Remodelacion!$C$23,Seguros_Oblig!$A$3:$D$55,4,FALSE))))</f>
        <v>#VALUE!</v>
      </c>
      <c r="H337" s="8" t="e">
        <f>IF(Remodelacion!$C$10="TARIFA 1",(C336*(VLOOKUP(Remodelacion!$C$24,Seguros_Oblig!$A$3:$B$55,2,FALSE))),(C336*(VLOOKUP(Remodelacion!$C$24,Seguros_Oblig!$A$3:$D$55,4,FALSE))))</f>
        <v>#VALUE!</v>
      </c>
      <c r="I337" s="8" t="e">
        <f>IF(Remodelacion!$C$10="TARIFA 1",(C336*(VLOOKUP(Remodelacion!$C$25,Seguros_Oblig!$A$3:$B$55,2,FALSE))),(C336*(VLOOKUP(Remodelacion!$C$25,Seguros_Oblig!$A$3:$D$55,4,FALSE))))</f>
        <v>#VALUE!</v>
      </c>
      <c r="J337" s="10">
        <f t="shared" si="26"/>
        <v>0</v>
      </c>
      <c r="K337" s="7" t="e">
        <f>IF(RM!$D$11="Si",0,IF(C336&lt;1,"0",Seguros_Oblig!$K$2*Remodelacion!$C$12))</f>
        <v>#VALUE!</v>
      </c>
      <c r="L337" s="7" t="e">
        <f>IF(B337=" ","0",PMT(Remodelacion!$E$17,Remodelacion!$C$18,-Remodelacion!$C$15,,))</f>
        <v>#VALUE!</v>
      </c>
      <c r="M337" s="9" t="e">
        <f t="shared" si="27"/>
        <v>#VALUE!</v>
      </c>
      <c r="N337" s="7" t="e">
        <f>IF(C336&lt;1,"0",Remodelacion!$C$38)</f>
        <v>#VALUE!</v>
      </c>
      <c r="O337" s="9" t="e">
        <f t="shared" si="28"/>
        <v>#VALUE!</v>
      </c>
    </row>
    <row r="338" spans="2:15" ht="15.5" hidden="1" x14ac:dyDescent="0.35">
      <c r="B338" s="6" t="e">
        <f t="shared" si="29"/>
        <v>#VALUE!</v>
      </c>
      <c r="C338" s="7" t="e">
        <f t="shared" si="25"/>
        <v>#VALUE!</v>
      </c>
      <c r="D338" s="7" t="e">
        <f t="shared" si="30"/>
        <v>#VALUE!</v>
      </c>
      <c r="E338" s="7" t="e">
        <f>C337*Remodelacion!$E$17</f>
        <v>#VALUE!</v>
      </c>
      <c r="F338" s="8" t="e">
        <f>IF(C337&lt;1,0,IF(Remodelacion!$D$26="Si",($C$17*(VLOOKUP(Remodelacion!$C$22,Seguros_Oblig!$A$3:$F$55,6,FALSE))),IF(Remodelacion!$C$10="TARIFA 1",(C337*(VLOOKUP(Remodelacion!$C$22,Seguros_Oblig!$A$3:$B$55,2,FALSE))),(C337*(VLOOKUP(Remodelacion!$C$22,Seguros_Oblig!$A$3:$D$55,4,FALSE))))))</f>
        <v>#VALUE!</v>
      </c>
      <c r="G338" s="8" t="e">
        <f>IF(Remodelacion!$C$10="TARIFA 1",(C337*(VLOOKUP(Remodelacion!$C$23,Seguros_Oblig!$A$3:$B$55,2,FALSE))),(C337*(VLOOKUP(Remodelacion!$C$23,Seguros_Oblig!$A$3:$D$55,4,FALSE))))</f>
        <v>#VALUE!</v>
      </c>
      <c r="H338" s="8" t="e">
        <f>IF(Remodelacion!$C$10="TARIFA 1",(C337*(VLOOKUP(Remodelacion!$C$24,Seguros_Oblig!$A$3:$B$55,2,FALSE))),(C337*(VLOOKUP(Remodelacion!$C$24,Seguros_Oblig!$A$3:$D$55,4,FALSE))))</f>
        <v>#VALUE!</v>
      </c>
      <c r="I338" s="8" t="e">
        <f>IF(Remodelacion!$C$10="TARIFA 1",(C337*(VLOOKUP(Remodelacion!$C$25,Seguros_Oblig!$A$3:$B$55,2,FALSE))),(C337*(VLOOKUP(Remodelacion!$C$25,Seguros_Oblig!$A$3:$D$55,4,FALSE))))</f>
        <v>#VALUE!</v>
      </c>
      <c r="J338" s="10">
        <f t="shared" si="26"/>
        <v>0</v>
      </c>
      <c r="K338" s="7" t="e">
        <f>IF(RM!$D$11="Si",0,IF(C337&lt;1,"0",Seguros_Oblig!$K$2*Remodelacion!$C$12))</f>
        <v>#VALUE!</v>
      </c>
      <c r="L338" s="7" t="e">
        <f>IF(B338=" ","0",PMT(Remodelacion!$E$17,Remodelacion!$C$18,-Remodelacion!$C$15,,))</f>
        <v>#VALUE!</v>
      </c>
      <c r="M338" s="9" t="e">
        <f t="shared" si="27"/>
        <v>#VALUE!</v>
      </c>
      <c r="N338" s="7" t="e">
        <f>IF(C337&lt;1,"0",Remodelacion!$C$38)</f>
        <v>#VALUE!</v>
      </c>
      <c r="O338" s="9" t="e">
        <f t="shared" si="28"/>
        <v>#VALUE!</v>
      </c>
    </row>
    <row r="339" spans="2:15" ht="15.5" hidden="1" x14ac:dyDescent="0.35">
      <c r="B339" s="6" t="e">
        <f t="shared" si="29"/>
        <v>#VALUE!</v>
      </c>
      <c r="C339" s="7" t="e">
        <f t="shared" ref="C339:C377" si="31">C338-D339</f>
        <v>#VALUE!</v>
      </c>
      <c r="D339" s="7" t="e">
        <f t="shared" si="30"/>
        <v>#VALUE!</v>
      </c>
      <c r="E339" s="7" t="e">
        <f>C338*Remodelacion!$E$17</f>
        <v>#VALUE!</v>
      </c>
      <c r="F339" s="8" t="e">
        <f>IF(C338&lt;1,0,IF(Remodelacion!$D$26="Si",($C$17*(VLOOKUP(Remodelacion!$C$22,Seguros_Oblig!$A$3:$F$55,6,FALSE))),IF(Remodelacion!$C$10="TARIFA 1",(C338*(VLOOKUP(Remodelacion!$C$22,Seguros_Oblig!$A$3:$B$55,2,FALSE))),(C338*(VLOOKUP(Remodelacion!$C$22,Seguros_Oblig!$A$3:$D$55,4,FALSE))))))</f>
        <v>#VALUE!</v>
      </c>
      <c r="G339" s="8" t="e">
        <f>IF(Remodelacion!$C$10="TARIFA 1",(C338*(VLOOKUP(Remodelacion!$C$23,Seguros_Oblig!$A$3:$B$55,2,FALSE))),(C338*(VLOOKUP(Remodelacion!$C$23,Seguros_Oblig!$A$3:$D$55,4,FALSE))))</f>
        <v>#VALUE!</v>
      </c>
      <c r="H339" s="8" t="e">
        <f>IF(Remodelacion!$C$10="TARIFA 1",(C338*(VLOOKUP(Remodelacion!$C$24,Seguros_Oblig!$A$3:$B$55,2,FALSE))),(C338*(VLOOKUP(Remodelacion!$C$24,Seguros_Oblig!$A$3:$D$55,4,FALSE))))</f>
        <v>#VALUE!</v>
      </c>
      <c r="I339" s="8" t="e">
        <f>IF(Remodelacion!$C$10="TARIFA 1",(C338*(VLOOKUP(Remodelacion!$C$25,Seguros_Oblig!$A$3:$B$55,2,FALSE))),(C338*(VLOOKUP(Remodelacion!$C$25,Seguros_Oblig!$A$3:$D$55,4,FALSE))))</f>
        <v>#VALUE!</v>
      </c>
      <c r="J339" s="10">
        <f t="shared" ref="J339:J377" si="32">_xlfn.AGGREGATE(9,6,F339:I339)</f>
        <v>0</v>
      </c>
      <c r="K339" s="7" t="e">
        <f>IF(RM!$D$11="Si",0,IF(C338&lt;1,"0",Seguros_Oblig!$K$2*Remodelacion!$C$12))</f>
        <v>#VALUE!</v>
      </c>
      <c r="L339" s="7" t="e">
        <f>IF(B339=" ","0",PMT(Remodelacion!$E$17,Remodelacion!$C$18,-Remodelacion!$C$15,,))</f>
        <v>#VALUE!</v>
      </c>
      <c r="M339" s="9" t="e">
        <f t="shared" ref="M339:M377" si="33">K339+L339+J339</f>
        <v>#VALUE!</v>
      </c>
      <c r="N339" s="7" t="e">
        <f>IF(C338&lt;1,"0",Remodelacion!$C$38)</f>
        <v>#VALUE!</v>
      </c>
      <c r="O339" s="9" t="e">
        <f t="shared" ref="O339:O377" si="34">M339+N339</f>
        <v>#VALUE!</v>
      </c>
    </row>
    <row r="340" spans="2:15" ht="15.5" hidden="1" x14ac:dyDescent="0.35">
      <c r="B340" s="6" t="e">
        <f t="shared" si="29"/>
        <v>#VALUE!</v>
      </c>
      <c r="C340" s="7" t="e">
        <f t="shared" si="31"/>
        <v>#VALUE!</v>
      </c>
      <c r="D340" s="7" t="e">
        <f t="shared" si="30"/>
        <v>#VALUE!</v>
      </c>
      <c r="E340" s="7" t="e">
        <f>C339*Remodelacion!$E$17</f>
        <v>#VALUE!</v>
      </c>
      <c r="F340" s="8" t="e">
        <f>IF(C339&lt;1,0,IF(Remodelacion!$D$26="Si",($C$17*(VLOOKUP(Remodelacion!$C$22,Seguros_Oblig!$A$3:$F$55,6,FALSE))),IF(Remodelacion!$C$10="TARIFA 1",(C339*(VLOOKUP(Remodelacion!$C$22,Seguros_Oblig!$A$3:$B$55,2,FALSE))),(C339*(VLOOKUP(Remodelacion!$C$22,Seguros_Oblig!$A$3:$D$55,4,FALSE))))))</f>
        <v>#VALUE!</v>
      </c>
      <c r="G340" s="8" t="e">
        <f>IF(Remodelacion!$C$10="TARIFA 1",(C339*(VLOOKUP(Remodelacion!$C$23,Seguros_Oblig!$A$3:$B$55,2,FALSE))),(C339*(VLOOKUP(Remodelacion!$C$23,Seguros_Oblig!$A$3:$D$55,4,FALSE))))</f>
        <v>#VALUE!</v>
      </c>
      <c r="H340" s="8" t="e">
        <f>IF(Remodelacion!$C$10="TARIFA 1",(C339*(VLOOKUP(Remodelacion!$C$24,Seguros_Oblig!$A$3:$B$55,2,FALSE))),(C339*(VLOOKUP(Remodelacion!$C$24,Seguros_Oblig!$A$3:$D$55,4,FALSE))))</f>
        <v>#VALUE!</v>
      </c>
      <c r="I340" s="8" t="e">
        <f>IF(Remodelacion!$C$10="TARIFA 1",(C339*(VLOOKUP(Remodelacion!$C$25,Seguros_Oblig!$A$3:$B$55,2,FALSE))),(C339*(VLOOKUP(Remodelacion!$C$25,Seguros_Oblig!$A$3:$D$55,4,FALSE))))</f>
        <v>#VALUE!</v>
      </c>
      <c r="J340" s="10">
        <f t="shared" si="32"/>
        <v>0</v>
      </c>
      <c r="K340" s="7" t="e">
        <f>IF(RM!$D$11="Si",0,IF(C339&lt;1,"0",Seguros_Oblig!$K$2*Remodelacion!$C$12))</f>
        <v>#VALUE!</v>
      </c>
      <c r="L340" s="7" t="e">
        <f>IF(B340=" ","0",PMT(Remodelacion!$E$17,Remodelacion!$C$18,-Remodelacion!$C$15,,))</f>
        <v>#VALUE!</v>
      </c>
      <c r="M340" s="9" t="e">
        <f t="shared" si="33"/>
        <v>#VALUE!</v>
      </c>
      <c r="N340" s="7" t="e">
        <f>IF(C339&lt;1,"0",Remodelacion!$C$38)</f>
        <v>#VALUE!</v>
      </c>
      <c r="O340" s="9" t="e">
        <f t="shared" si="34"/>
        <v>#VALUE!</v>
      </c>
    </row>
    <row r="341" spans="2:15" ht="15.5" hidden="1" x14ac:dyDescent="0.35">
      <c r="B341" s="6" t="e">
        <f t="shared" si="29"/>
        <v>#VALUE!</v>
      </c>
      <c r="C341" s="7" t="e">
        <f t="shared" si="31"/>
        <v>#VALUE!</v>
      </c>
      <c r="D341" s="7" t="e">
        <f t="shared" si="30"/>
        <v>#VALUE!</v>
      </c>
      <c r="E341" s="7" t="e">
        <f>C340*Remodelacion!$E$17</f>
        <v>#VALUE!</v>
      </c>
      <c r="F341" s="8" t="e">
        <f>IF(C340&lt;1,0,IF(Remodelacion!$D$26="Si",($C$17*(VLOOKUP(Remodelacion!$C$22,Seguros_Oblig!$A$3:$F$55,6,FALSE))),IF(Remodelacion!$C$10="TARIFA 1",(C340*(VLOOKUP(Remodelacion!$C$22,Seguros_Oblig!$A$3:$B$55,2,FALSE))),(C340*(VLOOKUP(Remodelacion!$C$22,Seguros_Oblig!$A$3:$D$55,4,FALSE))))))</f>
        <v>#VALUE!</v>
      </c>
      <c r="G341" s="8" t="e">
        <f>IF(Remodelacion!$C$10="TARIFA 1",(C340*(VLOOKUP(Remodelacion!$C$23,Seguros_Oblig!$A$3:$B$55,2,FALSE))),(C340*(VLOOKUP(Remodelacion!$C$23,Seguros_Oblig!$A$3:$D$55,4,FALSE))))</f>
        <v>#VALUE!</v>
      </c>
      <c r="H341" s="8" t="e">
        <f>IF(Remodelacion!$C$10="TARIFA 1",(C340*(VLOOKUP(Remodelacion!$C$24,Seguros_Oblig!$A$3:$B$55,2,FALSE))),(C340*(VLOOKUP(Remodelacion!$C$24,Seguros_Oblig!$A$3:$D$55,4,FALSE))))</f>
        <v>#VALUE!</v>
      </c>
      <c r="I341" s="8" t="e">
        <f>IF(Remodelacion!$C$10="TARIFA 1",(C340*(VLOOKUP(Remodelacion!$C$25,Seguros_Oblig!$A$3:$B$55,2,FALSE))),(C340*(VLOOKUP(Remodelacion!$C$25,Seguros_Oblig!$A$3:$D$55,4,FALSE))))</f>
        <v>#VALUE!</v>
      </c>
      <c r="J341" s="10">
        <f t="shared" si="32"/>
        <v>0</v>
      </c>
      <c r="K341" s="7" t="e">
        <f>IF(RM!$D$11="Si",0,IF(C340&lt;1,"0",Seguros_Oblig!$K$2*Remodelacion!$C$12))</f>
        <v>#VALUE!</v>
      </c>
      <c r="L341" s="7" t="e">
        <f>IF(B341=" ","0",PMT(Remodelacion!$E$17,Remodelacion!$C$18,-Remodelacion!$C$15,,))</f>
        <v>#VALUE!</v>
      </c>
      <c r="M341" s="9" t="e">
        <f t="shared" si="33"/>
        <v>#VALUE!</v>
      </c>
      <c r="N341" s="7" t="e">
        <f>IF(C340&lt;1,"0",Remodelacion!$C$38)</f>
        <v>#VALUE!</v>
      </c>
      <c r="O341" s="9" t="e">
        <f t="shared" si="34"/>
        <v>#VALUE!</v>
      </c>
    </row>
    <row r="342" spans="2:15" ht="15.5" hidden="1" x14ac:dyDescent="0.35">
      <c r="B342" s="6" t="e">
        <f t="shared" si="29"/>
        <v>#VALUE!</v>
      </c>
      <c r="C342" s="7" t="e">
        <f t="shared" si="31"/>
        <v>#VALUE!</v>
      </c>
      <c r="D342" s="7" t="e">
        <f t="shared" si="30"/>
        <v>#VALUE!</v>
      </c>
      <c r="E342" s="7" t="e">
        <f>C341*Remodelacion!$E$17</f>
        <v>#VALUE!</v>
      </c>
      <c r="F342" s="8" t="e">
        <f>IF(C341&lt;1,0,IF(Remodelacion!$D$26="Si",($C$17*(VLOOKUP(Remodelacion!$C$22,Seguros_Oblig!$A$3:$F$55,6,FALSE))),IF(Remodelacion!$C$10="TARIFA 1",(C341*(VLOOKUP(Remodelacion!$C$22,Seguros_Oblig!$A$3:$B$55,2,FALSE))),(C341*(VLOOKUP(Remodelacion!$C$22,Seguros_Oblig!$A$3:$D$55,4,FALSE))))))</f>
        <v>#VALUE!</v>
      </c>
      <c r="G342" s="8" t="e">
        <f>IF(Remodelacion!$C$10="TARIFA 1",(C341*(VLOOKUP(Remodelacion!$C$23,Seguros_Oblig!$A$3:$B$55,2,FALSE))),(C341*(VLOOKUP(Remodelacion!$C$23,Seguros_Oblig!$A$3:$D$55,4,FALSE))))</f>
        <v>#VALUE!</v>
      </c>
      <c r="H342" s="8" t="e">
        <f>IF(Remodelacion!$C$10="TARIFA 1",(C341*(VLOOKUP(Remodelacion!$C$24,Seguros_Oblig!$A$3:$B$55,2,FALSE))),(C341*(VLOOKUP(Remodelacion!$C$24,Seguros_Oblig!$A$3:$D$55,4,FALSE))))</f>
        <v>#VALUE!</v>
      </c>
      <c r="I342" s="8" t="e">
        <f>IF(Remodelacion!$C$10="TARIFA 1",(C341*(VLOOKUP(Remodelacion!$C$25,Seguros_Oblig!$A$3:$B$55,2,FALSE))),(C341*(VLOOKUP(Remodelacion!$C$25,Seguros_Oblig!$A$3:$D$55,4,FALSE))))</f>
        <v>#VALUE!</v>
      </c>
      <c r="J342" s="10">
        <f t="shared" si="32"/>
        <v>0</v>
      </c>
      <c r="K342" s="7" t="e">
        <f>IF(RM!$D$11="Si",0,IF(C341&lt;1,"0",Seguros_Oblig!$K$2*Remodelacion!$C$12))</f>
        <v>#VALUE!</v>
      </c>
      <c r="L342" s="7" t="e">
        <f>IF(B342=" ","0",PMT(Remodelacion!$E$17,Remodelacion!$C$18,-Remodelacion!$C$15,,))</f>
        <v>#VALUE!</v>
      </c>
      <c r="M342" s="9" t="e">
        <f t="shared" si="33"/>
        <v>#VALUE!</v>
      </c>
      <c r="N342" s="7" t="e">
        <f>IF(C341&lt;1,"0",Remodelacion!$C$38)</f>
        <v>#VALUE!</v>
      </c>
      <c r="O342" s="9" t="e">
        <f t="shared" si="34"/>
        <v>#VALUE!</v>
      </c>
    </row>
    <row r="343" spans="2:15" ht="15.5" hidden="1" x14ac:dyDescent="0.35">
      <c r="B343" s="6" t="e">
        <f t="shared" si="29"/>
        <v>#VALUE!</v>
      </c>
      <c r="C343" s="7" t="e">
        <f t="shared" si="31"/>
        <v>#VALUE!</v>
      </c>
      <c r="D343" s="7" t="e">
        <f t="shared" si="30"/>
        <v>#VALUE!</v>
      </c>
      <c r="E343" s="7" t="e">
        <f>C342*Remodelacion!$E$17</f>
        <v>#VALUE!</v>
      </c>
      <c r="F343" s="8" t="e">
        <f>IF(C342&lt;1,0,IF(Remodelacion!$D$26="Si",($C$17*(VLOOKUP(Remodelacion!$C$22,Seguros_Oblig!$A$3:$F$55,6,FALSE))),IF(Remodelacion!$C$10="TARIFA 1",(C342*(VLOOKUP(Remodelacion!$C$22,Seguros_Oblig!$A$3:$B$55,2,FALSE))),(C342*(VLOOKUP(Remodelacion!$C$22,Seguros_Oblig!$A$3:$D$55,4,FALSE))))))</f>
        <v>#VALUE!</v>
      </c>
      <c r="G343" s="8" t="e">
        <f>IF(Remodelacion!$C$10="TARIFA 1",(C342*(VLOOKUP(Remodelacion!$C$23,Seguros_Oblig!$A$3:$B$55,2,FALSE))),(C342*(VLOOKUP(Remodelacion!$C$23,Seguros_Oblig!$A$3:$D$55,4,FALSE))))</f>
        <v>#VALUE!</v>
      </c>
      <c r="H343" s="8" t="e">
        <f>IF(Remodelacion!$C$10="TARIFA 1",(C342*(VLOOKUP(Remodelacion!$C$24,Seguros_Oblig!$A$3:$B$55,2,FALSE))),(C342*(VLOOKUP(Remodelacion!$C$24,Seguros_Oblig!$A$3:$D$55,4,FALSE))))</f>
        <v>#VALUE!</v>
      </c>
      <c r="I343" s="8" t="e">
        <f>IF(Remodelacion!$C$10="TARIFA 1",(C342*(VLOOKUP(Remodelacion!$C$25,Seguros_Oblig!$A$3:$B$55,2,FALSE))),(C342*(VLOOKUP(Remodelacion!$C$25,Seguros_Oblig!$A$3:$D$55,4,FALSE))))</f>
        <v>#VALUE!</v>
      </c>
      <c r="J343" s="10">
        <f t="shared" si="32"/>
        <v>0</v>
      </c>
      <c r="K343" s="7" t="e">
        <f>IF(RM!$D$11="Si",0,IF(C342&lt;1,"0",Seguros_Oblig!$K$2*Remodelacion!$C$12))</f>
        <v>#VALUE!</v>
      </c>
      <c r="L343" s="7" t="e">
        <f>IF(B343=" ","0",PMT(Remodelacion!$E$17,Remodelacion!$C$18,-Remodelacion!$C$15,,))</f>
        <v>#VALUE!</v>
      </c>
      <c r="M343" s="9" t="e">
        <f t="shared" si="33"/>
        <v>#VALUE!</v>
      </c>
      <c r="N343" s="7" t="e">
        <f>IF(C342&lt;1,"0",Remodelacion!$C$38)</f>
        <v>#VALUE!</v>
      </c>
      <c r="O343" s="9" t="e">
        <f t="shared" si="34"/>
        <v>#VALUE!</v>
      </c>
    </row>
    <row r="344" spans="2:15" ht="15.5" hidden="1" x14ac:dyDescent="0.35">
      <c r="B344" s="6" t="e">
        <f t="shared" ref="B344:B377" si="35">IF(C343&gt;1,B343+1," ")</f>
        <v>#VALUE!</v>
      </c>
      <c r="C344" s="7" t="e">
        <f t="shared" si="31"/>
        <v>#VALUE!</v>
      </c>
      <c r="D344" s="7" t="e">
        <f t="shared" si="30"/>
        <v>#VALUE!</v>
      </c>
      <c r="E344" s="7" t="e">
        <f>C343*Remodelacion!$E$17</f>
        <v>#VALUE!</v>
      </c>
      <c r="F344" s="8" t="e">
        <f>IF(C343&lt;1,0,IF(Remodelacion!$D$26="Si",($C$17*(VLOOKUP(Remodelacion!$C$22,Seguros_Oblig!$A$3:$F$55,6,FALSE))),IF(Remodelacion!$C$10="TARIFA 1",(C343*(VLOOKUP(Remodelacion!$C$22,Seguros_Oblig!$A$3:$B$55,2,FALSE))),(C343*(VLOOKUP(Remodelacion!$C$22,Seguros_Oblig!$A$3:$D$55,4,FALSE))))))</f>
        <v>#VALUE!</v>
      </c>
      <c r="G344" s="8" t="e">
        <f>IF(Remodelacion!$C$10="TARIFA 1",(C343*(VLOOKUP(Remodelacion!$C$23,Seguros_Oblig!$A$3:$B$55,2,FALSE))),(C343*(VLOOKUP(Remodelacion!$C$23,Seguros_Oblig!$A$3:$D$55,4,FALSE))))</f>
        <v>#VALUE!</v>
      </c>
      <c r="H344" s="8" t="e">
        <f>IF(Remodelacion!$C$10="TARIFA 1",(C343*(VLOOKUP(Remodelacion!$C$24,Seguros_Oblig!$A$3:$B$55,2,FALSE))),(C343*(VLOOKUP(Remodelacion!$C$24,Seguros_Oblig!$A$3:$D$55,4,FALSE))))</f>
        <v>#VALUE!</v>
      </c>
      <c r="I344" s="8" t="e">
        <f>IF(Remodelacion!$C$10="TARIFA 1",(C343*(VLOOKUP(Remodelacion!$C$25,Seguros_Oblig!$A$3:$B$55,2,FALSE))),(C343*(VLOOKUP(Remodelacion!$C$25,Seguros_Oblig!$A$3:$D$55,4,FALSE))))</f>
        <v>#VALUE!</v>
      </c>
      <c r="J344" s="10">
        <f t="shared" si="32"/>
        <v>0</v>
      </c>
      <c r="K344" s="7" t="e">
        <f>IF(RM!$D$11="Si",0,IF(C343&lt;1,"0",Seguros_Oblig!$K$2*Remodelacion!$C$12))</f>
        <v>#VALUE!</v>
      </c>
      <c r="L344" s="7" t="e">
        <f>IF(B344=" ","0",PMT(Remodelacion!$E$17,Remodelacion!$C$18,-Remodelacion!$C$15,,))</f>
        <v>#VALUE!</v>
      </c>
      <c r="M344" s="9" t="e">
        <f t="shared" si="33"/>
        <v>#VALUE!</v>
      </c>
      <c r="N344" s="7" t="e">
        <f>IF(C343&lt;1,"0",Remodelacion!$C$38)</f>
        <v>#VALUE!</v>
      </c>
      <c r="O344" s="9" t="e">
        <f t="shared" si="34"/>
        <v>#VALUE!</v>
      </c>
    </row>
    <row r="345" spans="2:15" ht="15.5" hidden="1" x14ac:dyDescent="0.35">
      <c r="B345" s="6" t="e">
        <f t="shared" si="35"/>
        <v>#VALUE!</v>
      </c>
      <c r="C345" s="7" t="e">
        <f t="shared" si="31"/>
        <v>#VALUE!</v>
      </c>
      <c r="D345" s="7" t="e">
        <f t="shared" si="30"/>
        <v>#VALUE!</v>
      </c>
      <c r="E345" s="7" t="e">
        <f>C344*Remodelacion!$E$17</f>
        <v>#VALUE!</v>
      </c>
      <c r="F345" s="8" t="e">
        <f>IF(C344&lt;1,0,IF(Remodelacion!$D$26="Si",($C$17*(VLOOKUP(Remodelacion!$C$22,Seguros_Oblig!$A$3:$F$55,6,FALSE))),IF(Remodelacion!$C$10="TARIFA 1",(C344*(VLOOKUP(Remodelacion!$C$22,Seguros_Oblig!$A$3:$B$55,2,FALSE))),(C344*(VLOOKUP(Remodelacion!$C$22,Seguros_Oblig!$A$3:$D$55,4,FALSE))))))</f>
        <v>#VALUE!</v>
      </c>
      <c r="G345" s="8" t="e">
        <f>IF(Remodelacion!$C$10="TARIFA 1",(C344*(VLOOKUP(Remodelacion!$C$23,Seguros_Oblig!$A$3:$B$55,2,FALSE))),(C344*(VLOOKUP(Remodelacion!$C$23,Seguros_Oblig!$A$3:$D$55,4,FALSE))))</f>
        <v>#VALUE!</v>
      </c>
      <c r="H345" s="8" t="e">
        <f>IF(Remodelacion!$C$10="TARIFA 1",(C344*(VLOOKUP(Remodelacion!$C$24,Seguros_Oblig!$A$3:$B$55,2,FALSE))),(C344*(VLOOKUP(Remodelacion!$C$24,Seguros_Oblig!$A$3:$D$55,4,FALSE))))</f>
        <v>#VALUE!</v>
      </c>
      <c r="I345" s="8" t="e">
        <f>IF(Remodelacion!$C$10="TARIFA 1",(C344*(VLOOKUP(Remodelacion!$C$25,Seguros_Oblig!$A$3:$B$55,2,FALSE))),(C344*(VLOOKUP(Remodelacion!$C$25,Seguros_Oblig!$A$3:$D$55,4,FALSE))))</f>
        <v>#VALUE!</v>
      </c>
      <c r="J345" s="10">
        <f t="shared" si="32"/>
        <v>0</v>
      </c>
      <c r="K345" s="7" t="e">
        <f>IF(RM!$D$11="Si",0,IF(C344&lt;1,"0",Seguros_Oblig!$K$2*Remodelacion!$C$12))</f>
        <v>#VALUE!</v>
      </c>
      <c r="L345" s="7" t="e">
        <f>IF(B345=" ","0",PMT(Remodelacion!$E$17,Remodelacion!$C$18,-Remodelacion!$C$15,,))</f>
        <v>#VALUE!</v>
      </c>
      <c r="M345" s="9" t="e">
        <f t="shared" si="33"/>
        <v>#VALUE!</v>
      </c>
      <c r="N345" s="7" t="e">
        <f>IF(C344&lt;1,"0",Remodelacion!$C$38)</f>
        <v>#VALUE!</v>
      </c>
      <c r="O345" s="9" t="e">
        <f t="shared" si="34"/>
        <v>#VALUE!</v>
      </c>
    </row>
    <row r="346" spans="2:15" ht="15.5" hidden="1" x14ac:dyDescent="0.35">
      <c r="B346" s="6" t="e">
        <f t="shared" si="35"/>
        <v>#VALUE!</v>
      </c>
      <c r="C346" s="7" t="e">
        <f t="shared" si="31"/>
        <v>#VALUE!</v>
      </c>
      <c r="D346" s="7" t="e">
        <f t="shared" si="30"/>
        <v>#VALUE!</v>
      </c>
      <c r="E346" s="7" t="e">
        <f>C345*Remodelacion!$E$17</f>
        <v>#VALUE!</v>
      </c>
      <c r="F346" s="8" t="e">
        <f>IF(C345&lt;1,0,IF(Remodelacion!$D$26="Si",($C$17*(VLOOKUP(Remodelacion!$C$22,Seguros_Oblig!$A$3:$F$55,6,FALSE))),IF(Remodelacion!$C$10="TARIFA 1",(C345*(VLOOKUP(Remodelacion!$C$22,Seguros_Oblig!$A$3:$B$55,2,FALSE))),(C345*(VLOOKUP(Remodelacion!$C$22,Seguros_Oblig!$A$3:$D$55,4,FALSE))))))</f>
        <v>#VALUE!</v>
      </c>
      <c r="G346" s="8" t="e">
        <f>IF(Remodelacion!$C$10="TARIFA 1",(C345*(VLOOKUP(Remodelacion!$C$23,Seguros_Oblig!$A$3:$B$55,2,FALSE))),(C345*(VLOOKUP(Remodelacion!$C$23,Seguros_Oblig!$A$3:$D$55,4,FALSE))))</f>
        <v>#VALUE!</v>
      </c>
      <c r="H346" s="8" t="e">
        <f>IF(Remodelacion!$C$10="TARIFA 1",(C345*(VLOOKUP(Remodelacion!$C$24,Seguros_Oblig!$A$3:$B$55,2,FALSE))),(C345*(VLOOKUP(Remodelacion!$C$24,Seguros_Oblig!$A$3:$D$55,4,FALSE))))</f>
        <v>#VALUE!</v>
      </c>
      <c r="I346" s="8" t="e">
        <f>IF(Remodelacion!$C$10="TARIFA 1",(C345*(VLOOKUP(Remodelacion!$C$25,Seguros_Oblig!$A$3:$B$55,2,FALSE))),(C345*(VLOOKUP(Remodelacion!$C$25,Seguros_Oblig!$A$3:$D$55,4,FALSE))))</f>
        <v>#VALUE!</v>
      </c>
      <c r="J346" s="10">
        <f t="shared" si="32"/>
        <v>0</v>
      </c>
      <c r="K346" s="7" t="e">
        <f>IF(RM!$D$11="Si",0,IF(C345&lt;1,"0",Seguros_Oblig!$K$2*Remodelacion!$C$12))</f>
        <v>#VALUE!</v>
      </c>
      <c r="L346" s="7" t="e">
        <f>IF(B346=" ","0",PMT(Remodelacion!$E$17,Remodelacion!$C$18,-Remodelacion!$C$15,,))</f>
        <v>#VALUE!</v>
      </c>
      <c r="M346" s="9" t="e">
        <f t="shared" si="33"/>
        <v>#VALUE!</v>
      </c>
      <c r="N346" s="7" t="e">
        <f>IF(C345&lt;1,"0",Remodelacion!$C$38)</f>
        <v>#VALUE!</v>
      </c>
      <c r="O346" s="9" t="e">
        <f t="shared" si="34"/>
        <v>#VALUE!</v>
      </c>
    </row>
    <row r="347" spans="2:15" ht="15.5" hidden="1" x14ac:dyDescent="0.35">
      <c r="B347" s="6" t="e">
        <f t="shared" si="35"/>
        <v>#VALUE!</v>
      </c>
      <c r="C347" s="7" t="e">
        <f t="shared" si="31"/>
        <v>#VALUE!</v>
      </c>
      <c r="D347" s="7" t="e">
        <f t="shared" si="30"/>
        <v>#VALUE!</v>
      </c>
      <c r="E347" s="7" t="e">
        <f>C346*Remodelacion!$E$17</f>
        <v>#VALUE!</v>
      </c>
      <c r="F347" s="8" t="e">
        <f>IF(C346&lt;1,0,IF(Remodelacion!$D$26="Si",($C$17*(VLOOKUP(Remodelacion!$C$22,Seguros_Oblig!$A$3:$F$55,6,FALSE))),IF(Remodelacion!$C$10="TARIFA 1",(C346*(VLOOKUP(Remodelacion!$C$22,Seguros_Oblig!$A$3:$B$55,2,FALSE))),(C346*(VLOOKUP(Remodelacion!$C$22,Seguros_Oblig!$A$3:$D$55,4,FALSE))))))</f>
        <v>#VALUE!</v>
      </c>
      <c r="G347" s="8" t="e">
        <f>IF(Remodelacion!$C$10="TARIFA 1",(C346*(VLOOKUP(Remodelacion!$C$23,Seguros_Oblig!$A$3:$B$55,2,FALSE))),(C346*(VLOOKUP(Remodelacion!$C$23,Seguros_Oblig!$A$3:$D$55,4,FALSE))))</f>
        <v>#VALUE!</v>
      </c>
      <c r="H347" s="8" t="e">
        <f>IF(Remodelacion!$C$10="TARIFA 1",(C346*(VLOOKUP(Remodelacion!$C$24,Seguros_Oblig!$A$3:$B$55,2,FALSE))),(C346*(VLOOKUP(Remodelacion!$C$24,Seguros_Oblig!$A$3:$D$55,4,FALSE))))</f>
        <v>#VALUE!</v>
      </c>
      <c r="I347" s="8" t="e">
        <f>IF(Remodelacion!$C$10="TARIFA 1",(C346*(VLOOKUP(Remodelacion!$C$25,Seguros_Oblig!$A$3:$B$55,2,FALSE))),(C346*(VLOOKUP(Remodelacion!$C$25,Seguros_Oblig!$A$3:$D$55,4,FALSE))))</f>
        <v>#VALUE!</v>
      </c>
      <c r="J347" s="10">
        <f t="shared" si="32"/>
        <v>0</v>
      </c>
      <c r="K347" s="7" t="e">
        <f>IF(RM!$D$11="Si",0,IF(C346&lt;1,"0",Seguros_Oblig!$K$2*Remodelacion!$C$12))</f>
        <v>#VALUE!</v>
      </c>
      <c r="L347" s="7" t="e">
        <f>IF(B347=" ","0",PMT(Remodelacion!$E$17,Remodelacion!$C$18,-Remodelacion!$C$15,,))</f>
        <v>#VALUE!</v>
      </c>
      <c r="M347" s="9" t="e">
        <f t="shared" si="33"/>
        <v>#VALUE!</v>
      </c>
      <c r="N347" s="7" t="e">
        <f>IF(C346&lt;1,"0",Remodelacion!$C$38)</f>
        <v>#VALUE!</v>
      </c>
      <c r="O347" s="9" t="e">
        <f t="shared" si="34"/>
        <v>#VALUE!</v>
      </c>
    </row>
    <row r="348" spans="2:15" ht="15.5" hidden="1" x14ac:dyDescent="0.35">
      <c r="B348" s="6" t="e">
        <f t="shared" si="35"/>
        <v>#VALUE!</v>
      </c>
      <c r="C348" s="7" t="e">
        <f t="shared" si="31"/>
        <v>#VALUE!</v>
      </c>
      <c r="D348" s="7" t="e">
        <f t="shared" si="30"/>
        <v>#VALUE!</v>
      </c>
      <c r="E348" s="7" t="e">
        <f>C347*Remodelacion!$E$17</f>
        <v>#VALUE!</v>
      </c>
      <c r="F348" s="8" t="e">
        <f>IF(C347&lt;1,0,IF(Remodelacion!$D$26="Si",($C$17*(VLOOKUP(Remodelacion!$C$22,Seguros_Oblig!$A$3:$F$55,6,FALSE))),IF(Remodelacion!$C$10="TARIFA 1",(C347*(VLOOKUP(Remodelacion!$C$22,Seguros_Oblig!$A$3:$B$55,2,FALSE))),(C347*(VLOOKUP(Remodelacion!$C$22,Seguros_Oblig!$A$3:$D$55,4,FALSE))))))</f>
        <v>#VALUE!</v>
      </c>
      <c r="G348" s="8" t="e">
        <f>IF(Remodelacion!$C$10="TARIFA 1",(C347*(VLOOKUP(Remodelacion!$C$23,Seguros_Oblig!$A$3:$B$55,2,FALSE))),(C347*(VLOOKUP(Remodelacion!$C$23,Seguros_Oblig!$A$3:$D$55,4,FALSE))))</f>
        <v>#VALUE!</v>
      </c>
      <c r="H348" s="8" t="e">
        <f>IF(Remodelacion!$C$10="TARIFA 1",(C347*(VLOOKUP(Remodelacion!$C$24,Seguros_Oblig!$A$3:$B$55,2,FALSE))),(C347*(VLOOKUP(Remodelacion!$C$24,Seguros_Oblig!$A$3:$D$55,4,FALSE))))</f>
        <v>#VALUE!</v>
      </c>
      <c r="I348" s="8" t="e">
        <f>IF(Remodelacion!$C$10="TARIFA 1",(C347*(VLOOKUP(Remodelacion!$C$25,Seguros_Oblig!$A$3:$B$55,2,FALSE))),(C347*(VLOOKUP(Remodelacion!$C$25,Seguros_Oblig!$A$3:$D$55,4,FALSE))))</f>
        <v>#VALUE!</v>
      </c>
      <c r="J348" s="10">
        <f t="shared" si="32"/>
        <v>0</v>
      </c>
      <c r="K348" s="7" t="e">
        <f>IF(RM!$D$11="Si",0,IF(C347&lt;1,"0",Seguros_Oblig!$K$2*Remodelacion!$C$12))</f>
        <v>#VALUE!</v>
      </c>
      <c r="L348" s="7" t="e">
        <f>IF(B348=" ","0",PMT(Remodelacion!$E$17,Remodelacion!$C$18,-Remodelacion!$C$15,,))</f>
        <v>#VALUE!</v>
      </c>
      <c r="M348" s="9" t="e">
        <f t="shared" si="33"/>
        <v>#VALUE!</v>
      </c>
      <c r="N348" s="7" t="e">
        <f>IF(C347&lt;1,"0",Remodelacion!$C$38)</f>
        <v>#VALUE!</v>
      </c>
      <c r="O348" s="9" t="e">
        <f t="shared" si="34"/>
        <v>#VALUE!</v>
      </c>
    </row>
    <row r="349" spans="2:15" ht="15.5" hidden="1" x14ac:dyDescent="0.35">
      <c r="B349" s="6" t="e">
        <f t="shared" si="35"/>
        <v>#VALUE!</v>
      </c>
      <c r="C349" s="7" t="e">
        <f t="shared" si="31"/>
        <v>#VALUE!</v>
      </c>
      <c r="D349" s="7" t="e">
        <f t="shared" si="30"/>
        <v>#VALUE!</v>
      </c>
      <c r="E349" s="7" t="e">
        <f>C348*Remodelacion!$E$17</f>
        <v>#VALUE!</v>
      </c>
      <c r="F349" s="8" t="e">
        <f>IF(C348&lt;1,0,IF(Remodelacion!$D$26="Si",($C$17*(VLOOKUP(Remodelacion!$C$22,Seguros_Oblig!$A$3:$F$55,6,FALSE))),IF(Remodelacion!$C$10="TARIFA 1",(C348*(VLOOKUP(Remodelacion!$C$22,Seguros_Oblig!$A$3:$B$55,2,FALSE))),(C348*(VLOOKUP(Remodelacion!$C$22,Seguros_Oblig!$A$3:$D$55,4,FALSE))))))</f>
        <v>#VALUE!</v>
      </c>
      <c r="G349" s="8" t="e">
        <f>IF(Remodelacion!$C$10="TARIFA 1",(C348*(VLOOKUP(Remodelacion!$C$23,Seguros_Oblig!$A$3:$B$55,2,FALSE))),(C348*(VLOOKUP(Remodelacion!$C$23,Seguros_Oblig!$A$3:$D$55,4,FALSE))))</f>
        <v>#VALUE!</v>
      </c>
      <c r="H349" s="8" t="e">
        <f>IF(Remodelacion!$C$10="TARIFA 1",(C348*(VLOOKUP(Remodelacion!$C$24,Seguros_Oblig!$A$3:$B$55,2,FALSE))),(C348*(VLOOKUP(Remodelacion!$C$24,Seguros_Oblig!$A$3:$D$55,4,FALSE))))</f>
        <v>#VALUE!</v>
      </c>
      <c r="I349" s="8" t="e">
        <f>IF(Remodelacion!$C$10="TARIFA 1",(C348*(VLOOKUP(Remodelacion!$C$25,Seguros_Oblig!$A$3:$B$55,2,FALSE))),(C348*(VLOOKUP(Remodelacion!$C$25,Seguros_Oblig!$A$3:$D$55,4,FALSE))))</f>
        <v>#VALUE!</v>
      </c>
      <c r="J349" s="10">
        <f t="shared" si="32"/>
        <v>0</v>
      </c>
      <c r="K349" s="7" t="e">
        <f>IF(RM!$D$11="Si",0,IF(C348&lt;1,"0",Seguros_Oblig!$K$2*Remodelacion!$C$12))</f>
        <v>#VALUE!</v>
      </c>
      <c r="L349" s="7" t="e">
        <f>IF(B349=" ","0",PMT(Remodelacion!$E$17,Remodelacion!$C$18,-Remodelacion!$C$15,,))</f>
        <v>#VALUE!</v>
      </c>
      <c r="M349" s="9" t="e">
        <f t="shared" si="33"/>
        <v>#VALUE!</v>
      </c>
      <c r="N349" s="7" t="e">
        <f>IF(C348&lt;1,"0",Remodelacion!$C$38)</f>
        <v>#VALUE!</v>
      </c>
      <c r="O349" s="9" t="e">
        <f t="shared" si="34"/>
        <v>#VALUE!</v>
      </c>
    </row>
    <row r="350" spans="2:15" ht="15.5" hidden="1" x14ac:dyDescent="0.35">
      <c r="B350" s="6" t="e">
        <f t="shared" si="35"/>
        <v>#VALUE!</v>
      </c>
      <c r="C350" s="7" t="e">
        <f t="shared" si="31"/>
        <v>#VALUE!</v>
      </c>
      <c r="D350" s="7" t="e">
        <f t="shared" si="30"/>
        <v>#VALUE!</v>
      </c>
      <c r="E350" s="7" t="e">
        <f>C349*Remodelacion!$E$17</f>
        <v>#VALUE!</v>
      </c>
      <c r="F350" s="8" t="e">
        <f>IF(C349&lt;1,0,IF(Remodelacion!$D$26="Si",($C$17*(VLOOKUP(Remodelacion!$C$22,Seguros_Oblig!$A$3:$F$55,6,FALSE))),IF(Remodelacion!$C$10="TARIFA 1",(C349*(VLOOKUP(Remodelacion!$C$22,Seguros_Oblig!$A$3:$B$55,2,FALSE))),(C349*(VLOOKUP(Remodelacion!$C$22,Seguros_Oblig!$A$3:$D$55,4,FALSE))))))</f>
        <v>#VALUE!</v>
      </c>
      <c r="G350" s="8" t="e">
        <f>IF(Remodelacion!$C$10="TARIFA 1",(C349*(VLOOKUP(Remodelacion!$C$23,Seguros_Oblig!$A$3:$B$55,2,FALSE))),(C349*(VLOOKUP(Remodelacion!$C$23,Seguros_Oblig!$A$3:$D$55,4,FALSE))))</f>
        <v>#VALUE!</v>
      </c>
      <c r="H350" s="8" t="e">
        <f>IF(Remodelacion!$C$10="TARIFA 1",(C349*(VLOOKUP(Remodelacion!$C$24,Seguros_Oblig!$A$3:$B$55,2,FALSE))),(C349*(VLOOKUP(Remodelacion!$C$24,Seguros_Oblig!$A$3:$D$55,4,FALSE))))</f>
        <v>#VALUE!</v>
      </c>
      <c r="I350" s="8" t="e">
        <f>IF(Remodelacion!$C$10="TARIFA 1",(C349*(VLOOKUP(Remodelacion!$C$25,Seguros_Oblig!$A$3:$B$55,2,FALSE))),(C349*(VLOOKUP(Remodelacion!$C$25,Seguros_Oblig!$A$3:$D$55,4,FALSE))))</f>
        <v>#VALUE!</v>
      </c>
      <c r="J350" s="10">
        <f t="shared" si="32"/>
        <v>0</v>
      </c>
      <c r="K350" s="7" t="e">
        <f>IF(RM!$D$11="Si",0,IF(C349&lt;1,"0",Seguros_Oblig!$K$2*Remodelacion!$C$12))</f>
        <v>#VALUE!</v>
      </c>
      <c r="L350" s="7" t="e">
        <f>IF(B350=" ","0",PMT(Remodelacion!$E$17,Remodelacion!$C$18,-Remodelacion!$C$15,,))</f>
        <v>#VALUE!</v>
      </c>
      <c r="M350" s="9" t="e">
        <f t="shared" si="33"/>
        <v>#VALUE!</v>
      </c>
      <c r="N350" s="7" t="e">
        <f>IF(C349&lt;1,"0",Remodelacion!$C$38)</f>
        <v>#VALUE!</v>
      </c>
      <c r="O350" s="9" t="e">
        <f t="shared" si="34"/>
        <v>#VALUE!</v>
      </c>
    </row>
    <row r="351" spans="2:15" ht="15.5" hidden="1" x14ac:dyDescent="0.35">
      <c r="B351" s="6" t="e">
        <f t="shared" si="35"/>
        <v>#VALUE!</v>
      </c>
      <c r="C351" s="7" t="e">
        <f t="shared" si="31"/>
        <v>#VALUE!</v>
      </c>
      <c r="D351" s="7" t="e">
        <f t="shared" ref="D351:D377" si="36">IF(C350&lt;1,"0",L351-E351)</f>
        <v>#VALUE!</v>
      </c>
      <c r="E351" s="7" t="e">
        <f>C350*Remodelacion!$E$17</f>
        <v>#VALUE!</v>
      </c>
      <c r="F351" s="8" t="e">
        <f>IF(C350&lt;1,0,IF(Remodelacion!$D$26="Si",($C$17*(VLOOKUP(Remodelacion!$C$22,Seguros_Oblig!$A$3:$F$55,6,FALSE))),IF(Remodelacion!$C$10="TARIFA 1",(C350*(VLOOKUP(Remodelacion!$C$22,Seguros_Oblig!$A$3:$B$55,2,FALSE))),(C350*(VLOOKUP(Remodelacion!$C$22,Seguros_Oblig!$A$3:$D$55,4,FALSE))))))</f>
        <v>#VALUE!</v>
      </c>
      <c r="G351" s="8" t="e">
        <f>IF(Remodelacion!$C$10="TARIFA 1",(C350*(VLOOKUP(Remodelacion!$C$23,Seguros_Oblig!$A$3:$B$55,2,FALSE))),(C350*(VLOOKUP(Remodelacion!$C$23,Seguros_Oblig!$A$3:$D$55,4,FALSE))))</f>
        <v>#VALUE!</v>
      </c>
      <c r="H351" s="8" t="e">
        <f>IF(Remodelacion!$C$10="TARIFA 1",(C350*(VLOOKUP(Remodelacion!$C$24,Seguros_Oblig!$A$3:$B$55,2,FALSE))),(C350*(VLOOKUP(Remodelacion!$C$24,Seguros_Oblig!$A$3:$D$55,4,FALSE))))</f>
        <v>#VALUE!</v>
      </c>
      <c r="I351" s="8" t="e">
        <f>IF(Remodelacion!$C$10="TARIFA 1",(C350*(VLOOKUP(Remodelacion!$C$25,Seguros_Oblig!$A$3:$B$55,2,FALSE))),(C350*(VLOOKUP(Remodelacion!$C$25,Seguros_Oblig!$A$3:$D$55,4,FALSE))))</f>
        <v>#VALUE!</v>
      </c>
      <c r="J351" s="10">
        <f t="shared" si="32"/>
        <v>0</v>
      </c>
      <c r="K351" s="7" t="e">
        <f>IF(RM!$D$11="Si",0,IF(C350&lt;1,"0",Seguros_Oblig!$K$2*Remodelacion!$C$12))</f>
        <v>#VALUE!</v>
      </c>
      <c r="L351" s="7" t="e">
        <f>IF(B351=" ","0",PMT(Remodelacion!$E$17,Remodelacion!$C$18,-Remodelacion!$C$15,,))</f>
        <v>#VALUE!</v>
      </c>
      <c r="M351" s="9" t="e">
        <f t="shared" si="33"/>
        <v>#VALUE!</v>
      </c>
      <c r="N351" s="7" t="e">
        <f>IF(C350&lt;1,"0",Remodelacion!$C$38)</f>
        <v>#VALUE!</v>
      </c>
      <c r="O351" s="9" t="e">
        <f t="shared" si="34"/>
        <v>#VALUE!</v>
      </c>
    </row>
    <row r="352" spans="2:15" ht="15.5" hidden="1" x14ac:dyDescent="0.35">
      <c r="B352" s="6" t="e">
        <f t="shared" si="35"/>
        <v>#VALUE!</v>
      </c>
      <c r="C352" s="7" t="e">
        <f t="shared" si="31"/>
        <v>#VALUE!</v>
      </c>
      <c r="D352" s="7" t="e">
        <f t="shared" si="36"/>
        <v>#VALUE!</v>
      </c>
      <c r="E352" s="7" t="e">
        <f>C351*Remodelacion!$E$17</f>
        <v>#VALUE!</v>
      </c>
      <c r="F352" s="8" t="e">
        <f>IF(C351&lt;1,0,IF(Remodelacion!$D$26="Si",($C$17*(VLOOKUP(Remodelacion!$C$22,Seguros_Oblig!$A$3:$F$55,6,FALSE))),IF(Remodelacion!$C$10="TARIFA 1",(C351*(VLOOKUP(Remodelacion!$C$22,Seguros_Oblig!$A$3:$B$55,2,FALSE))),(C351*(VLOOKUP(Remodelacion!$C$22,Seguros_Oblig!$A$3:$D$55,4,FALSE))))))</f>
        <v>#VALUE!</v>
      </c>
      <c r="G352" s="8" t="e">
        <f>IF(Remodelacion!$C$10="TARIFA 1",(C351*(VLOOKUP(Remodelacion!$C$23,Seguros_Oblig!$A$3:$B$55,2,FALSE))),(C351*(VLOOKUP(Remodelacion!$C$23,Seguros_Oblig!$A$3:$D$55,4,FALSE))))</f>
        <v>#VALUE!</v>
      </c>
      <c r="H352" s="8" t="e">
        <f>IF(Remodelacion!$C$10="TARIFA 1",(C351*(VLOOKUP(Remodelacion!$C$24,Seguros_Oblig!$A$3:$B$55,2,FALSE))),(C351*(VLOOKUP(Remodelacion!$C$24,Seguros_Oblig!$A$3:$D$55,4,FALSE))))</f>
        <v>#VALUE!</v>
      </c>
      <c r="I352" s="8" t="e">
        <f>IF(Remodelacion!$C$10="TARIFA 1",(C351*(VLOOKUP(Remodelacion!$C$25,Seguros_Oblig!$A$3:$B$55,2,FALSE))),(C351*(VLOOKUP(Remodelacion!$C$25,Seguros_Oblig!$A$3:$D$55,4,FALSE))))</f>
        <v>#VALUE!</v>
      </c>
      <c r="J352" s="10">
        <f t="shared" si="32"/>
        <v>0</v>
      </c>
      <c r="K352" s="7" t="e">
        <f>IF(RM!$D$11="Si",0,IF(C351&lt;1,"0",Seguros_Oblig!$K$2*Remodelacion!$C$12))</f>
        <v>#VALUE!</v>
      </c>
      <c r="L352" s="7" t="e">
        <f>IF(B352=" ","0",PMT(Remodelacion!$E$17,Remodelacion!$C$18,-Remodelacion!$C$15,,))</f>
        <v>#VALUE!</v>
      </c>
      <c r="M352" s="9" t="e">
        <f t="shared" si="33"/>
        <v>#VALUE!</v>
      </c>
      <c r="N352" s="7" t="e">
        <f>IF(C351&lt;1,"0",Remodelacion!$C$38)</f>
        <v>#VALUE!</v>
      </c>
      <c r="O352" s="9" t="e">
        <f t="shared" si="34"/>
        <v>#VALUE!</v>
      </c>
    </row>
    <row r="353" spans="2:15" ht="15.5" hidden="1" x14ac:dyDescent="0.35">
      <c r="B353" s="6" t="e">
        <f t="shared" si="35"/>
        <v>#VALUE!</v>
      </c>
      <c r="C353" s="7" t="e">
        <f t="shared" si="31"/>
        <v>#VALUE!</v>
      </c>
      <c r="D353" s="7" t="e">
        <f t="shared" si="36"/>
        <v>#VALUE!</v>
      </c>
      <c r="E353" s="7" t="e">
        <f>C352*Remodelacion!$E$17</f>
        <v>#VALUE!</v>
      </c>
      <c r="F353" s="8" t="e">
        <f>IF(C352&lt;1,0,IF(Remodelacion!$D$26="Si",($C$17*(VLOOKUP(Remodelacion!$C$22,Seguros_Oblig!$A$3:$F$55,6,FALSE))),IF(Remodelacion!$C$10="TARIFA 1",(C352*(VLOOKUP(Remodelacion!$C$22,Seguros_Oblig!$A$3:$B$55,2,FALSE))),(C352*(VLOOKUP(Remodelacion!$C$22,Seguros_Oblig!$A$3:$D$55,4,FALSE))))))</f>
        <v>#VALUE!</v>
      </c>
      <c r="G353" s="8" t="e">
        <f>IF(Remodelacion!$C$10="TARIFA 1",(C352*(VLOOKUP(Remodelacion!$C$23,Seguros_Oblig!$A$3:$B$55,2,FALSE))),(C352*(VLOOKUP(Remodelacion!$C$23,Seguros_Oblig!$A$3:$D$55,4,FALSE))))</f>
        <v>#VALUE!</v>
      </c>
      <c r="H353" s="8" t="e">
        <f>IF(Remodelacion!$C$10="TARIFA 1",(C352*(VLOOKUP(Remodelacion!$C$24,Seguros_Oblig!$A$3:$B$55,2,FALSE))),(C352*(VLOOKUP(Remodelacion!$C$24,Seguros_Oblig!$A$3:$D$55,4,FALSE))))</f>
        <v>#VALUE!</v>
      </c>
      <c r="I353" s="8" t="e">
        <f>IF(Remodelacion!$C$10="TARIFA 1",(C352*(VLOOKUP(Remodelacion!$C$25,Seguros_Oblig!$A$3:$B$55,2,FALSE))),(C352*(VLOOKUP(Remodelacion!$C$25,Seguros_Oblig!$A$3:$D$55,4,FALSE))))</f>
        <v>#VALUE!</v>
      </c>
      <c r="J353" s="10">
        <f t="shared" si="32"/>
        <v>0</v>
      </c>
      <c r="K353" s="7" t="e">
        <f>IF(RM!$D$11="Si",0,IF(C352&lt;1,"0",Seguros_Oblig!$K$2*Remodelacion!$C$12))</f>
        <v>#VALUE!</v>
      </c>
      <c r="L353" s="7" t="e">
        <f>IF(B353=" ","0",PMT(Remodelacion!$E$17,Remodelacion!$C$18,-Remodelacion!$C$15,,))</f>
        <v>#VALUE!</v>
      </c>
      <c r="M353" s="9" t="e">
        <f t="shared" si="33"/>
        <v>#VALUE!</v>
      </c>
      <c r="N353" s="7" t="e">
        <f>IF(C352&lt;1,"0",Remodelacion!$C$38)</f>
        <v>#VALUE!</v>
      </c>
      <c r="O353" s="9" t="e">
        <f t="shared" si="34"/>
        <v>#VALUE!</v>
      </c>
    </row>
    <row r="354" spans="2:15" ht="15.5" hidden="1" x14ac:dyDescent="0.35">
      <c r="B354" s="6" t="e">
        <f t="shared" si="35"/>
        <v>#VALUE!</v>
      </c>
      <c r="C354" s="7" t="e">
        <f t="shared" si="31"/>
        <v>#VALUE!</v>
      </c>
      <c r="D354" s="7" t="e">
        <f t="shared" si="36"/>
        <v>#VALUE!</v>
      </c>
      <c r="E354" s="7" t="e">
        <f>C353*Remodelacion!$E$17</f>
        <v>#VALUE!</v>
      </c>
      <c r="F354" s="8" t="e">
        <f>IF(C353&lt;1,0,IF(Remodelacion!$D$26="Si",($C$17*(VLOOKUP(Remodelacion!$C$22,Seguros_Oblig!$A$3:$F$55,6,FALSE))),IF(Remodelacion!$C$10="TARIFA 1",(C353*(VLOOKUP(Remodelacion!$C$22,Seguros_Oblig!$A$3:$B$55,2,FALSE))),(C353*(VLOOKUP(Remodelacion!$C$22,Seguros_Oblig!$A$3:$D$55,4,FALSE))))))</f>
        <v>#VALUE!</v>
      </c>
      <c r="G354" s="8" t="e">
        <f>IF(Remodelacion!$C$10="TARIFA 1",(C353*(VLOOKUP(Remodelacion!$C$23,Seguros_Oblig!$A$3:$B$55,2,FALSE))),(C353*(VLOOKUP(Remodelacion!$C$23,Seguros_Oblig!$A$3:$D$55,4,FALSE))))</f>
        <v>#VALUE!</v>
      </c>
      <c r="H354" s="8" t="e">
        <f>IF(Remodelacion!$C$10="TARIFA 1",(C353*(VLOOKUP(Remodelacion!$C$24,Seguros_Oblig!$A$3:$B$55,2,FALSE))),(C353*(VLOOKUP(Remodelacion!$C$24,Seguros_Oblig!$A$3:$D$55,4,FALSE))))</f>
        <v>#VALUE!</v>
      </c>
      <c r="I354" s="8" t="e">
        <f>IF(Remodelacion!$C$10="TARIFA 1",(C353*(VLOOKUP(Remodelacion!$C$25,Seguros_Oblig!$A$3:$B$55,2,FALSE))),(C353*(VLOOKUP(Remodelacion!$C$25,Seguros_Oblig!$A$3:$D$55,4,FALSE))))</f>
        <v>#VALUE!</v>
      </c>
      <c r="J354" s="10">
        <f t="shared" si="32"/>
        <v>0</v>
      </c>
      <c r="K354" s="7" t="e">
        <f>IF(RM!$D$11="Si",0,IF(C353&lt;1,"0",Seguros_Oblig!$K$2*Remodelacion!$C$12))</f>
        <v>#VALUE!</v>
      </c>
      <c r="L354" s="7" t="e">
        <f>IF(B354=" ","0",PMT(Remodelacion!$E$17,Remodelacion!$C$18,-Remodelacion!$C$15,,))</f>
        <v>#VALUE!</v>
      </c>
      <c r="M354" s="9" t="e">
        <f t="shared" si="33"/>
        <v>#VALUE!</v>
      </c>
      <c r="N354" s="7" t="e">
        <f>IF(C353&lt;1,"0",Remodelacion!$C$38)</f>
        <v>#VALUE!</v>
      </c>
      <c r="O354" s="9" t="e">
        <f t="shared" si="34"/>
        <v>#VALUE!</v>
      </c>
    </row>
    <row r="355" spans="2:15" ht="15.5" hidden="1" x14ac:dyDescent="0.35">
      <c r="B355" s="6" t="e">
        <f t="shared" si="35"/>
        <v>#VALUE!</v>
      </c>
      <c r="C355" s="7" t="e">
        <f t="shared" si="31"/>
        <v>#VALUE!</v>
      </c>
      <c r="D355" s="7" t="e">
        <f t="shared" si="36"/>
        <v>#VALUE!</v>
      </c>
      <c r="E355" s="7" t="e">
        <f>C354*Remodelacion!$E$17</f>
        <v>#VALUE!</v>
      </c>
      <c r="F355" s="8" t="e">
        <f>IF(C354&lt;1,0,IF(Remodelacion!$D$26="Si",($C$17*(VLOOKUP(Remodelacion!$C$22,Seguros_Oblig!$A$3:$F$55,6,FALSE))),IF(Remodelacion!$C$10="TARIFA 1",(C354*(VLOOKUP(Remodelacion!$C$22,Seguros_Oblig!$A$3:$B$55,2,FALSE))),(C354*(VLOOKUP(Remodelacion!$C$22,Seguros_Oblig!$A$3:$D$55,4,FALSE))))))</f>
        <v>#VALUE!</v>
      </c>
      <c r="G355" s="8" t="e">
        <f>IF(Remodelacion!$C$10="TARIFA 1",(C354*(VLOOKUP(Remodelacion!$C$23,Seguros_Oblig!$A$3:$B$55,2,FALSE))),(C354*(VLOOKUP(Remodelacion!$C$23,Seguros_Oblig!$A$3:$D$55,4,FALSE))))</f>
        <v>#VALUE!</v>
      </c>
      <c r="H355" s="8" t="e">
        <f>IF(Remodelacion!$C$10="TARIFA 1",(C354*(VLOOKUP(Remodelacion!$C$24,Seguros_Oblig!$A$3:$B$55,2,FALSE))),(C354*(VLOOKUP(Remodelacion!$C$24,Seguros_Oblig!$A$3:$D$55,4,FALSE))))</f>
        <v>#VALUE!</v>
      </c>
      <c r="I355" s="8" t="e">
        <f>IF(Remodelacion!$C$10="TARIFA 1",(C354*(VLOOKUP(Remodelacion!$C$25,Seguros_Oblig!$A$3:$B$55,2,FALSE))),(C354*(VLOOKUP(Remodelacion!$C$25,Seguros_Oblig!$A$3:$D$55,4,FALSE))))</f>
        <v>#VALUE!</v>
      </c>
      <c r="J355" s="10">
        <f t="shared" si="32"/>
        <v>0</v>
      </c>
      <c r="K355" s="7" t="e">
        <f>IF(RM!$D$11="Si",0,IF(C354&lt;1,"0",Seguros_Oblig!$K$2*Remodelacion!$C$12))</f>
        <v>#VALUE!</v>
      </c>
      <c r="L355" s="7" t="e">
        <f>IF(B355=" ","0",PMT(Remodelacion!$E$17,Remodelacion!$C$18,-Remodelacion!$C$15,,))</f>
        <v>#VALUE!</v>
      </c>
      <c r="M355" s="9" t="e">
        <f t="shared" si="33"/>
        <v>#VALUE!</v>
      </c>
      <c r="N355" s="7" t="e">
        <f>IF(C354&lt;1,"0",Remodelacion!$C$38)</f>
        <v>#VALUE!</v>
      </c>
      <c r="O355" s="9" t="e">
        <f t="shared" si="34"/>
        <v>#VALUE!</v>
      </c>
    </row>
    <row r="356" spans="2:15" ht="15.5" hidden="1" x14ac:dyDescent="0.35">
      <c r="B356" s="6" t="e">
        <f t="shared" si="35"/>
        <v>#VALUE!</v>
      </c>
      <c r="C356" s="7" t="e">
        <f t="shared" si="31"/>
        <v>#VALUE!</v>
      </c>
      <c r="D356" s="7" t="e">
        <f t="shared" si="36"/>
        <v>#VALUE!</v>
      </c>
      <c r="E356" s="7" t="e">
        <f>C355*Remodelacion!$E$17</f>
        <v>#VALUE!</v>
      </c>
      <c r="F356" s="8" t="e">
        <f>IF(C355&lt;1,0,IF(Remodelacion!$D$26="Si",($C$17*(VLOOKUP(Remodelacion!$C$22,Seguros_Oblig!$A$3:$F$55,6,FALSE))),IF(Remodelacion!$C$10="TARIFA 1",(C355*(VLOOKUP(Remodelacion!$C$22,Seguros_Oblig!$A$3:$B$55,2,FALSE))),(C355*(VLOOKUP(Remodelacion!$C$22,Seguros_Oblig!$A$3:$D$55,4,FALSE))))))</f>
        <v>#VALUE!</v>
      </c>
      <c r="G356" s="8" t="e">
        <f>IF(Remodelacion!$C$10="TARIFA 1",(C355*(VLOOKUP(Remodelacion!$C$23,Seguros_Oblig!$A$3:$B$55,2,FALSE))),(C355*(VLOOKUP(Remodelacion!$C$23,Seguros_Oblig!$A$3:$D$55,4,FALSE))))</f>
        <v>#VALUE!</v>
      </c>
      <c r="H356" s="8" t="e">
        <f>IF(Remodelacion!$C$10="TARIFA 1",(C355*(VLOOKUP(Remodelacion!$C$24,Seguros_Oblig!$A$3:$B$55,2,FALSE))),(C355*(VLOOKUP(Remodelacion!$C$24,Seguros_Oblig!$A$3:$D$55,4,FALSE))))</f>
        <v>#VALUE!</v>
      </c>
      <c r="I356" s="8" t="e">
        <f>IF(Remodelacion!$C$10="TARIFA 1",(C355*(VLOOKUP(Remodelacion!$C$25,Seguros_Oblig!$A$3:$B$55,2,FALSE))),(C355*(VLOOKUP(Remodelacion!$C$25,Seguros_Oblig!$A$3:$D$55,4,FALSE))))</f>
        <v>#VALUE!</v>
      </c>
      <c r="J356" s="10">
        <f t="shared" si="32"/>
        <v>0</v>
      </c>
      <c r="K356" s="7" t="e">
        <f>IF(RM!$D$11="Si",0,IF(C355&lt;1,"0",Seguros_Oblig!$K$2*Remodelacion!$C$12))</f>
        <v>#VALUE!</v>
      </c>
      <c r="L356" s="7" t="e">
        <f>IF(B356=" ","0",PMT(Remodelacion!$E$17,Remodelacion!$C$18,-Remodelacion!$C$15,,))</f>
        <v>#VALUE!</v>
      </c>
      <c r="M356" s="9" t="e">
        <f t="shared" si="33"/>
        <v>#VALUE!</v>
      </c>
      <c r="N356" s="7" t="e">
        <f>IF(C355&lt;1,"0",Remodelacion!$C$38)</f>
        <v>#VALUE!</v>
      </c>
      <c r="O356" s="9" t="e">
        <f t="shared" si="34"/>
        <v>#VALUE!</v>
      </c>
    </row>
    <row r="357" spans="2:15" ht="15.5" hidden="1" x14ac:dyDescent="0.35">
      <c r="B357" s="6" t="e">
        <f t="shared" si="35"/>
        <v>#VALUE!</v>
      </c>
      <c r="C357" s="7" t="e">
        <f t="shared" si="31"/>
        <v>#VALUE!</v>
      </c>
      <c r="D357" s="7" t="e">
        <f t="shared" si="36"/>
        <v>#VALUE!</v>
      </c>
      <c r="E357" s="7" t="e">
        <f>C356*Remodelacion!$E$17</f>
        <v>#VALUE!</v>
      </c>
      <c r="F357" s="8" t="e">
        <f>IF(C356&lt;1,0,IF(Remodelacion!$D$26="Si",($C$17*(VLOOKUP(Remodelacion!$C$22,Seguros_Oblig!$A$3:$F$55,6,FALSE))),IF(Remodelacion!$C$10="TARIFA 1",(C356*(VLOOKUP(Remodelacion!$C$22,Seguros_Oblig!$A$3:$B$55,2,FALSE))),(C356*(VLOOKUP(Remodelacion!$C$22,Seguros_Oblig!$A$3:$D$55,4,FALSE))))))</f>
        <v>#VALUE!</v>
      </c>
      <c r="G357" s="8" t="e">
        <f>IF(Remodelacion!$C$10="TARIFA 1",(C356*(VLOOKUP(Remodelacion!$C$23,Seguros_Oblig!$A$3:$B$55,2,FALSE))),(C356*(VLOOKUP(Remodelacion!$C$23,Seguros_Oblig!$A$3:$D$55,4,FALSE))))</f>
        <v>#VALUE!</v>
      </c>
      <c r="H357" s="8" t="e">
        <f>IF(Remodelacion!$C$10="TARIFA 1",(C356*(VLOOKUP(Remodelacion!$C$24,Seguros_Oblig!$A$3:$B$55,2,FALSE))),(C356*(VLOOKUP(Remodelacion!$C$24,Seguros_Oblig!$A$3:$D$55,4,FALSE))))</f>
        <v>#VALUE!</v>
      </c>
      <c r="I357" s="8" t="e">
        <f>IF(Remodelacion!$C$10="TARIFA 1",(C356*(VLOOKUP(Remodelacion!$C$25,Seguros_Oblig!$A$3:$B$55,2,FALSE))),(C356*(VLOOKUP(Remodelacion!$C$25,Seguros_Oblig!$A$3:$D$55,4,FALSE))))</f>
        <v>#VALUE!</v>
      </c>
      <c r="J357" s="10">
        <f t="shared" si="32"/>
        <v>0</v>
      </c>
      <c r="K357" s="7" t="e">
        <f>IF(RM!$D$11="Si",0,IF(C356&lt;1,"0",Seguros_Oblig!$K$2*Remodelacion!$C$12))</f>
        <v>#VALUE!</v>
      </c>
      <c r="L357" s="7" t="e">
        <f>IF(B357=" ","0",PMT(Remodelacion!$E$17,Remodelacion!$C$18,-Remodelacion!$C$15,,))</f>
        <v>#VALUE!</v>
      </c>
      <c r="M357" s="9" t="e">
        <f t="shared" si="33"/>
        <v>#VALUE!</v>
      </c>
      <c r="N357" s="7" t="e">
        <f>IF(C356&lt;1,"0",Remodelacion!$C$38)</f>
        <v>#VALUE!</v>
      </c>
      <c r="O357" s="9" t="e">
        <f t="shared" si="34"/>
        <v>#VALUE!</v>
      </c>
    </row>
    <row r="358" spans="2:15" ht="15.5" hidden="1" x14ac:dyDescent="0.35">
      <c r="B358" s="6" t="e">
        <f t="shared" si="35"/>
        <v>#VALUE!</v>
      </c>
      <c r="C358" s="7" t="e">
        <f t="shared" si="31"/>
        <v>#VALUE!</v>
      </c>
      <c r="D358" s="7" t="e">
        <f t="shared" si="36"/>
        <v>#VALUE!</v>
      </c>
      <c r="E358" s="7" t="e">
        <f>C357*Remodelacion!$E$17</f>
        <v>#VALUE!</v>
      </c>
      <c r="F358" s="8" t="e">
        <f>IF(C357&lt;1,0,IF(Remodelacion!$D$26="Si",($C$17*(VLOOKUP(Remodelacion!$C$22,Seguros_Oblig!$A$3:$F$55,6,FALSE))),IF(Remodelacion!$C$10="TARIFA 1",(C357*(VLOOKUP(Remodelacion!$C$22,Seguros_Oblig!$A$3:$B$55,2,FALSE))),(C357*(VLOOKUP(Remodelacion!$C$22,Seguros_Oblig!$A$3:$D$55,4,FALSE))))))</f>
        <v>#VALUE!</v>
      </c>
      <c r="G358" s="8" t="e">
        <f>IF(Remodelacion!$C$10="TARIFA 1",(C357*(VLOOKUP(Remodelacion!$C$23,Seguros_Oblig!$A$3:$B$55,2,FALSE))),(C357*(VLOOKUP(Remodelacion!$C$23,Seguros_Oblig!$A$3:$D$55,4,FALSE))))</f>
        <v>#VALUE!</v>
      </c>
      <c r="H358" s="8" t="e">
        <f>IF(Remodelacion!$C$10="TARIFA 1",(C357*(VLOOKUP(Remodelacion!$C$24,Seguros_Oblig!$A$3:$B$55,2,FALSE))),(C357*(VLOOKUP(Remodelacion!$C$24,Seguros_Oblig!$A$3:$D$55,4,FALSE))))</f>
        <v>#VALUE!</v>
      </c>
      <c r="I358" s="8" t="e">
        <f>IF(Remodelacion!$C$10="TARIFA 1",(C357*(VLOOKUP(Remodelacion!$C$25,Seguros_Oblig!$A$3:$B$55,2,FALSE))),(C357*(VLOOKUP(Remodelacion!$C$25,Seguros_Oblig!$A$3:$D$55,4,FALSE))))</f>
        <v>#VALUE!</v>
      </c>
      <c r="J358" s="10">
        <f t="shared" si="32"/>
        <v>0</v>
      </c>
      <c r="K358" s="7" t="e">
        <f>IF(RM!$D$11="Si",0,IF(C357&lt;1,"0",Seguros_Oblig!$K$2*Remodelacion!$C$12))</f>
        <v>#VALUE!</v>
      </c>
      <c r="L358" s="7" t="e">
        <f>IF(B358=" ","0",PMT(Remodelacion!$E$17,Remodelacion!$C$18,-Remodelacion!$C$15,,))</f>
        <v>#VALUE!</v>
      </c>
      <c r="M358" s="9" t="e">
        <f t="shared" si="33"/>
        <v>#VALUE!</v>
      </c>
      <c r="N358" s="7" t="e">
        <f>IF(C357&lt;1,"0",Remodelacion!$C$38)</f>
        <v>#VALUE!</v>
      </c>
      <c r="O358" s="9" t="e">
        <f t="shared" si="34"/>
        <v>#VALUE!</v>
      </c>
    </row>
    <row r="359" spans="2:15" ht="15.5" hidden="1" x14ac:dyDescent="0.35">
      <c r="B359" s="6" t="e">
        <f t="shared" si="35"/>
        <v>#VALUE!</v>
      </c>
      <c r="C359" s="7" t="e">
        <f t="shared" si="31"/>
        <v>#VALUE!</v>
      </c>
      <c r="D359" s="7" t="e">
        <f t="shared" si="36"/>
        <v>#VALUE!</v>
      </c>
      <c r="E359" s="7" t="e">
        <f>C358*Remodelacion!$E$17</f>
        <v>#VALUE!</v>
      </c>
      <c r="F359" s="8" t="e">
        <f>IF(C358&lt;1,0,IF(Remodelacion!$D$26="Si",($C$17*(VLOOKUP(Remodelacion!$C$22,Seguros_Oblig!$A$3:$F$55,6,FALSE))),IF(Remodelacion!$C$10="TARIFA 1",(C358*(VLOOKUP(Remodelacion!$C$22,Seguros_Oblig!$A$3:$B$55,2,FALSE))),(C358*(VLOOKUP(Remodelacion!$C$22,Seguros_Oblig!$A$3:$D$55,4,FALSE))))))</f>
        <v>#VALUE!</v>
      </c>
      <c r="G359" s="8" t="e">
        <f>IF(Remodelacion!$C$10="TARIFA 1",(C358*(VLOOKUP(Remodelacion!$C$23,Seguros_Oblig!$A$3:$B$55,2,FALSE))),(C358*(VLOOKUP(Remodelacion!$C$23,Seguros_Oblig!$A$3:$D$55,4,FALSE))))</f>
        <v>#VALUE!</v>
      </c>
      <c r="H359" s="8" t="e">
        <f>IF(Remodelacion!$C$10="TARIFA 1",(C358*(VLOOKUP(Remodelacion!$C$24,Seguros_Oblig!$A$3:$B$55,2,FALSE))),(C358*(VLOOKUP(Remodelacion!$C$24,Seguros_Oblig!$A$3:$D$55,4,FALSE))))</f>
        <v>#VALUE!</v>
      </c>
      <c r="I359" s="8" t="e">
        <f>IF(Remodelacion!$C$10="TARIFA 1",(C358*(VLOOKUP(Remodelacion!$C$25,Seguros_Oblig!$A$3:$B$55,2,FALSE))),(C358*(VLOOKUP(Remodelacion!$C$25,Seguros_Oblig!$A$3:$D$55,4,FALSE))))</f>
        <v>#VALUE!</v>
      </c>
      <c r="J359" s="10">
        <f t="shared" si="32"/>
        <v>0</v>
      </c>
      <c r="K359" s="7" t="e">
        <f>IF(RM!$D$11="Si",0,IF(C358&lt;1,"0",Seguros_Oblig!$K$2*Remodelacion!$C$12))</f>
        <v>#VALUE!</v>
      </c>
      <c r="L359" s="7" t="e">
        <f>IF(B359=" ","0",PMT(Remodelacion!$E$17,Remodelacion!$C$18,-Remodelacion!$C$15,,))</f>
        <v>#VALUE!</v>
      </c>
      <c r="M359" s="9" t="e">
        <f t="shared" si="33"/>
        <v>#VALUE!</v>
      </c>
      <c r="N359" s="7" t="e">
        <f>IF(C358&lt;1,"0",Remodelacion!$C$38)</f>
        <v>#VALUE!</v>
      </c>
      <c r="O359" s="9" t="e">
        <f t="shared" si="34"/>
        <v>#VALUE!</v>
      </c>
    </row>
    <row r="360" spans="2:15" ht="15.5" hidden="1" x14ac:dyDescent="0.35">
      <c r="B360" s="6" t="e">
        <f t="shared" si="35"/>
        <v>#VALUE!</v>
      </c>
      <c r="C360" s="7" t="e">
        <f t="shared" si="31"/>
        <v>#VALUE!</v>
      </c>
      <c r="D360" s="7" t="e">
        <f t="shared" si="36"/>
        <v>#VALUE!</v>
      </c>
      <c r="E360" s="7" t="e">
        <f>C359*Remodelacion!$E$17</f>
        <v>#VALUE!</v>
      </c>
      <c r="F360" s="8" t="e">
        <f>IF(C359&lt;1,0,IF(Remodelacion!$D$26="Si",($C$17*(VLOOKUP(Remodelacion!$C$22,Seguros_Oblig!$A$3:$F$55,6,FALSE))),IF(Remodelacion!$C$10="TARIFA 1",(C359*(VLOOKUP(Remodelacion!$C$22,Seguros_Oblig!$A$3:$B$55,2,FALSE))),(C359*(VLOOKUP(Remodelacion!$C$22,Seguros_Oblig!$A$3:$D$55,4,FALSE))))))</f>
        <v>#VALUE!</v>
      </c>
      <c r="G360" s="8" t="e">
        <f>IF(Remodelacion!$C$10="TARIFA 1",(C359*(VLOOKUP(Remodelacion!$C$23,Seguros_Oblig!$A$3:$B$55,2,FALSE))),(C359*(VLOOKUP(Remodelacion!$C$23,Seguros_Oblig!$A$3:$D$55,4,FALSE))))</f>
        <v>#VALUE!</v>
      </c>
      <c r="H360" s="8" t="e">
        <f>IF(Remodelacion!$C$10="TARIFA 1",(C359*(VLOOKUP(Remodelacion!$C$24,Seguros_Oblig!$A$3:$B$55,2,FALSE))),(C359*(VLOOKUP(Remodelacion!$C$24,Seguros_Oblig!$A$3:$D$55,4,FALSE))))</f>
        <v>#VALUE!</v>
      </c>
      <c r="I360" s="8" t="e">
        <f>IF(Remodelacion!$C$10="TARIFA 1",(C359*(VLOOKUP(Remodelacion!$C$25,Seguros_Oblig!$A$3:$B$55,2,FALSE))),(C359*(VLOOKUP(Remodelacion!$C$25,Seguros_Oblig!$A$3:$D$55,4,FALSE))))</f>
        <v>#VALUE!</v>
      </c>
      <c r="J360" s="10">
        <f t="shared" si="32"/>
        <v>0</v>
      </c>
      <c r="K360" s="7" t="e">
        <f>IF(RM!$D$11="Si",0,IF(C359&lt;1,"0",Seguros_Oblig!$K$2*Remodelacion!$C$12))</f>
        <v>#VALUE!</v>
      </c>
      <c r="L360" s="7" t="e">
        <f>IF(B360=" ","0",PMT(Remodelacion!$E$17,Remodelacion!$C$18,-Remodelacion!$C$15,,))</f>
        <v>#VALUE!</v>
      </c>
      <c r="M360" s="9" t="e">
        <f t="shared" si="33"/>
        <v>#VALUE!</v>
      </c>
      <c r="N360" s="7" t="e">
        <f>IF(C359&lt;1,"0",Remodelacion!$C$38)</f>
        <v>#VALUE!</v>
      </c>
      <c r="O360" s="9" t="e">
        <f t="shared" si="34"/>
        <v>#VALUE!</v>
      </c>
    </row>
    <row r="361" spans="2:15" ht="15.5" hidden="1" x14ac:dyDescent="0.35">
      <c r="B361" s="6" t="e">
        <f t="shared" si="35"/>
        <v>#VALUE!</v>
      </c>
      <c r="C361" s="7" t="e">
        <f t="shared" si="31"/>
        <v>#VALUE!</v>
      </c>
      <c r="D361" s="7" t="e">
        <f t="shared" si="36"/>
        <v>#VALUE!</v>
      </c>
      <c r="E361" s="7" t="e">
        <f>C360*Remodelacion!$E$17</f>
        <v>#VALUE!</v>
      </c>
      <c r="F361" s="8" t="e">
        <f>IF(C360&lt;1,0,IF(Remodelacion!$D$26="Si",($C$17*(VLOOKUP(Remodelacion!$C$22,Seguros_Oblig!$A$3:$F$55,6,FALSE))),IF(Remodelacion!$C$10="TARIFA 1",(C360*(VLOOKUP(Remodelacion!$C$22,Seguros_Oblig!$A$3:$B$55,2,FALSE))),(C360*(VLOOKUP(Remodelacion!$C$22,Seguros_Oblig!$A$3:$D$55,4,FALSE))))))</f>
        <v>#VALUE!</v>
      </c>
      <c r="G361" s="8" t="e">
        <f>IF(Remodelacion!$C$10="TARIFA 1",(C360*(VLOOKUP(Remodelacion!$C$23,Seguros_Oblig!$A$3:$B$55,2,FALSE))),(C360*(VLOOKUP(Remodelacion!$C$23,Seguros_Oblig!$A$3:$D$55,4,FALSE))))</f>
        <v>#VALUE!</v>
      </c>
      <c r="H361" s="8" t="e">
        <f>IF(Remodelacion!$C$10="TARIFA 1",(C360*(VLOOKUP(Remodelacion!$C$24,Seguros_Oblig!$A$3:$B$55,2,FALSE))),(C360*(VLOOKUP(Remodelacion!$C$24,Seguros_Oblig!$A$3:$D$55,4,FALSE))))</f>
        <v>#VALUE!</v>
      </c>
      <c r="I361" s="8" t="e">
        <f>IF(Remodelacion!$C$10="TARIFA 1",(C360*(VLOOKUP(Remodelacion!$C$25,Seguros_Oblig!$A$3:$B$55,2,FALSE))),(C360*(VLOOKUP(Remodelacion!$C$25,Seguros_Oblig!$A$3:$D$55,4,FALSE))))</f>
        <v>#VALUE!</v>
      </c>
      <c r="J361" s="10">
        <f t="shared" si="32"/>
        <v>0</v>
      </c>
      <c r="K361" s="7" t="e">
        <f>IF(RM!$D$11="Si",0,IF(C360&lt;1,"0",Seguros_Oblig!$K$2*Remodelacion!$C$12))</f>
        <v>#VALUE!</v>
      </c>
      <c r="L361" s="7" t="e">
        <f>IF(B361=" ","0",PMT(Remodelacion!$E$17,Remodelacion!$C$18,-Remodelacion!$C$15,,))</f>
        <v>#VALUE!</v>
      </c>
      <c r="M361" s="9" t="e">
        <f t="shared" si="33"/>
        <v>#VALUE!</v>
      </c>
      <c r="N361" s="7" t="e">
        <f>IF(C360&lt;1,"0",Remodelacion!$C$38)</f>
        <v>#VALUE!</v>
      </c>
      <c r="O361" s="9" t="e">
        <f t="shared" si="34"/>
        <v>#VALUE!</v>
      </c>
    </row>
    <row r="362" spans="2:15" ht="15.5" hidden="1" x14ac:dyDescent="0.35">
      <c r="B362" s="6" t="e">
        <f t="shared" si="35"/>
        <v>#VALUE!</v>
      </c>
      <c r="C362" s="7" t="e">
        <f t="shared" si="31"/>
        <v>#VALUE!</v>
      </c>
      <c r="D362" s="7" t="e">
        <f t="shared" si="36"/>
        <v>#VALUE!</v>
      </c>
      <c r="E362" s="7" t="e">
        <f>C361*Remodelacion!$E$17</f>
        <v>#VALUE!</v>
      </c>
      <c r="F362" s="8" t="e">
        <f>IF(C361&lt;1,0,IF(Remodelacion!$D$26="Si",($C$17*(VLOOKUP(Remodelacion!$C$22,Seguros_Oblig!$A$3:$F$55,6,FALSE))),IF(Remodelacion!$C$10="TARIFA 1",(C361*(VLOOKUP(Remodelacion!$C$22,Seguros_Oblig!$A$3:$B$55,2,FALSE))),(C361*(VLOOKUP(Remodelacion!$C$22,Seguros_Oblig!$A$3:$D$55,4,FALSE))))))</f>
        <v>#VALUE!</v>
      </c>
      <c r="G362" s="8" t="e">
        <f>IF(Remodelacion!$C$10="TARIFA 1",(C361*(VLOOKUP(Remodelacion!$C$23,Seguros_Oblig!$A$3:$B$55,2,FALSE))),(C361*(VLOOKUP(Remodelacion!$C$23,Seguros_Oblig!$A$3:$D$55,4,FALSE))))</f>
        <v>#VALUE!</v>
      </c>
      <c r="H362" s="8" t="e">
        <f>IF(Remodelacion!$C$10="TARIFA 1",(C361*(VLOOKUP(Remodelacion!$C$24,Seguros_Oblig!$A$3:$B$55,2,FALSE))),(C361*(VLOOKUP(Remodelacion!$C$24,Seguros_Oblig!$A$3:$D$55,4,FALSE))))</f>
        <v>#VALUE!</v>
      </c>
      <c r="I362" s="8" t="e">
        <f>IF(Remodelacion!$C$10="TARIFA 1",(C361*(VLOOKUP(Remodelacion!$C$25,Seguros_Oblig!$A$3:$B$55,2,FALSE))),(C361*(VLOOKUP(Remodelacion!$C$25,Seguros_Oblig!$A$3:$D$55,4,FALSE))))</f>
        <v>#VALUE!</v>
      </c>
      <c r="J362" s="10">
        <f t="shared" si="32"/>
        <v>0</v>
      </c>
      <c r="K362" s="7" t="e">
        <f>IF(RM!$D$11="Si",0,IF(C361&lt;1,"0",Seguros_Oblig!$K$2*Remodelacion!$C$12))</f>
        <v>#VALUE!</v>
      </c>
      <c r="L362" s="7" t="e">
        <f>IF(B362=" ","0",PMT(Remodelacion!$E$17,Remodelacion!$C$18,-Remodelacion!$C$15,,))</f>
        <v>#VALUE!</v>
      </c>
      <c r="M362" s="9" t="e">
        <f t="shared" si="33"/>
        <v>#VALUE!</v>
      </c>
      <c r="N362" s="7" t="e">
        <f>IF(C361&lt;1,"0",Remodelacion!$C$38)</f>
        <v>#VALUE!</v>
      </c>
      <c r="O362" s="9" t="e">
        <f t="shared" si="34"/>
        <v>#VALUE!</v>
      </c>
    </row>
    <row r="363" spans="2:15" ht="15.5" hidden="1" x14ac:dyDescent="0.35">
      <c r="B363" s="6" t="e">
        <f t="shared" si="35"/>
        <v>#VALUE!</v>
      </c>
      <c r="C363" s="7" t="e">
        <f t="shared" si="31"/>
        <v>#VALUE!</v>
      </c>
      <c r="D363" s="7" t="e">
        <f t="shared" si="36"/>
        <v>#VALUE!</v>
      </c>
      <c r="E363" s="7" t="e">
        <f>C362*Remodelacion!$E$17</f>
        <v>#VALUE!</v>
      </c>
      <c r="F363" s="8" t="e">
        <f>IF(C362&lt;1,0,IF(Remodelacion!$D$26="Si",($C$17*(VLOOKUP(Remodelacion!$C$22,Seguros_Oblig!$A$3:$F$55,6,FALSE))),IF(Remodelacion!$C$10="TARIFA 1",(C362*(VLOOKUP(Remodelacion!$C$22,Seguros_Oblig!$A$3:$B$55,2,FALSE))),(C362*(VLOOKUP(Remodelacion!$C$22,Seguros_Oblig!$A$3:$D$55,4,FALSE))))))</f>
        <v>#VALUE!</v>
      </c>
      <c r="G363" s="8" t="e">
        <f>IF(Remodelacion!$C$10="TARIFA 1",(C362*(VLOOKUP(Remodelacion!$C$23,Seguros_Oblig!$A$3:$B$55,2,FALSE))),(C362*(VLOOKUP(Remodelacion!$C$23,Seguros_Oblig!$A$3:$D$55,4,FALSE))))</f>
        <v>#VALUE!</v>
      </c>
      <c r="H363" s="8" t="e">
        <f>IF(Remodelacion!$C$10="TARIFA 1",(C362*(VLOOKUP(Remodelacion!$C$24,Seguros_Oblig!$A$3:$B$55,2,FALSE))),(C362*(VLOOKUP(Remodelacion!$C$24,Seguros_Oblig!$A$3:$D$55,4,FALSE))))</f>
        <v>#VALUE!</v>
      </c>
      <c r="I363" s="8" t="e">
        <f>IF(Remodelacion!$C$10="TARIFA 1",(C362*(VLOOKUP(Remodelacion!$C$25,Seguros_Oblig!$A$3:$B$55,2,FALSE))),(C362*(VLOOKUP(Remodelacion!$C$25,Seguros_Oblig!$A$3:$D$55,4,FALSE))))</f>
        <v>#VALUE!</v>
      </c>
      <c r="J363" s="10">
        <f t="shared" si="32"/>
        <v>0</v>
      </c>
      <c r="K363" s="7" t="e">
        <f>IF(RM!$D$11="Si",0,IF(C362&lt;1,"0",Seguros_Oblig!$K$2*Remodelacion!$C$12))</f>
        <v>#VALUE!</v>
      </c>
      <c r="L363" s="7" t="e">
        <f>IF(B363=" ","0",PMT(Remodelacion!$E$17,Remodelacion!$C$18,-Remodelacion!$C$15,,))</f>
        <v>#VALUE!</v>
      </c>
      <c r="M363" s="9" t="e">
        <f t="shared" si="33"/>
        <v>#VALUE!</v>
      </c>
      <c r="N363" s="7" t="e">
        <f>IF(C362&lt;1,"0",Remodelacion!$C$38)</f>
        <v>#VALUE!</v>
      </c>
      <c r="O363" s="9" t="e">
        <f t="shared" si="34"/>
        <v>#VALUE!</v>
      </c>
    </row>
    <row r="364" spans="2:15" ht="15.5" hidden="1" x14ac:dyDescent="0.35">
      <c r="B364" s="6" t="e">
        <f t="shared" si="35"/>
        <v>#VALUE!</v>
      </c>
      <c r="C364" s="7" t="e">
        <f t="shared" si="31"/>
        <v>#VALUE!</v>
      </c>
      <c r="D364" s="7" t="e">
        <f t="shared" si="36"/>
        <v>#VALUE!</v>
      </c>
      <c r="E364" s="7" t="e">
        <f>C363*Remodelacion!$E$17</f>
        <v>#VALUE!</v>
      </c>
      <c r="F364" s="8" t="e">
        <f>IF(C363&lt;1,0,IF(Remodelacion!$D$26="Si",($C$17*(VLOOKUP(Remodelacion!$C$22,Seguros_Oblig!$A$3:$F$55,6,FALSE))),IF(Remodelacion!$C$10="TARIFA 1",(C363*(VLOOKUP(Remodelacion!$C$22,Seguros_Oblig!$A$3:$B$55,2,FALSE))),(C363*(VLOOKUP(Remodelacion!$C$22,Seguros_Oblig!$A$3:$D$55,4,FALSE))))))</f>
        <v>#VALUE!</v>
      </c>
      <c r="G364" s="8" t="e">
        <f>IF(Remodelacion!$C$10="TARIFA 1",(C363*(VLOOKUP(Remodelacion!$C$23,Seguros_Oblig!$A$3:$B$55,2,FALSE))),(C363*(VLOOKUP(Remodelacion!$C$23,Seguros_Oblig!$A$3:$D$55,4,FALSE))))</f>
        <v>#VALUE!</v>
      </c>
      <c r="H364" s="8" t="e">
        <f>IF(Remodelacion!$C$10="TARIFA 1",(C363*(VLOOKUP(Remodelacion!$C$24,Seguros_Oblig!$A$3:$B$55,2,FALSE))),(C363*(VLOOKUP(Remodelacion!$C$24,Seguros_Oblig!$A$3:$D$55,4,FALSE))))</f>
        <v>#VALUE!</v>
      </c>
      <c r="I364" s="8" t="e">
        <f>IF(Remodelacion!$C$10="TARIFA 1",(C363*(VLOOKUP(Remodelacion!$C$25,Seguros_Oblig!$A$3:$B$55,2,FALSE))),(C363*(VLOOKUP(Remodelacion!$C$25,Seguros_Oblig!$A$3:$D$55,4,FALSE))))</f>
        <v>#VALUE!</v>
      </c>
      <c r="J364" s="10">
        <f t="shared" si="32"/>
        <v>0</v>
      </c>
      <c r="K364" s="7" t="e">
        <f>IF(RM!$D$11="Si",0,IF(C363&lt;1,"0",Seguros_Oblig!$K$2*Remodelacion!$C$12))</f>
        <v>#VALUE!</v>
      </c>
      <c r="L364" s="7" t="e">
        <f>IF(B364=" ","0",PMT(Remodelacion!$E$17,Remodelacion!$C$18,-Remodelacion!$C$15,,))</f>
        <v>#VALUE!</v>
      </c>
      <c r="M364" s="9" t="e">
        <f t="shared" si="33"/>
        <v>#VALUE!</v>
      </c>
      <c r="N364" s="7" t="e">
        <f>IF(C363&lt;1,"0",Remodelacion!$C$38)</f>
        <v>#VALUE!</v>
      </c>
      <c r="O364" s="9" t="e">
        <f t="shared" si="34"/>
        <v>#VALUE!</v>
      </c>
    </row>
    <row r="365" spans="2:15" ht="15.5" hidden="1" x14ac:dyDescent="0.35">
      <c r="B365" s="6" t="e">
        <f t="shared" si="35"/>
        <v>#VALUE!</v>
      </c>
      <c r="C365" s="7" t="e">
        <f t="shared" si="31"/>
        <v>#VALUE!</v>
      </c>
      <c r="D365" s="7" t="e">
        <f t="shared" si="36"/>
        <v>#VALUE!</v>
      </c>
      <c r="E365" s="7" t="e">
        <f>C364*Remodelacion!$E$17</f>
        <v>#VALUE!</v>
      </c>
      <c r="F365" s="8" t="e">
        <f>IF(C364&lt;1,0,IF(Remodelacion!$D$26="Si",($C$17*(VLOOKUP(Remodelacion!$C$22,Seguros_Oblig!$A$3:$F$55,6,FALSE))),IF(Remodelacion!$C$10="TARIFA 1",(C364*(VLOOKUP(Remodelacion!$C$22,Seguros_Oblig!$A$3:$B$55,2,FALSE))),(C364*(VLOOKUP(Remodelacion!$C$22,Seguros_Oblig!$A$3:$D$55,4,FALSE))))))</f>
        <v>#VALUE!</v>
      </c>
      <c r="G365" s="8" t="e">
        <f>IF(Remodelacion!$C$10="TARIFA 1",(C364*(VLOOKUP(Remodelacion!$C$23,Seguros_Oblig!$A$3:$B$55,2,FALSE))),(C364*(VLOOKUP(Remodelacion!$C$23,Seguros_Oblig!$A$3:$D$55,4,FALSE))))</f>
        <v>#VALUE!</v>
      </c>
      <c r="H365" s="8" t="e">
        <f>IF(Remodelacion!$C$10="TARIFA 1",(C364*(VLOOKUP(Remodelacion!$C$24,Seguros_Oblig!$A$3:$B$55,2,FALSE))),(C364*(VLOOKUP(Remodelacion!$C$24,Seguros_Oblig!$A$3:$D$55,4,FALSE))))</f>
        <v>#VALUE!</v>
      </c>
      <c r="I365" s="8" t="e">
        <f>IF(Remodelacion!$C$10="TARIFA 1",(C364*(VLOOKUP(Remodelacion!$C$25,Seguros_Oblig!$A$3:$B$55,2,FALSE))),(C364*(VLOOKUP(Remodelacion!$C$25,Seguros_Oblig!$A$3:$D$55,4,FALSE))))</f>
        <v>#VALUE!</v>
      </c>
      <c r="J365" s="10">
        <f t="shared" si="32"/>
        <v>0</v>
      </c>
      <c r="K365" s="7" t="e">
        <f>IF(RM!$D$11="Si",0,IF(C364&lt;1,"0",Seguros_Oblig!$K$2*Remodelacion!$C$12))</f>
        <v>#VALUE!</v>
      </c>
      <c r="L365" s="7" t="e">
        <f>IF(B365=" ","0",PMT(Remodelacion!$E$17,Remodelacion!$C$18,-Remodelacion!$C$15,,))</f>
        <v>#VALUE!</v>
      </c>
      <c r="M365" s="9" t="e">
        <f t="shared" si="33"/>
        <v>#VALUE!</v>
      </c>
      <c r="N365" s="7" t="e">
        <f>IF(C364&lt;1,"0",Remodelacion!$C$38)</f>
        <v>#VALUE!</v>
      </c>
      <c r="O365" s="9" t="e">
        <f t="shared" si="34"/>
        <v>#VALUE!</v>
      </c>
    </row>
    <row r="366" spans="2:15" ht="15.5" hidden="1" x14ac:dyDescent="0.35">
      <c r="B366" s="6" t="e">
        <f t="shared" si="35"/>
        <v>#VALUE!</v>
      </c>
      <c r="C366" s="7" t="e">
        <f t="shared" si="31"/>
        <v>#VALUE!</v>
      </c>
      <c r="D366" s="7" t="e">
        <f t="shared" si="36"/>
        <v>#VALUE!</v>
      </c>
      <c r="E366" s="7" t="e">
        <f>C365*Remodelacion!$E$17</f>
        <v>#VALUE!</v>
      </c>
      <c r="F366" s="8" t="e">
        <f>IF(C365&lt;1,0,IF(Remodelacion!$D$26="Si",($C$17*(VLOOKUP(Remodelacion!$C$22,Seguros_Oblig!$A$3:$F$55,6,FALSE))),IF(Remodelacion!$C$10="TARIFA 1",(C365*(VLOOKUP(Remodelacion!$C$22,Seguros_Oblig!$A$3:$B$55,2,FALSE))),(C365*(VLOOKUP(Remodelacion!$C$22,Seguros_Oblig!$A$3:$D$55,4,FALSE))))))</f>
        <v>#VALUE!</v>
      </c>
      <c r="G366" s="8" t="e">
        <f>IF(Remodelacion!$C$10="TARIFA 1",(C365*(VLOOKUP(Remodelacion!$C$23,Seguros_Oblig!$A$3:$B$55,2,FALSE))),(C365*(VLOOKUP(Remodelacion!$C$23,Seguros_Oblig!$A$3:$D$55,4,FALSE))))</f>
        <v>#VALUE!</v>
      </c>
      <c r="H366" s="8" t="e">
        <f>IF(Remodelacion!$C$10="TARIFA 1",(C365*(VLOOKUP(Remodelacion!$C$24,Seguros_Oblig!$A$3:$B$55,2,FALSE))),(C365*(VLOOKUP(Remodelacion!$C$24,Seguros_Oblig!$A$3:$D$55,4,FALSE))))</f>
        <v>#VALUE!</v>
      </c>
      <c r="I366" s="8" t="e">
        <f>IF(Remodelacion!$C$10="TARIFA 1",(C365*(VLOOKUP(Remodelacion!$C$25,Seguros_Oblig!$A$3:$B$55,2,FALSE))),(C365*(VLOOKUP(Remodelacion!$C$25,Seguros_Oblig!$A$3:$D$55,4,FALSE))))</f>
        <v>#VALUE!</v>
      </c>
      <c r="J366" s="10">
        <f t="shared" si="32"/>
        <v>0</v>
      </c>
      <c r="K366" s="7" t="e">
        <f>IF(RM!$D$11="Si",0,IF(C365&lt;1,"0",Seguros_Oblig!$K$2*Remodelacion!$C$12))</f>
        <v>#VALUE!</v>
      </c>
      <c r="L366" s="7" t="e">
        <f>IF(B366=" ","0",PMT(Remodelacion!$E$17,Remodelacion!$C$18,-Remodelacion!$C$15,,))</f>
        <v>#VALUE!</v>
      </c>
      <c r="M366" s="9" t="e">
        <f t="shared" si="33"/>
        <v>#VALUE!</v>
      </c>
      <c r="N366" s="7" t="e">
        <f>IF(C365&lt;1,"0",Remodelacion!$C$38)</f>
        <v>#VALUE!</v>
      </c>
      <c r="O366" s="9" t="e">
        <f t="shared" si="34"/>
        <v>#VALUE!</v>
      </c>
    </row>
    <row r="367" spans="2:15" ht="15.5" hidden="1" x14ac:dyDescent="0.35">
      <c r="B367" s="6" t="e">
        <f t="shared" si="35"/>
        <v>#VALUE!</v>
      </c>
      <c r="C367" s="7" t="e">
        <f t="shared" si="31"/>
        <v>#VALUE!</v>
      </c>
      <c r="D367" s="7" t="e">
        <f t="shared" si="36"/>
        <v>#VALUE!</v>
      </c>
      <c r="E367" s="7" t="e">
        <f>C366*Remodelacion!$E$17</f>
        <v>#VALUE!</v>
      </c>
      <c r="F367" s="8" t="e">
        <f>IF(C366&lt;1,0,IF(Remodelacion!$D$26="Si",($C$17*(VLOOKUP(Remodelacion!$C$22,Seguros_Oblig!$A$3:$F$55,6,FALSE))),IF(Remodelacion!$C$10="TARIFA 1",(C366*(VLOOKUP(Remodelacion!$C$22,Seguros_Oblig!$A$3:$B$55,2,FALSE))),(C366*(VLOOKUP(Remodelacion!$C$22,Seguros_Oblig!$A$3:$D$55,4,FALSE))))))</f>
        <v>#VALUE!</v>
      </c>
      <c r="G367" s="8" t="e">
        <f>IF(Remodelacion!$C$10="TARIFA 1",(C366*(VLOOKUP(Remodelacion!$C$23,Seguros_Oblig!$A$3:$B$55,2,FALSE))),(C366*(VLOOKUP(Remodelacion!$C$23,Seguros_Oblig!$A$3:$D$55,4,FALSE))))</f>
        <v>#VALUE!</v>
      </c>
      <c r="H367" s="8" t="e">
        <f>IF(Remodelacion!$C$10="TARIFA 1",(C366*(VLOOKUP(Remodelacion!$C$24,Seguros_Oblig!$A$3:$B$55,2,FALSE))),(C366*(VLOOKUP(Remodelacion!$C$24,Seguros_Oblig!$A$3:$D$55,4,FALSE))))</f>
        <v>#VALUE!</v>
      </c>
      <c r="I367" s="8" t="e">
        <f>IF(Remodelacion!$C$10="TARIFA 1",(C366*(VLOOKUP(Remodelacion!$C$25,Seguros_Oblig!$A$3:$B$55,2,FALSE))),(C366*(VLOOKUP(Remodelacion!$C$25,Seguros_Oblig!$A$3:$D$55,4,FALSE))))</f>
        <v>#VALUE!</v>
      </c>
      <c r="J367" s="10">
        <f t="shared" si="32"/>
        <v>0</v>
      </c>
      <c r="K367" s="7" t="e">
        <f>IF(RM!$D$11="Si",0,IF(C366&lt;1,"0",Seguros_Oblig!$K$2*Remodelacion!$C$12))</f>
        <v>#VALUE!</v>
      </c>
      <c r="L367" s="7" t="e">
        <f>IF(B367=" ","0",PMT(Remodelacion!$E$17,Remodelacion!$C$18,-Remodelacion!$C$15,,))</f>
        <v>#VALUE!</v>
      </c>
      <c r="M367" s="9" t="e">
        <f t="shared" si="33"/>
        <v>#VALUE!</v>
      </c>
      <c r="N367" s="7" t="e">
        <f>IF(C366&lt;1,"0",Remodelacion!$C$38)</f>
        <v>#VALUE!</v>
      </c>
      <c r="O367" s="9" t="e">
        <f t="shared" si="34"/>
        <v>#VALUE!</v>
      </c>
    </row>
    <row r="368" spans="2:15" ht="15.5" hidden="1" x14ac:dyDescent="0.35">
      <c r="B368" s="6" t="e">
        <f t="shared" si="35"/>
        <v>#VALUE!</v>
      </c>
      <c r="C368" s="7" t="e">
        <f t="shared" si="31"/>
        <v>#VALUE!</v>
      </c>
      <c r="D368" s="7" t="e">
        <f t="shared" si="36"/>
        <v>#VALUE!</v>
      </c>
      <c r="E368" s="7" t="e">
        <f>C367*Remodelacion!$E$17</f>
        <v>#VALUE!</v>
      </c>
      <c r="F368" s="8" t="e">
        <f>IF(C367&lt;1,0,IF(Remodelacion!$D$26="Si",($C$17*(VLOOKUP(Remodelacion!$C$22,Seguros_Oblig!$A$3:$F$55,6,FALSE))),IF(Remodelacion!$C$10="TARIFA 1",(C367*(VLOOKUP(Remodelacion!$C$22,Seguros_Oblig!$A$3:$B$55,2,FALSE))),(C367*(VLOOKUP(Remodelacion!$C$22,Seguros_Oblig!$A$3:$D$55,4,FALSE))))))</f>
        <v>#VALUE!</v>
      </c>
      <c r="G368" s="8" t="e">
        <f>IF(Remodelacion!$C$10="TARIFA 1",(C367*(VLOOKUP(Remodelacion!$C$23,Seguros_Oblig!$A$3:$B$55,2,FALSE))),(C367*(VLOOKUP(Remodelacion!$C$23,Seguros_Oblig!$A$3:$D$55,4,FALSE))))</f>
        <v>#VALUE!</v>
      </c>
      <c r="H368" s="8" t="e">
        <f>IF(Remodelacion!$C$10="TARIFA 1",(C367*(VLOOKUP(Remodelacion!$C$24,Seguros_Oblig!$A$3:$B$55,2,FALSE))),(C367*(VLOOKUP(Remodelacion!$C$24,Seguros_Oblig!$A$3:$D$55,4,FALSE))))</f>
        <v>#VALUE!</v>
      </c>
      <c r="I368" s="8" t="e">
        <f>IF(Remodelacion!$C$10="TARIFA 1",(C367*(VLOOKUP(Remodelacion!$C$25,Seguros_Oblig!$A$3:$B$55,2,FALSE))),(C367*(VLOOKUP(Remodelacion!$C$25,Seguros_Oblig!$A$3:$D$55,4,FALSE))))</f>
        <v>#VALUE!</v>
      </c>
      <c r="J368" s="10">
        <f t="shared" si="32"/>
        <v>0</v>
      </c>
      <c r="K368" s="7" t="e">
        <f>IF(RM!$D$11="Si",0,IF(C367&lt;1,"0",Seguros_Oblig!$K$2*Remodelacion!$C$12))</f>
        <v>#VALUE!</v>
      </c>
      <c r="L368" s="7" t="e">
        <f>IF(B368=" ","0",PMT(Remodelacion!$E$17,Remodelacion!$C$18,-Remodelacion!$C$15,,))</f>
        <v>#VALUE!</v>
      </c>
      <c r="M368" s="9" t="e">
        <f t="shared" si="33"/>
        <v>#VALUE!</v>
      </c>
      <c r="N368" s="7" t="e">
        <f>IF(C367&lt;1,"0",Remodelacion!$C$38)</f>
        <v>#VALUE!</v>
      </c>
      <c r="O368" s="9" t="e">
        <f t="shared" si="34"/>
        <v>#VALUE!</v>
      </c>
    </row>
    <row r="369" spans="2:15" ht="15.5" hidden="1" x14ac:dyDescent="0.35">
      <c r="B369" s="6" t="e">
        <f t="shared" si="35"/>
        <v>#VALUE!</v>
      </c>
      <c r="C369" s="7" t="e">
        <f t="shared" si="31"/>
        <v>#VALUE!</v>
      </c>
      <c r="D369" s="7" t="e">
        <f t="shared" si="36"/>
        <v>#VALUE!</v>
      </c>
      <c r="E369" s="7" t="e">
        <f>C368*Remodelacion!$E$17</f>
        <v>#VALUE!</v>
      </c>
      <c r="F369" s="8" t="e">
        <f>IF(C368&lt;1,0,IF(Remodelacion!$D$26="Si",($C$17*(VLOOKUP(Remodelacion!$C$22,Seguros_Oblig!$A$3:$F$55,6,FALSE))),IF(Remodelacion!$C$10="TARIFA 1",(C368*(VLOOKUP(Remodelacion!$C$22,Seguros_Oblig!$A$3:$B$55,2,FALSE))),(C368*(VLOOKUP(Remodelacion!$C$22,Seguros_Oblig!$A$3:$D$55,4,FALSE))))))</f>
        <v>#VALUE!</v>
      </c>
      <c r="G369" s="8" t="e">
        <f>IF(Remodelacion!$C$10="TARIFA 1",(C368*(VLOOKUP(Remodelacion!$C$23,Seguros_Oblig!$A$3:$B$55,2,FALSE))),(C368*(VLOOKUP(Remodelacion!$C$23,Seguros_Oblig!$A$3:$D$55,4,FALSE))))</f>
        <v>#VALUE!</v>
      </c>
      <c r="H369" s="8" t="e">
        <f>IF(Remodelacion!$C$10="TARIFA 1",(C368*(VLOOKUP(Remodelacion!$C$24,Seguros_Oblig!$A$3:$B$55,2,FALSE))),(C368*(VLOOKUP(Remodelacion!$C$24,Seguros_Oblig!$A$3:$D$55,4,FALSE))))</f>
        <v>#VALUE!</v>
      </c>
      <c r="I369" s="8" t="e">
        <f>IF(Remodelacion!$C$10="TARIFA 1",(C368*(VLOOKUP(Remodelacion!$C$25,Seguros_Oblig!$A$3:$B$55,2,FALSE))),(C368*(VLOOKUP(Remodelacion!$C$25,Seguros_Oblig!$A$3:$D$55,4,FALSE))))</f>
        <v>#VALUE!</v>
      </c>
      <c r="J369" s="10">
        <f t="shared" si="32"/>
        <v>0</v>
      </c>
      <c r="K369" s="7" t="e">
        <f>IF(RM!$D$11="Si",0,IF(C368&lt;1,"0",Seguros_Oblig!$K$2*Remodelacion!$C$12))</f>
        <v>#VALUE!</v>
      </c>
      <c r="L369" s="7" t="e">
        <f>IF(B369=" ","0",PMT(Remodelacion!$E$17,Remodelacion!$C$18,-Remodelacion!$C$15,,))</f>
        <v>#VALUE!</v>
      </c>
      <c r="M369" s="9" t="e">
        <f t="shared" si="33"/>
        <v>#VALUE!</v>
      </c>
      <c r="N369" s="7" t="e">
        <f>IF(C368&lt;1,"0",Remodelacion!$C$38)</f>
        <v>#VALUE!</v>
      </c>
      <c r="O369" s="9" t="e">
        <f t="shared" si="34"/>
        <v>#VALUE!</v>
      </c>
    </row>
    <row r="370" spans="2:15" ht="15.5" hidden="1" x14ac:dyDescent="0.35">
      <c r="B370" s="6" t="e">
        <f t="shared" si="35"/>
        <v>#VALUE!</v>
      </c>
      <c r="C370" s="7" t="e">
        <f t="shared" si="31"/>
        <v>#VALUE!</v>
      </c>
      <c r="D370" s="7" t="e">
        <f t="shared" si="36"/>
        <v>#VALUE!</v>
      </c>
      <c r="E370" s="7" t="e">
        <f>C369*Remodelacion!$E$17</f>
        <v>#VALUE!</v>
      </c>
      <c r="F370" s="8" t="e">
        <f>IF(C369&lt;1,0,IF(Remodelacion!$D$26="Si",($C$17*(VLOOKUP(Remodelacion!$C$22,Seguros_Oblig!$A$3:$F$55,6,FALSE))),IF(Remodelacion!$C$10="TARIFA 1",(C369*(VLOOKUP(Remodelacion!$C$22,Seguros_Oblig!$A$3:$B$55,2,FALSE))),(C369*(VLOOKUP(Remodelacion!$C$22,Seguros_Oblig!$A$3:$D$55,4,FALSE))))))</f>
        <v>#VALUE!</v>
      </c>
      <c r="G370" s="8" t="e">
        <f>IF(Remodelacion!$C$10="TARIFA 1",(C369*(VLOOKUP(Remodelacion!$C$23,Seguros_Oblig!$A$3:$B$55,2,FALSE))),(C369*(VLOOKUP(Remodelacion!$C$23,Seguros_Oblig!$A$3:$D$55,4,FALSE))))</f>
        <v>#VALUE!</v>
      </c>
      <c r="H370" s="8" t="e">
        <f>IF(Remodelacion!$C$10="TARIFA 1",(C369*(VLOOKUP(Remodelacion!$C$24,Seguros_Oblig!$A$3:$B$55,2,FALSE))),(C369*(VLOOKUP(Remodelacion!$C$24,Seguros_Oblig!$A$3:$D$55,4,FALSE))))</f>
        <v>#VALUE!</v>
      </c>
      <c r="I370" s="8" t="e">
        <f>IF(Remodelacion!$C$10="TARIFA 1",(C369*(VLOOKUP(Remodelacion!$C$25,Seguros_Oblig!$A$3:$B$55,2,FALSE))),(C369*(VLOOKUP(Remodelacion!$C$25,Seguros_Oblig!$A$3:$D$55,4,FALSE))))</f>
        <v>#VALUE!</v>
      </c>
      <c r="J370" s="10">
        <f t="shared" si="32"/>
        <v>0</v>
      </c>
      <c r="K370" s="7" t="e">
        <f>IF(RM!$D$11="Si",0,IF(C369&lt;1,"0",Seguros_Oblig!$K$2*Remodelacion!$C$12))</f>
        <v>#VALUE!</v>
      </c>
      <c r="L370" s="7" t="e">
        <f>IF(B370=" ","0",PMT(Remodelacion!$E$17,Remodelacion!$C$18,-Remodelacion!$C$15,,))</f>
        <v>#VALUE!</v>
      </c>
      <c r="M370" s="9" t="e">
        <f t="shared" si="33"/>
        <v>#VALUE!</v>
      </c>
      <c r="N370" s="7" t="e">
        <f>IF(C369&lt;1,"0",Remodelacion!$C$38)</f>
        <v>#VALUE!</v>
      </c>
      <c r="O370" s="9" t="e">
        <f t="shared" si="34"/>
        <v>#VALUE!</v>
      </c>
    </row>
    <row r="371" spans="2:15" ht="15.5" hidden="1" x14ac:dyDescent="0.35">
      <c r="B371" s="6" t="e">
        <f t="shared" si="35"/>
        <v>#VALUE!</v>
      </c>
      <c r="C371" s="7" t="e">
        <f t="shared" si="31"/>
        <v>#VALUE!</v>
      </c>
      <c r="D371" s="7" t="e">
        <f t="shared" si="36"/>
        <v>#VALUE!</v>
      </c>
      <c r="E371" s="7" t="e">
        <f>C370*Remodelacion!$E$17</f>
        <v>#VALUE!</v>
      </c>
      <c r="F371" s="8" t="e">
        <f>IF(C370&lt;1,0,IF(Remodelacion!$D$26="Si",($C$17*(VLOOKUP(Remodelacion!$C$22,Seguros_Oblig!$A$3:$F$55,6,FALSE))),IF(Remodelacion!$C$10="TARIFA 1",(C370*(VLOOKUP(Remodelacion!$C$22,Seguros_Oblig!$A$3:$B$55,2,FALSE))),(C370*(VLOOKUP(Remodelacion!$C$22,Seguros_Oblig!$A$3:$D$55,4,FALSE))))))</f>
        <v>#VALUE!</v>
      </c>
      <c r="G371" s="8" t="e">
        <f>IF(Remodelacion!$C$10="TARIFA 1",(C370*(VLOOKUP(Remodelacion!$C$23,Seguros_Oblig!$A$3:$B$55,2,FALSE))),(C370*(VLOOKUP(Remodelacion!$C$23,Seguros_Oblig!$A$3:$D$55,4,FALSE))))</f>
        <v>#VALUE!</v>
      </c>
      <c r="H371" s="8" t="e">
        <f>IF(Remodelacion!$C$10="TARIFA 1",(C370*(VLOOKUP(Remodelacion!$C$24,Seguros_Oblig!$A$3:$B$55,2,FALSE))),(C370*(VLOOKUP(Remodelacion!$C$24,Seguros_Oblig!$A$3:$D$55,4,FALSE))))</f>
        <v>#VALUE!</v>
      </c>
      <c r="I371" s="8" t="e">
        <f>IF(Remodelacion!$C$10="TARIFA 1",(C370*(VLOOKUP(Remodelacion!$C$25,Seguros_Oblig!$A$3:$B$55,2,FALSE))),(C370*(VLOOKUP(Remodelacion!$C$25,Seguros_Oblig!$A$3:$D$55,4,FALSE))))</f>
        <v>#VALUE!</v>
      </c>
      <c r="J371" s="10">
        <f t="shared" si="32"/>
        <v>0</v>
      </c>
      <c r="K371" s="7" t="e">
        <f>IF(RM!$D$11="Si",0,IF(C370&lt;1,"0",Seguros_Oblig!$K$2*Remodelacion!$C$12))</f>
        <v>#VALUE!</v>
      </c>
      <c r="L371" s="7" t="e">
        <f>IF(B371=" ","0",PMT(Remodelacion!$E$17,Remodelacion!$C$18,-Remodelacion!$C$15,,))</f>
        <v>#VALUE!</v>
      </c>
      <c r="M371" s="9" t="e">
        <f t="shared" si="33"/>
        <v>#VALUE!</v>
      </c>
      <c r="N371" s="7" t="e">
        <f>IF(C370&lt;1,"0",Remodelacion!$C$38)</f>
        <v>#VALUE!</v>
      </c>
      <c r="O371" s="9" t="e">
        <f t="shared" si="34"/>
        <v>#VALUE!</v>
      </c>
    </row>
    <row r="372" spans="2:15" ht="15.5" hidden="1" x14ac:dyDescent="0.35">
      <c r="B372" s="6" t="e">
        <f t="shared" si="35"/>
        <v>#VALUE!</v>
      </c>
      <c r="C372" s="7" t="e">
        <f t="shared" si="31"/>
        <v>#VALUE!</v>
      </c>
      <c r="D372" s="7" t="e">
        <f t="shared" si="36"/>
        <v>#VALUE!</v>
      </c>
      <c r="E372" s="7" t="e">
        <f>C371*Remodelacion!$E$17</f>
        <v>#VALUE!</v>
      </c>
      <c r="F372" s="8" t="e">
        <f>IF(C371&lt;1,0,IF(Remodelacion!$D$26="Si",($C$17*(VLOOKUP(Remodelacion!$C$22,Seguros_Oblig!$A$3:$F$55,6,FALSE))),IF(Remodelacion!$C$10="TARIFA 1",(C371*(VLOOKUP(Remodelacion!$C$22,Seguros_Oblig!$A$3:$B$55,2,FALSE))),(C371*(VLOOKUP(Remodelacion!$C$22,Seguros_Oblig!$A$3:$D$55,4,FALSE))))))</f>
        <v>#VALUE!</v>
      </c>
      <c r="G372" s="8" t="e">
        <f>IF(Remodelacion!$C$10="TARIFA 1",(C371*(VLOOKUP(Remodelacion!$C$23,Seguros_Oblig!$A$3:$B$55,2,FALSE))),(C371*(VLOOKUP(Remodelacion!$C$23,Seguros_Oblig!$A$3:$D$55,4,FALSE))))</f>
        <v>#VALUE!</v>
      </c>
      <c r="H372" s="8" t="e">
        <f>IF(Remodelacion!$C$10="TARIFA 1",(C371*(VLOOKUP(Remodelacion!$C$24,Seguros_Oblig!$A$3:$B$55,2,FALSE))),(C371*(VLOOKUP(Remodelacion!$C$24,Seguros_Oblig!$A$3:$D$55,4,FALSE))))</f>
        <v>#VALUE!</v>
      </c>
      <c r="I372" s="8" t="e">
        <f>IF(Remodelacion!$C$10="TARIFA 1",(C371*(VLOOKUP(Remodelacion!$C$25,Seguros_Oblig!$A$3:$B$55,2,FALSE))),(C371*(VLOOKUP(Remodelacion!$C$25,Seguros_Oblig!$A$3:$D$55,4,FALSE))))</f>
        <v>#VALUE!</v>
      </c>
      <c r="J372" s="10">
        <f t="shared" si="32"/>
        <v>0</v>
      </c>
      <c r="K372" s="7" t="e">
        <f>IF(RM!$D$11="Si",0,IF(C371&lt;1,"0",Seguros_Oblig!$K$2*Remodelacion!$C$12))</f>
        <v>#VALUE!</v>
      </c>
      <c r="L372" s="7" t="e">
        <f>IF(B372=" ","0",PMT(Remodelacion!$E$17,Remodelacion!$C$18,-Remodelacion!$C$15,,))</f>
        <v>#VALUE!</v>
      </c>
      <c r="M372" s="9" t="e">
        <f t="shared" si="33"/>
        <v>#VALUE!</v>
      </c>
      <c r="N372" s="7" t="e">
        <f>IF(C371&lt;1,"0",Remodelacion!$C$38)</f>
        <v>#VALUE!</v>
      </c>
      <c r="O372" s="9" t="e">
        <f t="shared" si="34"/>
        <v>#VALUE!</v>
      </c>
    </row>
    <row r="373" spans="2:15" ht="15.5" hidden="1" x14ac:dyDescent="0.35">
      <c r="B373" s="6" t="e">
        <f t="shared" si="35"/>
        <v>#VALUE!</v>
      </c>
      <c r="C373" s="7" t="e">
        <f t="shared" si="31"/>
        <v>#VALUE!</v>
      </c>
      <c r="D373" s="7" t="e">
        <f t="shared" si="36"/>
        <v>#VALUE!</v>
      </c>
      <c r="E373" s="7" t="e">
        <f>C372*Remodelacion!$E$17</f>
        <v>#VALUE!</v>
      </c>
      <c r="F373" s="8" t="e">
        <f>IF(C372&lt;1,0,IF(Remodelacion!$D$26="Si",($C$17*(VLOOKUP(Remodelacion!$C$22,Seguros_Oblig!$A$3:$F$55,6,FALSE))),IF(Remodelacion!$C$10="TARIFA 1",(C372*(VLOOKUP(Remodelacion!$C$22,Seguros_Oblig!$A$3:$B$55,2,FALSE))),(C372*(VLOOKUP(Remodelacion!$C$22,Seguros_Oblig!$A$3:$D$55,4,FALSE))))))</f>
        <v>#VALUE!</v>
      </c>
      <c r="G373" s="8" t="e">
        <f>IF(Remodelacion!$C$10="TARIFA 1",(C372*(VLOOKUP(Remodelacion!$C$23,Seguros_Oblig!$A$3:$B$55,2,FALSE))),(C372*(VLOOKUP(Remodelacion!$C$23,Seguros_Oblig!$A$3:$D$55,4,FALSE))))</f>
        <v>#VALUE!</v>
      </c>
      <c r="H373" s="8" t="e">
        <f>IF(Remodelacion!$C$10="TARIFA 1",(C372*(VLOOKUP(Remodelacion!$C$24,Seguros_Oblig!$A$3:$B$55,2,FALSE))),(C372*(VLOOKUP(Remodelacion!$C$24,Seguros_Oblig!$A$3:$D$55,4,FALSE))))</f>
        <v>#VALUE!</v>
      </c>
      <c r="I373" s="8" t="e">
        <f>IF(Remodelacion!$C$10="TARIFA 1",(C372*(VLOOKUP(Remodelacion!$C$25,Seguros_Oblig!$A$3:$B$55,2,FALSE))),(C372*(VLOOKUP(Remodelacion!$C$25,Seguros_Oblig!$A$3:$D$55,4,FALSE))))</f>
        <v>#VALUE!</v>
      </c>
      <c r="J373" s="10">
        <f t="shared" si="32"/>
        <v>0</v>
      </c>
      <c r="K373" s="7" t="e">
        <f>IF(RM!$D$11="Si",0,IF(C372&lt;1,"0",Seguros_Oblig!$K$2*Remodelacion!$C$12))</f>
        <v>#VALUE!</v>
      </c>
      <c r="L373" s="7" t="e">
        <f>IF(B373=" ","0",PMT(Remodelacion!$E$17,Remodelacion!$C$18,-Remodelacion!$C$15,,))</f>
        <v>#VALUE!</v>
      </c>
      <c r="M373" s="9" t="e">
        <f t="shared" si="33"/>
        <v>#VALUE!</v>
      </c>
      <c r="N373" s="7" t="e">
        <f>IF(C372&lt;1,"0",Remodelacion!$C$38)</f>
        <v>#VALUE!</v>
      </c>
      <c r="O373" s="9" t="e">
        <f t="shared" si="34"/>
        <v>#VALUE!</v>
      </c>
    </row>
    <row r="374" spans="2:15" ht="15.5" hidden="1" x14ac:dyDescent="0.35">
      <c r="B374" s="6" t="e">
        <f t="shared" si="35"/>
        <v>#VALUE!</v>
      </c>
      <c r="C374" s="7" t="e">
        <f t="shared" si="31"/>
        <v>#VALUE!</v>
      </c>
      <c r="D374" s="7" t="e">
        <f t="shared" si="36"/>
        <v>#VALUE!</v>
      </c>
      <c r="E374" s="7" t="e">
        <f>C373*Remodelacion!$E$17</f>
        <v>#VALUE!</v>
      </c>
      <c r="F374" s="8" t="e">
        <f>IF(C373&lt;1,0,IF(Remodelacion!$D$26="Si",($C$17*(VLOOKUP(Remodelacion!$C$22,Seguros_Oblig!$A$3:$F$55,6,FALSE))),IF(Remodelacion!$C$10="TARIFA 1",(C373*(VLOOKUP(Remodelacion!$C$22,Seguros_Oblig!$A$3:$B$55,2,FALSE))),(C373*(VLOOKUP(Remodelacion!$C$22,Seguros_Oblig!$A$3:$D$55,4,FALSE))))))</f>
        <v>#VALUE!</v>
      </c>
      <c r="G374" s="8" t="e">
        <f>IF(Remodelacion!$C$10="TARIFA 1",(C373*(VLOOKUP(Remodelacion!$C$23,Seguros_Oblig!$A$3:$B$55,2,FALSE))),(C373*(VLOOKUP(Remodelacion!$C$23,Seguros_Oblig!$A$3:$D$55,4,FALSE))))</f>
        <v>#VALUE!</v>
      </c>
      <c r="H374" s="8" t="e">
        <f>IF(Remodelacion!$C$10="TARIFA 1",(C373*(VLOOKUP(Remodelacion!$C$24,Seguros_Oblig!$A$3:$B$55,2,FALSE))),(C373*(VLOOKUP(Remodelacion!$C$24,Seguros_Oblig!$A$3:$D$55,4,FALSE))))</f>
        <v>#VALUE!</v>
      </c>
      <c r="I374" s="8" t="e">
        <f>IF(Remodelacion!$C$10="TARIFA 1",(C373*(VLOOKUP(Remodelacion!$C$25,Seguros_Oblig!$A$3:$B$55,2,FALSE))),(C373*(VLOOKUP(Remodelacion!$C$25,Seguros_Oblig!$A$3:$D$55,4,FALSE))))</f>
        <v>#VALUE!</v>
      </c>
      <c r="J374" s="10">
        <f t="shared" si="32"/>
        <v>0</v>
      </c>
      <c r="K374" s="7" t="e">
        <f>IF(RM!$D$11="Si",0,IF(C373&lt;1,"0",Seguros_Oblig!$K$2*Remodelacion!$C$12))</f>
        <v>#VALUE!</v>
      </c>
      <c r="L374" s="7" t="e">
        <f>IF(B374=" ","0",PMT(Remodelacion!$E$17,Remodelacion!$C$18,-Remodelacion!$C$15,,))</f>
        <v>#VALUE!</v>
      </c>
      <c r="M374" s="9" t="e">
        <f t="shared" si="33"/>
        <v>#VALUE!</v>
      </c>
      <c r="N374" s="7" t="e">
        <f>IF(C373&lt;1,"0",Remodelacion!$C$38)</f>
        <v>#VALUE!</v>
      </c>
      <c r="O374" s="9" t="e">
        <f t="shared" si="34"/>
        <v>#VALUE!</v>
      </c>
    </row>
    <row r="375" spans="2:15" ht="15.5" hidden="1" x14ac:dyDescent="0.35">
      <c r="B375" s="6" t="e">
        <f t="shared" si="35"/>
        <v>#VALUE!</v>
      </c>
      <c r="C375" s="7" t="e">
        <f t="shared" si="31"/>
        <v>#VALUE!</v>
      </c>
      <c r="D375" s="7" t="e">
        <f t="shared" si="36"/>
        <v>#VALUE!</v>
      </c>
      <c r="E375" s="7" t="e">
        <f>C374*Remodelacion!$E$17</f>
        <v>#VALUE!</v>
      </c>
      <c r="F375" s="8" t="e">
        <f>IF(C374&lt;1,0,IF(Remodelacion!$D$26="Si",($C$17*(VLOOKUP(Remodelacion!$C$22,Seguros_Oblig!$A$3:$F$55,6,FALSE))),IF(Remodelacion!$C$10="TARIFA 1",(C374*(VLOOKUP(Remodelacion!$C$22,Seguros_Oblig!$A$3:$B$55,2,FALSE))),(C374*(VLOOKUP(Remodelacion!$C$22,Seguros_Oblig!$A$3:$D$55,4,FALSE))))))</f>
        <v>#VALUE!</v>
      </c>
      <c r="G375" s="8" t="e">
        <f>IF(Remodelacion!$C$10="TARIFA 1",(C374*(VLOOKUP(Remodelacion!$C$23,Seguros_Oblig!$A$3:$B$55,2,FALSE))),(C374*(VLOOKUP(Remodelacion!$C$23,Seguros_Oblig!$A$3:$D$55,4,FALSE))))</f>
        <v>#VALUE!</v>
      </c>
      <c r="H375" s="8" t="e">
        <f>IF(Remodelacion!$C$10="TARIFA 1",(C374*(VLOOKUP(Remodelacion!$C$24,Seguros_Oblig!$A$3:$B$55,2,FALSE))),(C374*(VLOOKUP(Remodelacion!$C$24,Seguros_Oblig!$A$3:$D$55,4,FALSE))))</f>
        <v>#VALUE!</v>
      </c>
      <c r="I375" s="8" t="e">
        <f>IF(Remodelacion!$C$10="TARIFA 1",(C374*(VLOOKUP(Remodelacion!$C$25,Seguros_Oblig!$A$3:$B$55,2,FALSE))),(C374*(VLOOKUP(Remodelacion!$C$25,Seguros_Oblig!$A$3:$D$55,4,FALSE))))</f>
        <v>#VALUE!</v>
      </c>
      <c r="J375" s="10">
        <f t="shared" si="32"/>
        <v>0</v>
      </c>
      <c r="K375" s="7" t="e">
        <f>IF(RM!$D$11="Si",0,IF(C374&lt;1,"0",Seguros_Oblig!$K$2*Remodelacion!$C$12))</f>
        <v>#VALUE!</v>
      </c>
      <c r="L375" s="7" t="e">
        <f>IF(B375=" ","0",PMT(Remodelacion!$E$17,Remodelacion!$C$18,-Remodelacion!$C$15,,))</f>
        <v>#VALUE!</v>
      </c>
      <c r="M375" s="9" t="e">
        <f t="shared" si="33"/>
        <v>#VALUE!</v>
      </c>
      <c r="N375" s="7" t="e">
        <f>IF(C374&lt;1,"0",Remodelacion!$C$38)</f>
        <v>#VALUE!</v>
      </c>
      <c r="O375" s="9" t="e">
        <f t="shared" si="34"/>
        <v>#VALUE!</v>
      </c>
    </row>
    <row r="376" spans="2:15" ht="15.5" hidden="1" x14ac:dyDescent="0.35">
      <c r="B376" s="6" t="e">
        <f t="shared" si="35"/>
        <v>#VALUE!</v>
      </c>
      <c r="C376" s="7" t="e">
        <f t="shared" si="31"/>
        <v>#VALUE!</v>
      </c>
      <c r="D376" s="7" t="e">
        <f t="shared" si="36"/>
        <v>#VALUE!</v>
      </c>
      <c r="E376" s="7" t="e">
        <f>C375*Remodelacion!$E$17</f>
        <v>#VALUE!</v>
      </c>
      <c r="F376" s="8" t="e">
        <f>IF(C375&lt;1,0,IF(Remodelacion!$D$26="Si",($C$17*(VLOOKUP(Remodelacion!$C$22,Seguros_Oblig!$A$3:$F$55,6,FALSE))),IF(Remodelacion!$C$10="TARIFA 1",(C375*(VLOOKUP(Remodelacion!$C$22,Seguros_Oblig!$A$3:$B$55,2,FALSE))),(C375*(VLOOKUP(Remodelacion!$C$22,Seguros_Oblig!$A$3:$D$55,4,FALSE))))))</f>
        <v>#VALUE!</v>
      </c>
      <c r="G376" s="8" t="e">
        <f>IF(Remodelacion!$C$10="TARIFA 1",(C375*(VLOOKUP(Remodelacion!$C$23,Seguros_Oblig!$A$3:$B$55,2,FALSE))),(C375*(VLOOKUP(Remodelacion!$C$23,Seguros_Oblig!$A$3:$D$55,4,FALSE))))</f>
        <v>#VALUE!</v>
      </c>
      <c r="H376" s="8" t="e">
        <f>IF(Remodelacion!$C$10="TARIFA 1",(C375*(VLOOKUP(Remodelacion!$C$24,Seguros_Oblig!$A$3:$B$55,2,FALSE))),(C375*(VLOOKUP(Remodelacion!$C$24,Seguros_Oblig!$A$3:$D$55,4,FALSE))))</f>
        <v>#VALUE!</v>
      </c>
      <c r="I376" s="8" t="e">
        <f>IF(Remodelacion!$C$10="TARIFA 1",(C375*(VLOOKUP(Remodelacion!$C$25,Seguros_Oblig!$A$3:$B$55,2,FALSE))),(C375*(VLOOKUP(Remodelacion!$C$25,Seguros_Oblig!$A$3:$D$55,4,FALSE))))</f>
        <v>#VALUE!</v>
      </c>
      <c r="J376" s="10">
        <f t="shared" si="32"/>
        <v>0</v>
      </c>
      <c r="K376" s="7" t="e">
        <f>IF(RM!$D$11="Si",0,IF(C375&lt;1,"0",Seguros_Oblig!$K$2*Remodelacion!$C$12))</f>
        <v>#VALUE!</v>
      </c>
      <c r="L376" s="7" t="e">
        <f>IF(B376=" ","0",PMT(Remodelacion!$E$17,Remodelacion!$C$18,-Remodelacion!$C$15,,))</f>
        <v>#VALUE!</v>
      </c>
      <c r="M376" s="9" t="e">
        <f t="shared" si="33"/>
        <v>#VALUE!</v>
      </c>
      <c r="N376" s="7" t="e">
        <f>IF(C375&lt;1,"0",Remodelacion!$C$38)</f>
        <v>#VALUE!</v>
      </c>
      <c r="O376" s="9" t="e">
        <f t="shared" si="34"/>
        <v>#VALUE!</v>
      </c>
    </row>
    <row r="377" spans="2:15" ht="15.5" hidden="1" x14ac:dyDescent="0.35">
      <c r="B377" s="6" t="e">
        <f t="shared" si="35"/>
        <v>#VALUE!</v>
      </c>
      <c r="C377" s="7" t="e">
        <f t="shared" si="31"/>
        <v>#VALUE!</v>
      </c>
      <c r="D377" s="7" t="e">
        <f t="shared" si="36"/>
        <v>#VALUE!</v>
      </c>
      <c r="E377" s="7" t="e">
        <f>C376*Remodelacion!$E$17</f>
        <v>#VALUE!</v>
      </c>
      <c r="F377" s="8" t="e">
        <f>IF(C376&lt;1,0,IF(Remodelacion!$D$26="Si",($C$17*(VLOOKUP(Remodelacion!$C$22,Seguros_Oblig!$A$3:$F$55,6,FALSE))),IF(Remodelacion!$C$10="TARIFA 1",(C376*(VLOOKUP(Remodelacion!$C$22,Seguros_Oblig!$A$3:$B$55,2,FALSE))),(C376*(VLOOKUP(Remodelacion!$C$22,Seguros_Oblig!$A$3:$D$55,4,FALSE))))))</f>
        <v>#VALUE!</v>
      </c>
      <c r="G377" s="8" t="e">
        <f>IF(Remodelacion!$C$10="TARIFA 1",(C376*(VLOOKUP(Remodelacion!$C$23,Seguros_Oblig!$A$3:$B$55,2,FALSE))),(C376*(VLOOKUP(Remodelacion!$C$23,Seguros_Oblig!$A$3:$D$55,4,FALSE))))</f>
        <v>#VALUE!</v>
      </c>
      <c r="H377" s="8" t="e">
        <f>IF(Remodelacion!$C$10="TARIFA 1",(C376*(VLOOKUP(Remodelacion!$C$24,Seguros_Oblig!$A$3:$B$55,2,FALSE))),(C376*(VLOOKUP(Remodelacion!$C$24,Seguros_Oblig!$A$3:$D$55,4,FALSE))))</f>
        <v>#VALUE!</v>
      </c>
      <c r="I377" s="8" t="e">
        <f>IF(Remodelacion!$C$10="TARIFA 1",(C376*(VLOOKUP(Remodelacion!$C$25,Seguros_Oblig!$A$3:$B$55,2,FALSE))),(C376*(VLOOKUP(Remodelacion!$C$25,Seguros_Oblig!$A$3:$D$55,4,FALSE))))</f>
        <v>#VALUE!</v>
      </c>
      <c r="J377" s="10">
        <f t="shared" si="32"/>
        <v>0</v>
      </c>
      <c r="K377" s="7" t="e">
        <f>IF(RM!$D$11="Si",0,IF(C376&lt;1,"0",Seguros_Oblig!$K$2*Remodelacion!$C$12))</f>
        <v>#VALUE!</v>
      </c>
      <c r="L377" s="7" t="e">
        <f>IF(B377=" ","0",PMT(Remodelacion!$E$17,Remodelacion!$C$18,-Remodelacion!$C$15,,))</f>
        <v>#VALUE!</v>
      </c>
      <c r="M377" s="9" t="e">
        <f t="shared" si="33"/>
        <v>#VALUE!</v>
      </c>
      <c r="N377" s="7" t="e">
        <f>IF(C376&lt;1,"0",Remodelacion!$C$38)</f>
        <v>#VALUE!</v>
      </c>
      <c r="O377" s="9" t="e">
        <f t="shared" si="34"/>
        <v>#VALUE!</v>
      </c>
    </row>
  </sheetData>
  <sheetProtection algorithmName="SHA-512" hashValue="1hjnZiJf8SQt7+m4yWzwnhvDxA5loACPp1kLp+zga4xI4C4ty0uj9rR+7eA2+NNuMBaO4c0VXEsOmgKUOVXnSg==" saltValue="czMRXD0XZholXs0CTRykEQ==" spinCount="100000" sheet="1" objects="1" scenarios="1"/>
  <mergeCells count="5">
    <mergeCell ref="N1:O4"/>
    <mergeCell ref="E2:L3"/>
    <mergeCell ref="B5:O11"/>
    <mergeCell ref="B12:O13"/>
    <mergeCell ref="B14:D14"/>
  </mergeCells>
  <conditionalFormatting sqref="B17:B377">
    <cfRule type="cellIs" dxfId="26" priority="6" stopIfTrue="1" operator="greaterThan">
      <formula>$E$23</formula>
    </cfRule>
  </conditionalFormatting>
  <conditionalFormatting sqref="C17:C377">
    <cfRule type="cellIs" dxfId="25" priority="3" operator="lessThan">
      <formula>0</formula>
    </cfRule>
  </conditionalFormatting>
  <conditionalFormatting sqref="C258">
    <cfRule type="cellIs" dxfId="24" priority="4" operator="lessThan">
      <formula>0</formula>
    </cfRule>
    <cfRule type="cellIs" dxfId="23" priority="5" operator="lessThan">
      <formula>0</formula>
    </cfRule>
  </conditionalFormatting>
  <conditionalFormatting sqref="E17:E377 J138:J377">
    <cfRule type="cellIs" dxfId="22" priority="1" operator="lessThan">
      <formula>0</formula>
    </cfRule>
  </conditionalFormatting>
  <pageMargins left="0.7" right="0.7" top="0.75" bottom="0.75" header="0.3" footer="0.3"/>
  <pageSetup paperSize="9" scale="5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41EA7-310B-4D00-9BEE-491B45EE211F}">
  <sheetPr codeName="Hoja6"/>
  <dimension ref="A1:Y27"/>
  <sheetViews>
    <sheetView showGridLines="0" tabSelected="1" zoomScale="86" zoomScaleNormal="86" workbookViewId="0"/>
  </sheetViews>
  <sheetFormatPr baseColWidth="10" defaultColWidth="11.453125" defaultRowHeight="14.5" x14ac:dyDescent="0.35"/>
  <cols>
    <col min="1" max="1" width="3.54296875" style="2" customWidth="1"/>
    <col min="2" max="2" width="28.54296875" style="2" customWidth="1"/>
    <col min="3" max="3" width="4.453125" style="2" customWidth="1"/>
    <col min="4" max="4" width="5.81640625" style="2" customWidth="1"/>
    <col min="5" max="5" width="17.26953125" style="2" customWidth="1"/>
    <col min="6" max="6" width="17.54296875" style="2" customWidth="1"/>
    <col min="7" max="7" width="13.81640625" style="2" customWidth="1"/>
    <col min="8" max="8" width="16" style="2" customWidth="1"/>
    <col min="9" max="9" width="13.7265625" style="2" customWidth="1"/>
    <col min="10" max="10" width="11.7265625" style="2" customWidth="1"/>
    <col min="11" max="17" width="15.1796875" style="2" customWidth="1"/>
    <col min="18" max="26" width="11.453125" style="2" customWidth="1"/>
    <col min="27" max="16384" width="11.453125" style="2"/>
  </cols>
  <sheetData>
    <row r="1" spans="1:25" ht="15" customHeight="1" x14ac:dyDescent="0.35">
      <c r="A1" s="145"/>
      <c r="B1" s="145"/>
      <c r="C1" s="61"/>
      <c r="D1" s="61"/>
      <c r="E1" s="61"/>
      <c r="F1" s="61"/>
      <c r="G1" s="61"/>
      <c r="H1" s="61"/>
      <c r="I1" s="147"/>
      <c r="J1" s="430" t="s">
        <v>2747</v>
      </c>
      <c r="K1" s="431"/>
    </row>
    <row r="2" spans="1:25" ht="30.75" customHeight="1" x14ac:dyDescent="0.55000000000000004">
      <c r="A2" s="145"/>
      <c r="B2" s="145"/>
      <c r="D2" s="143"/>
      <c r="E2" s="143"/>
      <c r="F2" s="143"/>
      <c r="I2" s="112"/>
      <c r="J2" s="432"/>
      <c r="K2" s="433"/>
      <c r="L2" s="111"/>
      <c r="M2" s="111"/>
      <c r="N2" s="111"/>
      <c r="O2" s="111"/>
      <c r="P2" s="111"/>
      <c r="Q2" s="111"/>
      <c r="R2" s="111"/>
      <c r="S2" s="111"/>
      <c r="T2" s="111"/>
      <c r="U2" s="111"/>
      <c r="V2" s="111"/>
      <c r="W2" s="111"/>
      <c r="X2" s="111"/>
      <c r="Y2" s="111"/>
    </row>
    <row r="3" spans="1:25" ht="18.649999999999999" customHeight="1" x14ac:dyDescent="0.35">
      <c r="A3" s="289"/>
      <c r="B3" s="289"/>
      <c r="C3" s="69"/>
      <c r="D3" s="69"/>
      <c r="E3" s="69"/>
      <c r="F3" s="69"/>
      <c r="G3" s="65"/>
      <c r="H3" s="65"/>
      <c r="I3" s="148"/>
      <c r="J3" s="434"/>
      <c r="K3" s="435"/>
    </row>
    <row r="4" spans="1:25" ht="13" customHeight="1" x14ac:dyDescent="0.35">
      <c r="B4" s="11"/>
      <c r="C4" s="11"/>
      <c r="D4" s="11"/>
      <c r="E4" s="11"/>
      <c r="F4" s="11"/>
      <c r="G4" s="11"/>
      <c r="H4" s="11"/>
      <c r="I4" s="11"/>
      <c r="J4" s="144"/>
      <c r="K4" s="11"/>
    </row>
    <row r="5" spans="1:25" ht="15.65" customHeight="1" thickBot="1" x14ac:dyDescent="0.4">
      <c r="B5" s="145"/>
      <c r="C5" s="145"/>
      <c r="D5" s="59"/>
      <c r="E5" s="59"/>
      <c r="F5" s="59"/>
      <c r="G5" s="59"/>
      <c r="H5" s="59"/>
      <c r="I5" s="59"/>
      <c r="J5" s="112"/>
      <c r="K5" s="11"/>
    </row>
    <row r="6" spans="1:25" ht="16" customHeight="1" thickBot="1" x14ac:dyDescent="0.4">
      <c r="B6" s="145"/>
      <c r="C6" s="145"/>
      <c r="D6" s="59"/>
      <c r="E6" s="59"/>
      <c r="F6" s="459" t="s">
        <v>130</v>
      </c>
      <c r="G6" s="460"/>
      <c r="H6" s="460"/>
      <c r="I6" s="460"/>
      <c r="J6" s="461"/>
      <c r="K6" s="11"/>
    </row>
    <row r="7" spans="1:25" ht="16.5" customHeight="1" x14ac:dyDescent="0.35">
      <c r="B7" s="450" t="s">
        <v>131</v>
      </c>
      <c r="C7" s="451"/>
      <c r="D7" s="451"/>
      <c r="E7" s="452"/>
      <c r="F7" s="436"/>
      <c r="G7" s="437"/>
      <c r="H7" s="437"/>
      <c r="I7" s="437"/>
      <c r="J7" s="438"/>
      <c r="K7" s="112"/>
      <c r="L7" s="11"/>
    </row>
    <row r="8" spans="1:25" ht="18.649999999999999" customHeight="1" x14ac:dyDescent="0.35">
      <c r="B8" s="453"/>
      <c r="C8" s="454"/>
      <c r="D8" s="454"/>
      <c r="E8" s="455"/>
      <c r="F8" s="439"/>
      <c r="G8" s="440"/>
      <c r="H8" s="440"/>
      <c r="I8" s="440"/>
      <c r="J8" s="441"/>
      <c r="K8" s="14"/>
      <c r="L8" s="14"/>
    </row>
    <row r="9" spans="1:25" ht="17.149999999999999" customHeight="1" x14ac:dyDescent="0.35">
      <c r="B9" s="453"/>
      <c r="C9" s="454"/>
      <c r="D9" s="454"/>
      <c r="E9" s="455"/>
      <c r="F9" s="439"/>
      <c r="G9" s="440"/>
      <c r="H9" s="440"/>
      <c r="I9" s="440"/>
      <c r="J9" s="441"/>
      <c r="K9" s="14"/>
      <c r="L9" s="14"/>
    </row>
    <row r="10" spans="1:25" ht="20.149999999999999" customHeight="1" thickBot="1" x14ac:dyDescent="0.4">
      <c r="B10" s="456"/>
      <c r="C10" s="457"/>
      <c r="D10" s="457"/>
      <c r="E10" s="458"/>
      <c r="F10" s="442"/>
      <c r="G10" s="443"/>
      <c r="H10" s="443"/>
      <c r="I10" s="443"/>
      <c r="J10" s="444"/>
      <c r="K10" s="120"/>
      <c r="L10" s="59"/>
      <c r="M10" s="111"/>
      <c r="O10" s="111"/>
    </row>
    <row r="11" spans="1:25" ht="16.5" customHeight="1" x14ac:dyDescent="0.35">
      <c r="B11" s="450" t="s">
        <v>132</v>
      </c>
      <c r="C11" s="451"/>
      <c r="D11" s="451"/>
      <c r="E11" s="452"/>
      <c r="F11" s="445"/>
      <c r="G11" s="446"/>
      <c r="H11" s="446"/>
      <c r="I11" s="446"/>
      <c r="J11" s="447"/>
      <c r="K11" s="79"/>
      <c r="L11" s="59"/>
    </row>
    <row r="12" spans="1:25" x14ac:dyDescent="0.35">
      <c r="B12" s="453"/>
      <c r="C12" s="454"/>
      <c r="D12" s="454"/>
      <c r="E12" s="455"/>
      <c r="F12" s="439"/>
      <c r="G12" s="440"/>
      <c r="H12" s="440"/>
      <c r="I12" s="440"/>
      <c r="J12" s="441"/>
      <c r="K12" s="120"/>
      <c r="L12" s="59"/>
    </row>
    <row r="13" spans="1:25" ht="15.65" customHeight="1" x14ac:dyDescent="0.35">
      <c r="B13" s="453"/>
      <c r="C13" s="454"/>
      <c r="D13" s="454"/>
      <c r="E13" s="455"/>
      <c r="F13" s="439"/>
      <c r="G13" s="440"/>
      <c r="H13" s="440"/>
      <c r="I13" s="440"/>
      <c r="J13" s="441"/>
      <c r="K13" s="120"/>
      <c r="L13" s="59"/>
    </row>
    <row r="14" spans="1:25" ht="20.5" customHeight="1" thickBot="1" x14ac:dyDescent="0.4">
      <c r="B14" s="456"/>
      <c r="C14" s="457"/>
      <c r="D14" s="457"/>
      <c r="E14" s="458"/>
      <c r="F14" s="442"/>
      <c r="G14" s="443"/>
      <c r="H14" s="443"/>
      <c r="I14" s="443"/>
      <c r="J14" s="444"/>
      <c r="K14" s="120"/>
      <c r="L14" s="59"/>
    </row>
    <row r="15" spans="1:25" ht="17.5" customHeight="1" x14ac:dyDescent="0.35">
      <c r="B15" s="450" t="s">
        <v>133</v>
      </c>
      <c r="C15" s="451"/>
      <c r="D15" s="451"/>
      <c r="E15" s="452"/>
      <c r="F15" s="445"/>
      <c r="G15" s="446"/>
      <c r="H15" s="446"/>
      <c r="I15" s="446"/>
      <c r="J15" s="447"/>
      <c r="K15" s="79"/>
      <c r="L15" s="59"/>
    </row>
    <row r="16" spans="1:25" ht="15.65" customHeight="1" x14ac:dyDescent="0.35">
      <c r="B16" s="453"/>
      <c r="C16" s="454"/>
      <c r="D16" s="454"/>
      <c r="E16" s="455"/>
      <c r="F16" s="439"/>
      <c r="G16" s="440"/>
      <c r="H16" s="440"/>
      <c r="I16" s="440"/>
      <c r="J16" s="441"/>
      <c r="K16" s="120"/>
      <c r="L16" s="59"/>
      <c r="M16" s="111"/>
    </row>
    <row r="17" spans="2:20" ht="18.649999999999999" customHeight="1" x14ac:dyDescent="0.35">
      <c r="B17" s="453"/>
      <c r="C17" s="454"/>
      <c r="D17" s="454"/>
      <c r="E17" s="455"/>
      <c r="F17" s="439"/>
      <c r="G17" s="440"/>
      <c r="H17" s="440"/>
      <c r="I17" s="440"/>
      <c r="J17" s="441"/>
      <c r="K17" s="121"/>
      <c r="L17" s="59"/>
      <c r="M17" s="111"/>
    </row>
    <row r="18" spans="2:20" ht="17.5" customHeight="1" thickBot="1" x14ac:dyDescent="0.4">
      <c r="B18" s="456"/>
      <c r="C18" s="457"/>
      <c r="D18" s="457"/>
      <c r="E18" s="458"/>
      <c r="F18" s="442"/>
      <c r="G18" s="443"/>
      <c r="H18" s="443"/>
      <c r="I18" s="443"/>
      <c r="J18" s="444"/>
      <c r="K18" s="122"/>
      <c r="L18" s="59"/>
      <c r="M18" s="111"/>
    </row>
    <row r="19" spans="2:20" ht="17.25" customHeight="1" x14ac:dyDescent="0.35">
      <c r="B19" s="59"/>
      <c r="C19" s="145"/>
      <c r="D19" s="145"/>
      <c r="E19" s="59"/>
      <c r="F19" s="59"/>
      <c r="G19" s="59"/>
      <c r="H19" s="59"/>
      <c r="I19" s="59"/>
      <c r="J19" s="59"/>
      <c r="K19" s="79"/>
      <c r="L19" s="59"/>
    </row>
    <row r="20" spans="2:20" ht="19.5" customHeight="1" x14ac:dyDescent="0.5">
      <c r="B20" s="59"/>
      <c r="C20" s="145"/>
      <c r="D20" s="145"/>
      <c r="E20" s="59"/>
      <c r="F20" s="449" t="s">
        <v>134</v>
      </c>
      <c r="G20" s="449"/>
      <c r="H20" s="449"/>
      <c r="I20" s="449"/>
      <c r="J20" s="449"/>
      <c r="K20" s="79"/>
    </row>
    <row r="21" spans="2:20" ht="7.5" customHeight="1" x14ac:dyDescent="0.35">
      <c r="B21" s="59"/>
      <c r="C21" s="145"/>
      <c r="D21" s="145"/>
      <c r="E21" s="59"/>
      <c r="F21" s="108"/>
      <c r="G21" s="108"/>
      <c r="H21" s="59"/>
      <c r="I21" s="59"/>
      <c r="J21" s="59"/>
      <c r="K21" s="120"/>
      <c r="L21" s="59"/>
    </row>
    <row r="22" spans="2:20" ht="18.75" customHeight="1" x14ac:dyDescent="0.35">
      <c r="B22" s="59"/>
      <c r="C22" s="145"/>
      <c r="D22" s="145"/>
      <c r="E22" s="59"/>
      <c r="K22" s="123"/>
      <c r="L22" s="59"/>
    </row>
    <row r="23" spans="2:20" ht="17.25" customHeight="1" x14ac:dyDescent="0.4">
      <c r="B23" s="59"/>
      <c r="C23" s="145"/>
      <c r="D23" s="79"/>
      <c r="F23" s="150"/>
      <c r="G23" s="151"/>
      <c r="H23" s="152"/>
      <c r="I23" s="149"/>
      <c r="J23" s="120"/>
      <c r="K23" s="59"/>
    </row>
    <row r="24" spans="2:20" ht="15.75" customHeight="1" x14ac:dyDescent="0.35">
      <c r="B24" s="59"/>
      <c r="C24" s="145"/>
      <c r="D24" s="79"/>
      <c r="E24" s="79"/>
      <c r="F24" s="59"/>
      <c r="G24" s="59"/>
      <c r="H24" s="59"/>
      <c r="I24" s="59"/>
      <c r="J24" s="124"/>
      <c r="K24" s="59"/>
    </row>
    <row r="25" spans="2:20" ht="15.75" customHeight="1" x14ac:dyDescent="0.35">
      <c r="C25" s="145"/>
      <c r="D25" s="79"/>
      <c r="E25" s="448"/>
      <c r="F25" s="448"/>
      <c r="G25" s="448"/>
      <c r="H25" s="448"/>
      <c r="I25" s="448"/>
      <c r="J25" s="59"/>
      <c r="K25" s="59"/>
      <c r="L25" s="33"/>
      <c r="M25" s="33"/>
      <c r="N25" s="33"/>
      <c r="O25" s="33"/>
      <c r="P25" s="33"/>
      <c r="T25" s="52"/>
    </row>
    <row r="26" spans="2:20" ht="18" customHeight="1" x14ac:dyDescent="0.35">
      <c r="C26" s="145"/>
      <c r="E26" s="448"/>
      <c r="F26" s="448"/>
      <c r="G26" s="448"/>
      <c r="H26" s="448"/>
      <c r="I26" s="448"/>
      <c r="K26" s="33"/>
    </row>
    <row r="27" spans="2:20" x14ac:dyDescent="0.35">
      <c r="E27" s="448"/>
      <c r="F27" s="448"/>
      <c r="G27" s="448"/>
      <c r="H27" s="448"/>
      <c r="I27" s="448"/>
    </row>
  </sheetData>
  <sheetProtection algorithmName="SHA-512" hashValue="Z7OygSZO1vOK4ARolcW959t9OayF8+FZreAZSELcXtPvUiiYOVH0uLH1kdlm7X6ifGP3eO0/PiGEBFr2Xj6/rA==" saltValue="P5yB8TMXj5ohEyak9StUgw==" spinCount="100000" sheet="1" objects="1" scenarios="1"/>
  <mergeCells count="10">
    <mergeCell ref="J1:K3"/>
    <mergeCell ref="F7:J10"/>
    <mergeCell ref="F11:J14"/>
    <mergeCell ref="F15:J18"/>
    <mergeCell ref="E25:I27"/>
    <mergeCell ref="F20:J20"/>
    <mergeCell ref="B7:E10"/>
    <mergeCell ref="B11:E14"/>
    <mergeCell ref="B15:E18"/>
    <mergeCell ref="F6:J6"/>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283DF-151E-4613-82A0-94BBF6BE7953}">
  <sheetPr codeName="Hoja1"/>
  <dimension ref="A1:H90"/>
  <sheetViews>
    <sheetView topLeftCell="E1" workbookViewId="0">
      <selection activeCell="H5" sqref="H5"/>
    </sheetView>
  </sheetViews>
  <sheetFormatPr baseColWidth="10" defaultColWidth="10.81640625" defaultRowHeight="14.5" x14ac:dyDescent="0.35"/>
  <cols>
    <col min="1" max="1" width="10.81640625" style="2"/>
    <col min="2" max="2" width="12.7265625" style="2" bestFit="1" customWidth="1"/>
    <col min="3" max="3" width="56.1796875" style="2" customWidth="1"/>
    <col min="4" max="4" width="12.7265625" style="2" bestFit="1" customWidth="1"/>
    <col min="5" max="5" width="33.1796875" style="2" bestFit="1" customWidth="1"/>
    <col min="6" max="6" width="75.453125" style="2" bestFit="1" customWidth="1"/>
    <col min="7" max="7" width="13.1796875" style="2" bestFit="1" customWidth="1"/>
    <col min="8" max="8" width="47.453125" style="2" bestFit="1" customWidth="1"/>
    <col min="9" max="16384" width="10.81640625" style="2"/>
  </cols>
  <sheetData>
    <row r="1" spans="1:8" x14ac:dyDescent="0.35">
      <c r="A1" s="188" t="s">
        <v>2702</v>
      </c>
      <c r="B1" s="188" t="s">
        <v>2703</v>
      </c>
      <c r="C1" s="188" t="s">
        <v>2704</v>
      </c>
      <c r="D1" s="188" t="s">
        <v>2705</v>
      </c>
      <c r="E1" s="189" t="s">
        <v>41</v>
      </c>
      <c r="F1" s="190"/>
      <c r="G1" s="191" t="s">
        <v>2706</v>
      </c>
      <c r="H1" s="192" t="s">
        <v>2664</v>
      </c>
    </row>
    <row r="2" spans="1:8" x14ac:dyDescent="0.35">
      <c r="A2" s="193">
        <v>1</v>
      </c>
      <c r="B2" s="194"/>
      <c r="C2" s="195" t="s">
        <v>2563</v>
      </c>
      <c r="D2" s="193"/>
      <c r="E2" s="196"/>
      <c r="F2" s="197"/>
      <c r="G2" s="198"/>
      <c r="H2" s="196"/>
    </row>
    <row r="3" spans="1:8" x14ac:dyDescent="0.35">
      <c r="A3" s="199">
        <v>2</v>
      </c>
      <c r="B3" s="200">
        <v>1</v>
      </c>
      <c r="C3" s="195" t="s">
        <v>2565</v>
      </c>
      <c r="D3" s="195">
        <v>1</v>
      </c>
      <c r="E3" s="195" t="s">
        <v>2707</v>
      </c>
      <c r="F3" s="195" t="str">
        <f>C3&amp;D3&amp;E3</f>
        <v>Cuota protegida Asalariados + Hogar Seguro1Asalariados</v>
      </c>
      <c r="G3" s="201">
        <v>33400</v>
      </c>
      <c r="H3" s="196" t="s">
        <v>2708</v>
      </c>
    </row>
    <row r="4" spans="1:8" x14ac:dyDescent="0.35">
      <c r="A4" s="193">
        <v>3</v>
      </c>
      <c r="B4" s="202">
        <v>1</v>
      </c>
      <c r="C4" s="203" t="s">
        <v>2565</v>
      </c>
      <c r="D4" s="203">
        <v>2</v>
      </c>
      <c r="E4" s="203" t="s">
        <v>2707</v>
      </c>
      <c r="F4" s="195" t="str">
        <f t="shared" ref="F4:F67" si="0">C4&amp;D4&amp;E4</f>
        <v>Cuota protegida Asalariados + Hogar Seguro2Asalariados</v>
      </c>
      <c r="G4" s="204">
        <v>48800</v>
      </c>
      <c r="H4" s="205" t="s">
        <v>2708</v>
      </c>
    </row>
    <row r="5" spans="1:8" x14ac:dyDescent="0.35">
      <c r="A5" s="199">
        <v>4</v>
      </c>
      <c r="B5" s="206">
        <v>1</v>
      </c>
      <c r="C5" s="130" t="s">
        <v>2565</v>
      </c>
      <c r="D5" s="130">
        <v>3</v>
      </c>
      <c r="E5" s="130" t="s">
        <v>2707</v>
      </c>
      <c r="F5" s="195" t="str">
        <f t="shared" si="0"/>
        <v>Cuota protegida Asalariados + Hogar Seguro3Asalariados</v>
      </c>
      <c r="G5" s="8">
        <v>79600</v>
      </c>
      <c r="H5" s="196" t="s">
        <v>2708</v>
      </c>
    </row>
    <row r="6" spans="1:8" x14ac:dyDescent="0.35">
      <c r="A6" s="193">
        <v>5</v>
      </c>
      <c r="B6" s="202">
        <v>1</v>
      </c>
      <c r="C6" s="203" t="s">
        <v>2565</v>
      </c>
      <c r="D6" s="203">
        <v>4</v>
      </c>
      <c r="E6" s="203" t="s">
        <v>2707</v>
      </c>
      <c r="F6" s="195" t="str">
        <f t="shared" si="0"/>
        <v>Cuota protegida Asalariados + Hogar Seguro4Asalariados</v>
      </c>
      <c r="G6" s="204">
        <v>125800</v>
      </c>
      <c r="H6" s="205" t="s">
        <v>2708</v>
      </c>
    </row>
    <row r="7" spans="1:8" x14ac:dyDescent="0.35">
      <c r="A7" s="199">
        <v>6</v>
      </c>
      <c r="B7" s="206">
        <v>2</v>
      </c>
      <c r="C7" s="130" t="s">
        <v>2566</v>
      </c>
      <c r="D7" s="130">
        <v>1</v>
      </c>
      <c r="E7" s="130" t="s">
        <v>2709</v>
      </c>
      <c r="F7" s="195" t="str">
        <f t="shared" si="0"/>
        <v>Cuota protegida Independientes + Hogar Seguro1Independiente-Pensionado</v>
      </c>
      <c r="G7" s="8">
        <v>33400</v>
      </c>
      <c r="H7" s="196" t="s">
        <v>2708</v>
      </c>
    </row>
    <row r="8" spans="1:8" x14ac:dyDescent="0.35">
      <c r="A8" s="193">
        <v>7</v>
      </c>
      <c r="B8" s="202">
        <v>2</v>
      </c>
      <c r="C8" s="203" t="s">
        <v>2566</v>
      </c>
      <c r="D8" s="203">
        <v>2</v>
      </c>
      <c r="E8" s="203" t="s">
        <v>2709</v>
      </c>
      <c r="F8" s="195" t="str">
        <f t="shared" si="0"/>
        <v>Cuota protegida Independientes + Hogar Seguro2Independiente-Pensionado</v>
      </c>
      <c r="G8" s="204">
        <v>48800</v>
      </c>
      <c r="H8" s="205" t="s">
        <v>2708</v>
      </c>
    </row>
    <row r="9" spans="1:8" x14ac:dyDescent="0.35">
      <c r="A9" s="199">
        <v>8</v>
      </c>
      <c r="B9" s="206">
        <v>2</v>
      </c>
      <c r="C9" s="130" t="s">
        <v>2566</v>
      </c>
      <c r="D9" s="130">
        <v>3</v>
      </c>
      <c r="E9" s="130" t="s">
        <v>2709</v>
      </c>
      <c r="F9" s="195" t="str">
        <f t="shared" si="0"/>
        <v>Cuota protegida Independientes + Hogar Seguro3Independiente-Pensionado</v>
      </c>
      <c r="G9" s="8">
        <v>79600</v>
      </c>
      <c r="H9" s="196" t="s">
        <v>2708</v>
      </c>
    </row>
    <row r="10" spans="1:8" x14ac:dyDescent="0.35">
      <c r="A10" s="193">
        <v>9</v>
      </c>
      <c r="B10" s="202">
        <v>2</v>
      </c>
      <c r="C10" s="203" t="s">
        <v>2566</v>
      </c>
      <c r="D10" s="203">
        <v>4</v>
      </c>
      <c r="E10" s="203" t="s">
        <v>2709</v>
      </c>
      <c r="F10" s="195" t="str">
        <f t="shared" si="0"/>
        <v>Cuota protegida Independientes + Hogar Seguro4Independiente-Pensionado</v>
      </c>
      <c r="G10" s="204">
        <v>125800</v>
      </c>
      <c r="H10" s="205" t="s">
        <v>2708</v>
      </c>
    </row>
    <row r="11" spans="1:8" x14ac:dyDescent="0.35">
      <c r="A11" s="199">
        <v>10</v>
      </c>
      <c r="B11" s="206">
        <v>3</v>
      </c>
      <c r="C11" s="130" t="s">
        <v>2568</v>
      </c>
      <c r="D11" s="130">
        <v>1</v>
      </c>
      <c r="E11" s="130" t="s">
        <v>2707</v>
      </c>
      <c r="F11" s="195" t="str">
        <f t="shared" si="0"/>
        <v>Cuota protegida Asalariados + Hogar Seguro + mascotas1Asalariados</v>
      </c>
      <c r="G11" s="8">
        <v>43500</v>
      </c>
      <c r="H11" s="196" t="s">
        <v>2708</v>
      </c>
    </row>
    <row r="12" spans="1:8" x14ac:dyDescent="0.35">
      <c r="A12" s="193">
        <v>11</v>
      </c>
      <c r="B12" s="202">
        <v>3</v>
      </c>
      <c r="C12" s="203" t="s">
        <v>2568</v>
      </c>
      <c r="D12" s="203">
        <v>2</v>
      </c>
      <c r="E12" s="203" t="s">
        <v>2707</v>
      </c>
      <c r="F12" s="195" t="str">
        <f t="shared" si="0"/>
        <v>Cuota protegida Asalariados + Hogar Seguro + mascotas2Asalariados</v>
      </c>
      <c r="G12" s="204">
        <v>63500</v>
      </c>
      <c r="H12" s="205" t="s">
        <v>2708</v>
      </c>
    </row>
    <row r="13" spans="1:8" x14ac:dyDescent="0.35">
      <c r="A13" s="199">
        <v>12</v>
      </c>
      <c r="B13" s="206">
        <v>3</v>
      </c>
      <c r="C13" s="130" t="s">
        <v>2568</v>
      </c>
      <c r="D13" s="130">
        <v>3</v>
      </c>
      <c r="E13" s="130" t="s">
        <v>2707</v>
      </c>
      <c r="F13" s="195" t="str">
        <f t="shared" si="0"/>
        <v>Cuota protegida Asalariados + Hogar Seguro + mascotas3Asalariados</v>
      </c>
      <c r="G13" s="8">
        <v>103400</v>
      </c>
      <c r="H13" s="196" t="s">
        <v>2708</v>
      </c>
    </row>
    <row r="14" spans="1:8" x14ac:dyDescent="0.35">
      <c r="A14" s="193">
        <v>13</v>
      </c>
      <c r="B14" s="202">
        <v>3</v>
      </c>
      <c r="C14" s="203" t="s">
        <v>2568</v>
      </c>
      <c r="D14" s="203">
        <v>4</v>
      </c>
      <c r="E14" s="203" t="s">
        <v>2707</v>
      </c>
      <c r="F14" s="195" t="str">
        <f t="shared" si="0"/>
        <v>Cuota protegida Asalariados + Hogar Seguro + mascotas4Asalariados</v>
      </c>
      <c r="G14" s="204">
        <v>163400</v>
      </c>
      <c r="H14" s="205" t="s">
        <v>2708</v>
      </c>
    </row>
    <row r="15" spans="1:8" x14ac:dyDescent="0.35">
      <c r="A15" s="199">
        <v>14</v>
      </c>
      <c r="B15" s="206">
        <v>4</v>
      </c>
      <c r="C15" s="130" t="s">
        <v>2569</v>
      </c>
      <c r="D15" s="130">
        <v>1</v>
      </c>
      <c r="E15" s="130" t="s">
        <v>2709</v>
      </c>
      <c r="F15" s="195" t="str">
        <f t="shared" si="0"/>
        <v>Cuota protegida Independientes + Hogar Seguro + mascotas1Independiente-Pensionado</v>
      </c>
      <c r="G15" s="8">
        <v>43500</v>
      </c>
      <c r="H15" s="196" t="s">
        <v>2708</v>
      </c>
    </row>
    <row r="16" spans="1:8" x14ac:dyDescent="0.35">
      <c r="A16" s="193">
        <v>15</v>
      </c>
      <c r="B16" s="202">
        <v>4</v>
      </c>
      <c r="C16" s="203" t="s">
        <v>2569</v>
      </c>
      <c r="D16" s="203">
        <v>2</v>
      </c>
      <c r="E16" s="203" t="s">
        <v>2709</v>
      </c>
      <c r="F16" s="195" t="str">
        <f t="shared" si="0"/>
        <v>Cuota protegida Independientes + Hogar Seguro + mascotas2Independiente-Pensionado</v>
      </c>
      <c r="G16" s="204">
        <v>63500</v>
      </c>
      <c r="H16" s="205" t="s">
        <v>2708</v>
      </c>
    </row>
    <row r="17" spans="1:8" x14ac:dyDescent="0.35">
      <c r="A17" s="199">
        <v>16</v>
      </c>
      <c r="B17" s="206">
        <v>4</v>
      </c>
      <c r="C17" s="130" t="s">
        <v>2569</v>
      </c>
      <c r="D17" s="130">
        <v>3</v>
      </c>
      <c r="E17" s="130" t="s">
        <v>2709</v>
      </c>
      <c r="F17" s="195" t="str">
        <f t="shared" si="0"/>
        <v>Cuota protegida Independientes + Hogar Seguro + mascotas3Independiente-Pensionado</v>
      </c>
      <c r="G17" s="8">
        <v>103400</v>
      </c>
      <c r="H17" s="196" t="s">
        <v>2708</v>
      </c>
    </row>
    <row r="18" spans="1:8" x14ac:dyDescent="0.35">
      <c r="A18" s="193">
        <v>17</v>
      </c>
      <c r="B18" s="202">
        <v>4</v>
      </c>
      <c r="C18" s="203" t="s">
        <v>2569</v>
      </c>
      <c r="D18" s="203">
        <v>4</v>
      </c>
      <c r="E18" s="203" t="s">
        <v>2709</v>
      </c>
      <c r="F18" s="195" t="str">
        <f t="shared" si="0"/>
        <v>Cuota protegida Independientes + Hogar Seguro + mascotas4Independiente-Pensionado</v>
      </c>
      <c r="G18" s="204">
        <v>163400</v>
      </c>
      <c r="H18" s="205" t="s">
        <v>2708</v>
      </c>
    </row>
    <row r="19" spans="1:8" x14ac:dyDescent="0.35">
      <c r="A19" s="199">
        <v>18</v>
      </c>
      <c r="B19" s="206">
        <v>5</v>
      </c>
      <c r="C19" s="130" t="s">
        <v>2570</v>
      </c>
      <c r="D19" s="130">
        <v>1</v>
      </c>
      <c r="E19" s="130" t="s">
        <v>2707</v>
      </c>
      <c r="F19" s="195" t="str">
        <f t="shared" si="0"/>
        <v>Cuota protegida Asalariados + Hogar Seguro + movilidad1Asalariados</v>
      </c>
      <c r="G19" s="8">
        <v>43500</v>
      </c>
      <c r="H19" s="196" t="s">
        <v>2708</v>
      </c>
    </row>
    <row r="20" spans="1:8" x14ac:dyDescent="0.35">
      <c r="A20" s="193">
        <v>19</v>
      </c>
      <c r="B20" s="202">
        <v>5</v>
      </c>
      <c r="C20" s="203" t="s">
        <v>2570</v>
      </c>
      <c r="D20" s="203">
        <v>2</v>
      </c>
      <c r="E20" s="203" t="s">
        <v>2707</v>
      </c>
      <c r="F20" s="195" t="str">
        <f t="shared" si="0"/>
        <v>Cuota protegida Asalariados + Hogar Seguro + movilidad2Asalariados</v>
      </c>
      <c r="G20" s="204">
        <v>63500</v>
      </c>
      <c r="H20" s="205" t="s">
        <v>2708</v>
      </c>
    </row>
    <row r="21" spans="1:8" x14ac:dyDescent="0.35">
      <c r="A21" s="199">
        <v>20</v>
      </c>
      <c r="B21" s="206">
        <v>5</v>
      </c>
      <c r="C21" s="130" t="s">
        <v>2570</v>
      </c>
      <c r="D21" s="130">
        <v>3</v>
      </c>
      <c r="E21" s="130" t="s">
        <v>2707</v>
      </c>
      <c r="F21" s="195" t="str">
        <f t="shared" si="0"/>
        <v>Cuota protegida Asalariados + Hogar Seguro + movilidad3Asalariados</v>
      </c>
      <c r="G21" s="8">
        <v>103400</v>
      </c>
      <c r="H21" s="196" t="s">
        <v>2708</v>
      </c>
    </row>
    <row r="22" spans="1:8" x14ac:dyDescent="0.35">
      <c r="A22" s="193">
        <v>21</v>
      </c>
      <c r="B22" s="202">
        <v>5</v>
      </c>
      <c r="C22" s="203" t="s">
        <v>2570</v>
      </c>
      <c r="D22" s="203">
        <v>4</v>
      </c>
      <c r="E22" s="203" t="s">
        <v>2707</v>
      </c>
      <c r="F22" s="195" t="str">
        <f t="shared" si="0"/>
        <v>Cuota protegida Asalariados + Hogar Seguro + movilidad4Asalariados</v>
      </c>
      <c r="G22" s="204">
        <v>163400</v>
      </c>
      <c r="H22" s="205" t="s">
        <v>2708</v>
      </c>
    </row>
    <row r="23" spans="1:8" x14ac:dyDescent="0.35">
      <c r="A23" s="199">
        <v>22</v>
      </c>
      <c r="B23" s="206">
        <v>6</v>
      </c>
      <c r="C23" s="130" t="s">
        <v>2571</v>
      </c>
      <c r="D23" s="130">
        <v>1</v>
      </c>
      <c r="E23" s="130" t="s">
        <v>2709</v>
      </c>
      <c r="F23" s="195" t="str">
        <f t="shared" si="0"/>
        <v>Cuota protegida Independientes + Hogar Seguro + movilidad1Independiente-Pensionado</v>
      </c>
      <c r="G23" s="8">
        <v>43500</v>
      </c>
      <c r="H23" s="196" t="s">
        <v>2708</v>
      </c>
    </row>
    <row r="24" spans="1:8" x14ac:dyDescent="0.35">
      <c r="A24" s="193">
        <v>23</v>
      </c>
      <c r="B24" s="202">
        <v>6</v>
      </c>
      <c r="C24" s="203" t="s">
        <v>2571</v>
      </c>
      <c r="D24" s="203">
        <v>2</v>
      </c>
      <c r="E24" s="203" t="s">
        <v>2709</v>
      </c>
      <c r="F24" s="195" t="str">
        <f t="shared" si="0"/>
        <v>Cuota protegida Independientes + Hogar Seguro + movilidad2Independiente-Pensionado</v>
      </c>
      <c r="G24" s="204">
        <v>63500</v>
      </c>
      <c r="H24" s="205" t="s">
        <v>2708</v>
      </c>
    </row>
    <row r="25" spans="1:8" x14ac:dyDescent="0.35">
      <c r="A25" s="199">
        <v>24</v>
      </c>
      <c r="B25" s="206">
        <v>6</v>
      </c>
      <c r="C25" s="130" t="s">
        <v>2571</v>
      </c>
      <c r="D25" s="130">
        <v>3</v>
      </c>
      <c r="E25" s="130" t="s">
        <v>2709</v>
      </c>
      <c r="F25" s="195" t="str">
        <f t="shared" si="0"/>
        <v>Cuota protegida Independientes + Hogar Seguro + movilidad3Independiente-Pensionado</v>
      </c>
      <c r="G25" s="8">
        <v>103400</v>
      </c>
      <c r="H25" s="196" t="s">
        <v>2708</v>
      </c>
    </row>
    <row r="26" spans="1:8" x14ac:dyDescent="0.35">
      <c r="A26" s="193">
        <v>25</v>
      </c>
      <c r="B26" s="202">
        <v>6</v>
      </c>
      <c r="C26" s="203" t="s">
        <v>2571</v>
      </c>
      <c r="D26" s="203">
        <v>4</v>
      </c>
      <c r="E26" s="203" t="s">
        <v>2709</v>
      </c>
      <c r="F26" s="195" t="str">
        <f t="shared" si="0"/>
        <v>Cuota protegida Independientes + Hogar Seguro + movilidad4Independiente-Pensionado</v>
      </c>
      <c r="G26" s="204">
        <v>163400</v>
      </c>
      <c r="H26" s="205" t="s">
        <v>2708</v>
      </c>
    </row>
    <row r="27" spans="1:8" x14ac:dyDescent="0.35">
      <c r="A27" s="199">
        <v>26</v>
      </c>
      <c r="B27" s="206">
        <v>7</v>
      </c>
      <c r="C27" s="207" t="s">
        <v>2573</v>
      </c>
      <c r="D27" s="130">
        <v>1</v>
      </c>
      <c r="E27" s="130" t="s">
        <v>2707</v>
      </c>
      <c r="F27" s="195" t="str">
        <f t="shared" si="0"/>
        <v>Cuota protegida Asalariados + Protección Mascotas1Asalariados</v>
      </c>
      <c r="G27" s="8">
        <v>33400</v>
      </c>
      <c r="H27" s="196" t="s">
        <v>2708</v>
      </c>
    </row>
    <row r="28" spans="1:8" x14ac:dyDescent="0.35">
      <c r="A28" s="193">
        <v>27</v>
      </c>
      <c r="B28" s="202">
        <v>7</v>
      </c>
      <c r="C28" s="208" t="s">
        <v>2573</v>
      </c>
      <c r="D28" s="203">
        <v>2</v>
      </c>
      <c r="E28" s="203" t="s">
        <v>2707</v>
      </c>
      <c r="F28" s="195" t="str">
        <f t="shared" si="0"/>
        <v>Cuota protegida Asalariados + Protección Mascotas2Asalariados</v>
      </c>
      <c r="G28" s="204">
        <v>48800</v>
      </c>
      <c r="H28" s="205" t="s">
        <v>2708</v>
      </c>
    </row>
    <row r="29" spans="1:8" x14ac:dyDescent="0.35">
      <c r="A29" s="199">
        <v>28</v>
      </c>
      <c r="B29" s="206">
        <v>7</v>
      </c>
      <c r="C29" s="207" t="s">
        <v>2573</v>
      </c>
      <c r="D29" s="130">
        <v>3</v>
      </c>
      <c r="E29" s="130" t="s">
        <v>2707</v>
      </c>
      <c r="F29" s="195" t="str">
        <f t="shared" si="0"/>
        <v>Cuota protegida Asalariados + Protección Mascotas3Asalariados</v>
      </c>
      <c r="G29" s="8">
        <v>79600</v>
      </c>
      <c r="H29" s="196" t="s">
        <v>2708</v>
      </c>
    </row>
    <row r="30" spans="1:8" x14ac:dyDescent="0.35">
      <c r="A30" s="193">
        <v>29</v>
      </c>
      <c r="B30" s="202">
        <v>7</v>
      </c>
      <c r="C30" s="208" t="s">
        <v>2573</v>
      </c>
      <c r="D30" s="203">
        <v>4</v>
      </c>
      <c r="E30" s="203" t="s">
        <v>2707</v>
      </c>
      <c r="F30" s="195" t="str">
        <f t="shared" si="0"/>
        <v>Cuota protegida Asalariados + Protección Mascotas4Asalariados</v>
      </c>
      <c r="G30" s="204">
        <v>125800</v>
      </c>
      <c r="H30" s="205" t="s">
        <v>2708</v>
      </c>
    </row>
    <row r="31" spans="1:8" x14ac:dyDescent="0.35">
      <c r="A31" s="199">
        <v>30</v>
      </c>
      <c r="B31" s="206">
        <v>8</v>
      </c>
      <c r="C31" s="130" t="s">
        <v>2574</v>
      </c>
      <c r="D31" s="130">
        <v>1</v>
      </c>
      <c r="E31" s="130" t="s">
        <v>2709</v>
      </c>
      <c r="F31" s="195" t="str">
        <f t="shared" si="0"/>
        <v>Cuota protegida Independientes + Protección Mascotas1Independiente-Pensionado</v>
      </c>
      <c r="G31" s="8">
        <v>33400</v>
      </c>
      <c r="H31" s="196" t="s">
        <v>2708</v>
      </c>
    </row>
    <row r="32" spans="1:8" x14ac:dyDescent="0.35">
      <c r="A32" s="193">
        <v>31</v>
      </c>
      <c r="B32" s="202">
        <v>8</v>
      </c>
      <c r="C32" s="203" t="s">
        <v>2574</v>
      </c>
      <c r="D32" s="203">
        <v>2</v>
      </c>
      <c r="E32" s="203" t="s">
        <v>2709</v>
      </c>
      <c r="F32" s="195" t="str">
        <f t="shared" si="0"/>
        <v>Cuota protegida Independientes + Protección Mascotas2Independiente-Pensionado</v>
      </c>
      <c r="G32" s="204">
        <v>48800</v>
      </c>
      <c r="H32" s="205" t="s">
        <v>2708</v>
      </c>
    </row>
    <row r="33" spans="1:8" x14ac:dyDescent="0.35">
      <c r="A33" s="199">
        <v>32</v>
      </c>
      <c r="B33" s="206">
        <v>8</v>
      </c>
      <c r="C33" s="130" t="s">
        <v>2574</v>
      </c>
      <c r="D33" s="130">
        <v>3</v>
      </c>
      <c r="E33" s="130" t="s">
        <v>2709</v>
      </c>
      <c r="F33" s="195" t="str">
        <f t="shared" si="0"/>
        <v>Cuota protegida Independientes + Protección Mascotas3Independiente-Pensionado</v>
      </c>
      <c r="G33" s="8">
        <v>79600</v>
      </c>
      <c r="H33" s="196" t="s">
        <v>2708</v>
      </c>
    </row>
    <row r="34" spans="1:8" x14ac:dyDescent="0.35">
      <c r="A34" s="193">
        <v>33</v>
      </c>
      <c r="B34" s="202">
        <v>8</v>
      </c>
      <c r="C34" s="203" t="s">
        <v>2574</v>
      </c>
      <c r="D34" s="203">
        <v>4</v>
      </c>
      <c r="E34" s="203" t="s">
        <v>2709</v>
      </c>
      <c r="F34" s="195" t="str">
        <f t="shared" si="0"/>
        <v>Cuota protegida Independientes + Protección Mascotas4Independiente-Pensionado</v>
      </c>
      <c r="G34" s="204">
        <v>125800</v>
      </c>
      <c r="H34" s="205" t="s">
        <v>2708</v>
      </c>
    </row>
    <row r="35" spans="1:8" x14ac:dyDescent="0.35">
      <c r="A35" s="199">
        <v>34</v>
      </c>
      <c r="B35" s="206">
        <v>9</v>
      </c>
      <c r="C35" s="130" t="s">
        <v>2577</v>
      </c>
      <c r="D35" s="130">
        <v>1</v>
      </c>
      <c r="E35" s="130" t="s">
        <v>2707</v>
      </c>
      <c r="F35" s="195" t="str">
        <f t="shared" si="0"/>
        <v>Cuota protegida Asalariados + Movilidad Segura1Asalariados</v>
      </c>
      <c r="G35" s="8">
        <v>33400</v>
      </c>
      <c r="H35" s="196" t="s">
        <v>2708</v>
      </c>
    </row>
    <row r="36" spans="1:8" x14ac:dyDescent="0.35">
      <c r="A36" s="193">
        <v>35</v>
      </c>
      <c r="B36" s="202">
        <v>9</v>
      </c>
      <c r="C36" s="203" t="s">
        <v>2577</v>
      </c>
      <c r="D36" s="203">
        <v>2</v>
      </c>
      <c r="E36" s="203" t="s">
        <v>2707</v>
      </c>
      <c r="F36" s="195" t="str">
        <f t="shared" si="0"/>
        <v>Cuota protegida Asalariados + Movilidad Segura2Asalariados</v>
      </c>
      <c r="G36" s="204">
        <v>48800</v>
      </c>
      <c r="H36" s="205" t="s">
        <v>2708</v>
      </c>
    </row>
    <row r="37" spans="1:8" x14ac:dyDescent="0.35">
      <c r="A37" s="199">
        <v>36</v>
      </c>
      <c r="B37" s="206">
        <v>9</v>
      </c>
      <c r="C37" s="130" t="s">
        <v>2577</v>
      </c>
      <c r="D37" s="130">
        <v>3</v>
      </c>
      <c r="E37" s="130" t="s">
        <v>2707</v>
      </c>
      <c r="F37" s="195" t="str">
        <f t="shared" si="0"/>
        <v>Cuota protegida Asalariados + Movilidad Segura3Asalariados</v>
      </c>
      <c r="G37" s="8">
        <v>79600</v>
      </c>
      <c r="H37" s="196" t="s">
        <v>2708</v>
      </c>
    </row>
    <row r="38" spans="1:8" x14ac:dyDescent="0.35">
      <c r="A38" s="193">
        <v>37</v>
      </c>
      <c r="B38" s="202">
        <v>9</v>
      </c>
      <c r="C38" s="203" t="s">
        <v>2577</v>
      </c>
      <c r="D38" s="203">
        <v>4</v>
      </c>
      <c r="E38" s="203" t="s">
        <v>2707</v>
      </c>
      <c r="F38" s="195" t="str">
        <f t="shared" si="0"/>
        <v>Cuota protegida Asalariados + Movilidad Segura4Asalariados</v>
      </c>
      <c r="G38" s="204">
        <v>125800</v>
      </c>
      <c r="H38" s="205" t="s">
        <v>2708</v>
      </c>
    </row>
    <row r="39" spans="1:8" x14ac:dyDescent="0.35">
      <c r="A39" s="199">
        <v>38</v>
      </c>
      <c r="B39" s="130">
        <v>10</v>
      </c>
      <c r="C39" s="130" t="s">
        <v>2578</v>
      </c>
      <c r="D39" s="130">
        <v>1</v>
      </c>
      <c r="E39" s="130" t="s">
        <v>2709</v>
      </c>
      <c r="F39" s="195" t="str">
        <f t="shared" si="0"/>
        <v>Cuota protegida Independientes + Movilidad Segura1Independiente-Pensionado</v>
      </c>
      <c r="G39" s="8">
        <v>33400</v>
      </c>
      <c r="H39" s="196" t="s">
        <v>2708</v>
      </c>
    </row>
    <row r="40" spans="1:8" x14ac:dyDescent="0.35">
      <c r="A40" s="193">
        <v>39</v>
      </c>
      <c r="B40" s="203">
        <v>10</v>
      </c>
      <c r="C40" s="203" t="s">
        <v>2578</v>
      </c>
      <c r="D40" s="203">
        <v>2</v>
      </c>
      <c r="E40" s="203" t="s">
        <v>2709</v>
      </c>
      <c r="F40" s="195" t="str">
        <f t="shared" si="0"/>
        <v>Cuota protegida Independientes + Movilidad Segura2Independiente-Pensionado</v>
      </c>
      <c r="G40" s="204">
        <v>48800</v>
      </c>
      <c r="H40" s="205" t="s">
        <v>2708</v>
      </c>
    </row>
    <row r="41" spans="1:8" x14ac:dyDescent="0.35">
      <c r="A41" s="199">
        <v>40</v>
      </c>
      <c r="B41" s="130">
        <v>10</v>
      </c>
      <c r="C41" s="130" t="s">
        <v>2578</v>
      </c>
      <c r="D41" s="130">
        <v>3</v>
      </c>
      <c r="E41" s="130" t="s">
        <v>2709</v>
      </c>
      <c r="F41" s="195" t="str">
        <f t="shared" si="0"/>
        <v>Cuota protegida Independientes + Movilidad Segura3Independiente-Pensionado</v>
      </c>
      <c r="G41" s="8">
        <v>79600</v>
      </c>
      <c r="H41" s="196" t="s">
        <v>2708</v>
      </c>
    </row>
    <row r="42" spans="1:8" x14ac:dyDescent="0.35">
      <c r="A42" s="193">
        <v>41</v>
      </c>
      <c r="B42" s="203">
        <v>10</v>
      </c>
      <c r="C42" s="203" t="s">
        <v>2578</v>
      </c>
      <c r="D42" s="203">
        <v>4</v>
      </c>
      <c r="E42" s="203" t="s">
        <v>2709</v>
      </c>
      <c r="F42" s="195" t="str">
        <f t="shared" si="0"/>
        <v>Cuota protegida Independientes + Movilidad Segura4Independiente-Pensionado</v>
      </c>
      <c r="G42" s="204">
        <v>125800</v>
      </c>
      <c r="H42" s="205" t="s">
        <v>2708</v>
      </c>
    </row>
    <row r="43" spans="1:8" x14ac:dyDescent="0.35">
      <c r="A43" s="199">
        <v>42</v>
      </c>
      <c r="B43" s="130">
        <v>11</v>
      </c>
      <c r="C43" s="130" t="s">
        <v>2581</v>
      </c>
      <c r="D43" s="130">
        <v>1</v>
      </c>
      <c r="E43" s="130" t="s">
        <v>2707</v>
      </c>
      <c r="F43" s="195" t="str">
        <f t="shared" si="0"/>
        <v>Cuota protegida vivienda asalariados1Asalariados</v>
      </c>
      <c r="G43" s="8">
        <v>22300</v>
      </c>
      <c r="H43" s="196" t="s">
        <v>2708</v>
      </c>
    </row>
    <row r="44" spans="1:8" x14ac:dyDescent="0.35">
      <c r="A44" s="193">
        <v>43</v>
      </c>
      <c r="B44" s="203">
        <v>11</v>
      </c>
      <c r="C44" s="203" t="s">
        <v>2581</v>
      </c>
      <c r="D44" s="203">
        <v>2</v>
      </c>
      <c r="E44" s="203" t="s">
        <v>2707</v>
      </c>
      <c r="F44" s="195" t="str">
        <f t="shared" si="0"/>
        <v>Cuota protegida vivienda asalariados2Asalariados</v>
      </c>
      <c r="G44" s="204">
        <v>32600</v>
      </c>
      <c r="H44" s="205" t="s">
        <v>2708</v>
      </c>
    </row>
    <row r="45" spans="1:8" x14ac:dyDescent="0.35">
      <c r="A45" s="199">
        <v>44</v>
      </c>
      <c r="B45" s="130">
        <v>11</v>
      </c>
      <c r="C45" s="130" t="s">
        <v>2581</v>
      </c>
      <c r="D45" s="130">
        <v>3</v>
      </c>
      <c r="E45" s="130" t="s">
        <v>2707</v>
      </c>
      <c r="F45" s="195" t="str">
        <f t="shared" si="0"/>
        <v>Cuota protegida vivienda asalariados3Asalariados</v>
      </c>
      <c r="G45" s="8">
        <v>53000</v>
      </c>
      <c r="H45" s="196" t="s">
        <v>2708</v>
      </c>
    </row>
    <row r="46" spans="1:8" x14ac:dyDescent="0.35">
      <c r="A46" s="193">
        <v>45</v>
      </c>
      <c r="B46" s="203">
        <v>11</v>
      </c>
      <c r="C46" s="203" t="s">
        <v>2581</v>
      </c>
      <c r="D46" s="203">
        <v>4</v>
      </c>
      <c r="E46" s="203" t="s">
        <v>2707</v>
      </c>
      <c r="F46" s="195" t="str">
        <f t="shared" si="0"/>
        <v>Cuota protegida vivienda asalariados4Asalariados</v>
      </c>
      <c r="G46" s="204">
        <v>83900</v>
      </c>
      <c r="H46" s="205" t="s">
        <v>2708</v>
      </c>
    </row>
    <row r="47" spans="1:8" x14ac:dyDescent="0.35">
      <c r="A47" s="199">
        <v>46</v>
      </c>
      <c r="B47" s="130">
        <v>12</v>
      </c>
      <c r="C47" s="130" t="s">
        <v>2582</v>
      </c>
      <c r="D47" s="130">
        <v>1</v>
      </c>
      <c r="E47" s="130" t="s">
        <v>2709</v>
      </c>
      <c r="F47" s="195" t="str">
        <f t="shared" si="0"/>
        <v>Cuota protegida vivienda independientes1Independiente-Pensionado</v>
      </c>
      <c r="G47" s="8">
        <v>22300</v>
      </c>
      <c r="H47" s="196" t="s">
        <v>2708</v>
      </c>
    </row>
    <row r="48" spans="1:8" x14ac:dyDescent="0.35">
      <c r="A48" s="193">
        <v>47</v>
      </c>
      <c r="B48" s="203">
        <v>12</v>
      </c>
      <c r="C48" s="203" t="s">
        <v>2582</v>
      </c>
      <c r="D48" s="203">
        <v>2</v>
      </c>
      <c r="E48" s="203" t="s">
        <v>2709</v>
      </c>
      <c r="F48" s="195" t="str">
        <f t="shared" si="0"/>
        <v>Cuota protegida vivienda independientes2Independiente-Pensionado</v>
      </c>
      <c r="G48" s="204">
        <v>32600</v>
      </c>
      <c r="H48" s="205" t="s">
        <v>2708</v>
      </c>
    </row>
    <row r="49" spans="1:8" x14ac:dyDescent="0.35">
      <c r="A49" s="199">
        <v>48</v>
      </c>
      <c r="B49" s="130">
        <v>12</v>
      </c>
      <c r="C49" s="130" t="s">
        <v>2582</v>
      </c>
      <c r="D49" s="130">
        <v>3</v>
      </c>
      <c r="E49" s="130" t="s">
        <v>2709</v>
      </c>
      <c r="F49" s="195" t="str">
        <f t="shared" si="0"/>
        <v>Cuota protegida vivienda independientes3Independiente-Pensionado</v>
      </c>
      <c r="G49" s="8">
        <v>53000</v>
      </c>
      <c r="H49" s="196" t="s">
        <v>2708</v>
      </c>
    </row>
    <row r="50" spans="1:8" x14ac:dyDescent="0.35">
      <c r="A50" s="193">
        <v>49</v>
      </c>
      <c r="B50" s="203">
        <v>12</v>
      </c>
      <c r="C50" s="203" t="s">
        <v>2582</v>
      </c>
      <c r="D50" s="203">
        <v>4</v>
      </c>
      <c r="E50" s="203" t="s">
        <v>2709</v>
      </c>
      <c r="F50" s="195" t="str">
        <f t="shared" si="0"/>
        <v>Cuota protegida vivienda independientes4Independiente-Pensionado</v>
      </c>
      <c r="G50" s="204">
        <v>83900</v>
      </c>
      <c r="H50" s="205" t="s">
        <v>2708</v>
      </c>
    </row>
    <row r="51" spans="1:8" x14ac:dyDescent="0.35">
      <c r="A51" s="199">
        <v>50</v>
      </c>
      <c r="B51" s="130">
        <v>13</v>
      </c>
      <c r="C51" s="130" t="s">
        <v>2584</v>
      </c>
      <c r="D51" s="130">
        <v>1</v>
      </c>
      <c r="E51" s="130" t="s">
        <v>2709</v>
      </c>
      <c r="F51" s="195" t="str">
        <f t="shared" si="0"/>
        <v>Hogar Seguro + Protección Mascotas1Independiente-Pensionado</v>
      </c>
      <c r="G51" s="8">
        <v>33400</v>
      </c>
      <c r="H51" s="209" t="s">
        <v>2710</v>
      </c>
    </row>
    <row r="52" spans="1:8" x14ac:dyDescent="0.35">
      <c r="A52" s="193">
        <v>51</v>
      </c>
      <c r="B52" s="203">
        <v>13</v>
      </c>
      <c r="C52" s="203" t="s">
        <v>2584</v>
      </c>
      <c r="D52" s="203">
        <v>2</v>
      </c>
      <c r="E52" s="203" t="s">
        <v>2709</v>
      </c>
      <c r="F52" s="195" t="str">
        <f t="shared" si="0"/>
        <v>Hogar Seguro + Protección Mascotas2Independiente-Pensionado</v>
      </c>
      <c r="G52" s="204">
        <v>48800</v>
      </c>
      <c r="H52" s="210" t="s">
        <v>2710</v>
      </c>
    </row>
    <row r="53" spans="1:8" x14ac:dyDescent="0.35">
      <c r="A53" s="199">
        <v>52</v>
      </c>
      <c r="B53" s="130">
        <v>13</v>
      </c>
      <c r="C53" s="130" t="s">
        <v>2584</v>
      </c>
      <c r="D53" s="130">
        <v>3</v>
      </c>
      <c r="E53" s="130" t="s">
        <v>2709</v>
      </c>
      <c r="F53" s="195" t="str">
        <f t="shared" si="0"/>
        <v>Hogar Seguro + Protección Mascotas3Independiente-Pensionado</v>
      </c>
      <c r="G53" s="8">
        <v>79600</v>
      </c>
      <c r="H53" s="209" t="s">
        <v>2710</v>
      </c>
    </row>
    <row r="54" spans="1:8" x14ac:dyDescent="0.35">
      <c r="A54" s="193">
        <v>53</v>
      </c>
      <c r="B54" s="203">
        <v>13</v>
      </c>
      <c r="C54" s="203" t="s">
        <v>2584</v>
      </c>
      <c r="D54" s="203">
        <v>4</v>
      </c>
      <c r="E54" s="203" t="s">
        <v>2709</v>
      </c>
      <c r="F54" s="195" t="str">
        <f t="shared" si="0"/>
        <v>Hogar Seguro + Protección Mascotas4Independiente-Pensionado</v>
      </c>
      <c r="G54" s="204">
        <v>125800</v>
      </c>
      <c r="H54" s="210" t="s">
        <v>2710</v>
      </c>
    </row>
    <row r="55" spans="1:8" x14ac:dyDescent="0.35">
      <c r="A55" s="199">
        <v>54</v>
      </c>
      <c r="B55" s="130">
        <v>14</v>
      </c>
      <c r="C55" s="130" t="s">
        <v>2586</v>
      </c>
      <c r="D55" s="130">
        <v>1</v>
      </c>
      <c r="E55" s="130" t="s">
        <v>2709</v>
      </c>
      <c r="F55" s="195" t="str">
        <f t="shared" si="0"/>
        <v>Hogar Seguro + Movilidad Segura1Independiente-Pensionado</v>
      </c>
      <c r="G55" s="8">
        <v>33400</v>
      </c>
      <c r="H55" s="196" t="s">
        <v>2708</v>
      </c>
    </row>
    <row r="56" spans="1:8" x14ac:dyDescent="0.35">
      <c r="A56" s="193">
        <v>55</v>
      </c>
      <c r="B56" s="203">
        <v>14</v>
      </c>
      <c r="C56" s="203" t="s">
        <v>2586</v>
      </c>
      <c r="D56" s="203">
        <v>2</v>
      </c>
      <c r="E56" s="203" t="s">
        <v>2709</v>
      </c>
      <c r="F56" s="195" t="str">
        <f t="shared" si="0"/>
        <v>Hogar Seguro + Movilidad Segura2Independiente-Pensionado</v>
      </c>
      <c r="G56" s="204">
        <v>48800</v>
      </c>
      <c r="H56" s="205" t="s">
        <v>2708</v>
      </c>
    </row>
    <row r="57" spans="1:8" x14ac:dyDescent="0.35">
      <c r="A57" s="199">
        <v>56</v>
      </c>
      <c r="B57" s="130">
        <v>14</v>
      </c>
      <c r="C57" s="130" t="s">
        <v>2586</v>
      </c>
      <c r="D57" s="130">
        <v>3</v>
      </c>
      <c r="E57" s="130" t="s">
        <v>2709</v>
      </c>
      <c r="F57" s="195" t="str">
        <f t="shared" si="0"/>
        <v>Hogar Seguro + Movilidad Segura3Independiente-Pensionado</v>
      </c>
      <c r="G57" s="8">
        <v>79600</v>
      </c>
      <c r="H57" s="196" t="s">
        <v>2708</v>
      </c>
    </row>
    <row r="58" spans="1:8" x14ac:dyDescent="0.35">
      <c r="A58" s="193">
        <v>57</v>
      </c>
      <c r="B58" s="203">
        <v>14</v>
      </c>
      <c r="C58" s="203" t="s">
        <v>2586</v>
      </c>
      <c r="D58" s="203">
        <v>4</v>
      </c>
      <c r="E58" s="203" t="s">
        <v>2709</v>
      </c>
      <c r="F58" s="195" t="str">
        <f t="shared" si="0"/>
        <v>Hogar Seguro + Movilidad Segura4Independiente-Pensionado</v>
      </c>
      <c r="G58" s="204">
        <v>125800</v>
      </c>
      <c r="H58" s="205" t="s">
        <v>2708</v>
      </c>
    </row>
    <row r="59" spans="1:8" x14ac:dyDescent="0.35">
      <c r="A59" s="199">
        <v>58</v>
      </c>
      <c r="B59" s="130">
        <v>15</v>
      </c>
      <c r="C59" s="130" t="s">
        <v>2587</v>
      </c>
      <c r="D59" s="130">
        <v>1</v>
      </c>
      <c r="E59" s="130" t="s">
        <v>2709</v>
      </c>
      <c r="F59" s="195" t="str">
        <f t="shared" si="0"/>
        <v>Hogar Seguro1Independiente-Pensionado</v>
      </c>
      <c r="G59" s="8">
        <v>22300</v>
      </c>
      <c r="H59" s="209" t="s">
        <v>2710</v>
      </c>
    </row>
    <row r="60" spans="1:8" x14ac:dyDescent="0.35">
      <c r="A60" s="193">
        <v>59</v>
      </c>
      <c r="B60" s="203">
        <v>15</v>
      </c>
      <c r="C60" s="203" t="s">
        <v>2587</v>
      </c>
      <c r="D60" s="203">
        <v>2</v>
      </c>
      <c r="E60" s="203" t="s">
        <v>2709</v>
      </c>
      <c r="F60" s="195" t="str">
        <f t="shared" si="0"/>
        <v>Hogar Seguro2Independiente-Pensionado</v>
      </c>
      <c r="G60" s="204">
        <v>32600</v>
      </c>
      <c r="H60" s="210" t="s">
        <v>2710</v>
      </c>
    </row>
    <row r="61" spans="1:8" x14ac:dyDescent="0.35">
      <c r="A61" s="199">
        <v>60</v>
      </c>
      <c r="B61" s="130">
        <v>15</v>
      </c>
      <c r="C61" s="130" t="s">
        <v>2587</v>
      </c>
      <c r="D61" s="130">
        <v>3</v>
      </c>
      <c r="E61" s="130" t="s">
        <v>2709</v>
      </c>
      <c r="F61" s="195" t="str">
        <f t="shared" si="0"/>
        <v>Hogar Seguro3Independiente-Pensionado</v>
      </c>
      <c r="G61" s="8">
        <v>53000</v>
      </c>
      <c r="H61" s="209" t="s">
        <v>2710</v>
      </c>
    </row>
    <row r="62" spans="1:8" x14ac:dyDescent="0.35">
      <c r="A62" s="193">
        <v>61</v>
      </c>
      <c r="B62" s="203">
        <v>15</v>
      </c>
      <c r="C62" s="203" t="s">
        <v>2587</v>
      </c>
      <c r="D62" s="203">
        <v>4</v>
      </c>
      <c r="E62" s="203" t="s">
        <v>2709</v>
      </c>
      <c r="F62" s="195" t="str">
        <f t="shared" si="0"/>
        <v>Hogar Seguro4Independiente-Pensionado</v>
      </c>
      <c r="G62" s="204">
        <v>83900</v>
      </c>
      <c r="H62" s="210" t="s">
        <v>2710</v>
      </c>
    </row>
    <row r="63" spans="1:8" x14ac:dyDescent="0.35">
      <c r="A63" s="199">
        <v>62</v>
      </c>
      <c r="B63" s="130">
        <v>16</v>
      </c>
      <c r="C63" s="130" t="s">
        <v>2632</v>
      </c>
      <c r="D63" s="130">
        <v>1</v>
      </c>
      <c r="E63" s="130" t="s">
        <v>2709</v>
      </c>
      <c r="F63" s="195" t="str">
        <f t="shared" si="0"/>
        <v>Proteccion Mascotas1Independiente-Pensionado</v>
      </c>
      <c r="G63" s="8">
        <v>22300</v>
      </c>
      <c r="H63" s="209" t="s">
        <v>2710</v>
      </c>
    </row>
    <row r="64" spans="1:8" x14ac:dyDescent="0.35">
      <c r="A64" s="193">
        <v>63</v>
      </c>
      <c r="B64" s="203">
        <v>16</v>
      </c>
      <c r="C64" s="203" t="s">
        <v>2632</v>
      </c>
      <c r="D64" s="203">
        <v>2</v>
      </c>
      <c r="E64" s="203" t="s">
        <v>2709</v>
      </c>
      <c r="F64" s="195" t="str">
        <f t="shared" si="0"/>
        <v>Proteccion Mascotas2Independiente-Pensionado</v>
      </c>
      <c r="G64" s="204">
        <v>32600</v>
      </c>
      <c r="H64" s="210" t="s">
        <v>2710</v>
      </c>
    </row>
    <row r="65" spans="1:8" x14ac:dyDescent="0.35">
      <c r="A65" s="199">
        <v>64</v>
      </c>
      <c r="B65" s="130">
        <v>16</v>
      </c>
      <c r="C65" s="130" t="s">
        <v>2632</v>
      </c>
      <c r="D65" s="130">
        <v>3</v>
      </c>
      <c r="E65" s="130" t="s">
        <v>2709</v>
      </c>
      <c r="F65" s="195" t="str">
        <f t="shared" si="0"/>
        <v>Proteccion Mascotas3Independiente-Pensionado</v>
      </c>
      <c r="G65" s="8">
        <v>53000</v>
      </c>
      <c r="H65" s="209" t="s">
        <v>2710</v>
      </c>
    </row>
    <row r="66" spans="1:8" x14ac:dyDescent="0.35">
      <c r="A66" s="193">
        <v>65</v>
      </c>
      <c r="B66" s="203">
        <v>16</v>
      </c>
      <c r="C66" s="203" t="s">
        <v>2632</v>
      </c>
      <c r="D66" s="203">
        <v>4</v>
      </c>
      <c r="E66" s="203" t="s">
        <v>2709</v>
      </c>
      <c r="F66" s="195" t="str">
        <f t="shared" si="0"/>
        <v>Proteccion Mascotas4Independiente-Pensionado</v>
      </c>
      <c r="G66" s="204">
        <v>83900</v>
      </c>
      <c r="H66" s="210" t="s">
        <v>2710</v>
      </c>
    </row>
    <row r="67" spans="1:8" x14ac:dyDescent="0.35">
      <c r="A67" s="199">
        <v>66</v>
      </c>
      <c r="B67" s="130">
        <v>17</v>
      </c>
      <c r="C67" s="130" t="s">
        <v>2634</v>
      </c>
      <c r="D67" s="130">
        <v>1</v>
      </c>
      <c r="E67" s="130" t="s">
        <v>2709</v>
      </c>
      <c r="F67" s="195" t="str">
        <f t="shared" si="0"/>
        <v>Movilidad Segura1Independiente-Pensionado</v>
      </c>
      <c r="G67" s="8">
        <v>22300</v>
      </c>
      <c r="H67" s="196" t="s">
        <v>2708</v>
      </c>
    </row>
    <row r="68" spans="1:8" x14ac:dyDescent="0.35">
      <c r="A68" s="193">
        <v>67</v>
      </c>
      <c r="B68" s="203">
        <v>17</v>
      </c>
      <c r="C68" s="203" t="s">
        <v>2634</v>
      </c>
      <c r="D68" s="203">
        <v>2</v>
      </c>
      <c r="E68" s="203" t="s">
        <v>2709</v>
      </c>
      <c r="F68" s="195" t="str">
        <f t="shared" ref="F68:F87" si="1">C68&amp;D68&amp;E68</f>
        <v>Movilidad Segura2Independiente-Pensionado</v>
      </c>
      <c r="G68" s="204">
        <v>32600</v>
      </c>
      <c r="H68" s="205" t="s">
        <v>2708</v>
      </c>
    </row>
    <row r="69" spans="1:8" x14ac:dyDescent="0.35">
      <c r="A69" s="199">
        <v>68</v>
      </c>
      <c r="B69" s="130">
        <v>17</v>
      </c>
      <c r="C69" s="130" t="s">
        <v>2634</v>
      </c>
      <c r="D69" s="130">
        <v>3</v>
      </c>
      <c r="E69" s="130" t="s">
        <v>2709</v>
      </c>
      <c r="F69" s="195" t="str">
        <f t="shared" si="1"/>
        <v>Movilidad Segura3Independiente-Pensionado</v>
      </c>
      <c r="G69" s="8">
        <v>53000</v>
      </c>
      <c r="H69" s="196" t="s">
        <v>2708</v>
      </c>
    </row>
    <row r="70" spans="1:8" x14ac:dyDescent="0.35">
      <c r="A70" s="193">
        <v>69</v>
      </c>
      <c r="B70" s="203">
        <v>17</v>
      </c>
      <c r="C70" s="203" t="s">
        <v>2634</v>
      </c>
      <c r="D70" s="203">
        <v>4</v>
      </c>
      <c r="E70" s="203" t="s">
        <v>2709</v>
      </c>
      <c r="F70" s="195" t="str">
        <f t="shared" si="1"/>
        <v>Movilidad Segura4Independiente-Pensionado</v>
      </c>
      <c r="G70" s="204">
        <v>83900</v>
      </c>
      <c r="H70" s="205" t="s">
        <v>2708</v>
      </c>
    </row>
    <row r="71" spans="1:8" x14ac:dyDescent="0.35">
      <c r="A71" s="199">
        <v>70</v>
      </c>
      <c r="B71" s="130">
        <v>13</v>
      </c>
      <c r="C71" s="130" t="s">
        <v>2584</v>
      </c>
      <c r="D71" s="130">
        <v>1</v>
      </c>
      <c r="E71" s="130" t="s">
        <v>2707</v>
      </c>
      <c r="F71" s="195" t="str">
        <f t="shared" si="1"/>
        <v>Hogar Seguro + Protección Mascotas1Asalariados</v>
      </c>
      <c r="G71" s="8">
        <v>33400</v>
      </c>
      <c r="H71" s="209" t="s">
        <v>2710</v>
      </c>
    </row>
    <row r="72" spans="1:8" x14ac:dyDescent="0.35">
      <c r="A72" s="193">
        <v>71</v>
      </c>
      <c r="B72" s="203">
        <v>13</v>
      </c>
      <c r="C72" s="203" t="s">
        <v>2584</v>
      </c>
      <c r="D72" s="203">
        <v>2</v>
      </c>
      <c r="E72" s="203" t="s">
        <v>2707</v>
      </c>
      <c r="F72" s="195" t="str">
        <f t="shared" si="1"/>
        <v>Hogar Seguro + Protección Mascotas2Asalariados</v>
      </c>
      <c r="G72" s="204">
        <v>48800</v>
      </c>
      <c r="H72" s="210" t="s">
        <v>2710</v>
      </c>
    </row>
    <row r="73" spans="1:8" x14ac:dyDescent="0.35">
      <c r="A73" s="199">
        <v>72</v>
      </c>
      <c r="B73" s="130">
        <v>13</v>
      </c>
      <c r="C73" s="130" t="s">
        <v>2584</v>
      </c>
      <c r="D73" s="130">
        <v>3</v>
      </c>
      <c r="E73" s="130" t="s">
        <v>2707</v>
      </c>
      <c r="F73" s="195" t="str">
        <f t="shared" si="1"/>
        <v>Hogar Seguro + Protección Mascotas3Asalariados</v>
      </c>
      <c r="G73" s="8">
        <v>79600</v>
      </c>
      <c r="H73" s="209" t="s">
        <v>2710</v>
      </c>
    </row>
    <row r="74" spans="1:8" x14ac:dyDescent="0.35">
      <c r="A74" s="193">
        <v>73</v>
      </c>
      <c r="B74" s="203">
        <v>13</v>
      </c>
      <c r="C74" s="203" t="s">
        <v>2584</v>
      </c>
      <c r="D74" s="203">
        <v>4</v>
      </c>
      <c r="E74" s="203" t="s">
        <v>2707</v>
      </c>
      <c r="F74" s="195" t="str">
        <f t="shared" si="1"/>
        <v>Hogar Seguro + Protección Mascotas4Asalariados</v>
      </c>
      <c r="G74" s="204">
        <v>125800</v>
      </c>
      <c r="H74" s="210" t="s">
        <v>2710</v>
      </c>
    </row>
    <row r="75" spans="1:8" x14ac:dyDescent="0.35">
      <c r="A75" s="199">
        <v>74</v>
      </c>
      <c r="B75" s="130">
        <v>14</v>
      </c>
      <c r="C75" s="130" t="s">
        <v>2586</v>
      </c>
      <c r="D75" s="130">
        <v>1</v>
      </c>
      <c r="E75" s="130" t="s">
        <v>2707</v>
      </c>
      <c r="F75" s="195" t="str">
        <f t="shared" si="1"/>
        <v>Hogar Seguro + Movilidad Segura1Asalariados</v>
      </c>
      <c r="G75" s="8">
        <v>33400</v>
      </c>
      <c r="H75" s="196" t="s">
        <v>2708</v>
      </c>
    </row>
    <row r="76" spans="1:8" x14ac:dyDescent="0.35">
      <c r="A76" s="193">
        <v>75</v>
      </c>
      <c r="B76" s="203">
        <v>14</v>
      </c>
      <c r="C76" s="203" t="s">
        <v>2586</v>
      </c>
      <c r="D76" s="203">
        <v>2</v>
      </c>
      <c r="E76" s="203" t="s">
        <v>2707</v>
      </c>
      <c r="F76" s="195" t="str">
        <f t="shared" si="1"/>
        <v>Hogar Seguro + Movilidad Segura2Asalariados</v>
      </c>
      <c r="G76" s="204">
        <v>48800</v>
      </c>
      <c r="H76" s="205" t="s">
        <v>2708</v>
      </c>
    </row>
    <row r="77" spans="1:8" x14ac:dyDescent="0.35">
      <c r="A77" s="199">
        <v>76</v>
      </c>
      <c r="B77" s="130">
        <v>14</v>
      </c>
      <c r="C77" s="130" t="s">
        <v>2586</v>
      </c>
      <c r="D77" s="130">
        <v>3</v>
      </c>
      <c r="E77" s="130" t="s">
        <v>2707</v>
      </c>
      <c r="F77" s="195" t="str">
        <f t="shared" si="1"/>
        <v>Hogar Seguro + Movilidad Segura3Asalariados</v>
      </c>
      <c r="G77" s="8">
        <v>79600</v>
      </c>
      <c r="H77" s="196" t="s">
        <v>2708</v>
      </c>
    </row>
    <row r="78" spans="1:8" x14ac:dyDescent="0.35">
      <c r="A78" s="193">
        <v>77</v>
      </c>
      <c r="B78" s="203">
        <v>14</v>
      </c>
      <c r="C78" s="203" t="s">
        <v>2586</v>
      </c>
      <c r="D78" s="203">
        <v>4</v>
      </c>
      <c r="E78" s="203" t="s">
        <v>2707</v>
      </c>
      <c r="F78" s="195" t="str">
        <f t="shared" si="1"/>
        <v>Hogar Seguro + Movilidad Segura4Asalariados</v>
      </c>
      <c r="G78" s="204">
        <v>125800</v>
      </c>
      <c r="H78" s="205" t="s">
        <v>2708</v>
      </c>
    </row>
    <row r="79" spans="1:8" x14ac:dyDescent="0.35">
      <c r="A79" s="199">
        <v>78</v>
      </c>
      <c r="B79" s="130">
        <v>15</v>
      </c>
      <c r="C79" s="130" t="s">
        <v>2587</v>
      </c>
      <c r="D79" s="130">
        <v>1</v>
      </c>
      <c r="E79" s="130" t="s">
        <v>2707</v>
      </c>
      <c r="F79" s="195" t="str">
        <f t="shared" si="1"/>
        <v>Hogar Seguro1Asalariados</v>
      </c>
      <c r="G79" s="8">
        <v>22300</v>
      </c>
      <c r="H79" s="209" t="s">
        <v>2710</v>
      </c>
    </row>
    <row r="80" spans="1:8" x14ac:dyDescent="0.35">
      <c r="A80" s="193">
        <v>79</v>
      </c>
      <c r="B80" s="203">
        <v>15</v>
      </c>
      <c r="C80" s="203" t="s">
        <v>2587</v>
      </c>
      <c r="D80" s="203">
        <v>2</v>
      </c>
      <c r="E80" s="203" t="s">
        <v>2707</v>
      </c>
      <c r="F80" s="195" t="str">
        <f t="shared" si="1"/>
        <v>Hogar Seguro2Asalariados</v>
      </c>
      <c r="G80" s="204">
        <v>32600</v>
      </c>
      <c r="H80" s="210" t="s">
        <v>2710</v>
      </c>
    </row>
    <row r="81" spans="1:8" x14ac:dyDescent="0.35">
      <c r="A81" s="199">
        <v>80</v>
      </c>
      <c r="B81" s="130">
        <v>15</v>
      </c>
      <c r="C81" s="130" t="s">
        <v>2587</v>
      </c>
      <c r="D81" s="130">
        <v>3</v>
      </c>
      <c r="E81" s="130" t="s">
        <v>2707</v>
      </c>
      <c r="F81" s="195" t="str">
        <f t="shared" si="1"/>
        <v>Hogar Seguro3Asalariados</v>
      </c>
      <c r="G81" s="8">
        <v>53000</v>
      </c>
      <c r="H81" s="209" t="s">
        <v>2710</v>
      </c>
    </row>
    <row r="82" spans="1:8" x14ac:dyDescent="0.35">
      <c r="A82" s="193">
        <v>81</v>
      </c>
      <c r="B82" s="203">
        <v>15</v>
      </c>
      <c r="C82" s="203" t="s">
        <v>2587</v>
      </c>
      <c r="D82" s="203">
        <v>4</v>
      </c>
      <c r="E82" s="203" t="s">
        <v>2707</v>
      </c>
      <c r="F82" s="195" t="str">
        <f t="shared" si="1"/>
        <v>Hogar Seguro4Asalariados</v>
      </c>
      <c r="G82" s="204">
        <v>83900</v>
      </c>
      <c r="H82" s="210" t="s">
        <v>2710</v>
      </c>
    </row>
    <row r="83" spans="1:8" x14ac:dyDescent="0.35">
      <c r="A83" s="199">
        <v>82</v>
      </c>
      <c r="B83" s="130">
        <v>16</v>
      </c>
      <c r="C83" s="130" t="s">
        <v>2632</v>
      </c>
      <c r="D83" s="130">
        <v>1</v>
      </c>
      <c r="E83" s="130" t="s">
        <v>2707</v>
      </c>
      <c r="F83" s="195" t="str">
        <f t="shared" si="1"/>
        <v>Proteccion Mascotas1Asalariados</v>
      </c>
      <c r="G83" s="8">
        <v>22300</v>
      </c>
      <c r="H83" s="209" t="s">
        <v>2710</v>
      </c>
    </row>
    <row r="84" spans="1:8" x14ac:dyDescent="0.35">
      <c r="A84" s="193">
        <v>83</v>
      </c>
      <c r="B84" s="203">
        <v>16</v>
      </c>
      <c r="C84" s="203" t="s">
        <v>2632</v>
      </c>
      <c r="D84" s="203">
        <v>2</v>
      </c>
      <c r="E84" s="203" t="s">
        <v>2707</v>
      </c>
      <c r="F84" s="195" t="str">
        <f t="shared" si="1"/>
        <v>Proteccion Mascotas2Asalariados</v>
      </c>
      <c r="G84" s="204">
        <v>32600</v>
      </c>
      <c r="H84" s="210" t="s">
        <v>2710</v>
      </c>
    </row>
    <row r="85" spans="1:8" x14ac:dyDescent="0.35">
      <c r="A85" s="199">
        <v>84</v>
      </c>
      <c r="B85" s="130">
        <v>16</v>
      </c>
      <c r="C85" s="130" t="s">
        <v>2632</v>
      </c>
      <c r="D85" s="130">
        <v>3</v>
      </c>
      <c r="E85" s="130" t="s">
        <v>2707</v>
      </c>
      <c r="F85" s="195" t="str">
        <f t="shared" si="1"/>
        <v>Proteccion Mascotas3Asalariados</v>
      </c>
      <c r="G85" s="8">
        <v>53000</v>
      </c>
      <c r="H85" s="209" t="s">
        <v>2710</v>
      </c>
    </row>
    <row r="86" spans="1:8" x14ac:dyDescent="0.35">
      <c r="A86" s="193">
        <v>85</v>
      </c>
      <c r="B86" s="203">
        <v>16</v>
      </c>
      <c r="C86" s="203" t="s">
        <v>2632</v>
      </c>
      <c r="D86" s="203">
        <v>4</v>
      </c>
      <c r="E86" s="203" t="s">
        <v>2707</v>
      </c>
      <c r="F86" s="195" t="str">
        <f t="shared" si="1"/>
        <v>Proteccion Mascotas4Asalariados</v>
      </c>
      <c r="G86" s="204">
        <v>83900</v>
      </c>
      <c r="H86" s="210" t="s">
        <v>2710</v>
      </c>
    </row>
    <row r="87" spans="1:8" x14ac:dyDescent="0.35">
      <c r="A87" s="199">
        <v>86</v>
      </c>
      <c r="B87" s="130">
        <v>17</v>
      </c>
      <c r="C87" s="130" t="s">
        <v>2634</v>
      </c>
      <c r="D87" s="130">
        <v>1</v>
      </c>
      <c r="E87" s="130" t="s">
        <v>2707</v>
      </c>
      <c r="F87" s="195" t="str">
        <f t="shared" si="1"/>
        <v>Movilidad Segura1Asalariados</v>
      </c>
      <c r="G87" s="8">
        <v>22300</v>
      </c>
      <c r="H87" s="196" t="s">
        <v>2708</v>
      </c>
    </row>
    <row r="88" spans="1:8" x14ac:dyDescent="0.35">
      <c r="A88" s="193">
        <v>87</v>
      </c>
      <c r="B88" s="203">
        <v>17</v>
      </c>
      <c r="C88" s="203" t="s">
        <v>2634</v>
      </c>
      <c r="D88" s="203">
        <v>2</v>
      </c>
      <c r="E88" s="203" t="s">
        <v>2707</v>
      </c>
      <c r="F88" s="195" t="str">
        <f t="shared" ref="F88:F90" si="2">C88&amp;D88&amp;E88</f>
        <v>Movilidad Segura2Asalariados</v>
      </c>
      <c r="G88" s="204">
        <v>32600</v>
      </c>
      <c r="H88" s="205" t="s">
        <v>2708</v>
      </c>
    </row>
    <row r="89" spans="1:8" x14ac:dyDescent="0.35">
      <c r="A89" s="199">
        <v>88</v>
      </c>
      <c r="B89" s="130">
        <v>17</v>
      </c>
      <c r="C89" s="130" t="s">
        <v>2634</v>
      </c>
      <c r="D89" s="130">
        <v>3</v>
      </c>
      <c r="E89" s="130" t="s">
        <v>2707</v>
      </c>
      <c r="F89" s="195" t="str">
        <f t="shared" si="2"/>
        <v>Movilidad Segura3Asalariados</v>
      </c>
      <c r="G89" s="8">
        <v>53000</v>
      </c>
      <c r="H89" s="196" t="s">
        <v>2708</v>
      </c>
    </row>
    <row r="90" spans="1:8" x14ac:dyDescent="0.35">
      <c r="A90" s="193">
        <v>89</v>
      </c>
      <c r="B90" s="203">
        <v>17</v>
      </c>
      <c r="C90" s="203" t="s">
        <v>2634</v>
      </c>
      <c r="D90" s="203">
        <v>4</v>
      </c>
      <c r="E90" s="203" t="s">
        <v>2707</v>
      </c>
      <c r="F90" s="195" t="str">
        <f t="shared" si="2"/>
        <v>Movilidad Segura4Asalariados</v>
      </c>
      <c r="G90" s="204">
        <v>83900</v>
      </c>
      <c r="H90" s="205" t="s">
        <v>2708</v>
      </c>
    </row>
  </sheetData>
  <sheetProtection algorithmName="SHA-512" hashValue="BgdEzT8Y5I4sih7y41QKMTT4BYjw9uawd59+B08pGJ5I3WbJTu/eJQEipB5Ge0kmmKAcz5tZ52pCRjAFJbz0tw==" saltValue="Dy3SvMjAzJgBrkouYsInIA==" spinCount="100000" sheet="1" objects="1" scenarios="1"/>
  <autoFilter ref="A1:H70" xr:uid="{ECAC8F94-A6CA-42DA-B4E4-6D48D567087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02BEC-69EC-41BB-81B6-26D1E8B301C9}">
  <sheetPr codeName="Hoja21"/>
  <dimension ref="A2:N57"/>
  <sheetViews>
    <sheetView showGridLines="0" topLeftCell="A5" zoomScale="55" zoomScaleNormal="55" workbookViewId="0">
      <selection activeCell="E55" sqref="E8:E55"/>
    </sheetView>
  </sheetViews>
  <sheetFormatPr baseColWidth="10" defaultColWidth="11.453125" defaultRowHeight="14.5" x14ac:dyDescent="0.35"/>
  <cols>
    <col min="1" max="1" width="10.26953125" style="125" customWidth="1"/>
    <col min="2" max="5" width="11.453125" style="2"/>
    <col min="6" max="6" width="21.453125" style="2" bestFit="1" customWidth="1"/>
    <col min="7" max="8" width="2.453125" style="2" customWidth="1"/>
    <col min="9" max="14" width="11.453125" style="2"/>
    <col min="15" max="15" width="3" style="2" customWidth="1"/>
    <col min="16" max="16384" width="11.453125" style="2"/>
  </cols>
  <sheetData>
    <row r="2" spans="1:14" x14ac:dyDescent="0.35">
      <c r="A2" s="125" t="e">
        <f>CC!B5&amp;CC!F14</f>
        <v>#N/A</v>
      </c>
    </row>
    <row r="3" spans="1:14" x14ac:dyDescent="0.35">
      <c r="A3" s="125" t="str">
        <f>CC!D27&amp;CC!D14&amp;CC!D10&amp;CC!F20&amp;CC!D25</f>
        <v>No&lt;789Asalariado y Pensionado</v>
      </c>
    </row>
    <row r="5" spans="1:14" x14ac:dyDescent="0.35">
      <c r="I5" s="2" t="s">
        <v>12</v>
      </c>
      <c r="J5" s="2" t="s">
        <v>13</v>
      </c>
      <c r="K5" s="2" t="s">
        <v>14</v>
      </c>
      <c r="L5" s="2" t="s">
        <v>15</v>
      </c>
      <c r="M5" s="2" t="s">
        <v>16</v>
      </c>
      <c r="N5" s="2" t="s">
        <v>17</v>
      </c>
    </row>
    <row r="6" spans="1:14" ht="18.5" x14ac:dyDescent="0.45">
      <c r="B6" s="126" t="s">
        <v>30</v>
      </c>
      <c r="I6" s="463" t="s">
        <v>33</v>
      </c>
      <c r="J6" s="463"/>
      <c r="K6" s="463"/>
      <c r="L6" s="463"/>
      <c r="M6" s="463"/>
      <c r="N6" s="463"/>
    </row>
    <row r="7" spans="1:14" ht="29" x14ac:dyDescent="0.35">
      <c r="B7" s="127" t="s">
        <v>37</v>
      </c>
      <c r="C7" s="127" t="s">
        <v>38</v>
      </c>
      <c r="D7" s="127" t="s">
        <v>39</v>
      </c>
      <c r="E7" s="127" t="s">
        <v>40</v>
      </c>
      <c r="F7" s="127" t="s">
        <v>41</v>
      </c>
      <c r="G7" s="128"/>
      <c r="H7" s="129"/>
      <c r="I7" s="127" t="s">
        <v>42</v>
      </c>
      <c r="J7" s="127" t="s">
        <v>43</v>
      </c>
      <c r="K7" s="127" t="s">
        <v>44</v>
      </c>
      <c r="L7" s="127" t="s">
        <v>45</v>
      </c>
      <c r="M7" s="127" t="s">
        <v>46</v>
      </c>
      <c r="N7" s="127" t="s">
        <v>47</v>
      </c>
    </row>
    <row r="8" spans="1:14" x14ac:dyDescent="0.35">
      <c r="A8" s="125" t="s">
        <v>49</v>
      </c>
      <c r="B8" s="130" t="s">
        <v>50</v>
      </c>
      <c r="C8" s="130" t="s">
        <v>51</v>
      </c>
      <c r="D8" s="130" t="s">
        <v>52</v>
      </c>
      <c r="E8" s="130" t="s">
        <v>53</v>
      </c>
      <c r="F8" s="130" t="s">
        <v>54</v>
      </c>
      <c r="H8" s="221"/>
      <c r="I8" s="220">
        <f>'Tasas inteligentes'!V8</f>
        <v>0.14843348840566883</v>
      </c>
      <c r="J8" s="220">
        <f>'Tasas inteligentes'!W8</f>
        <v>0.1497965466377309</v>
      </c>
      <c r="K8" s="220">
        <f>'Tasas inteligentes'!X8</f>
        <v>0.15116108770013081</v>
      </c>
      <c r="L8" s="220">
        <f>'Tasas inteligentes'!Y8</f>
        <v>0.15252711305920341</v>
      </c>
      <c r="M8" s="220">
        <f>'Tasas inteligentes'!Z8</f>
        <v>0.15663410959937174</v>
      </c>
      <c r="N8" s="220">
        <f>'Tasas inteligentes'!AA8</f>
        <v>0.16075451772299854</v>
      </c>
    </row>
    <row r="9" spans="1:14" x14ac:dyDescent="0.35">
      <c r="A9" s="125" t="s">
        <v>55</v>
      </c>
      <c r="B9" s="130" t="s">
        <v>50</v>
      </c>
      <c r="C9" s="130" t="s">
        <v>51</v>
      </c>
      <c r="D9" s="130" t="s">
        <v>52</v>
      </c>
      <c r="E9" s="130" t="s">
        <v>53</v>
      </c>
      <c r="F9" s="130" t="s">
        <v>56</v>
      </c>
      <c r="H9" s="221"/>
      <c r="I9" s="220">
        <f>'Tasas inteligentes'!V9</f>
        <v>0.14843348840566883</v>
      </c>
      <c r="J9" s="220">
        <f>'Tasas inteligentes'!W9</f>
        <v>0.1497965466377309</v>
      </c>
      <c r="K9" s="220">
        <f>'Tasas inteligentes'!X9</f>
        <v>0.15116108770013081</v>
      </c>
      <c r="L9" s="220">
        <f>'Tasas inteligentes'!Y9</f>
        <v>0.15252711305920341</v>
      </c>
      <c r="M9" s="220">
        <f>'Tasas inteligentes'!Z9</f>
        <v>0.15663410959937174</v>
      </c>
      <c r="N9" s="220">
        <f>'Tasas inteligentes'!AA9</f>
        <v>0.16075451772299854</v>
      </c>
    </row>
    <row r="10" spans="1:14" x14ac:dyDescent="0.35">
      <c r="A10" s="125" t="s">
        <v>57</v>
      </c>
      <c r="B10" s="130" t="s">
        <v>50</v>
      </c>
      <c r="C10" s="130" t="s">
        <v>51</v>
      </c>
      <c r="D10" s="130" t="s">
        <v>52</v>
      </c>
      <c r="E10" s="130" t="s">
        <v>58</v>
      </c>
      <c r="F10" s="130" t="s">
        <v>54</v>
      </c>
      <c r="H10" s="221"/>
      <c r="I10" s="220">
        <f>'Tasas inteligentes'!V10</f>
        <v>0.15389462418258582</v>
      </c>
      <c r="J10" s="220">
        <f>'Tasas inteligentes'!W10</f>
        <v>0.15526362253922477</v>
      </c>
      <c r="K10" s="220">
        <f>'Tasas inteligentes'!X10</f>
        <v>0.15663410959937174</v>
      </c>
      <c r="L10" s="220">
        <f>'Tasas inteligentes'!Y10</f>
        <v>0.15800608683458517</v>
      </c>
      <c r="M10" s="220">
        <f>'Tasas inteligentes'!Z10</f>
        <v>0.1621309743258661</v>
      </c>
      <c r="N10" s="220">
        <f>'Tasas inteligentes'!AA10</f>
        <v>0.16626932649468618</v>
      </c>
    </row>
    <row r="11" spans="1:14" x14ac:dyDescent="0.35">
      <c r="A11" s="125" t="s">
        <v>59</v>
      </c>
      <c r="B11" s="130" t="s">
        <v>50</v>
      </c>
      <c r="C11" s="130" t="s">
        <v>51</v>
      </c>
      <c r="D11" s="130" t="s">
        <v>52</v>
      </c>
      <c r="E11" s="130" t="s">
        <v>58</v>
      </c>
      <c r="F11" s="130" t="s">
        <v>56</v>
      </c>
      <c r="H11" s="221"/>
      <c r="I11" s="220">
        <f>'Tasas inteligentes'!V11</f>
        <v>0.15116108770013081</v>
      </c>
      <c r="J11" s="220">
        <f>'Tasas inteligentes'!W11</f>
        <v>0.15252711305920341</v>
      </c>
      <c r="K11" s="220">
        <f>'Tasas inteligentes'!X11</f>
        <v>0.15389462418258582</v>
      </c>
      <c r="L11" s="220">
        <f>'Tasas inteligentes'!Y11</f>
        <v>0.15526362253922477</v>
      </c>
      <c r="M11" s="220">
        <f>'Tasas inteligentes'!Z11</f>
        <v>0.15937955571773355</v>
      </c>
      <c r="N11" s="220">
        <f>'Tasas inteligentes'!AA11</f>
        <v>0.16350892700314201</v>
      </c>
    </row>
    <row r="12" spans="1:14" x14ac:dyDescent="0.35">
      <c r="A12" s="125" t="s">
        <v>60</v>
      </c>
      <c r="B12" s="130" t="s">
        <v>50</v>
      </c>
      <c r="C12" s="130" t="s">
        <v>51</v>
      </c>
      <c r="D12" s="130" t="s">
        <v>61</v>
      </c>
      <c r="E12" s="130" t="s">
        <v>53</v>
      </c>
      <c r="F12" s="130" t="s">
        <v>54</v>
      </c>
      <c r="H12" s="221"/>
      <c r="I12" s="220">
        <f>'Tasas inteligentes'!V12</f>
        <v>0.15663410959937174</v>
      </c>
      <c r="J12" s="220">
        <f>'Tasas inteligentes'!W12</f>
        <v>0.15800608683458517</v>
      </c>
      <c r="K12" s="220">
        <f>'Tasas inteligentes'!X12</f>
        <v>0.15937955571773355</v>
      </c>
      <c r="L12" s="220">
        <f>'Tasas inteligentes'!Y12</f>
        <v>0.16075451772299854</v>
      </c>
      <c r="M12" s="220">
        <f>'Tasas inteligentes'!Z12</f>
        <v>0.16626932649468618</v>
      </c>
      <c r="N12" s="220">
        <f>'Tasas inteligentes'!AA12</f>
        <v>0.1704211832856668</v>
      </c>
    </row>
    <row r="13" spans="1:14" x14ac:dyDescent="0.35">
      <c r="A13" s="125" t="s">
        <v>62</v>
      </c>
      <c r="B13" s="130" t="s">
        <v>50</v>
      </c>
      <c r="C13" s="130" t="s">
        <v>51</v>
      </c>
      <c r="D13" s="130" t="s">
        <v>61</v>
      </c>
      <c r="E13" s="130" t="s">
        <v>53</v>
      </c>
      <c r="F13" s="130" t="s">
        <v>56</v>
      </c>
      <c r="H13" s="221"/>
      <c r="I13" s="220">
        <f>'Tasas inteligentes'!V13</f>
        <v>0.15526362253922477</v>
      </c>
      <c r="J13" s="220">
        <f>'Tasas inteligentes'!W13</f>
        <v>0.15663410959937174</v>
      </c>
      <c r="K13" s="220">
        <f>'Tasas inteligentes'!X13</f>
        <v>0.15800608683458517</v>
      </c>
      <c r="L13" s="220">
        <f>'Tasas inteligentes'!Y13</f>
        <v>0.15937955571773355</v>
      </c>
      <c r="M13" s="220">
        <f>'Tasas inteligentes'!Z13</f>
        <v>0.16488837723293726</v>
      </c>
      <c r="N13" s="220">
        <f>'Tasas inteligentes'!AA13</f>
        <v>0.16903572803833167</v>
      </c>
    </row>
    <row r="14" spans="1:14" x14ac:dyDescent="0.35">
      <c r="A14" s="125" t="s">
        <v>63</v>
      </c>
      <c r="B14" s="130" t="s">
        <v>50</v>
      </c>
      <c r="C14" s="130" t="s">
        <v>51</v>
      </c>
      <c r="D14" s="130" t="s">
        <v>61</v>
      </c>
      <c r="E14" s="130" t="s">
        <v>58</v>
      </c>
      <c r="F14" s="130" t="s">
        <v>54</v>
      </c>
      <c r="H14" s="221"/>
      <c r="I14" s="220">
        <f>'Tasas inteligentes'!V14</f>
        <v>0.15937955571773355</v>
      </c>
      <c r="J14" s="220">
        <f>'Tasas inteligentes'!W14</f>
        <v>0.16075451772299854</v>
      </c>
      <c r="K14" s="220">
        <f>'Tasas inteligentes'!X14</f>
        <v>0.1621309743258661</v>
      </c>
      <c r="L14" s="220">
        <f>'Tasas inteligentes'!Y14</f>
        <v>0.16350892700314201</v>
      </c>
      <c r="M14" s="220">
        <f>'Tasas inteligentes'!Z14</f>
        <v>0.16903572803833167</v>
      </c>
      <c r="N14" s="220">
        <f>'Tasas inteligentes'!AA14</f>
        <v>0.17319661015484678</v>
      </c>
    </row>
    <row r="15" spans="1:14" x14ac:dyDescent="0.35">
      <c r="A15" s="125" t="s">
        <v>64</v>
      </c>
      <c r="B15" s="130" t="s">
        <v>50</v>
      </c>
      <c r="C15" s="130" t="s">
        <v>51</v>
      </c>
      <c r="D15" s="130" t="s">
        <v>61</v>
      </c>
      <c r="E15" s="130" t="s">
        <v>58</v>
      </c>
      <c r="F15" s="130" t="s">
        <v>56</v>
      </c>
      <c r="H15" s="221"/>
      <c r="I15" s="220">
        <f>'Tasas inteligentes'!V15</f>
        <v>0.15937955571773355</v>
      </c>
      <c r="J15" s="220">
        <f>'Tasas inteligentes'!W15</f>
        <v>0.16075451772299854</v>
      </c>
      <c r="K15" s="220">
        <f>'Tasas inteligentes'!X15</f>
        <v>0.1621309743258661</v>
      </c>
      <c r="L15" s="220">
        <f>'Tasas inteligentes'!Y15</f>
        <v>0.16350892700314201</v>
      </c>
      <c r="M15" s="220">
        <f>'Tasas inteligentes'!Z15</f>
        <v>0.16903572803833167</v>
      </c>
      <c r="N15" s="220">
        <f>'Tasas inteligentes'!AA15</f>
        <v>0.17319661015484678</v>
      </c>
    </row>
    <row r="16" spans="1:14" x14ac:dyDescent="0.35">
      <c r="A16" s="125" t="s">
        <v>65</v>
      </c>
      <c r="B16" s="130" t="s">
        <v>50</v>
      </c>
      <c r="C16" s="130" t="s">
        <v>66</v>
      </c>
      <c r="D16" s="130" t="s">
        <v>52</v>
      </c>
      <c r="E16" s="130" t="s">
        <v>53</v>
      </c>
      <c r="F16" s="130" t="s">
        <v>54</v>
      </c>
      <c r="H16" s="221"/>
      <c r="I16" s="220">
        <f>'Tasas inteligentes'!V16</f>
        <v>0.1443531960477249</v>
      </c>
      <c r="J16" s="220">
        <f>'Tasas inteligentes'!W16</f>
        <v>0.14571181457374238</v>
      </c>
      <c r="K16" s="220">
        <f>'Tasas inteligentes'!X16</f>
        <v>0.14707191153891563</v>
      </c>
      <c r="L16" s="220">
        <f>'Tasas inteligentes'!Y16</f>
        <v>0.14843348840566883</v>
      </c>
      <c r="M16" s="220">
        <f>'Tasas inteligentes'!Z16</f>
        <v>0.15252711305920341</v>
      </c>
      <c r="N16" s="220">
        <f>'Tasas inteligentes'!AA16</f>
        <v>0.15526362253922477</v>
      </c>
    </row>
    <row r="17" spans="1:14" x14ac:dyDescent="0.35">
      <c r="A17" s="125" t="s">
        <v>67</v>
      </c>
      <c r="B17" s="130" t="s">
        <v>50</v>
      </c>
      <c r="C17" s="130" t="s">
        <v>66</v>
      </c>
      <c r="D17" s="130" t="s">
        <v>52</v>
      </c>
      <c r="E17" s="130" t="s">
        <v>53</v>
      </c>
      <c r="F17" s="130" t="s">
        <v>56</v>
      </c>
      <c r="H17" s="221"/>
      <c r="I17" s="220">
        <f>'Tasas inteligentes'!V17</f>
        <v>0.1443531960477249</v>
      </c>
      <c r="J17" s="220">
        <f>'Tasas inteligentes'!W17</f>
        <v>0.14571181457374238</v>
      </c>
      <c r="K17" s="220">
        <f>'Tasas inteligentes'!X17</f>
        <v>0.14707191153891563</v>
      </c>
      <c r="L17" s="220">
        <f>'Tasas inteligentes'!Y17</f>
        <v>0.14843348840566883</v>
      </c>
      <c r="M17" s="220">
        <f>'Tasas inteligentes'!Z17</f>
        <v>0.15252711305920341</v>
      </c>
      <c r="N17" s="220">
        <f>'Tasas inteligentes'!AA17</f>
        <v>0.15526362253922477</v>
      </c>
    </row>
    <row r="18" spans="1:14" x14ac:dyDescent="0.35">
      <c r="A18" s="125" t="s">
        <v>68</v>
      </c>
      <c r="B18" s="130" t="s">
        <v>50</v>
      </c>
      <c r="C18" s="130" t="s">
        <v>66</v>
      </c>
      <c r="D18" s="130" t="s">
        <v>52</v>
      </c>
      <c r="E18" s="130" t="s">
        <v>58</v>
      </c>
      <c r="F18" s="130" t="s">
        <v>54</v>
      </c>
      <c r="H18" s="221"/>
      <c r="I18" s="220">
        <f>'Tasas inteligentes'!V18</f>
        <v>0.15116108770013081</v>
      </c>
      <c r="J18" s="220">
        <f>'Tasas inteligentes'!W18</f>
        <v>0.15252711305920341</v>
      </c>
      <c r="K18" s="220">
        <f>'Tasas inteligentes'!X18</f>
        <v>0.15389462418258582</v>
      </c>
      <c r="L18" s="220">
        <f>'Tasas inteligentes'!Y18</f>
        <v>0.15526362253922477</v>
      </c>
      <c r="M18" s="220">
        <f>'Tasas inteligentes'!Z18</f>
        <v>0.15937955571773355</v>
      </c>
      <c r="N18" s="220">
        <f>'Tasas inteligentes'!AA18</f>
        <v>0.15526362253922477</v>
      </c>
    </row>
    <row r="19" spans="1:14" x14ac:dyDescent="0.35">
      <c r="A19" s="125" t="s">
        <v>69</v>
      </c>
      <c r="B19" s="130" t="s">
        <v>50</v>
      </c>
      <c r="C19" s="130" t="s">
        <v>66</v>
      </c>
      <c r="D19" s="130" t="s">
        <v>52</v>
      </c>
      <c r="E19" s="130" t="s">
        <v>58</v>
      </c>
      <c r="F19" s="130" t="s">
        <v>56</v>
      </c>
      <c r="H19" s="221"/>
      <c r="I19" s="220">
        <f>'Tasas inteligentes'!V19</f>
        <v>0.14843348840566883</v>
      </c>
      <c r="J19" s="220">
        <f>'Tasas inteligentes'!W19</f>
        <v>0.1497965466377309</v>
      </c>
      <c r="K19" s="220">
        <f>'Tasas inteligentes'!X19</f>
        <v>0.15116108770013081</v>
      </c>
      <c r="L19" s="220">
        <f>'Tasas inteligentes'!Y19</f>
        <v>0.15252711305920341</v>
      </c>
      <c r="M19" s="220">
        <f>'Tasas inteligentes'!Z19</f>
        <v>0.15663410959937174</v>
      </c>
      <c r="N19" s="220">
        <f>'Tasas inteligentes'!AA19</f>
        <v>0.15526362253922477</v>
      </c>
    </row>
    <row r="20" spans="1:14" x14ac:dyDescent="0.35">
      <c r="A20" s="125" t="s">
        <v>70</v>
      </c>
      <c r="B20" s="130" t="s">
        <v>50</v>
      </c>
      <c r="C20" s="130" t="s">
        <v>66</v>
      </c>
      <c r="D20" s="130" t="s">
        <v>61</v>
      </c>
      <c r="E20" s="130" t="s">
        <v>53</v>
      </c>
      <c r="F20" s="130" t="s">
        <v>54</v>
      </c>
      <c r="H20" s="221"/>
      <c r="I20" s="220">
        <f>'Tasas inteligentes'!V20</f>
        <v>0.14843348840566883</v>
      </c>
      <c r="J20" s="220">
        <f>'Tasas inteligentes'!W20</f>
        <v>0.1497965466377309</v>
      </c>
      <c r="K20" s="220">
        <f>'Tasas inteligentes'!X20</f>
        <v>0.15116108770013081</v>
      </c>
      <c r="L20" s="220">
        <f>'Tasas inteligentes'!Y20</f>
        <v>0.15252711305920341</v>
      </c>
      <c r="M20" s="220">
        <f>'Tasas inteligentes'!Z20</f>
        <v>0.15389462418258582</v>
      </c>
      <c r="N20" s="220">
        <f>'Tasas inteligentes'!AA20</f>
        <v>0.15526362253922477</v>
      </c>
    </row>
    <row r="21" spans="1:14" x14ac:dyDescent="0.35">
      <c r="A21" s="125" t="s">
        <v>71</v>
      </c>
      <c r="B21" s="130" t="s">
        <v>50</v>
      </c>
      <c r="C21" s="130" t="s">
        <v>66</v>
      </c>
      <c r="D21" s="130" t="s">
        <v>61</v>
      </c>
      <c r="E21" s="130" t="s">
        <v>53</v>
      </c>
      <c r="F21" s="130" t="s">
        <v>56</v>
      </c>
      <c r="H21" s="221"/>
      <c r="I21" s="220">
        <f>'Tasas inteligentes'!V21</f>
        <v>0.14707191153891563</v>
      </c>
      <c r="J21" s="220">
        <f>'Tasas inteligentes'!W21</f>
        <v>0.14843348840566883</v>
      </c>
      <c r="K21" s="220">
        <f>'Tasas inteligentes'!X21</f>
        <v>0.1497965466377309</v>
      </c>
      <c r="L21" s="220">
        <f>'Tasas inteligentes'!Y21</f>
        <v>0.15116108770013081</v>
      </c>
      <c r="M21" s="220">
        <f>'Tasas inteligentes'!Z21</f>
        <v>0.15252711305920341</v>
      </c>
      <c r="N21" s="220">
        <f>'Tasas inteligentes'!AA21</f>
        <v>0.15526362253922477</v>
      </c>
    </row>
    <row r="22" spans="1:14" x14ac:dyDescent="0.35">
      <c r="A22" s="125" t="s">
        <v>72</v>
      </c>
      <c r="B22" s="130" t="s">
        <v>50</v>
      </c>
      <c r="C22" s="130" t="s">
        <v>66</v>
      </c>
      <c r="D22" s="130" t="s">
        <v>61</v>
      </c>
      <c r="E22" s="130" t="s">
        <v>58</v>
      </c>
      <c r="F22" s="130" t="s">
        <v>54</v>
      </c>
      <c r="H22" s="221"/>
      <c r="I22" s="220">
        <f>'Tasas inteligentes'!V22</f>
        <v>0.15252711305920341</v>
      </c>
      <c r="J22" s="220">
        <f>'Tasas inteligentes'!W22</f>
        <v>0.15389462418258582</v>
      </c>
      <c r="K22" s="220">
        <f>'Tasas inteligentes'!X22</f>
        <v>0.15526362253922477</v>
      </c>
      <c r="L22" s="220">
        <f>'Tasas inteligentes'!Y22</f>
        <v>0.15663410959937174</v>
      </c>
      <c r="M22" s="220">
        <f>'Tasas inteligentes'!Z22</f>
        <v>0.15800608683458517</v>
      </c>
      <c r="N22" s="220">
        <f>'Tasas inteligentes'!AA22</f>
        <v>0.15526362253922477</v>
      </c>
    </row>
    <row r="23" spans="1:14" x14ac:dyDescent="0.35">
      <c r="A23" s="125" t="s">
        <v>73</v>
      </c>
      <c r="B23" s="130" t="s">
        <v>50</v>
      </c>
      <c r="C23" s="130" t="s">
        <v>66</v>
      </c>
      <c r="D23" s="130" t="s">
        <v>61</v>
      </c>
      <c r="E23" s="130" t="s">
        <v>58</v>
      </c>
      <c r="F23" s="130" t="s">
        <v>56</v>
      </c>
      <c r="H23" s="221"/>
      <c r="I23" s="220">
        <f>'Tasas inteligentes'!V23</f>
        <v>0.15252711305920341</v>
      </c>
      <c r="J23" s="220">
        <f>'Tasas inteligentes'!W23</f>
        <v>0.15389462418258582</v>
      </c>
      <c r="K23" s="220">
        <f>'Tasas inteligentes'!X23</f>
        <v>0.15526362253922477</v>
      </c>
      <c r="L23" s="220">
        <f>'Tasas inteligentes'!Y23</f>
        <v>0.15663410959937174</v>
      </c>
      <c r="M23" s="220">
        <f>'Tasas inteligentes'!Z23</f>
        <v>0.15800608683458517</v>
      </c>
      <c r="N23" s="220">
        <f>'Tasas inteligentes'!AA23</f>
        <v>0.15526362253922477</v>
      </c>
    </row>
    <row r="24" spans="1:14" x14ac:dyDescent="0.35">
      <c r="A24" s="125" t="s">
        <v>74</v>
      </c>
      <c r="B24" s="130" t="s">
        <v>75</v>
      </c>
      <c r="C24" s="130" t="s">
        <v>51</v>
      </c>
      <c r="D24" s="130" t="s">
        <v>52</v>
      </c>
      <c r="E24" s="130" t="s">
        <v>53</v>
      </c>
      <c r="F24" s="130" t="s">
        <v>54</v>
      </c>
      <c r="H24" s="221"/>
      <c r="I24" s="220">
        <f>'Tasas inteligentes'!V24</f>
        <v>0.14028619649985408</v>
      </c>
      <c r="J24" s="220">
        <f>'Tasas inteligentes'!W24</f>
        <v>0.14164038846995752</v>
      </c>
      <c r="K24" s="220">
        <f>'Tasas inteligentes'!X24</f>
        <v>0.1443531960477249</v>
      </c>
      <c r="L24" s="220">
        <f>'Tasas inteligentes'!Y24</f>
        <v>0.1443531960477249</v>
      </c>
      <c r="M24" s="220">
        <f>'Tasas inteligentes'!Z24</f>
        <v>0.1497965466377309</v>
      </c>
      <c r="N24" s="220">
        <f>'Tasas inteligentes'!AA24</f>
        <v>0.15389462418258582</v>
      </c>
    </row>
    <row r="25" spans="1:14" x14ac:dyDescent="0.35">
      <c r="A25" s="125" t="s">
        <v>76</v>
      </c>
      <c r="B25" s="130" t="s">
        <v>75</v>
      </c>
      <c r="C25" s="130" t="s">
        <v>51</v>
      </c>
      <c r="D25" s="130" t="s">
        <v>52</v>
      </c>
      <c r="E25" s="130" t="s">
        <v>53</v>
      </c>
      <c r="F25" s="130" t="s">
        <v>56</v>
      </c>
      <c r="H25" s="221"/>
      <c r="I25" s="220">
        <f>'Tasas inteligentes'!V25</f>
        <v>0.14164038846995752</v>
      </c>
      <c r="J25" s="220">
        <f>'Tasas inteligentes'!W25</f>
        <v>0.14299605449973818</v>
      </c>
      <c r="K25" s="220">
        <f>'Tasas inteligentes'!X25</f>
        <v>0.14571181457374238</v>
      </c>
      <c r="L25" s="220">
        <f>'Tasas inteligentes'!Y25</f>
        <v>0.14571181457374238</v>
      </c>
      <c r="M25" s="220">
        <f>'Tasas inteligentes'!Z25</f>
        <v>0.15116108770013081</v>
      </c>
      <c r="N25" s="220">
        <f>'Tasas inteligentes'!AA25</f>
        <v>0.15526362253922477</v>
      </c>
    </row>
    <row r="26" spans="1:14" x14ac:dyDescent="0.35">
      <c r="A26" s="125" t="s">
        <v>77</v>
      </c>
      <c r="B26" s="130" t="s">
        <v>75</v>
      </c>
      <c r="C26" s="130" t="s">
        <v>51</v>
      </c>
      <c r="D26" s="130" t="s">
        <v>52</v>
      </c>
      <c r="E26" s="130" t="s">
        <v>58</v>
      </c>
      <c r="F26" s="130" t="s">
        <v>54</v>
      </c>
      <c r="H26" s="221"/>
      <c r="I26" s="220">
        <f>'Tasas inteligentes'!V26</f>
        <v>0.1497965466377309</v>
      </c>
      <c r="J26" s="220">
        <f>'Tasas inteligentes'!W26</f>
        <v>0.15116108770013081</v>
      </c>
      <c r="K26" s="220">
        <f>'Tasas inteligentes'!X26</f>
        <v>0.15389462418258582</v>
      </c>
      <c r="L26" s="220">
        <f>'Tasas inteligentes'!Y26</f>
        <v>0.15389462418258582</v>
      </c>
      <c r="M26" s="220">
        <f>'Tasas inteligentes'!Z26</f>
        <v>0.15937955571773355</v>
      </c>
      <c r="N26" s="220">
        <f>'Tasas inteligentes'!AA26</f>
        <v>0.16350892700314201</v>
      </c>
    </row>
    <row r="27" spans="1:14" x14ac:dyDescent="0.35">
      <c r="A27" s="125" t="s">
        <v>78</v>
      </c>
      <c r="B27" s="130" t="s">
        <v>75</v>
      </c>
      <c r="C27" s="130" t="s">
        <v>51</v>
      </c>
      <c r="D27" s="130" t="s">
        <v>52</v>
      </c>
      <c r="E27" s="130" t="s">
        <v>58</v>
      </c>
      <c r="F27" s="130" t="s">
        <v>56</v>
      </c>
      <c r="H27" s="221"/>
      <c r="I27" s="220">
        <f>'Tasas inteligentes'!V27</f>
        <v>0.1497965466377309</v>
      </c>
      <c r="J27" s="220">
        <f>'Tasas inteligentes'!W27</f>
        <v>0.15116108770013081</v>
      </c>
      <c r="K27" s="220">
        <f>'Tasas inteligentes'!X27</f>
        <v>0.15389462418258582</v>
      </c>
      <c r="L27" s="220">
        <f>'Tasas inteligentes'!Y27</f>
        <v>0.15389462418258582</v>
      </c>
      <c r="M27" s="220">
        <f>'Tasas inteligentes'!Z27</f>
        <v>0.15937955571773355</v>
      </c>
      <c r="N27" s="220">
        <f>'Tasas inteligentes'!AA27</f>
        <v>0.16350892700314201</v>
      </c>
    </row>
    <row r="28" spans="1:14" x14ac:dyDescent="0.35">
      <c r="A28" s="125" t="s">
        <v>79</v>
      </c>
      <c r="B28" s="130" t="s">
        <v>75</v>
      </c>
      <c r="C28" s="130" t="s">
        <v>51</v>
      </c>
      <c r="D28" s="130" t="s">
        <v>61</v>
      </c>
      <c r="E28" s="130" t="s">
        <v>53</v>
      </c>
      <c r="F28" s="130" t="s">
        <v>54</v>
      </c>
      <c r="H28" s="221"/>
      <c r="I28" s="220">
        <f>'Tasas inteligentes'!V28</f>
        <v>0.14707191153891563</v>
      </c>
      <c r="J28" s="220">
        <f>'Tasas inteligentes'!W28</f>
        <v>0.14843348840566883</v>
      </c>
      <c r="K28" s="220">
        <f>'Tasas inteligentes'!X28</f>
        <v>0.15116108770013081</v>
      </c>
      <c r="L28" s="220">
        <f>'Tasas inteligentes'!Y28</f>
        <v>0.15116108770013081</v>
      </c>
      <c r="M28" s="220">
        <f>'Tasas inteligentes'!Z28</f>
        <v>0.15800608683458517</v>
      </c>
      <c r="N28" s="220">
        <f>'Tasas inteligentes'!AA28</f>
        <v>0.1621309743258661</v>
      </c>
    </row>
    <row r="29" spans="1:14" x14ac:dyDescent="0.35">
      <c r="A29" s="125" t="s">
        <v>80</v>
      </c>
      <c r="B29" s="130" t="s">
        <v>75</v>
      </c>
      <c r="C29" s="130" t="s">
        <v>51</v>
      </c>
      <c r="D29" s="130" t="s">
        <v>61</v>
      </c>
      <c r="E29" s="130" t="s">
        <v>53</v>
      </c>
      <c r="F29" s="130" t="s">
        <v>56</v>
      </c>
      <c r="H29" s="221"/>
      <c r="I29" s="220">
        <f>'Tasas inteligentes'!V29</f>
        <v>0.14707191153891563</v>
      </c>
      <c r="J29" s="220">
        <f>'Tasas inteligentes'!W29</f>
        <v>0.14843348840566883</v>
      </c>
      <c r="K29" s="220">
        <f>'Tasas inteligentes'!X29</f>
        <v>0.15116108770013081</v>
      </c>
      <c r="L29" s="220">
        <f>'Tasas inteligentes'!Y29</f>
        <v>0.15116108770013081</v>
      </c>
      <c r="M29" s="220">
        <f>'Tasas inteligentes'!Z29</f>
        <v>0.15389462418258582</v>
      </c>
      <c r="N29" s="220">
        <f>'Tasas inteligentes'!AA29</f>
        <v>0.1621309743258661</v>
      </c>
    </row>
    <row r="30" spans="1:14" x14ac:dyDescent="0.35">
      <c r="A30" s="125" t="s">
        <v>81</v>
      </c>
      <c r="B30" s="130" t="s">
        <v>75</v>
      </c>
      <c r="C30" s="130" t="s">
        <v>51</v>
      </c>
      <c r="D30" s="130" t="s">
        <v>61</v>
      </c>
      <c r="E30" s="130" t="s">
        <v>58</v>
      </c>
      <c r="F30" s="130" t="s">
        <v>54</v>
      </c>
      <c r="H30" s="221"/>
      <c r="I30" s="220">
        <f>'Tasas inteligentes'!V30</f>
        <v>0.15663410959937174</v>
      </c>
      <c r="J30" s="220">
        <f>'Tasas inteligentes'!W30</f>
        <v>0.15800608683458517</v>
      </c>
      <c r="K30" s="220">
        <f>'Tasas inteligentes'!X30</f>
        <v>0.16075451772299854</v>
      </c>
      <c r="L30" s="220">
        <f>'Tasas inteligentes'!Y30</f>
        <v>0.16075451772299854</v>
      </c>
      <c r="M30" s="220">
        <f>'Tasas inteligentes'!Z30</f>
        <v>0.16350892700314201</v>
      </c>
      <c r="N30" s="220">
        <f>'Tasas inteligentes'!AA30</f>
        <v>0.17180814349583362</v>
      </c>
    </row>
    <row r="31" spans="1:14" x14ac:dyDescent="0.35">
      <c r="A31" s="125" t="s">
        <v>82</v>
      </c>
      <c r="B31" s="130" t="s">
        <v>75</v>
      </c>
      <c r="C31" s="130" t="s">
        <v>51</v>
      </c>
      <c r="D31" s="130" t="s">
        <v>61</v>
      </c>
      <c r="E31" s="130" t="s">
        <v>58</v>
      </c>
      <c r="F31" s="130" t="s">
        <v>56</v>
      </c>
      <c r="H31" s="221"/>
      <c r="I31" s="220">
        <f>'Tasas inteligentes'!V31</f>
        <v>0.15663410959937174</v>
      </c>
      <c r="J31" s="220">
        <f>'Tasas inteligentes'!W31</f>
        <v>0.15800608683458517</v>
      </c>
      <c r="K31" s="220">
        <f>'Tasas inteligentes'!X31</f>
        <v>0.16075451772299854</v>
      </c>
      <c r="L31" s="220">
        <f>'Tasas inteligentes'!Y31</f>
        <v>0.16075451772299854</v>
      </c>
      <c r="M31" s="220">
        <f>'Tasas inteligentes'!Z31</f>
        <v>0.16350892700314201</v>
      </c>
      <c r="N31" s="220">
        <f>'Tasas inteligentes'!AA31</f>
        <v>0.17180814349583362</v>
      </c>
    </row>
    <row r="32" spans="1:14" x14ac:dyDescent="0.35">
      <c r="A32" s="125" t="s">
        <v>83</v>
      </c>
      <c r="B32" s="130" t="s">
        <v>75</v>
      </c>
      <c r="C32" s="130" t="s">
        <v>66</v>
      </c>
      <c r="D32" s="130" t="s">
        <v>52</v>
      </c>
      <c r="E32" s="130" t="s">
        <v>53</v>
      </c>
      <c r="F32" s="130" t="s">
        <v>54</v>
      </c>
      <c r="H32" s="221"/>
      <c r="I32" s="220">
        <f>'Tasas inteligentes'!V32</f>
        <v>0.13488414009111604</v>
      </c>
      <c r="J32" s="220">
        <f>'Tasas inteligentes'!W32</f>
        <v>0.13623245038182419</v>
      </c>
      <c r="K32" s="220">
        <f>'Tasas inteligentes'!X32</f>
        <v>0.13893347713220328</v>
      </c>
      <c r="L32" s="220">
        <f>'Tasas inteligentes'!Y32</f>
        <v>0.13893347713220328</v>
      </c>
      <c r="M32" s="220">
        <f>'Tasas inteligentes'!Z32</f>
        <v>0.14164038846995752</v>
      </c>
      <c r="N32" s="220">
        <f>'Tasas inteligentes'!AA32</f>
        <v>0.15526362253922477</v>
      </c>
    </row>
    <row r="33" spans="1:14" x14ac:dyDescent="0.35">
      <c r="A33" s="125" t="s">
        <v>84</v>
      </c>
      <c r="B33" s="130" t="s">
        <v>75</v>
      </c>
      <c r="C33" s="130" t="s">
        <v>66</v>
      </c>
      <c r="D33" s="130" t="s">
        <v>52</v>
      </c>
      <c r="E33" s="130" t="s">
        <v>53</v>
      </c>
      <c r="F33" s="130" t="s">
        <v>56</v>
      </c>
      <c r="H33" s="221"/>
      <c r="I33" s="220">
        <f>'Tasas inteligentes'!V33</f>
        <v>0.13623245038182419</v>
      </c>
      <c r="J33" s="220">
        <f>'Tasas inteligentes'!W33</f>
        <v>0.1375822289110713</v>
      </c>
      <c r="K33" s="220">
        <f>'Tasas inteligentes'!X33</f>
        <v>0.14028619649985408</v>
      </c>
      <c r="L33" s="220">
        <f>'Tasas inteligentes'!Y33</f>
        <v>0.14028619649985408</v>
      </c>
      <c r="M33" s="220">
        <f>'Tasas inteligentes'!Z33</f>
        <v>0.14299605449973818</v>
      </c>
      <c r="N33" s="220">
        <f>'Tasas inteligentes'!AA33</f>
        <v>0.15526362253922477</v>
      </c>
    </row>
    <row r="34" spans="1:14" x14ac:dyDescent="0.35">
      <c r="A34" s="125" t="s">
        <v>85</v>
      </c>
      <c r="B34" s="130" t="s">
        <v>75</v>
      </c>
      <c r="C34" s="130" t="s">
        <v>66</v>
      </c>
      <c r="D34" s="130" t="s">
        <v>52</v>
      </c>
      <c r="E34" s="130" t="s">
        <v>58</v>
      </c>
      <c r="F34" s="130" t="s">
        <v>54</v>
      </c>
      <c r="H34" s="221"/>
      <c r="I34" s="220">
        <f>'Tasas inteligentes'!V34</f>
        <v>0.14571181457374238</v>
      </c>
      <c r="J34" s="220">
        <f>'Tasas inteligentes'!W34</f>
        <v>0.14707191153891563</v>
      </c>
      <c r="K34" s="220">
        <f>'Tasas inteligentes'!X34</f>
        <v>0.1497965466377309</v>
      </c>
      <c r="L34" s="220">
        <f>'Tasas inteligentes'!Y34</f>
        <v>0.1497965466377309</v>
      </c>
      <c r="M34" s="220">
        <f>'Tasas inteligentes'!Z34</f>
        <v>0.15252711305920341</v>
      </c>
      <c r="N34" s="220">
        <f>'Tasas inteligentes'!AA34</f>
        <v>0.15526362253922477</v>
      </c>
    </row>
    <row r="35" spans="1:14" x14ac:dyDescent="0.35">
      <c r="A35" s="125" t="s">
        <v>86</v>
      </c>
      <c r="B35" s="130" t="s">
        <v>75</v>
      </c>
      <c r="C35" s="130" t="s">
        <v>66</v>
      </c>
      <c r="D35" s="130" t="s">
        <v>52</v>
      </c>
      <c r="E35" s="130" t="s">
        <v>58</v>
      </c>
      <c r="F35" s="130" t="s">
        <v>56</v>
      </c>
      <c r="H35" s="221"/>
      <c r="I35" s="220">
        <f>'Tasas inteligentes'!V35</f>
        <v>0.14571181457374238</v>
      </c>
      <c r="J35" s="220">
        <f>'Tasas inteligentes'!W35</f>
        <v>0.14707191153891563</v>
      </c>
      <c r="K35" s="220">
        <f>'Tasas inteligentes'!X35</f>
        <v>0.1497965466377309</v>
      </c>
      <c r="L35" s="220">
        <f>'Tasas inteligentes'!Y35</f>
        <v>0.1497965466377309</v>
      </c>
      <c r="M35" s="220">
        <f>'Tasas inteligentes'!Z35</f>
        <v>0.15252711305920341</v>
      </c>
      <c r="N35" s="220">
        <f>'Tasas inteligentes'!AA35</f>
        <v>0.15526362253922477</v>
      </c>
    </row>
    <row r="36" spans="1:14" x14ac:dyDescent="0.35">
      <c r="A36" s="125" t="s">
        <v>87</v>
      </c>
      <c r="B36" s="130" t="s">
        <v>75</v>
      </c>
      <c r="C36" s="130" t="s">
        <v>66</v>
      </c>
      <c r="D36" s="130" t="s">
        <v>61</v>
      </c>
      <c r="E36" s="130" t="s">
        <v>53</v>
      </c>
      <c r="F36" s="130" t="s">
        <v>54</v>
      </c>
      <c r="H36" s="221"/>
      <c r="I36" s="220">
        <f>'Tasas inteligentes'!V36</f>
        <v>0.1375822289110713</v>
      </c>
      <c r="J36" s="220">
        <f>'Tasas inteligentes'!W36</f>
        <v>0.13893347713220328</v>
      </c>
      <c r="K36" s="220">
        <f>'Tasas inteligentes'!X36</f>
        <v>0.14164038846995752</v>
      </c>
      <c r="L36" s="220">
        <f>'Tasas inteligentes'!Y36</f>
        <v>0.14164038846995752</v>
      </c>
      <c r="M36" s="220">
        <f>'Tasas inteligentes'!Z36</f>
        <v>0.1443531960477249</v>
      </c>
      <c r="N36" s="220">
        <f>'Tasas inteligentes'!AA36</f>
        <v>0.15526362253922477</v>
      </c>
    </row>
    <row r="37" spans="1:14" x14ac:dyDescent="0.35">
      <c r="A37" s="125" t="s">
        <v>88</v>
      </c>
      <c r="B37" s="130" t="s">
        <v>75</v>
      </c>
      <c r="C37" s="130" t="s">
        <v>66</v>
      </c>
      <c r="D37" s="130" t="s">
        <v>61</v>
      </c>
      <c r="E37" s="130" t="s">
        <v>53</v>
      </c>
      <c r="F37" s="130" t="s">
        <v>56</v>
      </c>
      <c r="H37" s="221"/>
      <c r="I37" s="220">
        <f>'Tasas inteligentes'!V37</f>
        <v>0.1375822289110713</v>
      </c>
      <c r="J37" s="220">
        <f>'Tasas inteligentes'!W37</f>
        <v>0.13893347713220328</v>
      </c>
      <c r="K37" s="220">
        <f>'Tasas inteligentes'!X37</f>
        <v>0.14164038846995752</v>
      </c>
      <c r="L37" s="220">
        <f>'Tasas inteligentes'!Y37</f>
        <v>0.14164038846995752</v>
      </c>
      <c r="M37" s="220">
        <f>'Tasas inteligentes'!Z37</f>
        <v>0.1443531960477249</v>
      </c>
      <c r="N37" s="220">
        <f>'Tasas inteligentes'!AA37</f>
        <v>0.15526362253922477</v>
      </c>
    </row>
    <row r="38" spans="1:14" x14ac:dyDescent="0.35">
      <c r="A38" s="125" t="s">
        <v>89</v>
      </c>
      <c r="B38" s="130" t="s">
        <v>75</v>
      </c>
      <c r="C38" s="130" t="s">
        <v>66</v>
      </c>
      <c r="D38" s="130" t="s">
        <v>61</v>
      </c>
      <c r="E38" s="130" t="s">
        <v>58</v>
      </c>
      <c r="F38" s="130" t="s">
        <v>54</v>
      </c>
      <c r="H38" s="221"/>
      <c r="I38" s="220">
        <f>'Tasas inteligentes'!V38</f>
        <v>0.14843348840566883</v>
      </c>
      <c r="J38" s="220">
        <f>'Tasas inteligentes'!W38</f>
        <v>0.1497965466377309</v>
      </c>
      <c r="K38" s="220">
        <f>'Tasas inteligentes'!X38</f>
        <v>0.15252711305920341</v>
      </c>
      <c r="L38" s="220">
        <f>'Tasas inteligentes'!Y38</f>
        <v>0.15252711305920341</v>
      </c>
      <c r="M38" s="220">
        <f>'Tasas inteligentes'!Z38</f>
        <v>0.15526362253922477</v>
      </c>
      <c r="N38" s="220">
        <f>'Tasas inteligentes'!AA38</f>
        <v>0.15526362253922477</v>
      </c>
    </row>
    <row r="39" spans="1:14" x14ac:dyDescent="0.35">
      <c r="A39" s="125" t="s">
        <v>90</v>
      </c>
      <c r="B39" s="130" t="s">
        <v>75</v>
      </c>
      <c r="C39" s="130" t="s">
        <v>66</v>
      </c>
      <c r="D39" s="130" t="s">
        <v>61</v>
      </c>
      <c r="E39" s="130" t="s">
        <v>58</v>
      </c>
      <c r="F39" s="130" t="s">
        <v>56</v>
      </c>
      <c r="H39" s="221"/>
      <c r="I39" s="220">
        <f>'Tasas inteligentes'!V39</f>
        <v>0.14843348840566883</v>
      </c>
      <c r="J39" s="220">
        <f>'Tasas inteligentes'!W39</f>
        <v>0.1497965466377309</v>
      </c>
      <c r="K39" s="220">
        <f>'Tasas inteligentes'!X39</f>
        <v>0.15252711305920341</v>
      </c>
      <c r="L39" s="220">
        <f>'Tasas inteligentes'!Y39</f>
        <v>0.15252711305920341</v>
      </c>
      <c r="M39" s="220">
        <f>'Tasas inteligentes'!Z39</f>
        <v>0.15526362253922477</v>
      </c>
      <c r="N39" s="220">
        <f>'Tasas inteligentes'!AA39</f>
        <v>0.15526362253922477</v>
      </c>
    </row>
    <row r="40" spans="1:14" x14ac:dyDescent="0.35">
      <c r="A40" s="125" t="s">
        <v>91</v>
      </c>
      <c r="B40" s="130" t="s">
        <v>92</v>
      </c>
      <c r="C40" s="130" t="s">
        <v>51</v>
      </c>
      <c r="D40" s="130" t="s">
        <v>52</v>
      </c>
      <c r="E40" s="130" t="s">
        <v>53</v>
      </c>
      <c r="F40" s="130" t="s">
        <v>54</v>
      </c>
      <c r="H40" s="221"/>
      <c r="I40" s="220">
        <f>'Tasas inteligentes'!V40</f>
        <v>0.13893347713220328</v>
      </c>
      <c r="J40" s="220">
        <f>'Tasas inteligentes'!W40</f>
        <v>0.14028619649985408</v>
      </c>
      <c r="K40" s="220">
        <f>'Tasas inteligentes'!X40</f>
        <v>0.14299605449973818</v>
      </c>
      <c r="L40" s="220">
        <f>'Tasas inteligentes'!Y40</f>
        <v>0.14299605449973818</v>
      </c>
      <c r="M40" s="220">
        <f>'Tasas inteligentes'!Z40</f>
        <v>0.14571181457374238</v>
      </c>
      <c r="N40" s="220">
        <f>'Tasas inteligentes'!AA40</f>
        <v>0.15252711305920341</v>
      </c>
    </row>
    <row r="41" spans="1:14" x14ac:dyDescent="0.35">
      <c r="A41" s="125" t="s">
        <v>93</v>
      </c>
      <c r="B41" s="130" t="s">
        <v>92</v>
      </c>
      <c r="C41" s="130" t="s">
        <v>51</v>
      </c>
      <c r="D41" s="130" t="s">
        <v>52</v>
      </c>
      <c r="E41" s="130" t="s">
        <v>53</v>
      </c>
      <c r="F41" s="130" t="s">
        <v>56</v>
      </c>
      <c r="H41" s="221"/>
      <c r="I41" s="220">
        <f>'Tasas inteligentes'!V41</f>
        <v>0.13893347713220328</v>
      </c>
      <c r="J41" s="220">
        <f>'Tasas inteligentes'!W41</f>
        <v>0.14028619649985408</v>
      </c>
      <c r="K41" s="220">
        <f>'Tasas inteligentes'!X41</f>
        <v>0.14299605449973818</v>
      </c>
      <c r="L41" s="220">
        <f>'Tasas inteligentes'!Y41</f>
        <v>0.14299605449973818</v>
      </c>
      <c r="M41" s="220">
        <f>'Tasas inteligentes'!Z41</f>
        <v>0.14571181457374238</v>
      </c>
      <c r="N41" s="220">
        <f>'Tasas inteligentes'!AA41</f>
        <v>0.15252711305920341</v>
      </c>
    </row>
    <row r="42" spans="1:14" x14ac:dyDescent="0.35">
      <c r="A42" s="125" t="s">
        <v>94</v>
      </c>
      <c r="B42" s="130" t="s">
        <v>92</v>
      </c>
      <c r="C42" s="130" t="s">
        <v>51</v>
      </c>
      <c r="D42" s="130" t="s">
        <v>52</v>
      </c>
      <c r="E42" s="130" t="s">
        <v>58</v>
      </c>
      <c r="F42" s="130" t="s">
        <v>54</v>
      </c>
      <c r="H42" s="221"/>
      <c r="I42" s="220">
        <f>'Tasas inteligentes'!V42</f>
        <v>0.1443531960477249</v>
      </c>
      <c r="J42" s="220">
        <f>'Tasas inteligentes'!W42</f>
        <v>0.14571181457374238</v>
      </c>
      <c r="K42" s="220">
        <f>'Tasas inteligentes'!X42</f>
        <v>0.14843348840566883</v>
      </c>
      <c r="L42" s="220">
        <f>'Tasas inteligentes'!Y42</f>
        <v>0.14843348840566883</v>
      </c>
      <c r="M42" s="220">
        <f>'Tasas inteligentes'!Z42</f>
        <v>0.15116108770013081</v>
      </c>
      <c r="N42" s="220">
        <f>'Tasas inteligentes'!AA42</f>
        <v>0.15800608683458517</v>
      </c>
    </row>
    <row r="43" spans="1:14" x14ac:dyDescent="0.35">
      <c r="A43" s="125" t="s">
        <v>95</v>
      </c>
      <c r="B43" s="130" t="s">
        <v>92</v>
      </c>
      <c r="C43" s="130" t="s">
        <v>51</v>
      </c>
      <c r="D43" s="130" t="s">
        <v>52</v>
      </c>
      <c r="E43" s="130" t="s">
        <v>58</v>
      </c>
      <c r="F43" s="130" t="s">
        <v>56</v>
      </c>
      <c r="H43" s="221"/>
      <c r="I43" s="220">
        <f>'Tasas inteligentes'!V43</f>
        <v>0.1443531960477249</v>
      </c>
      <c r="J43" s="220">
        <f>'Tasas inteligentes'!W43</f>
        <v>0.14571181457374238</v>
      </c>
      <c r="K43" s="220">
        <f>'Tasas inteligentes'!X43</f>
        <v>0.14843348840566883</v>
      </c>
      <c r="L43" s="220">
        <f>'Tasas inteligentes'!Y43</f>
        <v>0.14843348840566883</v>
      </c>
      <c r="M43" s="220">
        <f>'Tasas inteligentes'!Z43</f>
        <v>0.15116108770013081</v>
      </c>
      <c r="N43" s="220">
        <f>'Tasas inteligentes'!AA43</f>
        <v>0.15800608683458517</v>
      </c>
    </row>
    <row r="44" spans="1:14" x14ac:dyDescent="0.35">
      <c r="A44" s="125" t="s">
        <v>96</v>
      </c>
      <c r="B44" s="130" t="s">
        <v>92</v>
      </c>
      <c r="C44" s="130" t="s">
        <v>51</v>
      </c>
      <c r="D44" s="130" t="s">
        <v>61</v>
      </c>
      <c r="E44" s="130" t="s">
        <v>53</v>
      </c>
      <c r="F44" s="130" t="s">
        <v>54</v>
      </c>
      <c r="H44" s="221"/>
      <c r="I44" s="220">
        <f>'Tasas inteligentes'!V44</f>
        <v>0.14571181457374238</v>
      </c>
      <c r="J44" s="220">
        <f>'Tasas inteligentes'!W44</f>
        <v>0.14707191153891563</v>
      </c>
      <c r="K44" s="220">
        <f>'Tasas inteligentes'!X44</f>
        <v>0.1497965466377309</v>
      </c>
      <c r="L44" s="220">
        <f>'Tasas inteligentes'!Y44</f>
        <v>0.1497965466377309</v>
      </c>
      <c r="M44" s="220">
        <f>'Tasas inteligentes'!Z44</f>
        <v>0.15252711305920341</v>
      </c>
      <c r="N44" s="220">
        <f>'Tasas inteligentes'!AA44</f>
        <v>0.16075451772299854</v>
      </c>
    </row>
    <row r="45" spans="1:14" x14ac:dyDescent="0.35">
      <c r="A45" s="125" t="s">
        <v>97</v>
      </c>
      <c r="B45" s="130" t="s">
        <v>92</v>
      </c>
      <c r="C45" s="130" t="s">
        <v>51</v>
      </c>
      <c r="D45" s="130" t="s">
        <v>61</v>
      </c>
      <c r="E45" s="130" t="s">
        <v>53</v>
      </c>
      <c r="F45" s="130" t="s">
        <v>56</v>
      </c>
      <c r="H45" s="221"/>
      <c r="I45" s="220">
        <f>'Tasas inteligentes'!V45</f>
        <v>0.14571181457374238</v>
      </c>
      <c r="J45" s="220">
        <f>'Tasas inteligentes'!W45</f>
        <v>0.14707191153891563</v>
      </c>
      <c r="K45" s="220">
        <f>'Tasas inteligentes'!X45</f>
        <v>0.1497965466377309</v>
      </c>
      <c r="L45" s="220">
        <f>'Tasas inteligentes'!Y45</f>
        <v>0.1497965466377309</v>
      </c>
      <c r="M45" s="220">
        <f>'Tasas inteligentes'!Z45</f>
        <v>0.15252711305920341</v>
      </c>
      <c r="N45" s="220">
        <f>'Tasas inteligentes'!AA45</f>
        <v>0.16075451772299854</v>
      </c>
    </row>
    <row r="46" spans="1:14" x14ac:dyDescent="0.35">
      <c r="A46" s="125" t="s">
        <v>98</v>
      </c>
      <c r="B46" s="130" t="s">
        <v>92</v>
      </c>
      <c r="C46" s="130" t="s">
        <v>51</v>
      </c>
      <c r="D46" s="130" t="s">
        <v>61</v>
      </c>
      <c r="E46" s="130" t="s">
        <v>58</v>
      </c>
      <c r="F46" s="130" t="s">
        <v>54</v>
      </c>
      <c r="H46" s="221"/>
      <c r="I46" s="220">
        <f>'Tasas inteligentes'!V46</f>
        <v>0.15116108770013081</v>
      </c>
      <c r="J46" s="220">
        <f>'Tasas inteligentes'!W46</f>
        <v>0.15252711305920341</v>
      </c>
      <c r="K46" s="220">
        <f>'Tasas inteligentes'!X46</f>
        <v>0.15526362253922477</v>
      </c>
      <c r="L46" s="220">
        <f>'Tasas inteligentes'!Y46</f>
        <v>0.15526362253922477</v>
      </c>
      <c r="M46" s="220">
        <f>'Tasas inteligentes'!Z46</f>
        <v>0.15800608683458517</v>
      </c>
      <c r="N46" s="220">
        <f>'Tasas inteligentes'!AA46</f>
        <v>0.16626932649468618</v>
      </c>
    </row>
    <row r="47" spans="1:14" x14ac:dyDescent="0.35">
      <c r="A47" s="125" t="s">
        <v>99</v>
      </c>
      <c r="B47" s="130" t="s">
        <v>92</v>
      </c>
      <c r="C47" s="130" t="s">
        <v>51</v>
      </c>
      <c r="D47" s="130" t="s">
        <v>61</v>
      </c>
      <c r="E47" s="130" t="s">
        <v>58</v>
      </c>
      <c r="F47" s="130" t="s">
        <v>56</v>
      </c>
      <c r="H47" s="221"/>
      <c r="I47" s="220">
        <f>'Tasas inteligentes'!V47</f>
        <v>0.15116108770013081</v>
      </c>
      <c r="J47" s="220">
        <f>'Tasas inteligentes'!W47</f>
        <v>0.15252711305920341</v>
      </c>
      <c r="K47" s="220">
        <f>'Tasas inteligentes'!X47</f>
        <v>0.15526362253922477</v>
      </c>
      <c r="L47" s="220">
        <f>'Tasas inteligentes'!Y47</f>
        <v>0.15526362253922477</v>
      </c>
      <c r="M47" s="220">
        <f>'Tasas inteligentes'!Z47</f>
        <v>0.15800608683458517</v>
      </c>
      <c r="N47" s="220">
        <f>'Tasas inteligentes'!AA47</f>
        <v>0.16626932649468618</v>
      </c>
    </row>
    <row r="48" spans="1:14" x14ac:dyDescent="0.35">
      <c r="A48" s="125" t="s">
        <v>100</v>
      </c>
      <c r="B48" s="130" t="s">
        <v>92</v>
      </c>
      <c r="C48" s="130" t="s">
        <v>66</v>
      </c>
      <c r="D48" s="130" t="s">
        <v>52</v>
      </c>
      <c r="E48" s="130" t="s">
        <v>53</v>
      </c>
      <c r="F48" s="130" t="s">
        <v>54</v>
      </c>
      <c r="H48" s="221"/>
      <c r="I48" s="220">
        <f>'Tasas inteligentes'!V48</f>
        <v>0.1335372965869035</v>
      </c>
      <c r="J48" s="220">
        <f>'Tasas inteligentes'!W48</f>
        <v>0.13488414009111604</v>
      </c>
      <c r="K48" s="220">
        <f>'Tasas inteligentes'!X48</f>
        <v>0.1375822289110713</v>
      </c>
      <c r="L48" s="220">
        <f>'Tasas inteligentes'!Y48</f>
        <v>0.1375822289110713</v>
      </c>
      <c r="M48" s="220">
        <f>'Tasas inteligentes'!Z48</f>
        <v>0.14028619649985408</v>
      </c>
      <c r="N48" s="220">
        <f>'Tasas inteligentes'!AA48</f>
        <v>0.15526362253922477</v>
      </c>
    </row>
    <row r="49" spans="1:14" x14ac:dyDescent="0.35">
      <c r="A49" s="125" t="s">
        <v>101</v>
      </c>
      <c r="B49" s="130" t="s">
        <v>92</v>
      </c>
      <c r="C49" s="130" t="s">
        <v>66</v>
      </c>
      <c r="D49" s="130" t="s">
        <v>52</v>
      </c>
      <c r="E49" s="130" t="s">
        <v>53</v>
      </c>
      <c r="F49" s="130" t="s">
        <v>56</v>
      </c>
      <c r="H49" s="221"/>
      <c r="I49" s="220">
        <f>'Tasas inteligentes'!V49</f>
        <v>0.1335372965869035</v>
      </c>
      <c r="J49" s="220">
        <f>'Tasas inteligentes'!W49</f>
        <v>0.13488414009111604</v>
      </c>
      <c r="K49" s="220">
        <f>'Tasas inteligentes'!X49</f>
        <v>0.1375822289110713</v>
      </c>
      <c r="L49" s="220">
        <f>'Tasas inteligentes'!Y49</f>
        <v>0.1375822289110713</v>
      </c>
      <c r="M49" s="220">
        <f>'Tasas inteligentes'!Z49</f>
        <v>0.14028619649985408</v>
      </c>
      <c r="N49" s="220">
        <f>'Tasas inteligentes'!AA49</f>
        <v>0.15526362253922477</v>
      </c>
    </row>
    <row r="50" spans="1:14" x14ac:dyDescent="0.35">
      <c r="A50" s="125" t="s">
        <v>102</v>
      </c>
      <c r="B50" s="130" t="s">
        <v>92</v>
      </c>
      <c r="C50" s="130" t="s">
        <v>66</v>
      </c>
      <c r="D50" s="130" t="s">
        <v>52</v>
      </c>
      <c r="E50" s="130" t="s">
        <v>58</v>
      </c>
      <c r="F50" s="130" t="s">
        <v>54</v>
      </c>
      <c r="H50" s="221"/>
      <c r="I50" s="220">
        <f>'Tasas inteligentes'!V50</f>
        <v>0.14164038846995752</v>
      </c>
      <c r="J50" s="220">
        <f>'Tasas inteligentes'!W50</f>
        <v>0.14299605449973818</v>
      </c>
      <c r="K50" s="220">
        <f>'Tasas inteligentes'!X50</f>
        <v>0.14571181457374238</v>
      </c>
      <c r="L50" s="220">
        <f>'Tasas inteligentes'!Y50</f>
        <v>0.14571181457374238</v>
      </c>
      <c r="M50" s="220">
        <f>'Tasas inteligentes'!Z50</f>
        <v>0.14843348840566883</v>
      </c>
      <c r="N50" s="220">
        <f>'Tasas inteligentes'!AA50</f>
        <v>0.15526362253922477</v>
      </c>
    </row>
    <row r="51" spans="1:14" x14ac:dyDescent="0.35">
      <c r="A51" s="125" t="s">
        <v>103</v>
      </c>
      <c r="B51" s="130" t="s">
        <v>92</v>
      </c>
      <c r="C51" s="130" t="s">
        <v>66</v>
      </c>
      <c r="D51" s="130" t="s">
        <v>52</v>
      </c>
      <c r="E51" s="130" t="s">
        <v>58</v>
      </c>
      <c r="F51" s="130" t="s">
        <v>56</v>
      </c>
      <c r="H51" s="221"/>
      <c r="I51" s="220">
        <f>'Tasas inteligentes'!V51</f>
        <v>0.14164038846995752</v>
      </c>
      <c r="J51" s="220">
        <f>'Tasas inteligentes'!W51</f>
        <v>0.14299605449973818</v>
      </c>
      <c r="K51" s="220">
        <f>'Tasas inteligentes'!X51</f>
        <v>0.14571181457374238</v>
      </c>
      <c r="L51" s="220">
        <f>'Tasas inteligentes'!Y51</f>
        <v>0.14571181457374238</v>
      </c>
      <c r="M51" s="220">
        <f>'Tasas inteligentes'!Z51</f>
        <v>0.14843348840566883</v>
      </c>
      <c r="N51" s="220">
        <f>'Tasas inteligentes'!AA51</f>
        <v>0.15526362253922477</v>
      </c>
    </row>
    <row r="52" spans="1:14" x14ac:dyDescent="0.35">
      <c r="A52" s="125" t="s">
        <v>104</v>
      </c>
      <c r="B52" s="130" t="s">
        <v>92</v>
      </c>
      <c r="C52" s="130" t="s">
        <v>66</v>
      </c>
      <c r="D52" s="130" t="s">
        <v>61</v>
      </c>
      <c r="E52" s="130" t="s">
        <v>53</v>
      </c>
      <c r="F52" s="130" t="s">
        <v>54</v>
      </c>
      <c r="H52" s="221"/>
      <c r="I52" s="220">
        <f>'Tasas inteligentes'!V52</f>
        <v>0.13623245038182419</v>
      </c>
      <c r="J52" s="220">
        <f>'Tasas inteligentes'!W52</f>
        <v>0.1375822289110713</v>
      </c>
      <c r="K52" s="220">
        <f>'Tasas inteligentes'!X52</f>
        <v>0.14028619649985408</v>
      </c>
      <c r="L52" s="220">
        <f>'Tasas inteligentes'!Y52</f>
        <v>0.14028619649985408</v>
      </c>
      <c r="M52" s="220">
        <f>'Tasas inteligentes'!Z52</f>
        <v>0.14299605449973818</v>
      </c>
      <c r="N52" s="220">
        <f>'Tasas inteligentes'!AA52</f>
        <v>0.15526362253922477</v>
      </c>
    </row>
    <row r="53" spans="1:14" x14ac:dyDescent="0.35">
      <c r="A53" s="125" t="s">
        <v>105</v>
      </c>
      <c r="B53" s="130" t="s">
        <v>92</v>
      </c>
      <c r="C53" s="130" t="s">
        <v>66</v>
      </c>
      <c r="D53" s="130" t="s">
        <v>61</v>
      </c>
      <c r="E53" s="130" t="s">
        <v>53</v>
      </c>
      <c r="F53" s="130" t="s">
        <v>56</v>
      </c>
      <c r="H53" s="221"/>
      <c r="I53" s="220">
        <f>'Tasas inteligentes'!V53</f>
        <v>0.13623245038182419</v>
      </c>
      <c r="J53" s="220">
        <f>'Tasas inteligentes'!W53</f>
        <v>0.1375822289110713</v>
      </c>
      <c r="K53" s="220">
        <f>'Tasas inteligentes'!X53</f>
        <v>0.14028619649985408</v>
      </c>
      <c r="L53" s="220">
        <f>'Tasas inteligentes'!Y53</f>
        <v>0.14028619649985408</v>
      </c>
      <c r="M53" s="220">
        <f>'Tasas inteligentes'!Z53</f>
        <v>0.14299605449973818</v>
      </c>
      <c r="N53" s="220">
        <f>'Tasas inteligentes'!AA53</f>
        <v>0.15526362253922477</v>
      </c>
    </row>
    <row r="54" spans="1:14" x14ac:dyDescent="0.35">
      <c r="A54" s="125" t="s">
        <v>106</v>
      </c>
      <c r="B54" s="130" t="s">
        <v>92</v>
      </c>
      <c r="C54" s="130" t="s">
        <v>66</v>
      </c>
      <c r="D54" s="130" t="s">
        <v>61</v>
      </c>
      <c r="E54" s="130" t="s">
        <v>58</v>
      </c>
      <c r="F54" s="130" t="s">
        <v>54</v>
      </c>
      <c r="H54" s="221"/>
      <c r="I54" s="220">
        <f>'Tasas inteligentes'!V54</f>
        <v>0.1443531960477249</v>
      </c>
      <c r="J54" s="220">
        <f>'Tasas inteligentes'!W54</f>
        <v>0.14571181457374238</v>
      </c>
      <c r="K54" s="220">
        <f>'Tasas inteligentes'!X54</f>
        <v>0.14843348840566883</v>
      </c>
      <c r="L54" s="220">
        <f>'Tasas inteligentes'!Y54</f>
        <v>0.14843348840566883</v>
      </c>
      <c r="M54" s="220">
        <f>'Tasas inteligentes'!Z54</f>
        <v>0.15116108770013081</v>
      </c>
      <c r="N54" s="220">
        <f>'Tasas inteligentes'!AA54</f>
        <v>0.15526362253922477</v>
      </c>
    </row>
    <row r="55" spans="1:14" x14ac:dyDescent="0.35">
      <c r="A55" s="125" t="s">
        <v>107</v>
      </c>
      <c r="B55" s="130" t="s">
        <v>92</v>
      </c>
      <c r="C55" s="130" t="s">
        <v>66</v>
      </c>
      <c r="D55" s="130" t="s">
        <v>61</v>
      </c>
      <c r="E55" s="130" t="s">
        <v>58</v>
      </c>
      <c r="F55" s="130" t="s">
        <v>56</v>
      </c>
      <c r="H55" s="221"/>
      <c r="I55" s="220">
        <f>'Tasas inteligentes'!V55</f>
        <v>0.1443531960477249</v>
      </c>
      <c r="J55" s="220">
        <f>'Tasas inteligentes'!W55</f>
        <v>0.14571181457374238</v>
      </c>
      <c r="K55" s="220">
        <f>'Tasas inteligentes'!X55</f>
        <v>0.14843348840566883</v>
      </c>
      <c r="L55" s="220">
        <f>'Tasas inteligentes'!Y55</f>
        <v>0.14843348840566883</v>
      </c>
      <c r="M55" s="220">
        <f>'Tasas inteligentes'!Z55</f>
        <v>0.15116108770013081</v>
      </c>
      <c r="N55" s="220">
        <f>'Tasas inteligentes'!AA55</f>
        <v>0.15526362253922477</v>
      </c>
    </row>
    <row r="56" spans="1:14" x14ac:dyDescent="0.35">
      <c r="H56" s="131"/>
      <c r="I56" s="131"/>
      <c r="J56" s="131"/>
      <c r="K56" s="131"/>
      <c r="L56" s="131"/>
      <c r="M56" s="131"/>
      <c r="N56" s="131"/>
    </row>
    <row r="57" spans="1:14" x14ac:dyDescent="0.35">
      <c r="H57" s="131"/>
      <c r="I57" s="131"/>
      <c r="J57" s="131"/>
      <c r="K57" s="131"/>
      <c r="L57" s="131"/>
      <c r="M57" s="131"/>
      <c r="N57" s="131"/>
    </row>
  </sheetData>
  <sheetProtection algorithmName="SHA-512" hashValue="GqV4PykFWnTwTDQLTQSI+RHoFHW0z/RiHYcE6GR/nbKr0tboEjsLKtTt2VdjdAMkLJNQGAPAWk+8orBW3ca+3w==" saltValue="4EHW64GE16xdMF1BOBES1g==" spinCount="100000" sheet="1" objects="1" scenarios="1"/>
  <mergeCells count="1">
    <mergeCell ref="I6:N6"/>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1EE99-9CAB-48DB-912E-1B0DBAC091C4}">
  <sheetPr codeName="Hoja22"/>
  <dimension ref="A1:AB35"/>
  <sheetViews>
    <sheetView showGridLines="0" zoomScale="80" zoomScaleNormal="80" workbookViewId="0">
      <selection activeCell="B24" sqref="B24"/>
    </sheetView>
  </sheetViews>
  <sheetFormatPr baseColWidth="10" defaultColWidth="11.453125" defaultRowHeight="14.5" x14ac:dyDescent="0.35"/>
  <cols>
    <col min="1" max="1" width="4.453125" style="2" customWidth="1"/>
    <col min="2" max="2" width="43.26953125" style="2" customWidth="1"/>
    <col min="3" max="3" width="11.54296875" style="2" customWidth="1"/>
    <col min="4" max="4" width="20.26953125" style="2" customWidth="1"/>
    <col min="5" max="5" width="5.81640625" style="2" customWidth="1"/>
    <col min="6" max="6" width="17.26953125" style="2" customWidth="1"/>
    <col min="7" max="7" width="17.54296875" style="2" customWidth="1"/>
    <col min="8" max="8" width="13.81640625" style="2" customWidth="1"/>
    <col min="9" max="9" width="16" style="2" customWidth="1"/>
    <col min="10" max="10" width="11.26953125" style="2" customWidth="1"/>
    <col min="11" max="11" width="16.453125" style="2" customWidth="1"/>
    <col min="12" max="12" width="11.7265625" style="2" hidden="1" customWidth="1"/>
    <col min="13" max="19" width="15.1796875" style="2" hidden="1" customWidth="1"/>
    <col min="20" max="28" width="11.453125" style="2" hidden="1" customWidth="1"/>
    <col min="29" max="16384" width="11.453125" style="2"/>
  </cols>
  <sheetData>
    <row r="1" spans="1:27" ht="15" customHeight="1" x14ac:dyDescent="0.35">
      <c r="C1" s="61"/>
      <c r="D1" s="61"/>
      <c r="E1" s="61"/>
      <c r="F1" s="61"/>
      <c r="G1" s="61"/>
      <c r="H1" s="430" t="str">
        <f>Pantalla_Inicio!J1</f>
        <v>Código: PCV_FOR_006
Versión: V02
Fecha de actualización: 04/05/2026</v>
      </c>
      <c r="I1" s="431"/>
      <c r="J1" s="112"/>
      <c r="K1" s="112"/>
      <c r="L1" s="112"/>
    </row>
    <row r="2" spans="1:27" ht="30.75" customHeight="1" x14ac:dyDescent="0.55000000000000004">
      <c r="C2" s="143"/>
      <c r="D2" s="143"/>
      <c r="E2" s="143"/>
      <c r="F2" s="143"/>
      <c r="G2" s="143"/>
      <c r="H2" s="432"/>
      <c r="I2" s="433"/>
      <c r="J2" s="112"/>
      <c r="K2" s="112"/>
      <c r="L2" s="112"/>
      <c r="N2" s="111" t="s">
        <v>37</v>
      </c>
      <c r="O2" s="111" t="s">
        <v>137</v>
      </c>
      <c r="P2" s="111"/>
      <c r="Q2" s="111" t="s">
        <v>38</v>
      </c>
      <c r="R2" s="111"/>
      <c r="S2" s="111"/>
      <c r="T2" s="111" t="s">
        <v>39</v>
      </c>
      <c r="U2" s="111"/>
      <c r="V2" s="111"/>
      <c r="W2" s="111" t="s">
        <v>41</v>
      </c>
      <c r="X2" s="111"/>
      <c r="Y2" s="111"/>
      <c r="Z2" s="111"/>
      <c r="AA2" s="111" t="s">
        <v>2528</v>
      </c>
    </row>
    <row r="3" spans="1:27" ht="24.75" customHeight="1" x14ac:dyDescent="0.35">
      <c r="A3" s="69"/>
      <c r="B3" s="69"/>
      <c r="C3" s="69"/>
      <c r="D3" s="69"/>
      <c r="E3" s="69"/>
      <c r="F3" s="69"/>
      <c r="G3" s="69"/>
      <c r="H3" s="434"/>
      <c r="I3" s="435"/>
      <c r="J3" s="96" t="s">
        <v>2346</v>
      </c>
      <c r="K3" s="112"/>
      <c r="L3" s="112"/>
      <c r="M3" s="11"/>
      <c r="N3" s="2" t="s">
        <v>50</v>
      </c>
      <c r="O3" s="2">
        <v>1160000</v>
      </c>
      <c r="Q3" s="2" t="s">
        <v>51</v>
      </c>
      <c r="T3" s="2" t="s">
        <v>52</v>
      </c>
      <c r="W3" s="2" t="s">
        <v>2529</v>
      </c>
      <c r="AA3" s="2" t="s">
        <v>31</v>
      </c>
    </row>
    <row r="4" spans="1:27" ht="10.5" customHeight="1" x14ac:dyDescent="0.35">
      <c r="A4" s="11"/>
      <c r="B4" s="11"/>
      <c r="C4" s="11"/>
      <c r="D4" s="11"/>
      <c r="E4" s="11"/>
      <c r="F4" s="11"/>
      <c r="G4" s="11"/>
      <c r="H4" s="144"/>
      <c r="I4" s="144"/>
      <c r="J4" s="112"/>
      <c r="K4" s="112"/>
      <c r="L4" s="144"/>
      <c r="M4" s="11"/>
      <c r="N4" s="2" t="s">
        <v>75</v>
      </c>
      <c r="Q4" s="2" t="s">
        <v>66</v>
      </c>
      <c r="T4" s="2" t="s">
        <v>61</v>
      </c>
      <c r="W4" s="2" t="s">
        <v>2530</v>
      </c>
      <c r="AA4" s="2" t="str">
        <f>IF(D14="NO VIS","Leasing Habitacional Familiar","")</f>
        <v/>
      </c>
    </row>
    <row r="5" spans="1:27" ht="17.5" customHeight="1" x14ac:dyDescent="0.55000000000000004">
      <c r="A5" s="11"/>
      <c r="B5" s="515" t="s">
        <v>33</v>
      </c>
      <c r="C5" s="515"/>
      <c r="D5" s="515"/>
      <c r="E5" s="16"/>
      <c r="F5" s="11"/>
      <c r="G5" s="11"/>
      <c r="H5" s="11"/>
      <c r="I5" s="11"/>
      <c r="J5" s="11"/>
      <c r="K5" s="144"/>
      <c r="L5" s="112"/>
      <c r="M5" s="11"/>
      <c r="N5" s="2" t="s">
        <v>92</v>
      </c>
      <c r="W5" s="2" t="s">
        <v>56</v>
      </c>
      <c r="AA5" s="2" t="s">
        <v>34</v>
      </c>
    </row>
    <row r="6" spans="1:27" ht="23.25" customHeight="1" x14ac:dyDescent="0.35">
      <c r="A6" s="145"/>
      <c r="B6" s="516" t="s">
        <v>2348</v>
      </c>
      <c r="C6" s="516"/>
      <c r="D6" s="516"/>
      <c r="E6" s="79"/>
      <c r="F6" s="59"/>
      <c r="G6" s="59"/>
      <c r="H6" s="59"/>
      <c r="I6" s="59"/>
      <c r="J6" s="59"/>
      <c r="K6" s="112"/>
      <c r="L6" s="112"/>
      <c r="M6" s="11"/>
      <c r="AA6" s="2" t="s">
        <v>2441</v>
      </c>
    </row>
    <row r="7" spans="1:27" ht="19.5" customHeight="1" x14ac:dyDescent="0.35">
      <c r="A7" s="145"/>
      <c r="B7" s="517" t="s">
        <v>2349</v>
      </c>
      <c r="C7" s="518"/>
      <c r="D7" s="519"/>
      <c r="E7" s="79"/>
      <c r="F7" s="59"/>
      <c r="G7" s="59"/>
      <c r="H7" s="59"/>
      <c r="I7" s="59"/>
      <c r="J7" s="59"/>
      <c r="K7" s="112"/>
      <c r="L7" s="112"/>
      <c r="M7" s="11"/>
    </row>
    <row r="8" spans="1:27" ht="14.25" customHeight="1" x14ac:dyDescent="0.35">
      <c r="A8" s="145"/>
      <c r="E8" s="79"/>
      <c r="F8" s="59"/>
      <c r="G8" s="59"/>
      <c r="H8" s="59"/>
      <c r="I8" s="59"/>
      <c r="J8" s="59"/>
      <c r="K8" s="112"/>
      <c r="L8" s="14"/>
      <c r="M8" s="14"/>
    </row>
    <row r="9" spans="1:27" ht="19.5" customHeight="1" x14ac:dyDescent="0.35">
      <c r="A9" s="145"/>
      <c r="B9" s="520" t="s">
        <v>2531</v>
      </c>
      <c r="C9" s="521"/>
      <c r="D9" s="522"/>
      <c r="E9" s="79"/>
      <c r="F9" s="516" t="s">
        <v>2532</v>
      </c>
      <c r="G9" s="516"/>
      <c r="H9" s="516"/>
      <c r="I9" s="59"/>
      <c r="J9" s="59"/>
      <c r="K9" s="14"/>
      <c r="L9" s="14"/>
      <c r="M9" s="14"/>
    </row>
    <row r="10" spans="1:27" ht="6" customHeight="1" thickBot="1" x14ac:dyDescent="0.4">
      <c r="A10" s="145"/>
      <c r="B10" s="54"/>
      <c r="C10" s="54"/>
      <c r="D10" s="54" t="s">
        <v>61</v>
      </c>
      <c r="E10" s="79"/>
      <c r="F10" s="59"/>
      <c r="G10" s="59"/>
      <c r="H10" s="59"/>
      <c r="I10" s="59"/>
      <c r="J10" s="59"/>
      <c r="K10" s="14"/>
      <c r="L10" s="120" t="str">
        <f>D11</f>
        <v>No</v>
      </c>
      <c r="M10" s="59"/>
      <c r="N10" s="111" t="s">
        <v>40</v>
      </c>
      <c r="P10" s="111"/>
    </row>
    <row r="11" spans="1:27" ht="16.5" hidden="1" customHeight="1" thickBot="1" x14ac:dyDescent="0.4">
      <c r="A11" s="145"/>
      <c r="B11" s="524" t="s">
        <v>2697</v>
      </c>
      <c r="C11" s="525"/>
      <c r="D11" s="187" t="s">
        <v>61</v>
      </c>
      <c r="E11" s="79"/>
      <c r="F11" s="107"/>
      <c r="G11" s="107"/>
      <c r="I11" s="106"/>
      <c r="K11" s="59"/>
      <c r="L11" s="79">
        <f>C12</f>
        <v>0</v>
      </c>
      <c r="M11" s="59"/>
      <c r="N11" s="2">
        <v>0</v>
      </c>
      <c r="O11" s="2">
        <f>N12-1</f>
        <v>788</v>
      </c>
      <c r="P11" s="2" t="s">
        <v>58</v>
      </c>
    </row>
    <row r="12" spans="1:27" ht="16.5" customHeight="1" thickBot="1" x14ac:dyDescent="0.4">
      <c r="A12" s="145"/>
      <c r="B12" s="71" t="s">
        <v>2363</v>
      </c>
      <c r="C12" s="526"/>
      <c r="D12" s="527"/>
      <c r="E12" s="79"/>
      <c r="F12" s="223" t="s">
        <v>2534</v>
      </c>
      <c r="G12" s="224"/>
      <c r="H12" s="101" t="s">
        <v>61</v>
      </c>
      <c r="I12" s="106"/>
      <c r="K12" s="59"/>
      <c r="L12" s="120">
        <f>D13</f>
        <v>0</v>
      </c>
      <c r="M12" s="59"/>
      <c r="N12" s="2">
        <v>789</v>
      </c>
      <c r="P12" s="2" t="s">
        <v>53</v>
      </c>
    </row>
    <row r="13" spans="1:27" ht="15.75" customHeight="1" thickBot="1" x14ac:dyDescent="0.4">
      <c r="A13" s="145"/>
      <c r="B13" s="529" t="s">
        <v>2365</v>
      </c>
      <c r="C13" s="530"/>
      <c r="D13" s="99"/>
      <c r="E13" s="169"/>
      <c r="F13" s="536" t="str">
        <f>IF(H12="Si","Indica tasa especial en terminos E.A.","")</f>
        <v/>
      </c>
      <c r="G13" s="537"/>
      <c r="H13" s="175"/>
      <c r="I13" s="106"/>
      <c r="K13" s="59"/>
      <c r="L13" s="120" t="str">
        <f>D14</f>
        <v/>
      </c>
      <c r="M13" s="59"/>
    </row>
    <row r="14" spans="1:27" ht="15.65" customHeight="1" x14ac:dyDescent="0.35">
      <c r="A14" s="145"/>
      <c r="B14" s="531" t="s">
        <v>2535</v>
      </c>
      <c r="C14" s="531"/>
      <c r="D14" s="113" t="str">
        <f>_xlfn.IFNA(IF(D13&gt;(VLOOKUP(C12,'Ciudades y SMMLV'!A1:E1119,5,0)),"NO VIS","VIS"),"")</f>
        <v/>
      </c>
      <c r="E14" s="79"/>
      <c r="F14" s="79" t="e" cm="1">
        <f t="array" ref="F14">_xlfn.IFS(D20=O16,P16,((D20&gt;=N17)*AND(D20&lt;=O17)),P17,((D20&gt;=N18)*AND(D20&lt;=O18)),P18,((D20&gt;=N19)*AND(D20&lt;=O19)),P19,((D20&gt;=N20)*AND(D20&lt;=O20)),P20,((D20&gt;=N21)*AND(D20&lt;=O21)),P21)</f>
        <v>#N/A</v>
      </c>
      <c r="G14" s="59"/>
      <c r="H14" s="59"/>
      <c r="I14" s="59"/>
      <c r="J14" s="59"/>
      <c r="K14" s="59"/>
      <c r="L14" s="120"/>
      <c r="M14" s="59"/>
    </row>
    <row r="15" spans="1:27" ht="8.5" customHeight="1" thickBot="1" x14ac:dyDescent="0.4">
      <c r="A15" s="145"/>
      <c r="B15" s="15"/>
      <c r="C15" s="15"/>
      <c r="D15" s="15"/>
      <c r="E15" s="109"/>
      <c r="F15" s="59"/>
      <c r="G15" s="59"/>
      <c r="H15" s="59"/>
      <c r="I15" s="59"/>
      <c r="J15" s="59"/>
      <c r="K15" s="59"/>
      <c r="L15" s="79"/>
      <c r="M15" s="59"/>
      <c r="N15" s="111" t="s">
        <v>2536</v>
      </c>
    </row>
    <row r="16" spans="1:27" ht="21" x14ac:dyDescent="0.5">
      <c r="A16" s="145"/>
      <c r="B16" s="512" t="s">
        <v>2711</v>
      </c>
      <c r="C16" s="513"/>
      <c r="D16" s="514"/>
      <c r="E16" s="79"/>
      <c r="F16" s="153"/>
      <c r="G16" s="153"/>
      <c r="H16" s="153"/>
      <c r="I16" s="153"/>
      <c r="J16" s="153"/>
      <c r="K16" s="59"/>
      <c r="L16" s="120">
        <f t="shared" ref="L16" si="0">D17</f>
        <v>0</v>
      </c>
      <c r="M16" s="59"/>
      <c r="N16" s="111">
        <v>0</v>
      </c>
      <c r="O16" s="2">
        <v>60</v>
      </c>
      <c r="P16" s="2" t="s">
        <v>42</v>
      </c>
    </row>
    <row r="17" spans="1:22" ht="6" customHeight="1" thickBot="1" x14ac:dyDescent="0.4">
      <c r="A17" s="145"/>
      <c r="B17" s="13"/>
      <c r="C17" s="13"/>
      <c r="D17" s="13"/>
      <c r="E17" s="79"/>
      <c r="K17" s="59"/>
      <c r="L17" s="121">
        <f>D18</f>
        <v>0</v>
      </c>
      <c r="M17" s="59"/>
      <c r="N17" s="111">
        <v>61</v>
      </c>
      <c r="O17" s="2">
        <v>84</v>
      </c>
      <c r="P17" s="2" t="s">
        <v>43</v>
      </c>
    </row>
    <row r="18" spans="1:22" ht="17.5" customHeight="1" thickBot="1" x14ac:dyDescent="0.45">
      <c r="A18" s="145"/>
      <c r="B18" s="534" t="s">
        <v>2712</v>
      </c>
      <c r="C18" s="535"/>
      <c r="D18" s="99"/>
      <c r="E18" s="104">
        <f>D13*100%</f>
        <v>0</v>
      </c>
      <c r="F18" s="536" t="s">
        <v>2539</v>
      </c>
      <c r="G18" s="537"/>
      <c r="H18" s="114" t="str">
        <f>IF(H12="No",IFERROR(INDEX('TI CC'!A5:O55,MATCH('TI CC'!A3,'TI CC'!A5:A55,0),MATCH('TI CC'!A2,'TI CC'!A5:O5,0)),""),"")</f>
        <v/>
      </c>
      <c r="I18" s="134" t="str">
        <f>IFERROR(INDEX('Tasas inteligentes'!A5:AA55,MATCH('Tasas inteligentes'!AA3,'Tasas inteligentes'!A5:A55,0),MATCH('Tasas inteligentes'!AA2,'Tasas inteligentes'!A5:AA5,0)),"")</f>
        <v/>
      </c>
      <c r="J18" s="119"/>
      <c r="K18" s="59"/>
      <c r="L18" s="122">
        <f t="shared" ref="L18" si="1">D20</f>
        <v>0</v>
      </c>
      <c r="M18" s="59"/>
      <c r="N18" s="2">
        <v>85</v>
      </c>
      <c r="O18" s="2">
        <v>120</v>
      </c>
      <c r="P18" s="2" t="s">
        <v>44</v>
      </c>
    </row>
    <row r="19" spans="1:22" ht="15.65" customHeight="1" thickBot="1" x14ac:dyDescent="0.45">
      <c r="A19" s="145"/>
      <c r="B19" s="534" t="s">
        <v>2713</v>
      </c>
      <c r="C19" s="535"/>
      <c r="D19" s="103"/>
      <c r="E19" s="79" t="e" cm="1">
        <f t="array" ref="E19">_xlfn.IFS(D14="VIS",360,D14="NO VIS",240)</f>
        <v>#N/A</v>
      </c>
      <c r="G19" s="87" t="s">
        <v>2541</v>
      </c>
      <c r="H19" s="115" t="str">
        <f>IFERROR(NOMINAL(H18,12)/12,"")</f>
        <v/>
      </c>
      <c r="I19" s="135" t="str">
        <f>IFERROR(NOMINAL(I18,12)/12,"")</f>
        <v/>
      </c>
      <c r="J19" s="119"/>
      <c r="K19" s="59"/>
      <c r="L19" s="79" t="str">
        <f>IF(B5="Crédito de Vivienda","Leasing Habitacional Familiar","Crédito de Vivienda")</f>
        <v>Crédito de Vivienda</v>
      </c>
      <c r="M19" s="11"/>
      <c r="N19" s="2">
        <f>O18+1</f>
        <v>121</v>
      </c>
      <c r="O19" s="2">
        <v>180</v>
      </c>
      <c r="P19" s="2" t="s">
        <v>45</v>
      </c>
    </row>
    <row r="20" spans="1:22" ht="17.25" customHeight="1" x14ac:dyDescent="0.35">
      <c r="A20" s="145"/>
      <c r="B20" s="534" t="s">
        <v>2714</v>
      </c>
      <c r="C20" s="535"/>
      <c r="D20" s="103"/>
      <c r="E20" s="79"/>
      <c r="F20" s="79" t="str" cm="1">
        <f t="array" ref="F20">_xlfn.IFS(D28&lt;=O11,P11,D28&gt;=N12,P12)</f>
        <v>&lt;789</v>
      </c>
      <c r="G20" s="59"/>
      <c r="H20" s="59"/>
      <c r="I20" s="59"/>
      <c r="J20" s="59"/>
      <c r="K20" s="59"/>
      <c r="L20" s="120"/>
      <c r="N20" s="2">
        <f>O19+1</f>
        <v>181</v>
      </c>
      <c r="O20" s="2">
        <v>240</v>
      </c>
      <c r="P20" s="2" t="s">
        <v>46</v>
      </c>
    </row>
    <row r="21" spans="1:22" ht="17.149999999999999" customHeight="1" x14ac:dyDescent="0.35">
      <c r="A21" s="145"/>
      <c r="B21" s="534" t="s">
        <v>2715</v>
      </c>
      <c r="C21" s="535"/>
      <c r="D21" s="175"/>
      <c r="E21" s="79"/>
      <c r="F21" s="538" t="str">
        <f>IF(H18="","","La tasa aquí informada corresponde a las condiciones actuales de aprobación, la tasa que le aplicará al cliente será la que este vigente al momento del desembolso.")</f>
        <v/>
      </c>
      <c r="G21" s="538"/>
      <c r="H21" s="538"/>
      <c r="I21" s="538"/>
      <c r="J21" s="538"/>
      <c r="K21" s="11"/>
      <c r="L21" s="79"/>
      <c r="M21" s="59"/>
      <c r="N21" s="2">
        <f>O20+1</f>
        <v>241</v>
      </c>
      <c r="O21" s="2">
        <v>360</v>
      </c>
      <c r="P21" s="2" t="s">
        <v>47</v>
      </c>
    </row>
    <row r="22" spans="1:22" ht="18" customHeight="1" x14ac:dyDescent="0.35">
      <c r="A22" s="145"/>
      <c r="B22" s="534" t="s">
        <v>2716</v>
      </c>
      <c r="C22" s="535"/>
      <c r="D22" s="99"/>
      <c r="E22" s="79"/>
      <c r="F22" s="538"/>
      <c r="G22" s="538"/>
      <c r="H22" s="538"/>
      <c r="I22" s="538"/>
      <c r="J22" s="538"/>
      <c r="L22" s="120"/>
      <c r="M22" s="59"/>
    </row>
    <row r="23" spans="1:22" ht="8.15" customHeight="1" thickBot="1" x14ac:dyDescent="0.4">
      <c r="A23" s="145"/>
      <c r="B23" s="13"/>
      <c r="C23" s="13"/>
      <c r="D23" s="13"/>
      <c r="E23" s="79"/>
      <c r="F23" s="538"/>
      <c r="G23" s="538"/>
      <c r="H23" s="538"/>
      <c r="I23" s="538"/>
      <c r="J23" s="538"/>
      <c r="K23" s="59"/>
      <c r="L23" s="123">
        <f>D26</f>
        <v>0</v>
      </c>
      <c r="M23" s="59"/>
    </row>
    <row r="24" spans="1:22" ht="21" x14ac:dyDescent="0.35">
      <c r="A24" s="145"/>
      <c r="B24" s="512" t="s">
        <v>2542</v>
      </c>
      <c r="C24" s="513"/>
      <c r="D24" s="514"/>
      <c r="E24" s="79"/>
      <c r="F24" s="538"/>
      <c r="G24" s="538"/>
      <c r="H24" s="538"/>
      <c r="I24" s="538"/>
      <c r="J24" s="538"/>
      <c r="K24" s="59"/>
      <c r="L24" s="120">
        <f t="shared" ref="L24" si="2">D27</f>
        <v>0</v>
      </c>
      <c r="M24" s="59"/>
    </row>
    <row r="25" spans="1:22" ht="8.5" customHeight="1" x14ac:dyDescent="0.35">
      <c r="A25" s="145"/>
      <c r="B25" s="72"/>
      <c r="C25" s="72"/>
      <c r="D25" s="156" t="str">
        <f>IF(D26="Otros","Otros","Asalariado y Pensionado")</f>
        <v>Asalariado y Pensionado</v>
      </c>
      <c r="E25" s="177"/>
      <c r="K25" s="59"/>
      <c r="L25" s="124">
        <f>D28</f>
        <v>0</v>
      </c>
      <c r="M25" s="59"/>
      <c r="N25" s="33"/>
      <c r="O25" s="33"/>
      <c r="P25" s="33"/>
      <c r="Q25" s="33"/>
      <c r="R25" s="33"/>
      <c r="V25" s="52">
        <v>0.3</v>
      </c>
    </row>
    <row r="26" spans="1:22" ht="15.75" customHeight="1" x14ac:dyDescent="0.45">
      <c r="A26" s="145"/>
      <c r="B26" s="532" t="s">
        <v>41</v>
      </c>
      <c r="C26" s="533" t="str" cm="1">
        <f t="array" ref="C26">IFERROR(_xlfn.IFS(AND(C13="NO VIS",D26="MI CASA YA"),"ERROR",AND(C13="VIS",D26="FRECH NO VIS"),"ERROR",AND(C13="VIS",D26="ECOBERTURA"),"ERROR"),"")</f>
        <v/>
      </c>
      <c r="D26" s="101"/>
      <c r="E26" s="171"/>
      <c r="F26" s="613" t="str">
        <f>IF(H18="","",IF(H18&lt;D21,"Cliente SI aplica para oferta","Cliente NO aplica para oferta"))</f>
        <v/>
      </c>
      <c r="G26" s="613"/>
      <c r="H26" s="613"/>
      <c r="I26" s="613"/>
      <c r="J26" s="613"/>
      <c r="K26" s="59"/>
      <c r="L26" s="59"/>
      <c r="M26" s="33"/>
    </row>
    <row r="27" spans="1:22" ht="15.75" customHeight="1" x14ac:dyDescent="0.35">
      <c r="A27" s="145"/>
      <c r="B27" s="532" t="s">
        <v>2543</v>
      </c>
      <c r="C27" s="533"/>
      <c r="D27" s="101"/>
      <c r="E27" s="171"/>
      <c r="K27" s="58"/>
    </row>
    <row r="28" spans="1:22" ht="18" customHeight="1" x14ac:dyDescent="0.35">
      <c r="A28" s="145"/>
      <c r="B28" s="532" t="s">
        <v>2544</v>
      </c>
      <c r="C28" s="533"/>
      <c r="D28" s="102"/>
      <c r="E28" s="145"/>
      <c r="K28" s="58"/>
    </row>
    <row r="29" spans="1:22" x14ac:dyDescent="0.35">
      <c r="C29" s="145"/>
      <c r="D29" s="145"/>
      <c r="E29" s="154"/>
    </row>
    <row r="30" spans="1:22" x14ac:dyDescent="0.35">
      <c r="C30" s="145"/>
      <c r="D30" s="145"/>
      <c r="E30" s="109"/>
    </row>
    <row r="31" spans="1:22" x14ac:dyDescent="0.35">
      <c r="C31" s="145"/>
      <c r="D31" s="145"/>
      <c r="E31" s="145"/>
    </row>
    <row r="32" spans="1:22" x14ac:dyDescent="0.35">
      <c r="C32" s="145"/>
      <c r="D32" s="145"/>
      <c r="E32" s="145"/>
    </row>
    <row r="33" spans="3:4" x14ac:dyDescent="0.35">
      <c r="C33" s="145"/>
      <c r="D33" s="145"/>
    </row>
    <row r="34" spans="3:4" x14ac:dyDescent="0.35">
      <c r="C34" s="145"/>
      <c r="D34" s="145"/>
    </row>
    <row r="35" spans="3:4" x14ac:dyDescent="0.35">
      <c r="C35" s="145"/>
      <c r="D35" s="145"/>
    </row>
  </sheetData>
  <sheetProtection algorithmName="SHA-512" hashValue="AqGZJIbfCEaOuURISwOgaogyTovbc9A+ooMe/7HvCEE2Nd8bmt7nzK0ZMle53KlE+B2EZWoCvUl4oKuOeMJaIQ==" saltValue="1ixh+rI2fMMdhP5rXVyj5A==" spinCount="100000" sheet="1" objects="1" scenarios="1"/>
  <mergeCells count="24">
    <mergeCell ref="B11:C11"/>
    <mergeCell ref="C12:D12"/>
    <mergeCell ref="B13:C13"/>
    <mergeCell ref="B14:C14"/>
    <mergeCell ref="B16:D16"/>
    <mergeCell ref="F13:G13"/>
    <mergeCell ref="B19:C19"/>
    <mergeCell ref="B20:C20"/>
    <mergeCell ref="B24:D24"/>
    <mergeCell ref="F18:G18"/>
    <mergeCell ref="B18:C18"/>
    <mergeCell ref="F21:J24"/>
    <mergeCell ref="H1:I3"/>
    <mergeCell ref="B5:D5"/>
    <mergeCell ref="B6:D6"/>
    <mergeCell ref="B7:D7"/>
    <mergeCell ref="B9:D9"/>
    <mergeCell ref="F9:H9"/>
    <mergeCell ref="B26:C26"/>
    <mergeCell ref="F26:J26"/>
    <mergeCell ref="B27:C27"/>
    <mergeCell ref="B28:C28"/>
    <mergeCell ref="B21:C21"/>
    <mergeCell ref="B22:C22"/>
  </mergeCells>
  <conditionalFormatting sqref="D18">
    <cfRule type="cellIs" dxfId="21" priority="13" operator="greaterThan">
      <formula>$E$18</formula>
    </cfRule>
  </conditionalFormatting>
  <conditionalFormatting sqref="D19:D21">
    <cfRule type="cellIs" dxfId="20" priority="12" operator="greaterThan">
      <formula>$E$19</formula>
    </cfRule>
  </conditionalFormatting>
  <conditionalFormatting sqref="D22">
    <cfRule type="cellIs" dxfId="19" priority="6" operator="greaterThan">
      <formula>$E$18</formula>
    </cfRule>
  </conditionalFormatting>
  <conditionalFormatting sqref="F21 K27:K28">
    <cfRule type="containsText" dxfId="17" priority="8" operator="containsText" text="&quot;La tasa aquí informada corresponde a las condiciones actuales de aprobación, la tasa que le aplicará al cliente será la que este vigente al momento del desembolso&quot;">
      <formula>NOT(ISERROR(SEARCH("""La tasa aquí informada corresponde a las condiciones actuales de aprobación, la tasa que le aplicará al cliente será la que este vigente al momento del desembolso""",F21)))</formula>
    </cfRule>
    <cfRule type="containsText" dxfId="16" priority="9" operator="containsText" text="&quot;La tasa aquí informada corresponde a las condiciones actuales de aprobación, la tasa que le aplicará al cliente sera la que este vigente al momento del desembolso&quot;">
      <formula>NOT(ISERROR(SEARCH("""La tasa aquí informada corresponde a las condiciones actuales de aprobación, la tasa que le aplicará al cliente sera la que este vigente al momento del desembolso""",F21)))</formula>
    </cfRule>
  </conditionalFormatting>
  <conditionalFormatting sqref="F16:J16">
    <cfRule type="containsText" dxfId="15" priority="10" operator="containsText" text="Escoje la opción que aplique">
      <formula>NOT(ISERROR(SEARCH("Escoje la opción que aplique",F16)))</formula>
    </cfRule>
  </conditionalFormatting>
  <conditionalFormatting sqref="F26:J26">
    <cfRule type="containsText" dxfId="14" priority="3" operator="containsText" text="NO">
      <formula>NOT(ISERROR(SEARCH("NO",F26)))</formula>
    </cfRule>
    <cfRule type="containsText" dxfId="13" priority="4" operator="containsText" text="SI">
      <formula>NOT(ISERROR(SEARCH("SI",F26)))</formula>
    </cfRule>
    <cfRule type="iconSet" priority="5">
      <iconSet iconSet="3Symbols2">
        <cfvo type="percent" val="0"/>
        <cfvo type="percent" val="33"/>
        <cfvo type="percent" val="67"/>
      </iconSet>
    </cfRule>
  </conditionalFormatting>
  <conditionalFormatting sqref="H13">
    <cfRule type="expression" dxfId="12" priority="1">
      <formula>$H$12="No"</formula>
    </cfRule>
  </conditionalFormatting>
  <conditionalFormatting sqref="H18:H19">
    <cfRule type="containsBlanks" dxfId="11" priority="11">
      <formula>LEN(TRIM(H18))=0</formula>
    </cfRule>
  </conditionalFormatting>
  <dataValidations count="10">
    <dataValidation type="list" allowBlank="1" showInputMessage="1" showErrorMessage="1" sqref="D11 H12" xr:uid="{6CDED223-C3BC-4070-8DC5-C44E50B33B09}">
      <formula1>$T$3:$T$4</formula1>
    </dataValidation>
    <dataValidation type="list" allowBlank="1" showInputMessage="1" showErrorMessage="1" sqref="D27" xr:uid="{B0761D89-79C6-4E33-9CDD-953941B638E8}">
      <formula1>$N$3:$N$5</formula1>
    </dataValidation>
    <dataValidation type="list" allowBlank="1" showInputMessage="1" showErrorMessage="1" errorTitle="Programa no aplica" error="El programa de Gobierno NO aplica según el tipo de vivienda. Por favor corregir" sqref="D26" xr:uid="{7654F5A7-B69C-4D0E-BF4D-97BCBA8F47E8}">
      <formula1>$W$3:$W$5</formula1>
    </dataValidation>
    <dataValidation type="list" allowBlank="1" showInputMessage="1" showErrorMessage="1" errorTitle="Programa no aplica" error="El programa de Gobierno NO aplica según el tipo de vivienda. Por favor corregir" sqref="D27" xr:uid="{C1452AD4-F4CA-40BB-9831-38CDDD849370}">
      <formula1>$N$3:$N$5</formula1>
    </dataValidation>
    <dataValidation type="whole" allowBlank="1" showInputMessage="1" showErrorMessage="1" errorTitle="Valor NO corresponde" error="El valor ingresado supera el porcentaje máximo de financiación" sqref="D18" xr:uid="{D6C47441-7105-4A32-87D9-B1ACEBA5A760}">
      <formula1>0</formula1>
      <formula2>E18</formula2>
    </dataValidation>
    <dataValidation type="whole" operator="greaterThan" allowBlank="1" showInputMessage="1" showErrorMessage="1" errorTitle="Valor debe ser superior a 5MM" error="El valor ingresado debe ser superior a 5 Millones" sqref="D13" xr:uid="{95DBD89B-1E02-4C0E-9486-6DCA2ACBC3A0}">
      <formula1>5000000</formula1>
    </dataValidation>
    <dataValidation type="whole" allowBlank="1" showInputMessage="1" showErrorMessage="1" errorTitle="Plazo NO corresponde" error="El plazo ingresado no aplica para el tipo de vivienda" sqref="D19:D20" xr:uid="{9E33CC13-87F2-4F1A-9E3E-72E4136FC21B}">
      <formula1>60</formula1>
      <formula2>360</formula2>
    </dataValidation>
    <dataValidation type="whole" allowBlank="1" showInputMessage="1" showErrorMessage="1" errorTitle="Verificar valores" error="El valor ingresado debe ser mayor a 0" sqref="D22" xr:uid="{F8703D6A-1498-40B4-8A5E-DC5E9B5B488B}">
      <formula1>0</formula1>
      <formula2>5000000</formula2>
    </dataValidation>
    <dataValidation allowBlank="1" showInputMessage="1" showErrorMessage="1" errorTitle="Plazo NO corresponde" error="El plazo ingresado no aplica para el tipo de vivienda" sqref="D21" xr:uid="{02FB0E1D-B15D-45A2-8B48-FB2FD2745F64}"/>
    <dataValidation type="decimal" allowBlank="1" showInputMessage="1" showErrorMessage="1" sqref="H13" xr:uid="{42C04B50-2FB3-4AC0-94F6-26E9BE01391F}">
      <formula1>0.04</formula1>
      <formula2>0.2</formula2>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7" operator="containsText" id="{B213BD58-EA41-45A3-8CC6-9E1EFF02E372}">
            <xm:f>NOT(ISERROR(SEARCH($F$21,F21)))</xm:f>
            <xm:f>$F$21</xm:f>
            <x14:dxf>
              <font>
                <color rgb="FF006100"/>
              </font>
              <fill>
                <patternFill>
                  <bgColor rgb="FFC6EFCE"/>
                </patternFill>
              </fill>
            </x14:dxf>
          </x14:cfRule>
          <xm:sqref>F21 K27:K28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7DB88A6B-A7F9-4DF5-BB46-BD16AEAA76F7}">
          <x14:formula1>
            <xm:f>'Ciudades y SMMLV'!$A$2:$A$1119</xm:f>
          </x14:formula1>
          <xm:sqref>C12:D12</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27D1D-6463-433B-8CE3-0FFD35EE6086}">
  <sheetPr codeName="Hoja23"/>
  <dimension ref="A1:N45"/>
  <sheetViews>
    <sheetView showGridLines="0" zoomScale="80" zoomScaleNormal="80" workbookViewId="0">
      <pane ySplit="6" topLeftCell="A7" activePane="bottomLeft" state="frozen"/>
      <selection activeCell="B24" sqref="B24"/>
      <selection pane="bottomLeft" activeCell="B24" sqref="B24"/>
    </sheetView>
  </sheetViews>
  <sheetFormatPr baseColWidth="10" defaultColWidth="11.453125" defaultRowHeight="15" customHeight="1" x14ac:dyDescent="0.35"/>
  <cols>
    <col min="1" max="1" width="40.453125" style="2" customWidth="1"/>
    <col min="2" max="2" width="10" style="2" customWidth="1"/>
    <col min="3" max="3" width="20.26953125" style="2" customWidth="1"/>
    <col min="4" max="4" width="13.1796875" style="2" customWidth="1"/>
    <col min="5" max="5" width="17.26953125" style="2" customWidth="1"/>
    <col min="6" max="9" width="15.1796875" style="2" customWidth="1"/>
    <col min="10" max="14" width="11.453125" style="2" hidden="1" customWidth="1"/>
    <col min="15" max="16" width="11.453125" style="2" customWidth="1"/>
    <col min="17" max="16384" width="11.453125" style="2"/>
  </cols>
  <sheetData>
    <row r="1" spans="1:12" ht="26.25" customHeight="1" x14ac:dyDescent="0.35">
      <c r="A1" s="60"/>
      <c r="B1" s="61"/>
      <c r="C1" s="61"/>
      <c r="G1" s="430" t="str">
        <f>CV!H1</f>
        <v>Código: PCV_FOR_006
Versión: V02
Fecha de actualización: 04/05/2026</v>
      </c>
      <c r="H1" s="431"/>
    </row>
    <row r="2" spans="1:12" ht="23.25" customHeight="1" x14ac:dyDescent="0.55000000000000004">
      <c r="A2" s="63"/>
      <c r="D2" s="545" t="s">
        <v>2545</v>
      </c>
      <c r="E2" s="545"/>
      <c r="F2" s="545"/>
      <c r="G2" s="432"/>
      <c r="H2" s="433"/>
    </row>
    <row r="3" spans="1:12" ht="24" customHeight="1" x14ac:dyDescent="0.35">
      <c r="A3" s="68"/>
      <c r="B3" s="69"/>
      <c r="C3" s="69"/>
      <c r="D3" s="69"/>
      <c r="E3" s="69"/>
      <c r="F3" s="69"/>
      <c r="G3" s="434"/>
      <c r="H3" s="435"/>
      <c r="I3" s="96" t="s">
        <v>2546</v>
      </c>
      <c r="J3" s="11"/>
    </row>
    <row r="4" spans="1:12" ht="23.25" customHeight="1" thickBot="1" x14ac:dyDescent="0.4">
      <c r="A4" s="516" t="s">
        <v>2441</v>
      </c>
      <c r="B4" s="516"/>
      <c r="C4" s="516"/>
      <c r="D4" s="59"/>
      <c r="E4" s="59"/>
      <c r="F4" s="57"/>
      <c r="G4" s="11"/>
      <c r="H4" s="11"/>
      <c r="I4" s="11"/>
      <c r="J4" s="11"/>
    </row>
    <row r="5" spans="1:12" ht="6" customHeight="1" x14ac:dyDescent="0.35">
      <c r="A5" s="539" t="s">
        <v>2548</v>
      </c>
      <c r="B5" s="540"/>
      <c r="C5" s="541"/>
      <c r="D5" s="59"/>
      <c r="E5" s="59"/>
      <c r="F5" s="57"/>
      <c r="G5" s="11"/>
      <c r="H5" s="11"/>
      <c r="I5" s="11"/>
      <c r="J5" s="12"/>
    </row>
    <row r="6" spans="1:12" ht="10.5" customHeight="1" x14ac:dyDescent="0.35">
      <c r="A6" s="546"/>
      <c r="B6" s="547"/>
      <c r="C6" s="548"/>
      <c r="D6" s="13">
        <v>24556798.854714327</v>
      </c>
      <c r="E6" s="57"/>
      <c r="F6" s="57"/>
      <c r="G6" s="14"/>
      <c r="H6" s="14"/>
      <c r="I6" s="14"/>
      <c r="J6" s="14"/>
    </row>
    <row r="7" spans="1:12" ht="7" customHeight="1" thickBot="1" x14ac:dyDescent="0.4">
      <c r="A7" s="54"/>
      <c r="B7" s="54"/>
      <c r="C7" s="54"/>
      <c r="D7" s="13"/>
      <c r="E7" s="57"/>
      <c r="F7" s="57"/>
      <c r="G7" s="14"/>
      <c r="H7" s="14"/>
      <c r="I7" s="14"/>
      <c r="J7" s="14"/>
    </row>
    <row r="8" spans="1:12" ht="18.649999999999999" customHeight="1" thickBot="1" x14ac:dyDescent="0.4">
      <c r="A8" s="532" t="s">
        <v>2363</v>
      </c>
      <c r="B8" s="591"/>
      <c r="C8" s="146">
        <f>_xlfn.IFNA(CC!C12,0)</f>
        <v>0</v>
      </c>
      <c r="D8" s="158"/>
      <c r="E8" s="57"/>
      <c r="F8" s="57"/>
      <c r="G8" s="14"/>
      <c r="H8" s="14"/>
      <c r="I8" s="14"/>
      <c r="J8" s="14" t="s">
        <v>2717</v>
      </c>
      <c r="L8" s="180">
        <f>CC!$D$19-CC!$D$20</f>
        <v>0</v>
      </c>
    </row>
    <row r="9" spans="1:12" ht="17.5" customHeight="1" thickBot="1" x14ac:dyDescent="0.4">
      <c r="A9" s="529" t="s">
        <v>2543</v>
      </c>
      <c r="B9" s="618"/>
      <c r="C9" s="82">
        <f>_xlfn.IFNA(CC!D27,0)</f>
        <v>0</v>
      </c>
      <c r="D9" s="158"/>
      <c r="E9" s="57"/>
      <c r="F9" s="57"/>
      <c r="G9" s="14"/>
      <c r="H9" s="14"/>
      <c r="I9" s="14"/>
      <c r="J9" s="14"/>
      <c r="K9" s="178" t="s">
        <v>2718</v>
      </c>
      <c r="L9" s="178" t="s">
        <v>2719</v>
      </c>
    </row>
    <row r="10" spans="1:12" ht="8.25" hidden="1" customHeight="1" thickBot="1" x14ac:dyDescent="0.4">
      <c r="A10" s="54"/>
      <c r="B10" s="76"/>
      <c r="C10" s="76" t="s">
        <v>2720</v>
      </c>
      <c r="D10" s="50"/>
      <c r="E10" s="12"/>
      <c r="F10" s="14"/>
      <c r="G10" s="14"/>
      <c r="H10" s="14"/>
      <c r="I10" s="14"/>
      <c r="J10" s="14"/>
    </row>
    <row r="11" spans="1:12" ht="16" thickBot="1" x14ac:dyDescent="0.4">
      <c r="A11" s="529" t="s">
        <v>2365</v>
      </c>
      <c r="B11" s="618"/>
      <c r="C11" s="81">
        <f>_xlfn.IFNA(CC!D13,0)</f>
        <v>0</v>
      </c>
      <c r="D11" s="50"/>
      <c r="G11" s="14"/>
      <c r="H11" s="14"/>
      <c r="I11" s="14"/>
      <c r="J11" s="14" t="s">
        <v>2721</v>
      </c>
      <c r="K11" s="2" t="str">
        <f>IF($B$30=$J$11,$C$16,"")</f>
        <v/>
      </c>
      <c r="L11" s="2" t="str">
        <f>IF($B$30=$J$11,$C$16,"")</f>
        <v/>
      </c>
    </row>
    <row r="12" spans="1:12" ht="16" thickBot="1" x14ac:dyDescent="0.4">
      <c r="A12" s="532" t="s">
        <v>2535</v>
      </c>
      <c r="B12" s="591"/>
      <c r="C12" s="81" t="str">
        <f>_xlfn.IFNA(CC!D14,0)</f>
        <v/>
      </c>
      <c r="D12" s="160"/>
      <c r="G12" s="27"/>
      <c r="H12" s="27"/>
      <c r="J12" s="14" t="s">
        <v>2722</v>
      </c>
      <c r="K12" s="2" t="str">
        <f>IF($B$30=$J$12,60,"")</f>
        <v/>
      </c>
      <c r="L12" s="2" t="str">
        <f>IF($B$30=$J$12,$C$16-1,"")</f>
        <v/>
      </c>
    </row>
    <row r="13" spans="1:12" ht="17.25" customHeight="1" thickBot="1" x14ac:dyDescent="0.4">
      <c r="A13" s="532" t="s">
        <v>2549</v>
      </c>
      <c r="B13" s="591"/>
      <c r="C13" s="86">
        <f>_xlfn.IFNA(CC!D26,0)</f>
        <v>0</v>
      </c>
      <c r="D13" s="183" t="str">
        <f>IF(C13="Asalariado","Asalariados","Independiente-Pensionado")</f>
        <v>Independiente-Pensionado</v>
      </c>
      <c r="E13" s="90" t="s">
        <v>2550</v>
      </c>
      <c r="F13" s="91"/>
      <c r="G13" s="27"/>
      <c r="H13" s="27"/>
      <c r="I13" s="27"/>
      <c r="J13" s="14" t="s">
        <v>2723</v>
      </c>
      <c r="K13" s="2" t="str">
        <f>IF($B$30=$J$13,$C$16+1,"")</f>
        <v/>
      </c>
      <c r="L13" s="179">
        <f>IF($C$12="NO VIS",240,360)-$L$8</f>
        <v>360</v>
      </c>
    </row>
    <row r="14" spans="1:12" ht="16" thickBot="1" x14ac:dyDescent="0.4">
      <c r="A14" s="529" t="s">
        <v>2724</v>
      </c>
      <c r="B14" s="614"/>
      <c r="C14" s="76">
        <f>IF(D14&gt;=CC!D18,CC!D18,'Compra cartera'!D14)</f>
        <v>0</v>
      </c>
      <c r="D14" s="185">
        <f>C11*100%</f>
        <v>0</v>
      </c>
      <c r="E14" s="92" t="s">
        <v>2552</v>
      </c>
      <c r="F14" s="93">
        <f>IF(C11&lt;=500000000,196011,(((C11/1000)*0.7)*1.19))</f>
        <v>196011</v>
      </c>
      <c r="G14" s="27"/>
      <c r="H14" s="27"/>
      <c r="I14" s="27"/>
    </row>
    <row r="15" spans="1:12" ht="16.5" customHeight="1" thickBot="1" x14ac:dyDescent="0.4">
      <c r="A15" s="534" t="s">
        <v>2725</v>
      </c>
      <c r="B15" s="576"/>
      <c r="C15" s="85">
        <f>_xlfn.IFNA(CC!D21,0)</f>
        <v>0</v>
      </c>
      <c r="E15" s="94" t="s">
        <v>2554</v>
      </c>
      <c r="F15" s="95">
        <v>100000</v>
      </c>
      <c r="G15" s="27"/>
      <c r="H15" s="27"/>
      <c r="I15" s="27"/>
      <c r="J15" s="14" t="str">
        <f>IF(C12="VIS"," "," ")</f>
        <v xml:space="preserve"> </v>
      </c>
    </row>
    <row r="16" spans="1:12" ht="16.5" customHeight="1" thickBot="1" x14ac:dyDescent="0.4">
      <c r="A16" s="534" t="s">
        <v>2714</v>
      </c>
      <c r="B16" s="535"/>
      <c r="C16" s="89">
        <f>_xlfn.IFNA(CC!D20,0)</f>
        <v>0</v>
      </c>
      <c r="D16" s="84"/>
      <c r="E16" s="77"/>
      <c r="F16" s="77"/>
      <c r="G16" s="28"/>
      <c r="H16" s="28"/>
      <c r="I16" s="28"/>
      <c r="J16" s="2" t="str">
        <f>IF(C12="VIS"," "," ")</f>
        <v xml:space="preserve"> </v>
      </c>
    </row>
    <row r="17" spans="1:12" ht="16.5" customHeight="1" thickBot="1" x14ac:dyDescent="0.4">
      <c r="A17" s="532" t="s">
        <v>2726</v>
      </c>
      <c r="B17" s="617"/>
      <c r="C17" s="176">
        <f>IFERROR(PMT((NOMINAL(CC!$D$21,12)/12),CC!$D$20,-CC!$D$18),0)</f>
        <v>0</v>
      </c>
      <c r="D17" s="229" t="str">
        <f>IF(CC!H12="No",CC!H18,CC!H13)</f>
        <v/>
      </c>
      <c r="E17" s="184" t="e">
        <f>NOMINAL((D17),12)/12</f>
        <v>#VALUE!</v>
      </c>
      <c r="F17" s="77"/>
      <c r="G17" s="28"/>
      <c r="H17" s="28"/>
      <c r="I17" s="28"/>
      <c r="J17" s="2" t="s">
        <v>2727</v>
      </c>
    </row>
    <row r="18" spans="1:12" ht="16" thickBot="1" x14ac:dyDescent="0.4">
      <c r="A18" s="532" t="s">
        <v>2728</v>
      </c>
      <c r="B18" s="617"/>
      <c r="C18" s="176">
        <f>C17+CC!D22</f>
        <v>0</v>
      </c>
      <c r="D18" s="161"/>
      <c r="E18" s="83"/>
      <c r="F18" s="83"/>
      <c r="G18" s="11"/>
      <c r="H18" s="11"/>
      <c r="I18" s="11"/>
    </row>
    <row r="19" spans="1:12" ht="16.5" customHeight="1" thickBot="1" x14ac:dyDescent="0.4">
      <c r="A19" s="83"/>
      <c r="B19" s="83"/>
      <c r="C19" s="83"/>
      <c r="D19" s="77"/>
      <c r="E19" s="83"/>
      <c r="F19" s="118"/>
      <c r="H19" s="11"/>
      <c r="I19" s="11"/>
    </row>
    <row r="20" spans="1:12" ht="16.5" customHeight="1" x14ac:dyDescent="0.35">
      <c r="A20" s="592" t="s">
        <v>2558</v>
      </c>
      <c r="B20" s="593"/>
      <c r="C20" s="594"/>
      <c r="D20" s="162"/>
      <c r="E20" s="611" t="s">
        <v>2561</v>
      </c>
      <c r="F20" s="73"/>
      <c r="G20" s="172"/>
      <c r="H20" s="172"/>
      <c r="I20" s="172"/>
      <c r="J20" s="2" t="s">
        <v>2559</v>
      </c>
    </row>
    <row r="21" spans="1:12" s="83" customFormat="1" ht="6" hidden="1" customHeight="1" x14ac:dyDescent="0.35">
      <c r="C21" s="88" t="e">
        <f>IF(#REF!="Mi Casa Ya","si","no")</f>
        <v>#REF!</v>
      </c>
      <c r="D21" s="162"/>
      <c r="E21" s="611"/>
      <c r="F21" s="2"/>
      <c r="G21" s="172"/>
      <c r="H21" s="172"/>
      <c r="I21" s="172"/>
    </row>
    <row r="22" spans="1:12" s="83" customFormat="1" ht="16" thickBot="1" x14ac:dyDescent="0.4">
      <c r="A22" s="552" t="s">
        <v>2560</v>
      </c>
      <c r="B22" s="553"/>
      <c r="C22" s="44"/>
      <c r="D22" s="163" t="str" cm="1">
        <f t="array" ref="D22">IFERROR(_xlfn.IFS(AND(B12="NO VIS",#REF!="MI CASA YA"),"Programa NO corresponde",AND(B12="VIS",#REF!="FRECH NO VIS"),"Programa NO corresponde",AND(B12="VIS",#REF!="ECOBERTURA"),"Programa NO corresponde"),"")</f>
        <v/>
      </c>
      <c r="E22" s="612"/>
      <c r="F22" s="2"/>
      <c r="G22" s="172"/>
      <c r="H22" s="172"/>
      <c r="I22" s="172"/>
    </row>
    <row r="23" spans="1:12" ht="15.5" x14ac:dyDescent="0.35">
      <c r="A23" s="556" t="s">
        <v>2562</v>
      </c>
      <c r="B23" s="557"/>
      <c r="C23" s="44"/>
      <c r="D23" s="164"/>
      <c r="E23" s="558">
        <f>COUNT(C22,C23,C24,C25)</f>
        <v>0</v>
      </c>
      <c r="G23" s="172"/>
      <c r="H23" s="172"/>
      <c r="I23" s="172"/>
      <c r="J23" s="12"/>
      <c r="K23" s="2" t="s">
        <v>2563</v>
      </c>
      <c r="L23" s="2" t="s">
        <v>2563</v>
      </c>
    </row>
    <row r="24" spans="1:12" ht="16" thickBot="1" x14ac:dyDescent="0.4">
      <c r="A24" s="556" t="s">
        <v>2564</v>
      </c>
      <c r="B24" s="557"/>
      <c r="C24" s="44"/>
      <c r="D24" s="49"/>
      <c r="E24" s="559"/>
      <c r="G24" s="172"/>
      <c r="H24" s="172"/>
      <c r="I24" s="172"/>
      <c r="J24" s="11"/>
      <c r="K24" s="2" t="s">
        <v>2565</v>
      </c>
      <c r="L24" s="2" t="s">
        <v>2566</v>
      </c>
    </row>
    <row r="25" spans="1:12" ht="15.5" x14ac:dyDescent="0.35">
      <c r="A25" s="556" t="s">
        <v>2567</v>
      </c>
      <c r="B25" s="557"/>
      <c r="C25" s="44"/>
      <c r="D25" s="165"/>
      <c r="G25" s="172"/>
      <c r="H25" s="172"/>
      <c r="I25" s="172"/>
      <c r="J25" s="11"/>
      <c r="K25" s="2" t="s">
        <v>2568</v>
      </c>
      <c r="L25" s="2" t="s">
        <v>2569</v>
      </c>
    </row>
    <row r="26" spans="1:12" ht="15" customHeight="1" thickBot="1" x14ac:dyDescent="0.4">
      <c r="A26" s="619" t="str">
        <f>IF(C22="","",IF($C$22&gt;37,"","¿Cliente desea adquirir el combo Protección Vida y Hogar?"))</f>
        <v/>
      </c>
      <c r="B26" s="619"/>
      <c r="C26" s="243"/>
      <c r="D26" s="16" t="str">
        <f>IF(AND(A26="¿Cliente desea adquirir el combo Protección Vida y Hogar?",C26="Si"),"Si","No")</f>
        <v>No</v>
      </c>
      <c r="G26" s="172"/>
      <c r="H26" s="172"/>
      <c r="I26" s="172"/>
      <c r="J26" s="11"/>
      <c r="K26" s="2" t="s">
        <v>2570</v>
      </c>
      <c r="L26" s="2" t="s">
        <v>2571</v>
      </c>
    </row>
    <row r="27" spans="1:12" ht="16" customHeight="1" thickBot="1" x14ac:dyDescent="0.4">
      <c r="A27" s="23"/>
      <c r="B27" s="23"/>
      <c r="C27" s="23"/>
      <c r="D27" s="159"/>
      <c r="E27" s="561" t="s">
        <v>2580</v>
      </c>
      <c r="F27" s="563">
        <f>IF(CC!D28&gt;=799,((C37-C34-C35)/40%),IF(CC!D28&lt;=739,((C37-C34-C35)/30%),((C37-C34-C35)/35%)))</f>
        <v>0</v>
      </c>
      <c r="G27" s="172"/>
      <c r="H27" s="172"/>
      <c r="I27" s="172"/>
      <c r="J27" s="11"/>
      <c r="K27" s="2" t="s">
        <v>2573</v>
      </c>
      <c r="L27" s="2" t="s">
        <v>2574</v>
      </c>
    </row>
    <row r="28" spans="1:12" ht="19.5" customHeight="1" thickBot="1" x14ac:dyDescent="0.4">
      <c r="A28" s="592" t="s">
        <v>2729</v>
      </c>
      <c r="B28" s="540"/>
      <c r="C28" s="541"/>
      <c r="D28" s="50"/>
      <c r="E28" s="562"/>
      <c r="F28" s="564"/>
      <c r="G28" s="172"/>
      <c r="H28" s="172"/>
      <c r="I28" s="172"/>
      <c r="J28" s="11"/>
      <c r="K28" s="2" t="s">
        <v>2577</v>
      </c>
      <c r="L28" s="2" t="s">
        <v>2578</v>
      </c>
    </row>
    <row r="29" spans="1:12" ht="9" customHeight="1" x14ac:dyDescent="0.35">
      <c r="A29" s="23"/>
      <c r="B29" s="23"/>
      <c r="C29" s="23"/>
      <c r="D29" s="51"/>
      <c r="E29" s="1"/>
      <c r="F29" s="1"/>
      <c r="G29" s="172"/>
      <c r="H29" s="172"/>
      <c r="I29" s="172"/>
      <c r="J29" s="11" t="str">
        <f>IF(A26="","","Si")</f>
        <v/>
      </c>
      <c r="K29" s="2" t="s">
        <v>2581</v>
      </c>
      <c r="L29" s="2" t="s">
        <v>2582</v>
      </c>
    </row>
    <row r="30" spans="1:12" ht="33" customHeight="1" x14ac:dyDescent="0.35">
      <c r="A30" s="174" t="s">
        <v>2730</v>
      </c>
      <c r="B30" s="625"/>
      <c r="C30" s="626"/>
      <c r="D30" s="51"/>
      <c r="E30" s="621" t="str">
        <f>IF(B30="","",IF(B30=J11,"",J17))</f>
        <v/>
      </c>
      <c r="F30" s="621"/>
      <c r="G30" s="621"/>
      <c r="H30" s="621"/>
      <c r="I30" s="23"/>
      <c r="J30" s="11" t="str">
        <f>IF(A26="","","No")</f>
        <v/>
      </c>
      <c r="K30" s="2" t="s">
        <v>2584</v>
      </c>
      <c r="L30" s="2" t="s">
        <v>2584</v>
      </c>
    </row>
    <row r="31" spans="1:12" ht="15" customHeight="1" x14ac:dyDescent="0.35">
      <c r="A31" s="615" t="str">
        <f>IF(B30=J11,"Digita el mismo Plazo restante","Digita el Nuevo Plazo solicitado")</f>
        <v>Digita el Nuevo Plazo solicitado</v>
      </c>
      <c r="B31" s="616"/>
      <c r="C31" s="44"/>
      <c r="D31" s="159"/>
      <c r="E31" s="621"/>
      <c r="F31" s="621"/>
      <c r="G31" s="621"/>
      <c r="H31" s="621"/>
      <c r="I31" s="11"/>
      <c r="J31" s="11"/>
      <c r="K31" s="2" t="s">
        <v>2586</v>
      </c>
      <c r="L31" s="2" t="s">
        <v>2586</v>
      </c>
    </row>
    <row r="32" spans="1:12" ht="17.25" customHeight="1" thickBot="1" x14ac:dyDescent="0.4">
      <c r="A32" s="159"/>
      <c r="B32" s="159"/>
      <c r="C32" s="159"/>
      <c r="D32" s="17"/>
      <c r="E32" s="621"/>
      <c r="F32" s="621"/>
      <c r="G32" s="621"/>
      <c r="H32" s="621"/>
      <c r="I32" s="1"/>
      <c r="J32" s="11" t="s">
        <v>52</v>
      </c>
      <c r="K32" s="2" t="s">
        <v>2587</v>
      </c>
      <c r="L32" s="2" t="s">
        <v>2587</v>
      </c>
    </row>
    <row r="33" spans="1:12" ht="18" customHeight="1" x14ac:dyDescent="0.35">
      <c r="A33" s="539" t="s">
        <v>2731</v>
      </c>
      <c r="B33" s="540"/>
      <c r="C33" s="541"/>
      <c r="D33" s="51"/>
      <c r="E33" s="621"/>
      <c r="F33" s="621"/>
      <c r="G33" s="621"/>
      <c r="H33" s="621"/>
      <c r="I33" s="29"/>
      <c r="J33" s="11" t="s">
        <v>61</v>
      </c>
      <c r="K33" s="2" t="s">
        <v>2632</v>
      </c>
      <c r="L33" s="2" t="s">
        <v>2632</v>
      </c>
    </row>
    <row r="34" spans="1:12" ht="15.75" customHeight="1" x14ac:dyDescent="0.35">
      <c r="A34" s="560" t="s">
        <v>2579</v>
      </c>
      <c r="B34" s="560"/>
      <c r="C34" s="24">
        <f>'Plan de pagos CC'!J18</f>
        <v>0</v>
      </c>
      <c r="D34" s="18"/>
      <c r="I34" s="30"/>
      <c r="J34" s="11"/>
      <c r="K34" s="2" t="s">
        <v>2634</v>
      </c>
      <c r="L34" s="2" t="s">
        <v>2634</v>
      </c>
    </row>
    <row r="35" spans="1:12" ht="16" customHeight="1" x14ac:dyDescent="0.35">
      <c r="A35" s="560" t="s">
        <v>2583</v>
      </c>
      <c r="B35" s="560"/>
      <c r="C35" s="24">
        <f>'Plan de pagos CC'!$K$18</f>
        <v>0</v>
      </c>
      <c r="D35" s="166"/>
      <c r="E35" s="623" t="str">
        <f>"LO QUE AHORRA TU CLIENTE"&amp;" en "&amp;B30</f>
        <v xml:space="preserve">LO QUE AHORRA TU CLIENTE en </v>
      </c>
      <c r="F35" s="624"/>
      <c r="G35" s="624"/>
      <c r="H35" s="624"/>
      <c r="I35" s="31"/>
      <c r="J35" s="11"/>
    </row>
    <row r="36" spans="1:12" ht="25.5" customHeight="1" thickBot="1" x14ac:dyDescent="0.4">
      <c r="A36" s="560" t="s">
        <v>2630</v>
      </c>
      <c r="B36" s="560"/>
      <c r="C36" s="25">
        <f>IFERROR(PMT($E$17,$C$31,-$C$14),0)</f>
        <v>0</v>
      </c>
      <c r="E36" s="550" t="str" cm="1">
        <f t="array" ref="E36">_xlfn.IFNA(_xlfn.IFS(B30=J11,J40,B30=J12,J42,B30=J13,J45),"")</f>
        <v/>
      </c>
      <c r="F36" s="622"/>
      <c r="G36" s="620"/>
      <c r="H36" s="181" t="str">
        <f>_xlfn.IFNA(VLOOKUP(E36,J40:L45,3,FALSE),"")</f>
        <v/>
      </c>
      <c r="I36" s="31"/>
      <c r="J36" s="11">
        <v>1</v>
      </c>
    </row>
    <row r="37" spans="1:12" ht="15" customHeight="1" thickBot="1" x14ac:dyDescent="0.4">
      <c r="A37" s="549" t="s">
        <v>2700</v>
      </c>
      <c r="B37" s="550"/>
      <c r="C37" s="53">
        <f>IFERROR(SUM(C34:C36),0)</f>
        <v>0</v>
      </c>
      <c r="D37" s="21"/>
      <c r="E37" s="550" t="str" cm="1">
        <f t="array" ref="E37">_xlfn.IFNA(_xlfn.IFS(B30=J11,J41,B30=J12,J44,B30=J13,""),"")</f>
        <v/>
      </c>
      <c r="F37" s="622"/>
      <c r="G37" s="620"/>
      <c r="H37" s="181" t="str">
        <f>_xlfn.IFNA(VLOOKUP(E37,J40:L45,3,FALSE),"")</f>
        <v/>
      </c>
      <c r="I37" s="32"/>
      <c r="J37" s="11">
        <v>2</v>
      </c>
    </row>
    <row r="38" spans="1:12" ht="15" customHeight="1" x14ac:dyDescent="0.35">
      <c r="A38" s="21"/>
      <c r="B38" s="21"/>
      <c r="C38" s="21"/>
      <c r="E38" s="550" t="str">
        <f>IF(B30=J12,J43,"")</f>
        <v/>
      </c>
      <c r="F38" s="622"/>
      <c r="G38" s="620"/>
      <c r="H38" s="181" t="str">
        <f>_xlfn.IFNA(VLOOKUP(E38,J40:L45,3,FALSE),"")</f>
        <v/>
      </c>
      <c r="I38" s="31"/>
      <c r="J38" s="11">
        <v>3</v>
      </c>
    </row>
    <row r="39" spans="1:12" ht="25" customHeight="1" thickBot="1" x14ac:dyDescent="0.4">
      <c r="A39" s="21"/>
      <c r="B39" s="21"/>
      <c r="C39" s="21"/>
      <c r="G39" s="33"/>
      <c r="H39" s="33"/>
      <c r="I39" s="33"/>
      <c r="J39" s="2">
        <v>4</v>
      </c>
    </row>
    <row r="40" spans="1:12" ht="15" customHeight="1" x14ac:dyDescent="0.35">
      <c r="A40" s="539" t="s">
        <v>2631</v>
      </c>
      <c r="B40" s="540"/>
      <c r="C40" s="541"/>
      <c r="G40" s="33"/>
      <c r="H40" s="33"/>
      <c r="I40" s="33"/>
      <c r="J40" s="2" t="s">
        <v>2732</v>
      </c>
      <c r="L40" s="181">
        <f>C18-C37</f>
        <v>0</v>
      </c>
    </row>
    <row r="41" spans="1:12" ht="29.5" customHeight="1" x14ac:dyDescent="0.35">
      <c r="A41" s="560" t="s">
        <v>2633</v>
      </c>
      <c r="B41" s="560"/>
      <c r="C41" s="44"/>
      <c r="D41" s="186" t="str">
        <f>C42&amp;C43&amp;D13</f>
        <v>Independiente-Pensionado</v>
      </c>
      <c r="G41" s="33"/>
      <c r="H41" s="33"/>
      <c r="I41" s="33"/>
      <c r="J41" s="2" t="s">
        <v>2733</v>
      </c>
      <c r="L41" s="181">
        <f>L40*C31</f>
        <v>0</v>
      </c>
    </row>
    <row r="42" spans="1:12" ht="15" customHeight="1" x14ac:dyDescent="0.35">
      <c r="A42" s="560" t="s">
        <v>2635</v>
      </c>
      <c r="B42" s="560"/>
      <c r="C42" s="157"/>
      <c r="D42" s="58"/>
      <c r="I42" s="33"/>
      <c r="J42" s="2" t="s">
        <v>2734</v>
      </c>
      <c r="L42" s="181">
        <f>C37-C18</f>
        <v>0</v>
      </c>
    </row>
    <row r="43" spans="1:12" ht="15" customHeight="1" x14ac:dyDescent="0.35">
      <c r="A43" s="560" t="s">
        <v>2636</v>
      </c>
      <c r="B43" s="560"/>
      <c r="C43" s="44"/>
      <c r="I43" s="33"/>
      <c r="J43" s="2" t="s">
        <v>2735</v>
      </c>
      <c r="L43" s="182" t="str">
        <f>IF(C16-C31&lt;=0,"",C16-C31)</f>
        <v/>
      </c>
    </row>
    <row r="44" spans="1:12" ht="15" customHeight="1" thickBot="1" x14ac:dyDescent="0.4">
      <c r="A44" s="560" t="s">
        <v>2637</v>
      </c>
      <c r="B44" s="560"/>
      <c r="C44" s="24">
        <f>_xlfn.IFNA(VLOOKUP(D41,Oferta_Seguros!F:G,2,FALSE),0)</f>
        <v>0</v>
      </c>
      <c r="J44" s="2" t="s">
        <v>2736</v>
      </c>
      <c r="L44" s="181">
        <f>(C18*C16)-(C37*C31)</f>
        <v>0</v>
      </c>
    </row>
    <row r="45" spans="1:12" ht="15" customHeight="1" thickBot="1" x14ac:dyDescent="0.4">
      <c r="A45" s="560" t="s">
        <v>2638</v>
      </c>
      <c r="B45" s="560"/>
      <c r="C45" s="168">
        <f>$C$37+$C$44</f>
        <v>0</v>
      </c>
      <c r="J45" s="550" t="s">
        <v>2737</v>
      </c>
      <c r="K45" s="620"/>
      <c r="L45" s="181">
        <f>C18-C37</f>
        <v>0</v>
      </c>
    </row>
  </sheetData>
  <sheetProtection algorithmName="SHA-512" hashValue="v0iDAw6Xsb2n0uXUEhARRkudUnlWzVfDsf/fpV1jn0c1I7KCB8PjKALRoGejmKvMrUKlRDCB7FbBmJv1siNSnQ==" saltValue="X3/82AxuG60VpIBauvZJ8A==" spinCount="100000" sheet="1" objects="1" scenarios="1"/>
  <mergeCells count="44">
    <mergeCell ref="A26:B26"/>
    <mergeCell ref="J45:K45"/>
    <mergeCell ref="E30:H33"/>
    <mergeCell ref="E36:G36"/>
    <mergeCell ref="E35:H35"/>
    <mergeCell ref="E37:G37"/>
    <mergeCell ref="E38:G38"/>
    <mergeCell ref="E27:E28"/>
    <mergeCell ref="F27:F28"/>
    <mergeCell ref="A34:B34"/>
    <mergeCell ref="A35:B35"/>
    <mergeCell ref="A36:B36"/>
    <mergeCell ref="B30:C30"/>
    <mergeCell ref="A16:B16"/>
    <mergeCell ref="G1:H3"/>
    <mergeCell ref="D2:F2"/>
    <mergeCell ref="A4:C4"/>
    <mergeCell ref="A5:C6"/>
    <mergeCell ref="A9:B9"/>
    <mergeCell ref="A8:B8"/>
    <mergeCell ref="A12:B12"/>
    <mergeCell ref="A11:B11"/>
    <mergeCell ref="E20:E22"/>
    <mergeCell ref="A22:B22"/>
    <mergeCell ref="A23:B23"/>
    <mergeCell ref="E23:E24"/>
    <mergeCell ref="A24:B24"/>
    <mergeCell ref="A20:C20"/>
    <mergeCell ref="A25:B25"/>
    <mergeCell ref="A13:B13"/>
    <mergeCell ref="A14:B14"/>
    <mergeCell ref="A15:B15"/>
    <mergeCell ref="A45:B45"/>
    <mergeCell ref="A28:C28"/>
    <mergeCell ref="A31:B31"/>
    <mergeCell ref="A37:B37"/>
    <mergeCell ref="A40:C40"/>
    <mergeCell ref="A41:B41"/>
    <mergeCell ref="A42:B42"/>
    <mergeCell ref="A43:B43"/>
    <mergeCell ref="A44:B44"/>
    <mergeCell ref="A33:C33"/>
    <mergeCell ref="A17:B17"/>
    <mergeCell ref="A18:B18"/>
  </mergeCells>
  <conditionalFormatting sqref="C31">
    <cfRule type="cellIs" dxfId="10" priority="6" operator="notBetween">
      <formula>VLOOKUP($B$30,$J$11:$L$13,2,FALSE)</formula>
      <formula>VLOOKUP($B$30,$J$11:$L$13,3,FALSE)</formula>
    </cfRule>
  </conditionalFormatting>
  <conditionalFormatting sqref="E30:H33">
    <cfRule type="containsText" dxfId="9" priority="3" operator="containsText" text="60">
      <formula>NOT(ISERROR(SEARCH("60",E30)))</formula>
    </cfRule>
  </conditionalFormatting>
  <conditionalFormatting sqref="G20:I29">
    <cfRule type="containsText" dxfId="8" priority="9" operator="containsText" text="Los subsidios otorgados por el Gobierno Nacional aplican unicamente al momento del desembolso, conforme el cliente cumpla con los requisitos para acceder al programa seleccionado y haya existencia de cupos. El valor descontado por este beneficio en este s">
      <formula>NOT(ISERROR(SEARCH("Los subsidios otorgados por el Gobierno Nacional aplican unicamente al momento del desembolso, conforme el cliente cumpla con los requisitos para acceder al programa seleccionado y haya existencia de cupos. El valor descontado por este beneficio en este s",G20)))</formula>
    </cfRule>
  </conditionalFormatting>
  <conditionalFormatting sqref="H36:H38">
    <cfRule type="cellIs" dxfId="7" priority="2" operator="lessThan">
      <formula>0</formula>
    </cfRule>
  </conditionalFormatting>
  <dataValidations count="9">
    <dataValidation type="whole" allowBlank="1" showInputMessage="1" showErrorMessage="1" errorTitle="Edad NO corresponde" error="La edad ingresada no aplica por política de crédito" sqref="C22 C24:C25 C27" xr:uid="{C948E166-B9C6-4C03-9FA4-B2B3CF70C7B9}">
      <formula1>18</formula1>
      <formula2>70</formula2>
    </dataValidation>
    <dataValidation type="whole" allowBlank="1" showInputMessage="1" showErrorMessage="1" errorTitle="Edad NO correponde" error="La edad ingresada no aplica por política de crédito" sqref="C23" xr:uid="{9DD7A864-EFEA-4375-A0F3-386540AFDE3E}">
      <formula1>18</formula1>
      <formula2>70</formula2>
    </dataValidation>
    <dataValidation type="list" allowBlank="1" showInputMessage="1" showErrorMessage="1" sqref="C41" xr:uid="{526D5D73-020C-401A-B239-5F9E0FF0AFE7}">
      <formula1>$J$32:$J$33</formula1>
    </dataValidation>
    <dataValidation type="list" allowBlank="1" showInputMessage="1" showErrorMessage="1" sqref="B30:C30" xr:uid="{22BC9E9A-4D56-4A92-90A7-D9E400A09B96}">
      <formula1>$J$11:$J$13</formula1>
    </dataValidation>
    <dataValidation type="whole" allowBlank="1" showInputMessage="1" showErrorMessage="1" errorTitle="Plazo NO corresponde" error="Plazo NO permitido" sqref="C32" xr:uid="{38282C2C-282A-454C-A28F-08DD6AC3B653}">
      <formula1>60</formula1>
      <formula2>360</formula2>
    </dataValidation>
    <dataValidation type="list" allowBlank="1" showInputMessage="1" showErrorMessage="1" sqref="C43" xr:uid="{1C9947D1-1E3B-4713-8A6F-CE323A343B25}">
      <formula1>IF($C$41="Si",$J$36:$J$39,$J$35)</formula1>
    </dataValidation>
    <dataValidation type="list" allowBlank="1" showInputMessage="1" showErrorMessage="1" sqref="C42" xr:uid="{DA2065E6-5178-4D1E-8442-940DEBFF6181}">
      <formula1>IF($C$41="No",$K$23,IF(AND($C$41="Si",$D$13="Asalariados"),$K$24:$K$34,$L$24:$L$34))</formula1>
    </dataValidation>
    <dataValidation type="whole" allowBlank="1" showInputMessage="1" showErrorMessage="1" errorTitle="Plazo NO corresponde" error="Segun el &quot;Escenario&quot; elegido, el plazo NO corresponde " sqref="C31" xr:uid="{3EEF800B-0B84-4D3E-92EE-6343C71152CA}">
      <formula1>VLOOKUP(B30,J11:L13,2,FALSE)</formula1>
      <formula2>VLOOKUP(B30,J11:L13,3,FALSE)</formula2>
    </dataValidation>
    <dataValidation type="list" allowBlank="1" showInputMessage="1" showErrorMessage="1" errorTitle="Valor Errado" sqref="C26" xr:uid="{0A4C21B6-E3C9-44E9-BF64-9A323CB1CA86}">
      <formula1>$J$29:$J$30</formula1>
    </dataValidation>
  </dataValidation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F7C3D-6BC3-44A0-AFDF-12E7483CE4B1}">
  <sheetPr codeName="Hoja24">
    <pageSetUpPr fitToPage="1"/>
  </sheetPr>
  <dimension ref="A1:XFA377"/>
  <sheetViews>
    <sheetView showGridLines="0" view="pageBreakPreview" zoomScale="70" zoomScaleNormal="70" zoomScaleSheetLayoutView="70" workbookViewId="0">
      <pane ySplit="16" topLeftCell="A17" activePane="bottomLeft" state="frozen"/>
      <selection activeCell="B24" sqref="B24"/>
      <selection pane="bottomLeft" activeCell="B24" sqref="B24"/>
    </sheetView>
  </sheetViews>
  <sheetFormatPr baseColWidth="10" defaultColWidth="0" defaultRowHeight="15" customHeight="1" x14ac:dyDescent="0.35"/>
  <cols>
    <col min="1" max="1" width="3" style="2" customWidth="1"/>
    <col min="2" max="2" width="11.453125" style="2" customWidth="1"/>
    <col min="3" max="3" width="16.7265625" style="2" bestFit="1" customWidth="1"/>
    <col min="4" max="5" width="13.81640625" style="2" bestFit="1" customWidth="1"/>
    <col min="6" max="6" width="15.7265625" style="2" hidden="1" customWidth="1"/>
    <col min="7" max="9" width="12.54296875" style="2" hidden="1" customWidth="1"/>
    <col min="10" max="10" width="14.7265625" style="2" bestFit="1" customWidth="1"/>
    <col min="11" max="11" width="12.81640625" style="2" bestFit="1" customWidth="1"/>
    <col min="12" max="12" width="13.81640625" style="2" bestFit="1" customWidth="1"/>
    <col min="13" max="13" width="15" style="2" bestFit="1" customWidth="1"/>
    <col min="14" max="14" width="15.81640625" style="2" bestFit="1" customWidth="1"/>
    <col min="15" max="15" width="13.81640625" style="2" bestFit="1" customWidth="1"/>
    <col min="16" max="16" width="5.1796875" style="2" customWidth="1"/>
    <col min="17" max="17" width="11.453125" style="2" hidden="1"/>
    <col min="18" max="23" width="3.7265625" style="2" hidden="1"/>
    <col min="24" max="24" width="11.453125" style="2" hidden="1"/>
    <col min="25" max="16381" width="3.7265625" style="2" hidden="1"/>
    <col min="16382" max="16384" width="2.81640625" style="2" hidden="1"/>
  </cols>
  <sheetData>
    <row r="1" spans="1:16" ht="15" customHeight="1" x14ac:dyDescent="0.35">
      <c r="A1" s="60"/>
      <c r="B1" s="61"/>
      <c r="C1" s="61"/>
      <c r="D1" s="61"/>
      <c r="E1" s="61"/>
      <c r="F1" s="61"/>
      <c r="G1" s="61"/>
      <c r="H1" s="61"/>
      <c r="I1" s="61"/>
      <c r="J1" s="61"/>
      <c r="K1" s="61"/>
      <c r="L1" s="61"/>
      <c r="M1" s="61"/>
      <c r="N1" s="430" t="str">
        <f>Pantalla_Inicio!J1</f>
        <v>Código: PCV_FOR_006
Versión: V02
Fecha de actualización: 04/05/2026</v>
      </c>
      <c r="O1" s="431"/>
    </row>
    <row r="2" spans="1:16" ht="21.75" customHeight="1" x14ac:dyDescent="0.35">
      <c r="A2" s="63"/>
      <c r="E2" s="627" t="s">
        <v>2738</v>
      </c>
      <c r="F2" s="627"/>
      <c r="G2" s="627"/>
      <c r="H2" s="627"/>
      <c r="I2" s="627"/>
      <c r="J2" s="627"/>
      <c r="K2" s="627"/>
      <c r="L2" s="627"/>
      <c r="M2" s="140"/>
      <c r="N2" s="432"/>
      <c r="O2" s="433"/>
    </row>
    <row r="3" spans="1:16" ht="20.149999999999999" customHeight="1" x14ac:dyDescent="0.35">
      <c r="A3" s="63"/>
      <c r="E3" s="627"/>
      <c r="F3" s="627"/>
      <c r="G3" s="627"/>
      <c r="H3" s="627"/>
      <c r="I3" s="627"/>
      <c r="J3" s="627"/>
      <c r="K3" s="627"/>
      <c r="L3" s="627"/>
      <c r="M3" s="140"/>
      <c r="N3" s="432"/>
      <c r="O3" s="433"/>
    </row>
    <row r="4" spans="1:16" ht="15.75" customHeight="1" x14ac:dyDescent="0.45">
      <c r="A4" s="64"/>
      <c r="B4" s="97" t="s">
        <v>2589</v>
      </c>
      <c r="C4" s="65"/>
      <c r="D4" s="65"/>
      <c r="E4" s="66"/>
      <c r="F4" s="66"/>
      <c r="G4" s="66"/>
      <c r="H4" s="66"/>
      <c r="I4" s="66"/>
      <c r="J4" s="66"/>
      <c r="K4" s="66"/>
      <c r="L4" s="66"/>
      <c r="M4" s="66"/>
      <c r="N4" s="434"/>
      <c r="O4" s="435"/>
    </row>
    <row r="5" spans="1:16" ht="18" customHeight="1" x14ac:dyDescent="0.35">
      <c r="B5" s="570" t="s">
        <v>2646</v>
      </c>
      <c r="C5" s="570"/>
      <c r="D5" s="570"/>
      <c r="E5" s="570"/>
      <c r="F5" s="570"/>
      <c r="G5" s="570"/>
      <c r="H5" s="570"/>
      <c r="I5" s="570"/>
      <c r="J5" s="570"/>
      <c r="K5" s="570"/>
      <c r="L5" s="570"/>
      <c r="M5" s="570"/>
      <c r="N5" s="570"/>
      <c r="O5" s="570"/>
      <c r="P5" s="139"/>
    </row>
    <row r="6" spans="1:16" ht="18.649999999999999" customHeight="1" x14ac:dyDescent="0.35">
      <c r="B6" s="571"/>
      <c r="C6" s="571"/>
      <c r="D6" s="571"/>
      <c r="E6" s="571"/>
      <c r="F6" s="571"/>
      <c r="G6" s="571"/>
      <c r="H6" s="571"/>
      <c r="I6" s="571"/>
      <c r="J6" s="571"/>
      <c r="K6" s="571"/>
      <c r="L6" s="571"/>
      <c r="M6" s="571"/>
      <c r="N6" s="571"/>
      <c r="O6" s="571"/>
      <c r="P6" s="139"/>
    </row>
    <row r="7" spans="1:16" ht="19.5" customHeight="1" x14ac:dyDescent="0.35">
      <c r="B7" s="571"/>
      <c r="C7" s="571"/>
      <c r="D7" s="571"/>
      <c r="E7" s="571"/>
      <c r="F7" s="571"/>
      <c r="G7" s="571"/>
      <c r="H7" s="571"/>
      <c r="I7" s="571"/>
      <c r="J7" s="571"/>
      <c r="K7" s="571"/>
      <c r="L7" s="571"/>
      <c r="M7" s="571"/>
      <c r="N7" s="571"/>
      <c r="O7" s="571"/>
      <c r="P7" s="139"/>
    </row>
    <row r="8" spans="1:16" ht="16" customHeight="1" x14ac:dyDescent="0.35">
      <c r="B8" s="571"/>
      <c r="C8" s="571"/>
      <c r="D8" s="571"/>
      <c r="E8" s="571"/>
      <c r="F8" s="571"/>
      <c r="G8" s="571"/>
      <c r="H8" s="571"/>
      <c r="I8" s="571"/>
      <c r="J8" s="571"/>
      <c r="K8" s="571"/>
      <c r="L8" s="571"/>
      <c r="M8" s="571"/>
      <c r="N8" s="571"/>
      <c r="O8" s="571"/>
      <c r="P8" s="139"/>
    </row>
    <row r="9" spans="1:16" ht="17.25" customHeight="1" x14ac:dyDescent="0.35">
      <c r="B9" s="571"/>
      <c r="C9" s="571"/>
      <c r="D9" s="571"/>
      <c r="E9" s="571"/>
      <c r="F9" s="571"/>
      <c r="G9" s="571"/>
      <c r="H9" s="571"/>
      <c r="I9" s="571"/>
      <c r="J9" s="571"/>
      <c r="K9" s="571"/>
      <c r="L9" s="571"/>
      <c r="M9" s="571"/>
      <c r="N9" s="571"/>
      <c r="O9" s="571"/>
      <c r="P9" s="139"/>
    </row>
    <row r="10" spans="1:16" ht="23.5" customHeight="1" x14ac:dyDescent="0.35">
      <c r="B10" s="571"/>
      <c r="C10" s="571"/>
      <c r="D10" s="571"/>
      <c r="E10" s="571"/>
      <c r="F10" s="571"/>
      <c r="G10" s="571"/>
      <c r="H10" s="571"/>
      <c r="I10" s="571"/>
      <c r="J10" s="571"/>
      <c r="K10" s="571"/>
      <c r="L10" s="571"/>
      <c r="M10" s="571"/>
      <c r="N10" s="571"/>
      <c r="O10" s="571"/>
      <c r="P10" s="139"/>
    </row>
    <row r="11" spans="1:16" ht="24.65" customHeight="1" x14ac:dyDescent="0.35">
      <c r="B11" s="571"/>
      <c r="C11" s="571"/>
      <c r="D11" s="571"/>
      <c r="E11" s="571"/>
      <c r="F11" s="571"/>
      <c r="G11" s="571"/>
      <c r="H11" s="571"/>
      <c r="I11" s="571"/>
      <c r="J11" s="571"/>
      <c r="K11" s="571"/>
      <c r="L11" s="571"/>
      <c r="M11" s="571"/>
      <c r="N11" s="571"/>
      <c r="O11" s="571"/>
      <c r="P11" s="139"/>
    </row>
    <row r="12" spans="1:16" ht="21.75" customHeight="1" x14ac:dyDescent="0.35">
      <c r="B12" s="571" t="s">
        <v>2647</v>
      </c>
      <c r="C12" s="571"/>
      <c r="D12" s="571"/>
      <c r="E12" s="571"/>
      <c r="F12" s="571"/>
      <c r="G12" s="571"/>
      <c r="H12" s="571"/>
      <c r="I12" s="571"/>
      <c r="J12" s="571"/>
      <c r="K12" s="571"/>
      <c r="L12" s="571"/>
      <c r="M12" s="571"/>
      <c r="N12" s="571"/>
      <c r="O12" s="571"/>
      <c r="P12" s="139"/>
    </row>
    <row r="13" spans="1:16" ht="19.5" customHeight="1" x14ac:dyDescent="0.35">
      <c r="B13" s="571"/>
      <c r="C13" s="571"/>
      <c r="D13" s="571"/>
      <c r="E13" s="571"/>
      <c r="F13" s="571"/>
      <c r="G13" s="571"/>
      <c r="H13" s="571"/>
      <c r="I13" s="571"/>
      <c r="J13" s="571"/>
      <c r="K13" s="571"/>
      <c r="L13" s="571"/>
      <c r="M13" s="571"/>
      <c r="N13" s="571"/>
      <c r="O13" s="571"/>
      <c r="P13" s="139"/>
    </row>
    <row r="14" spans="1:16" ht="19.5" customHeight="1" x14ac:dyDescent="0.35">
      <c r="B14" s="571" t="s">
        <v>2696</v>
      </c>
      <c r="C14" s="571"/>
      <c r="D14" s="571"/>
      <c r="E14" s="339" t="s">
        <v>2592</v>
      </c>
      <c r="F14" s="340">
        <f>SUM(P18:P377)</f>
        <v>0</v>
      </c>
      <c r="G14" s="341"/>
      <c r="H14" s="341"/>
      <c r="I14" s="341"/>
      <c r="J14" s="342" t="e">
        <f>SUM(O18:O377)</f>
        <v>#VALUE!</v>
      </c>
      <c r="K14" s="339" t="s">
        <v>2593</v>
      </c>
      <c r="L14" s="343" t="e">
        <f>EFFECT((IRR(O17:O377,0))*12,12)</f>
        <v>#VALUE!</v>
      </c>
      <c r="M14" s="139"/>
      <c r="N14" s="139"/>
      <c r="O14" s="139"/>
      <c r="P14" s="139"/>
    </row>
    <row r="15" spans="1:16" ht="8.25" customHeight="1" x14ac:dyDescent="0.35">
      <c r="B15" s="5"/>
    </row>
    <row r="16" spans="1:16" ht="46.5" x14ac:dyDescent="0.35">
      <c r="B16" s="41" t="s">
        <v>2596</v>
      </c>
      <c r="C16" s="42" t="s">
        <v>2650</v>
      </c>
      <c r="D16" s="42" t="s">
        <v>2651</v>
      </c>
      <c r="E16" s="42" t="str">
        <f>IF('Crédito de Vivienda'!C22="Mi Casa Ya","Interés con Beneficio MCY", "Interés")</f>
        <v>Interés</v>
      </c>
      <c r="F16" s="42" t="s">
        <v>2600</v>
      </c>
      <c r="G16" s="42" t="s">
        <v>2601</v>
      </c>
      <c r="H16" s="42" t="s">
        <v>2602</v>
      </c>
      <c r="I16" s="42" t="s">
        <v>2603</v>
      </c>
      <c r="J16" s="42" t="s">
        <v>2604</v>
      </c>
      <c r="K16" s="42" t="s">
        <v>2605</v>
      </c>
      <c r="L16" s="42" t="s">
        <v>2661</v>
      </c>
      <c r="M16" s="42" t="s">
        <v>2662</v>
      </c>
      <c r="N16" s="42" t="s">
        <v>2631</v>
      </c>
      <c r="O16" s="42" t="s">
        <v>2663</v>
      </c>
    </row>
    <row r="17" spans="2:15" ht="15.5" x14ac:dyDescent="0.35">
      <c r="B17" s="34">
        <v>0</v>
      </c>
      <c r="C17" s="35">
        <f>'Compra cartera'!C14</f>
        <v>0</v>
      </c>
      <c r="D17" s="35"/>
      <c r="E17" s="7"/>
      <c r="F17" s="36"/>
      <c r="G17" s="36"/>
      <c r="H17" s="36"/>
      <c r="I17" s="36"/>
      <c r="J17" s="37"/>
      <c r="K17" s="37"/>
      <c r="L17" s="7"/>
      <c r="M17" s="38"/>
      <c r="N17" s="39"/>
      <c r="O17" s="329">
        <f>-C17</f>
        <v>0</v>
      </c>
    </row>
    <row r="18" spans="2:15" ht="15.5" x14ac:dyDescent="0.35">
      <c r="B18" s="6">
        <v>1</v>
      </c>
      <c r="C18" s="7" t="e">
        <f>C17-D18</f>
        <v>#VALUE!</v>
      </c>
      <c r="D18" s="7" t="e">
        <f>L18-E18</f>
        <v>#VALUE!</v>
      </c>
      <c r="E18" s="7" t="e">
        <f>C17*'Compra cartera'!$E$17</f>
        <v>#VALUE!</v>
      </c>
      <c r="F18" s="8" t="e">
        <f>IF('Compra cartera'!$D$26="Si",($C$17*(VLOOKUP('Compra cartera'!$C$22,Seguros_Oblig!$A$3:$F$55,6,FALSE))),(C17*(VLOOKUP('Compra cartera'!$C$22,Seguros_Oblig!$A$3:$E$55,5,FALSE))))</f>
        <v>#N/A</v>
      </c>
      <c r="G18" s="8" t="e">
        <f>(C17*(VLOOKUP('Compra cartera'!$C$23,Seguros_Oblig!$A$3:$E$55,5,FALSE)))</f>
        <v>#N/A</v>
      </c>
      <c r="H18" s="8" t="e">
        <f>(C17*(VLOOKUP('Compra cartera'!$C$24,Seguros_Oblig!$A$3:$E$55,5,FALSE)))</f>
        <v>#N/A</v>
      </c>
      <c r="I18" s="8" t="e">
        <f>(C17*(VLOOKUP('Compra cartera'!$C$25,Seguros_Oblig!$A$3:$E$55,5,FALSE)))</f>
        <v>#N/A</v>
      </c>
      <c r="J18" s="10">
        <f>_xlfn.AGGREGATE(9,6,F18:I18)</f>
        <v>0</v>
      </c>
      <c r="K18" s="7">
        <f>Seguros_Oblig!$K$2*('Compra cartera'!$C$11*90%)</f>
        <v>0</v>
      </c>
      <c r="L18" s="7" t="e">
        <f>PMT('Compra cartera'!$E$17,'Compra cartera'!$C$31,-'Compra cartera'!$C$14,,)</f>
        <v>#VALUE!</v>
      </c>
      <c r="M18" s="9" t="e">
        <f>K18+L18+J18</f>
        <v>#VALUE!</v>
      </c>
      <c r="N18" s="7">
        <f>'Compra cartera'!$C$44</f>
        <v>0</v>
      </c>
      <c r="O18" s="9" t="e">
        <f>M18+N18</f>
        <v>#VALUE!</v>
      </c>
    </row>
    <row r="19" spans="2:15" ht="15.5" x14ac:dyDescent="0.35">
      <c r="B19" s="6" t="e">
        <f>IF(C18&gt;1,B18+1," ")</f>
        <v>#VALUE!</v>
      </c>
      <c r="C19" s="7" t="e">
        <f t="shared" ref="C19:C82" si="0">C18-D19</f>
        <v>#VALUE!</v>
      </c>
      <c r="D19" s="7" t="e">
        <f t="shared" ref="D19:D29" si="1">L19-E19</f>
        <v>#VALUE!</v>
      </c>
      <c r="E19" s="7" t="e">
        <f>C18*'Compra cartera'!$E$17</f>
        <v>#VALUE!</v>
      </c>
      <c r="F19" s="8" t="e">
        <f>IF('Compra cartera'!$D$26="Si",($C$17*(VLOOKUP('Compra cartera'!$C$22,Seguros_Oblig!$A$3:$F$55,6,FALSE))),(C18*(VLOOKUP('Compra cartera'!$C$22,Seguros_Oblig!$A$3:$E$55,5,FALSE))))</f>
        <v>#VALUE!</v>
      </c>
      <c r="G19" s="8" t="e">
        <f>(C18*(VLOOKUP('Compra cartera'!$C$23,Seguros_Oblig!$A$3:$E$55,5,FALSE)))</f>
        <v>#VALUE!</v>
      </c>
      <c r="H19" s="8" t="e">
        <f>(C18*(VLOOKUP('Compra cartera'!$C$24,Seguros_Oblig!$A$3:$E$55,5,FALSE)))</f>
        <v>#VALUE!</v>
      </c>
      <c r="I19" s="8" t="e">
        <f>(C18*(VLOOKUP('Compra cartera'!$C$25,Seguros_Oblig!$A$3:$E$55,5,FALSE)))</f>
        <v>#VALUE!</v>
      </c>
      <c r="J19" s="10">
        <f t="shared" ref="J19:J82" si="2">_xlfn.AGGREGATE(9,6,F19:I19)</f>
        <v>0</v>
      </c>
      <c r="K19" s="7">
        <f>Seguros_Oblig!$K$2*('Compra cartera'!$C$11*90%)</f>
        <v>0</v>
      </c>
      <c r="L19" s="7" t="e">
        <f>PMT('Compra cartera'!$E$17,'Compra cartera'!$C$31,-'Compra cartera'!$C$14,,)</f>
        <v>#VALUE!</v>
      </c>
      <c r="M19" s="9" t="e">
        <f t="shared" ref="M19:M82" si="3">K19+L19+J19</f>
        <v>#VALUE!</v>
      </c>
      <c r="N19" s="7">
        <f>'Compra cartera'!$C$44</f>
        <v>0</v>
      </c>
      <c r="O19" s="9" t="e">
        <f t="shared" ref="O19:O82" si="4">M19+N19</f>
        <v>#VALUE!</v>
      </c>
    </row>
    <row r="20" spans="2:15" ht="15.5" x14ac:dyDescent="0.35">
      <c r="B20" s="6" t="e">
        <f>IF(C19&gt;1,B19+1,"")</f>
        <v>#VALUE!</v>
      </c>
      <c r="C20" s="7" t="e">
        <f t="shared" si="0"/>
        <v>#VALUE!</v>
      </c>
      <c r="D20" s="7" t="e">
        <f t="shared" si="1"/>
        <v>#VALUE!</v>
      </c>
      <c r="E20" s="7" t="e">
        <f>C19*'Compra cartera'!$E$17</f>
        <v>#VALUE!</v>
      </c>
      <c r="F20" s="8" t="e">
        <f>IF('Compra cartera'!$D$26="Si",($C$17*(VLOOKUP('Compra cartera'!$C$22,Seguros_Oblig!$A$3:$F$55,6,FALSE))),(C19*(VLOOKUP('Compra cartera'!$C$22,Seguros_Oblig!$A$3:$E$55,5,FALSE))))</f>
        <v>#VALUE!</v>
      </c>
      <c r="G20" s="8" t="e">
        <f>(C19*(VLOOKUP('Compra cartera'!$C$23,Seguros_Oblig!$A$3:$E$55,5,FALSE)))</f>
        <v>#VALUE!</v>
      </c>
      <c r="H20" s="8" t="e">
        <f>(C19*(VLOOKUP('Compra cartera'!$C$24,Seguros_Oblig!$A$3:$E$55,5,FALSE)))</f>
        <v>#VALUE!</v>
      </c>
      <c r="I20" s="8" t="e">
        <f>(C19*(VLOOKUP('Compra cartera'!$C$25,Seguros_Oblig!$A$3:$E$55,5,FALSE)))</f>
        <v>#VALUE!</v>
      </c>
      <c r="J20" s="10">
        <f t="shared" si="2"/>
        <v>0</v>
      </c>
      <c r="K20" s="7">
        <f>Seguros_Oblig!$K$2*('Compra cartera'!$C$11*90%)</f>
        <v>0</v>
      </c>
      <c r="L20" s="7" t="e">
        <f>PMT('Compra cartera'!$E$17,'Compra cartera'!$C$31,-'Compra cartera'!$C$14,,)</f>
        <v>#VALUE!</v>
      </c>
      <c r="M20" s="9" t="e">
        <f t="shared" si="3"/>
        <v>#VALUE!</v>
      </c>
      <c r="N20" s="7">
        <f>'Compra cartera'!$C$44</f>
        <v>0</v>
      </c>
      <c r="O20" s="9" t="e">
        <f t="shared" si="4"/>
        <v>#VALUE!</v>
      </c>
    </row>
    <row r="21" spans="2:15" ht="15.5" x14ac:dyDescent="0.35">
      <c r="B21" s="6" t="e">
        <f>IF(C20&gt;1,B20+1," ")</f>
        <v>#VALUE!</v>
      </c>
      <c r="C21" s="7" t="e">
        <f t="shared" si="0"/>
        <v>#VALUE!</v>
      </c>
      <c r="D21" s="7" t="e">
        <f t="shared" si="1"/>
        <v>#VALUE!</v>
      </c>
      <c r="E21" s="7" t="e">
        <f>C20*'Compra cartera'!$E$17</f>
        <v>#VALUE!</v>
      </c>
      <c r="F21" s="8" t="e">
        <f>IF('Compra cartera'!$D$26="Si",($C$17*(VLOOKUP('Compra cartera'!$C$22,Seguros_Oblig!$A$3:$F$55,6,FALSE))),(C20*(VLOOKUP('Compra cartera'!$C$22,Seguros_Oblig!$A$3:$E$55,5,FALSE))))</f>
        <v>#VALUE!</v>
      </c>
      <c r="G21" s="8" t="e">
        <f>(C20*(VLOOKUP('Compra cartera'!$C$23,Seguros_Oblig!$A$3:$E$55,5,FALSE)))</f>
        <v>#VALUE!</v>
      </c>
      <c r="H21" s="8" t="e">
        <f>(C20*(VLOOKUP('Compra cartera'!$C$24,Seguros_Oblig!$A$3:$E$55,5,FALSE)))</f>
        <v>#VALUE!</v>
      </c>
      <c r="I21" s="8" t="e">
        <f>(C20*(VLOOKUP('Compra cartera'!$C$25,Seguros_Oblig!$A$3:$E$55,5,FALSE)))</f>
        <v>#VALUE!</v>
      </c>
      <c r="J21" s="10">
        <f t="shared" si="2"/>
        <v>0</v>
      </c>
      <c r="K21" s="7">
        <f>Seguros_Oblig!$K$2*('Compra cartera'!$C$11*90%)</f>
        <v>0</v>
      </c>
      <c r="L21" s="7" t="e">
        <f>PMT('Compra cartera'!$E$17,'Compra cartera'!$C$31,-'Compra cartera'!$C$14,,)</f>
        <v>#VALUE!</v>
      </c>
      <c r="M21" s="9" t="e">
        <f t="shared" si="3"/>
        <v>#VALUE!</v>
      </c>
      <c r="N21" s="7">
        <f>'Compra cartera'!$C$44</f>
        <v>0</v>
      </c>
      <c r="O21" s="9" t="e">
        <f t="shared" si="4"/>
        <v>#VALUE!</v>
      </c>
    </row>
    <row r="22" spans="2:15" ht="15.5" x14ac:dyDescent="0.35">
      <c r="B22" s="6" t="e">
        <f>IF(C21&gt;1,B21+1," ")</f>
        <v>#VALUE!</v>
      </c>
      <c r="C22" s="7" t="e">
        <f t="shared" si="0"/>
        <v>#VALUE!</v>
      </c>
      <c r="D22" s="7" t="e">
        <f t="shared" si="1"/>
        <v>#VALUE!</v>
      </c>
      <c r="E22" s="7" t="e">
        <f>C21*'Compra cartera'!$E$17</f>
        <v>#VALUE!</v>
      </c>
      <c r="F22" s="8" t="e">
        <f>IF('Compra cartera'!$D$26="Si",($C$17*(VLOOKUP('Compra cartera'!$C$22,Seguros_Oblig!$A$3:$F$55,6,FALSE))),(C21*(VLOOKUP('Compra cartera'!$C$22,Seguros_Oblig!$A$3:$E$55,5,FALSE))))</f>
        <v>#VALUE!</v>
      </c>
      <c r="G22" s="8" t="e">
        <f>(C21*(VLOOKUP('Compra cartera'!$C$23,Seguros_Oblig!$A$3:$E$55,5,FALSE)))</f>
        <v>#VALUE!</v>
      </c>
      <c r="H22" s="8" t="e">
        <f>(C21*(VLOOKUP('Compra cartera'!$C$24,Seguros_Oblig!$A$3:$E$55,5,FALSE)))</f>
        <v>#VALUE!</v>
      </c>
      <c r="I22" s="8" t="e">
        <f>(C21*(VLOOKUP('Compra cartera'!$C$25,Seguros_Oblig!$A$3:$E$55,5,FALSE)))</f>
        <v>#VALUE!</v>
      </c>
      <c r="J22" s="10">
        <f t="shared" si="2"/>
        <v>0</v>
      </c>
      <c r="K22" s="7">
        <f>Seguros_Oblig!$K$2*('Compra cartera'!$C$11*90%)</f>
        <v>0</v>
      </c>
      <c r="L22" s="7" t="e">
        <f>PMT('Compra cartera'!$E$17,'Compra cartera'!$C$31,-'Compra cartera'!$C$14,,)</f>
        <v>#VALUE!</v>
      </c>
      <c r="M22" s="9" t="e">
        <f t="shared" si="3"/>
        <v>#VALUE!</v>
      </c>
      <c r="N22" s="7">
        <f>'Compra cartera'!$C$44</f>
        <v>0</v>
      </c>
      <c r="O22" s="9" t="e">
        <f t="shared" si="4"/>
        <v>#VALUE!</v>
      </c>
    </row>
    <row r="23" spans="2:15" ht="15.5" x14ac:dyDescent="0.35">
      <c r="B23" s="6" t="e">
        <f>IF(C22&gt;1,B22+1," ")</f>
        <v>#VALUE!</v>
      </c>
      <c r="C23" s="7" t="e">
        <f t="shared" si="0"/>
        <v>#VALUE!</v>
      </c>
      <c r="D23" s="7" t="e">
        <f t="shared" si="1"/>
        <v>#VALUE!</v>
      </c>
      <c r="E23" s="7" t="e">
        <f>C22*'Compra cartera'!$E$17</f>
        <v>#VALUE!</v>
      </c>
      <c r="F23" s="8" t="e">
        <f>IF('Compra cartera'!$D$26="Si",($C$17*(VLOOKUP('Compra cartera'!$C$22,Seguros_Oblig!$A$3:$F$55,6,FALSE))),(C22*(VLOOKUP('Compra cartera'!$C$22,Seguros_Oblig!$A$3:$E$55,5,FALSE))))</f>
        <v>#VALUE!</v>
      </c>
      <c r="G23" s="8" t="e">
        <f>(C22*(VLOOKUP('Compra cartera'!$C$23,Seguros_Oblig!$A$3:$E$55,5,FALSE)))</f>
        <v>#VALUE!</v>
      </c>
      <c r="H23" s="8" t="e">
        <f>(C22*(VLOOKUP('Compra cartera'!$C$24,Seguros_Oblig!$A$3:$E$55,5,FALSE)))</f>
        <v>#VALUE!</v>
      </c>
      <c r="I23" s="8" t="e">
        <f>(C22*(VLOOKUP('Compra cartera'!$C$25,Seguros_Oblig!$A$3:$E$55,5,FALSE)))</f>
        <v>#VALUE!</v>
      </c>
      <c r="J23" s="10">
        <f t="shared" si="2"/>
        <v>0</v>
      </c>
      <c r="K23" s="7">
        <f>Seguros_Oblig!$K$2*('Compra cartera'!$C$11*90%)</f>
        <v>0</v>
      </c>
      <c r="L23" s="7" t="e">
        <f>PMT('Compra cartera'!$E$17,'Compra cartera'!$C$31,-'Compra cartera'!$C$14,,)</f>
        <v>#VALUE!</v>
      </c>
      <c r="M23" s="9" t="e">
        <f t="shared" si="3"/>
        <v>#VALUE!</v>
      </c>
      <c r="N23" s="7">
        <f>'Compra cartera'!$C$44</f>
        <v>0</v>
      </c>
      <c r="O23" s="9" t="e">
        <f t="shared" si="4"/>
        <v>#VALUE!</v>
      </c>
    </row>
    <row r="24" spans="2:15" ht="15.5" x14ac:dyDescent="0.35">
      <c r="B24" s="6" t="e">
        <f t="shared" ref="B24:B87" si="5">IF(C23&gt;1,B23+1," ")</f>
        <v>#VALUE!</v>
      </c>
      <c r="C24" s="7" t="e">
        <f t="shared" si="0"/>
        <v>#VALUE!</v>
      </c>
      <c r="D24" s="7" t="e">
        <f t="shared" si="1"/>
        <v>#VALUE!</v>
      </c>
      <c r="E24" s="7" t="e">
        <f>C23*'Compra cartera'!$E$17</f>
        <v>#VALUE!</v>
      </c>
      <c r="F24" s="8" t="e">
        <f>IF('Compra cartera'!$D$26="Si",($C$17*(VLOOKUP('Compra cartera'!$C$22,Seguros_Oblig!$A$3:$F$55,6,FALSE))),(C23*(VLOOKUP('Compra cartera'!$C$22,Seguros_Oblig!$A$3:$E$55,5,FALSE))))</f>
        <v>#VALUE!</v>
      </c>
      <c r="G24" s="8" t="e">
        <f>(C23*(VLOOKUP('Compra cartera'!$C$23,Seguros_Oblig!$A$3:$E$55,5,FALSE)))</f>
        <v>#VALUE!</v>
      </c>
      <c r="H24" s="8" t="e">
        <f>(C23*(VLOOKUP('Compra cartera'!$C$24,Seguros_Oblig!$A$3:$E$55,5,FALSE)))</f>
        <v>#VALUE!</v>
      </c>
      <c r="I24" s="8" t="e">
        <f>(C23*(VLOOKUP('Compra cartera'!$C$25,Seguros_Oblig!$A$3:$E$55,5,FALSE)))</f>
        <v>#VALUE!</v>
      </c>
      <c r="J24" s="10">
        <f t="shared" si="2"/>
        <v>0</v>
      </c>
      <c r="K24" s="7">
        <f>Seguros_Oblig!$K$2*('Compra cartera'!$C$11*90%)</f>
        <v>0</v>
      </c>
      <c r="L24" s="7" t="e">
        <f>PMT('Compra cartera'!$E$17,'Compra cartera'!$C$31,-'Compra cartera'!$C$14,,)</f>
        <v>#VALUE!</v>
      </c>
      <c r="M24" s="9" t="e">
        <f t="shared" si="3"/>
        <v>#VALUE!</v>
      </c>
      <c r="N24" s="7">
        <f>'Compra cartera'!$C$44</f>
        <v>0</v>
      </c>
      <c r="O24" s="9" t="e">
        <f t="shared" si="4"/>
        <v>#VALUE!</v>
      </c>
    </row>
    <row r="25" spans="2:15" ht="15.5" x14ac:dyDescent="0.35">
      <c r="B25" s="6" t="e">
        <f t="shared" si="5"/>
        <v>#VALUE!</v>
      </c>
      <c r="C25" s="7" t="e">
        <f t="shared" si="0"/>
        <v>#VALUE!</v>
      </c>
      <c r="D25" s="7" t="e">
        <f t="shared" si="1"/>
        <v>#VALUE!</v>
      </c>
      <c r="E25" s="7" t="e">
        <f>C24*'Compra cartera'!$E$17</f>
        <v>#VALUE!</v>
      </c>
      <c r="F25" s="8" t="e">
        <f>IF('Compra cartera'!$D$26="Si",($C$17*(VLOOKUP('Compra cartera'!$C$22,Seguros_Oblig!$A$3:$F$55,6,FALSE))),(C24*(VLOOKUP('Compra cartera'!$C$22,Seguros_Oblig!$A$3:$E$55,5,FALSE))))</f>
        <v>#VALUE!</v>
      </c>
      <c r="G25" s="8" t="e">
        <f>(C24*(VLOOKUP('Compra cartera'!$C$23,Seguros_Oblig!$A$3:$E$55,5,FALSE)))</f>
        <v>#VALUE!</v>
      </c>
      <c r="H25" s="8" t="e">
        <f>(C24*(VLOOKUP('Compra cartera'!$C$24,Seguros_Oblig!$A$3:$E$55,5,FALSE)))</f>
        <v>#VALUE!</v>
      </c>
      <c r="I25" s="8" t="e">
        <f>(C24*(VLOOKUP('Compra cartera'!$C$25,Seguros_Oblig!$A$3:$E$55,5,FALSE)))</f>
        <v>#VALUE!</v>
      </c>
      <c r="J25" s="10">
        <f t="shared" si="2"/>
        <v>0</v>
      </c>
      <c r="K25" s="7">
        <f>Seguros_Oblig!$K$2*('Compra cartera'!$C$11*90%)</f>
        <v>0</v>
      </c>
      <c r="L25" s="7" t="e">
        <f>PMT('Compra cartera'!$E$17,'Compra cartera'!$C$31,-'Compra cartera'!$C$14,,)</f>
        <v>#VALUE!</v>
      </c>
      <c r="M25" s="9" t="e">
        <f t="shared" si="3"/>
        <v>#VALUE!</v>
      </c>
      <c r="N25" s="7">
        <f>'Compra cartera'!$C$44</f>
        <v>0</v>
      </c>
      <c r="O25" s="9" t="e">
        <f t="shared" si="4"/>
        <v>#VALUE!</v>
      </c>
    </row>
    <row r="26" spans="2:15" ht="15.5" x14ac:dyDescent="0.35">
      <c r="B26" s="6" t="e">
        <f t="shared" si="5"/>
        <v>#VALUE!</v>
      </c>
      <c r="C26" s="7" t="e">
        <f t="shared" si="0"/>
        <v>#VALUE!</v>
      </c>
      <c r="D26" s="7" t="e">
        <f t="shared" si="1"/>
        <v>#VALUE!</v>
      </c>
      <c r="E26" s="7" t="e">
        <f>C25*'Compra cartera'!$E$17</f>
        <v>#VALUE!</v>
      </c>
      <c r="F26" s="8" t="e">
        <f>IF('Compra cartera'!$D$26="Si",($C$17*(VLOOKUP('Compra cartera'!$C$22,Seguros_Oblig!$A$3:$F$55,6,FALSE))),(C25*(VLOOKUP('Compra cartera'!$C$22,Seguros_Oblig!$A$3:$E$55,5,FALSE))))</f>
        <v>#VALUE!</v>
      </c>
      <c r="G26" s="8" t="e">
        <f>(C25*(VLOOKUP('Compra cartera'!$C$23,Seguros_Oblig!$A$3:$E$55,5,FALSE)))</f>
        <v>#VALUE!</v>
      </c>
      <c r="H26" s="8" t="e">
        <f>(C25*(VLOOKUP('Compra cartera'!$C$24,Seguros_Oblig!$A$3:$E$55,5,FALSE)))</f>
        <v>#VALUE!</v>
      </c>
      <c r="I26" s="8" t="e">
        <f>(C25*(VLOOKUP('Compra cartera'!$C$25,Seguros_Oblig!$A$3:$E$55,5,FALSE)))</f>
        <v>#VALUE!</v>
      </c>
      <c r="J26" s="10">
        <f t="shared" si="2"/>
        <v>0</v>
      </c>
      <c r="K26" s="7">
        <f>Seguros_Oblig!$K$2*('Compra cartera'!$C$11*90%)</f>
        <v>0</v>
      </c>
      <c r="L26" s="7" t="e">
        <f>PMT('Compra cartera'!$E$17,'Compra cartera'!$C$31,-'Compra cartera'!$C$14,,)</f>
        <v>#VALUE!</v>
      </c>
      <c r="M26" s="9" t="e">
        <f t="shared" si="3"/>
        <v>#VALUE!</v>
      </c>
      <c r="N26" s="7">
        <f>'Compra cartera'!$C$44</f>
        <v>0</v>
      </c>
      <c r="O26" s="9" t="e">
        <f t="shared" si="4"/>
        <v>#VALUE!</v>
      </c>
    </row>
    <row r="27" spans="2:15" ht="15.5" x14ac:dyDescent="0.35">
      <c r="B27" s="6" t="e">
        <f t="shared" si="5"/>
        <v>#VALUE!</v>
      </c>
      <c r="C27" s="7" t="e">
        <f t="shared" si="0"/>
        <v>#VALUE!</v>
      </c>
      <c r="D27" s="7" t="e">
        <f t="shared" si="1"/>
        <v>#VALUE!</v>
      </c>
      <c r="E27" s="7" t="e">
        <f>C26*'Compra cartera'!$E$17</f>
        <v>#VALUE!</v>
      </c>
      <c r="F27" s="8" t="e">
        <f>IF('Compra cartera'!$D$26="Si",($C$17*(VLOOKUP('Compra cartera'!$C$22,Seguros_Oblig!$A$3:$F$55,6,FALSE))),(C26*(VLOOKUP('Compra cartera'!$C$22,Seguros_Oblig!$A$3:$E$55,5,FALSE))))</f>
        <v>#VALUE!</v>
      </c>
      <c r="G27" s="8" t="e">
        <f>(C26*(VLOOKUP('Compra cartera'!$C$23,Seguros_Oblig!$A$3:$E$55,5,FALSE)))</f>
        <v>#VALUE!</v>
      </c>
      <c r="H27" s="8" t="e">
        <f>(C26*(VLOOKUP('Compra cartera'!$C$24,Seguros_Oblig!$A$3:$E$55,5,FALSE)))</f>
        <v>#VALUE!</v>
      </c>
      <c r="I27" s="8" t="e">
        <f>(C26*(VLOOKUP('Compra cartera'!$C$25,Seguros_Oblig!$A$3:$E$55,5,FALSE)))</f>
        <v>#VALUE!</v>
      </c>
      <c r="J27" s="10">
        <f t="shared" si="2"/>
        <v>0</v>
      </c>
      <c r="K27" s="7">
        <f>Seguros_Oblig!$K$2*('Compra cartera'!$C$11*90%)</f>
        <v>0</v>
      </c>
      <c r="L27" s="7" t="e">
        <f>PMT('Compra cartera'!$E$17,'Compra cartera'!$C$31,-'Compra cartera'!$C$14,,)</f>
        <v>#VALUE!</v>
      </c>
      <c r="M27" s="9" t="e">
        <f t="shared" si="3"/>
        <v>#VALUE!</v>
      </c>
      <c r="N27" s="7">
        <f>'Compra cartera'!$C$44</f>
        <v>0</v>
      </c>
      <c r="O27" s="9" t="e">
        <f t="shared" si="4"/>
        <v>#VALUE!</v>
      </c>
    </row>
    <row r="28" spans="2:15" ht="15.5" x14ac:dyDescent="0.35">
      <c r="B28" s="6" t="e">
        <f t="shared" si="5"/>
        <v>#VALUE!</v>
      </c>
      <c r="C28" s="7" t="e">
        <f t="shared" si="0"/>
        <v>#VALUE!</v>
      </c>
      <c r="D28" s="7" t="e">
        <f t="shared" si="1"/>
        <v>#VALUE!</v>
      </c>
      <c r="E28" s="7" t="e">
        <f>C27*'Compra cartera'!$E$17</f>
        <v>#VALUE!</v>
      </c>
      <c r="F28" s="8" t="e">
        <f>IF('Compra cartera'!$D$26="Si",($C$17*(VLOOKUP('Compra cartera'!$C$22,Seguros_Oblig!$A$3:$F$55,6,FALSE))),(C27*(VLOOKUP('Compra cartera'!$C$22,Seguros_Oblig!$A$3:$E$55,5,FALSE))))</f>
        <v>#VALUE!</v>
      </c>
      <c r="G28" s="8" t="e">
        <f>(C27*(VLOOKUP('Compra cartera'!$C$23,Seguros_Oblig!$A$3:$E$55,5,FALSE)))</f>
        <v>#VALUE!</v>
      </c>
      <c r="H28" s="8" t="e">
        <f>(C27*(VLOOKUP('Compra cartera'!$C$24,Seguros_Oblig!$A$3:$E$55,5,FALSE)))</f>
        <v>#VALUE!</v>
      </c>
      <c r="I28" s="8" t="e">
        <f>(C27*(VLOOKUP('Compra cartera'!$C$25,Seguros_Oblig!$A$3:$E$55,5,FALSE)))</f>
        <v>#VALUE!</v>
      </c>
      <c r="J28" s="10">
        <f t="shared" si="2"/>
        <v>0</v>
      </c>
      <c r="K28" s="7">
        <f>Seguros_Oblig!$K$2*('Compra cartera'!$C$11*90%)</f>
        <v>0</v>
      </c>
      <c r="L28" s="7" t="e">
        <f>PMT('Compra cartera'!$E$17,'Compra cartera'!$C$31,-'Compra cartera'!$C$14,,)</f>
        <v>#VALUE!</v>
      </c>
      <c r="M28" s="9" t="e">
        <f t="shared" si="3"/>
        <v>#VALUE!</v>
      </c>
      <c r="N28" s="7">
        <f>'Compra cartera'!$C$44</f>
        <v>0</v>
      </c>
      <c r="O28" s="9" t="e">
        <f t="shared" si="4"/>
        <v>#VALUE!</v>
      </c>
    </row>
    <row r="29" spans="2:15" ht="15.5" x14ac:dyDescent="0.35">
      <c r="B29" s="6" t="e">
        <f t="shared" si="5"/>
        <v>#VALUE!</v>
      </c>
      <c r="C29" s="7" t="e">
        <f t="shared" si="0"/>
        <v>#VALUE!</v>
      </c>
      <c r="D29" s="7" t="e">
        <f t="shared" si="1"/>
        <v>#VALUE!</v>
      </c>
      <c r="E29" s="7" t="e">
        <f>C28*'Compra cartera'!$E$17</f>
        <v>#VALUE!</v>
      </c>
      <c r="F29" s="8" t="e">
        <f>IF('Compra cartera'!$D$26="Si",($C$17*(VLOOKUP('Compra cartera'!$C$22,Seguros_Oblig!$A$3:$F$55,6,FALSE))),(C28*(VLOOKUP('Compra cartera'!$C$22,Seguros_Oblig!$A$3:$E$55,5,FALSE))))</f>
        <v>#VALUE!</v>
      </c>
      <c r="G29" s="8" t="e">
        <f>(C28*(VLOOKUP('Compra cartera'!$C$23,Seguros_Oblig!$A$3:$E$55,5,FALSE)))</f>
        <v>#VALUE!</v>
      </c>
      <c r="H29" s="8" t="e">
        <f>(C28*(VLOOKUP('Compra cartera'!$C$24,Seguros_Oblig!$A$3:$E$55,5,FALSE)))</f>
        <v>#VALUE!</v>
      </c>
      <c r="I29" s="8" t="e">
        <f>(C28*(VLOOKUP('Compra cartera'!$C$25,Seguros_Oblig!$A$3:$E$55,5,FALSE)))</f>
        <v>#VALUE!</v>
      </c>
      <c r="J29" s="10">
        <f t="shared" si="2"/>
        <v>0</v>
      </c>
      <c r="K29" s="7">
        <f>Seguros_Oblig!$K$2*('Compra cartera'!$C$11*90%)</f>
        <v>0</v>
      </c>
      <c r="L29" s="7" t="e">
        <f>PMT('Compra cartera'!$E$17,'Compra cartera'!$C$31,-'Compra cartera'!$C$14,,)</f>
        <v>#VALUE!</v>
      </c>
      <c r="M29" s="9" t="e">
        <f t="shared" si="3"/>
        <v>#VALUE!</v>
      </c>
      <c r="N29" s="7">
        <f>'Compra cartera'!$C$44</f>
        <v>0</v>
      </c>
      <c r="O29" s="9" t="e">
        <f t="shared" si="4"/>
        <v>#VALUE!</v>
      </c>
    </row>
    <row r="30" spans="2:15" ht="15.5" x14ac:dyDescent="0.35">
      <c r="B30" s="6" t="e">
        <f t="shared" si="5"/>
        <v>#VALUE!</v>
      </c>
      <c r="C30" s="7" t="e">
        <f t="shared" si="0"/>
        <v>#VALUE!</v>
      </c>
      <c r="D30" s="7" t="e">
        <f>IF(C29&lt;1,"0",L30-E30)</f>
        <v>#VALUE!</v>
      </c>
      <c r="E30" s="7" t="e">
        <f>C29*'Compra cartera'!$E$17</f>
        <v>#VALUE!</v>
      </c>
      <c r="F30" s="8" t="e">
        <f>IF(C29&lt;1,"0",IF('Compra cartera'!$D$26="Si",($C$17*(VLOOKUP('Compra cartera'!$C$22,Seguros_Oblig!$A$3:$F$55,6,FALSE))),(C29*(VLOOKUP('Compra cartera'!$C$22,Seguros_Oblig!$A$3:$E$55,5,FALSE)))))</f>
        <v>#VALUE!</v>
      </c>
      <c r="G30" s="8" t="e">
        <f>(C29*(VLOOKUP('Compra cartera'!$C$23,Seguros_Oblig!$A$3:$E$55,5,FALSE)))</f>
        <v>#VALUE!</v>
      </c>
      <c r="H30" s="8" t="e">
        <f>(C29*(VLOOKUP('Compra cartera'!$C$24,Seguros_Oblig!$A$3:$E$55,5,FALSE)))</f>
        <v>#VALUE!</v>
      </c>
      <c r="I30" s="8" t="e">
        <f>(C29*(VLOOKUP('Compra cartera'!$C$25,Seguros_Oblig!$A$3:$E$55,5,FALSE)))</f>
        <v>#VALUE!</v>
      </c>
      <c r="J30" s="10">
        <f t="shared" si="2"/>
        <v>0</v>
      </c>
      <c r="K30" s="7" t="e">
        <f>IF(C29&lt;1,"0",Seguros_Oblig!$K$2*('Compra cartera'!$C$11*90%))</f>
        <v>#VALUE!</v>
      </c>
      <c r="L30" s="7" t="e">
        <f>PMT('Compra cartera'!$E$17,'Compra cartera'!$C$31,-'Compra cartera'!$C$14,,)</f>
        <v>#VALUE!</v>
      </c>
      <c r="M30" s="9" t="e">
        <f t="shared" si="3"/>
        <v>#VALUE!</v>
      </c>
      <c r="N30" s="7" t="e">
        <f>IF(C29&lt;1,"0",'Compra cartera'!$C$44)</f>
        <v>#VALUE!</v>
      </c>
      <c r="O30" s="9" t="e">
        <f t="shared" si="4"/>
        <v>#VALUE!</v>
      </c>
    </row>
    <row r="31" spans="2:15" ht="15.5" x14ac:dyDescent="0.35">
      <c r="B31" s="6" t="e">
        <f t="shared" si="5"/>
        <v>#VALUE!</v>
      </c>
      <c r="C31" s="7" t="e">
        <f t="shared" si="0"/>
        <v>#VALUE!</v>
      </c>
      <c r="D31" s="7" t="e">
        <f t="shared" ref="D31:D94" si="6">IF(C30&lt;1,"0",L31-E31)</f>
        <v>#VALUE!</v>
      </c>
      <c r="E31" s="7" t="e">
        <f>C30*'Compra cartera'!$E$17</f>
        <v>#VALUE!</v>
      </c>
      <c r="F31" s="8" t="e">
        <f>IF(C30&lt;1,"0",IF('Compra cartera'!$D$26="Si",($C$17*(VLOOKUP('Compra cartera'!$C$22,Seguros_Oblig!$A$3:$F$55,6,FALSE))),(C30*(VLOOKUP('Compra cartera'!$C$22,Seguros_Oblig!$A$3:$E$55,5,FALSE)))))</f>
        <v>#VALUE!</v>
      </c>
      <c r="G31" s="8" t="e">
        <f>(C30*(VLOOKUP('Compra cartera'!$C$23,Seguros_Oblig!$A$3:$E$55,5,FALSE)))</f>
        <v>#VALUE!</v>
      </c>
      <c r="H31" s="8" t="e">
        <f>(C30*(VLOOKUP('Compra cartera'!$C$24,Seguros_Oblig!$A$3:$E$55,5,FALSE)))</f>
        <v>#VALUE!</v>
      </c>
      <c r="I31" s="8" t="e">
        <f>(C30*(VLOOKUP('Compra cartera'!$C$25,Seguros_Oblig!$A$3:$E$55,5,FALSE)))</f>
        <v>#VALUE!</v>
      </c>
      <c r="J31" s="10">
        <f t="shared" si="2"/>
        <v>0</v>
      </c>
      <c r="K31" s="7" t="e">
        <f>IF(C30&lt;1,"0",Seguros_Oblig!$K$2*('Compra cartera'!$C$11*90%))</f>
        <v>#VALUE!</v>
      </c>
      <c r="L31" s="7" t="e">
        <f>PMT('Compra cartera'!$E$17,'Compra cartera'!$C$31,-'Compra cartera'!$C$14,,)</f>
        <v>#VALUE!</v>
      </c>
      <c r="M31" s="9" t="e">
        <f t="shared" si="3"/>
        <v>#VALUE!</v>
      </c>
      <c r="N31" s="7" t="e">
        <f>IF(C30&lt;1,"0",'Compra cartera'!$C$44)</f>
        <v>#VALUE!</v>
      </c>
      <c r="O31" s="9" t="e">
        <f t="shared" si="4"/>
        <v>#VALUE!</v>
      </c>
    </row>
    <row r="32" spans="2:15" ht="15.5" x14ac:dyDescent="0.35">
      <c r="B32" s="6" t="e">
        <f t="shared" si="5"/>
        <v>#VALUE!</v>
      </c>
      <c r="C32" s="7" t="e">
        <f t="shared" si="0"/>
        <v>#VALUE!</v>
      </c>
      <c r="D32" s="7" t="e">
        <f t="shared" si="6"/>
        <v>#VALUE!</v>
      </c>
      <c r="E32" s="7" t="e">
        <f>C31*'Compra cartera'!$E$17</f>
        <v>#VALUE!</v>
      </c>
      <c r="F32" s="8" t="e">
        <f>IF(C31&lt;1,"0",IF('Compra cartera'!$D$26="Si",($C$17*(VLOOKUP('Compra cartera'!$C$22,Seguros_Oblig!$A$3:$F$55,6,FALSE))),(C31*(VLOOKUP('Compra cartera'!$C$22,Seguros_Oblig!$A$3:$E$55,5,FALSE)))))</f>
        <v>#VALUE!</v>
      </c>
      <c r="G32" s="8" t="e">
        <f>(C31*(VLOOKUP('Compra cartera'!$C$23,Seguros_Oblig!$A$3:$E$55,5,FALSE)))</f>
        <v>#VALUE!</v>
      </c>
      <c r="H32" s="8" t="e">
        <f>(C31*(VLOOKUP('Compra cartera'!$C$24,Seguros_Oblig!$A$3:$E$55,5,FALSE)))</f>
        <v>#VALUE!</v>
      </c>
      <c r="I32" s="8" t="e">
        <f>(C31*(VLOOKUP('Compra cartera'!$C$25,Seguros_Oblig!$A$3:$E$55,5,FALSE)))</f>
        <v>#VALUE!</v>
      </c>
      <c r="J32" s="10">
        <f t="shared" si="2"/>
        <v>0</v>
      </c>
      <c r="K32" s="7" t="e">
        <f>IF(C31&lt;1,"0",Seguros_Oblig!$K$2*('Compra cartera'!$C$11*90%))</f>
        <v>#VALUE!</v>
      </c>
      <c r="L32" s="7" t="e">
        <f>PMT('Compra cartera'!$E$17,'Compra cartera'!$C$31,-'Compra cartera'!$C$14,,)</f>
        <v>#VALUE!</v>
      </c>
      <c r="M32" s="9" t="e">
        <f t="shared" si="3"/>
        <v>#VALUE!</v>
      </c>
      <c r="N32" s="7" t="e">
        <f>IF(C31&lt;1,"0",'Compra cartera'!$C$44)</f>
        <v>#VALUE!</v>
      </c>
      <c r="O32" s="9" t="e">
        <f t="shared" si="4"/>
        <v>#VALUE!</v>
      </c>
    </row>
    <row r="33" spans="2:15" ht="15.5" x14ac:dyDescent="0.35">
      <c r="B33" s="6" t="e">
        <f t="shared" si="5"/>
        <v>#VALUE!</v>
      </c>
      <c r="C33" s="7" t="e">
        <f t="shared" si="0"/>
        <v>#VALUE!</v>
      </c>
      <c r="D33" s="7" t="e">
        <f t="shared" si="6"/>
        <v>#VALUE!</v>
      </c>
      <c r="E33" s="7" t="e">
        <f>C32*'Compra cartera'!$E$17</f>
        <v>#VALUE!</v>
      </c>
      <c r="F33" s="8" t="e">
        <f>IF(C32&lt;1,"0",IF('Compra cartera'!$D$26="Si",($C$17*(VLOOKUP('Compra cartera'!$C$22,Seguros_Oblig!$A$3:$F$55,6,FALSE))),(C32*(VLOOKUP('Compra cartera'!$C$22,Seguros_Oblig!$A$3:$E$55,5,FALSE)))))</f>
        <v>#VALUE!</v>
      </c>
      <c r="G33" s="8" t="e">
        <f>(C32*(VLOOKUP('Compra cartera'!$C$23,Seguros_Oblig!$A$3:$E$55,5,FALSE)))</f>
        <v>#VALUE!</v>
      </c>
      <c r="H33" s="8" t="e">
        <f>(C32*(VLOOKUP('Compra cartera'!$C$24,Seguros_Oblig!$A$3:$E$55,5,FALSE)))</f>
        <v>#VALUE!</v>
      </c>
      <c r="I33" s="8" t="e">
        <f>(C32*(VLOOKUP('Compra cartera'!$C$25,Seguros_Oblig!$A$3:$E$55,5,FALSE)))</f>
        <v>#VALUE!</v>
      </c>
      <c r="J33" s="10">
        <f t="shared" si="2"/>
        <v>0</v>
      </c>
      <c r="K33" s="7" t="e">
        <f>IF(C32&lt;1,"0",Seguros_Oblig!$K$2*('Compra cartera'!$C$11*90%))</f>
        <v>#VALUE!</v>
      </c>
      <c r="L33" s="7" t="e">
        <f>PMT('Compra cartera'!$E$17,'Compra cartera'!$C$31,-'Compra cartera'!$C$14,,)</f>
        <v>#VALUE!</v>
      </c>
      <c r="M33" s="9" t="e">
        <f t="shared" si="3"/>
        <v>#VALUE!</v>
      </c>
      <c r="N33" s="7" t="e">
        <f>IF(C32&lt;1,"0",'Compra cartera'!$C$44)</f>
        <v>#VALUE!</v>
      </c>
      <c r="O33" s="9" t="e">
        <f t="shared" si="4"/>
        <v>#VALUE!</v>
      </c>
    </row>
    <row r="34" spans="2:15" ht="15.5" x14ac:dyDescent="0.35">
      <c r="B34" s="6" t="e">
        <f t="shared" si="5"/>
        <v>#VALUE!</v>
      </c>
      <c r="C34" s="7" t="e">
        <f t="shared" si="0"/>
        <v>#VALUE!</v>
      </c>
      <c r="D34" s="7" t="e">
        <f t="shared" si="6"/>
        <v>#VALUE!</v>
      </c>
      <c r="E34" s="7" t="e">
        <f>C33*'Compra cartera'!$E$17</f>
        <v>#VALUE!</v>
      </c>
      <c r="F34" s="8" t="e">
        <f>IF(C33&lt;1,"0",IF('Compra cartera'!$D$26="Si",($C$17*(VLOOKUP('Compra cartera'!$C$22,Seguros_Oblig!$A$3:$F$55,6,FALSE))),(C33*(VLOOKUP('Compra cartera'!$C$22,Seguros_Oblig!$A$3:$E$55,5,FALSE)))))</f>
        <v>#VALUE!</v>
      </c>
      <c r="G34" s="8" t="e">
        <f>(C33*(VLOOKUP('Compra cartera'!$C$23,Seguros_Oblig!$A$3:$E$55,5,FALSE)))</f>
        <v>#VALUE!</v>
      </c>
      <c r="H34" s="8" t="e">
        <f>(C33*(VLOOKUP('Compra cartera'!$C$24,Seguros_Oblig!$A$3:$E$55,5,FALSE)))</f>
        <v>#VALUE!</v>
      </c>
      <c r="I34" s="8" t="e">
        <f>(C33*(VLOOKUP('Compra cartera'!$C$25,Seguros_Oblig!$A$3:$E$55,5,FALSE)))</f>
        <v>#VALUE!</v>
      </c>
      <c r="J34" s="10">
        <f t="shared" si="2"/>
        <v>0</v>
      </c>
      <c r="K34" s="7" t="e">
        <f>IF(C33&lt;1,"0",Seguros_Oblig!$K$2*('Compra cartera'!$C$11*90%))</f>
        <v>#VALUE!</v>
      </c>
      <c r="L34" s="7" t="e">
        <f>PMT('Compra cartera'!$E$17,'Compra cartera'!$C$31,-'Compra cartera'!$C$14,,)</f>
        <v>#VALUE!</v>
      </c>
      <c r="M34" s="9" t="e">
        <f t="shared" si="3"/>
        <v>#VALUE!</v>
      </c>
      <c r="N34" s="7" t="e">
        <f>IF(C33&lt;1,"0",'Compra cartera'!$C$44)</f>
        <v>#VALUE!</v>
      </c>
      <c r="O34" s="9" t="e">
        <f t="shared" si="4"/>
        <v>#VALUE!</v>
      </c>
    </row>
    <row r="35" spans="2:15" ht="15.5" x14ac:dyDescent="0.35">
      <c r="B35" s="6" t="e">
        <f t="shared" si="5"/>
        <v>#VALUE!</v>
      </c>
      <c r="C35" s="7" t="e">
        <f t="shared" si="0"/>
        <v>#VALUE!</v>
      </c>
      <c r="D35" s="7" t="e">
        <f t="shared" si="6"/>
        <v>#VALUE!</v>
      </c>
      <c r="E35" s="7" t="e">
        <f>C34*'Compra cartera'!$E$17</f>
        <v>#VALUE!</v>
      </c>
      <c r="F35" s="8" t="e">
        <f>IF(C34&lt;1,"0",IF('Compra cartera'!$D$26="Si",($C$17*(VLOOKUP('Compra cartera'!$C$22,Seguros_Oblig!$A$3:$F$55,6,FALSE))),(C34*(VLOOKUP('Compra cartera'!$C$22,Seguros_Oblig!$A$3:$E$55,5,FALSE)))))</f>
        <v>#VALUE!</v>
      </c>
      <c r="G35" s="8" t="e">
        <f>(C34*(VLOOKUP('Compra cartera'!$C$23,Seguros_Oblig!$A$3:$E$55,5,FALSE)))</f>
        <v>#VALUE!</v>
      </c>
      <c r="H35" s="8" t="e">
        <f>(C34*(VLOOKUP('Compra cartera'!$C$24,Seguros_Oblig!$A$3:$E$55,5,FALSE)))</f>
        <v>#VALUE!</v>
      </c>
      <c r="I35" s="8" t="e">
        <f>(C34*(VLOOKUP('Compra cartera'!$C$25,Seguros_Oblig!$A$3:$E$55,5,FALSE)))</f>
        <v>#VALUE!</v>
      </c>
      <c r="J35" s="10">
        <f t="shared" si="2"/>
        <v>0</v>
      </c>
      <c r="K35" s="7" t="e">
        <f>IF(C34&lt;1,"0",Seguros_Oblig!$K$2*('Compra cartera'!$C$11*90%))</f>
        <v>#VALUE!</v>
      </c>
      <c r="L35" s="7" t="e">
        <f>PMT('Compra cartera'!$E$17,'Compra cartera'!$C$31,-'Compra cartera'!$C$14,,)</f>
        <v>#VALUE!</v>
      </c>
      <c r="M35" s="9" t="e">
        <f t="shared" si="3"/>
        <v>#VALUE!</v>
      </c>
      <c r="N35" s="7" t="e">
        <f>IF(C34&lt;1,"0",'Compra cartera'!$C$44)</f>
        <v>#VALUE!</v>
      </c>
      <c r="O35" s="9" t="e">
        <f t="shared" si="4"/>
        <v>#VALUE!</v>
      </c>
    </row>
    <row r="36" spans="2:15" ht="15.5" x14ac:dyDescent="0.35">
      <c r="B36" s="6" t="e">
        <f t="shared" si="5"/>
        <v>#VALUE!</v>
      </c>
      <c r="C36" s="7" t="e">
        <f t="shared" si="0"/>
        <v>#VALUE!</v>
      </c>
      <c r="D36" s="7" t="e">
        <f t="shared" si="6"/>
        <v>#VALUE!</v>
      </c>
      <c r="E36" s="7" t="e">
        <f>C35*'Compra cartera'!$E$17</f>
        <v>#VALUE!</v>
      </c>
      <c r="F36" s="8" t="e">
        <f>IF(C35&lt;1,"0",IF('Compra cartera'!$D$26="Si",($C$17*(VLOOKUP('Compra cartera'!$C$22,Seguros_Oblig!$A$3:$F$55,6,FALSE))),(C35*(VLOOKUP('Compra cartera'!$C$22,Seguros_Oblig!$A$3:$E$55,5,FALSE)))))</f>
        <v>#VALUE!</v>
      </c>
      <c r="G36" s="8" t="e">
        <f>(C35*(VLOOKUP('Compra cartera'!$C$23,Seguros_Oblig!$A$3:$E$55,5,FALSE)))</f>
        <v>#VALUE!</v>
      </c>
      <c r="H36" s="8" t="e">
        <f>(C35*(VLOOKUP('Compra cartera'!$C$24,Seguros_Oblig!$A$3:$E$55,5,FALSE)))</f>
        <v>#VALUE!</v>
      </c>
      <c r="I36" s="8" t="e">
        <f>(C35*(VLOOKUP('Compra cartera'!$C$25,Seguros_Oblig!$A$3:$E$55,5,FALSE)))</f>
        <v>#VALUE!</v>
      </c>
      <c r="J36" s="10">
        <f t="shared" si="2"/>
        <v>0</v>
      </c>
      <c r="K36" s="7" t="e">
        <f>IF(C35&lt;1,"0",Seguros_Oblig!$K$2*('Compra cartera'!$C$11*90%))</f>
        <v>#VALUE!</v>
      </c>
      <c r="L36" s="7" t="e">
        <f>PMT('Compra cartera'!$E$17,'Compra cartera'!$C$31,-'Compra cartera'!$C$14,,)</f>
        <v>#VALUE!</v>
      </c>
      <c r="M36" s="9" t="e">
        <f t="shared" si="3"/>
        <v>#VALUE!</v>
      </c>
      <c r="N36" s="7" t="e">
        <f>IF(C35&lt;1,"0",'Compra cartera'!$C$44)</f>
        <v>#VALUE!</v>
      </c>
      <c r="O36" s="9" t="e">
        <f t="shared" si="4"/>
        <v>#VALUE!</v>
      </c>
    </row>
    <row r="37" spans="2:15" ht="15.5" x14ac:dyDescent="0.35">
      <c r="B37" s="6" t="e">
        <f t="shared" si="5"/>
        <v>#VALUE!</v>
      </c>
      <c r="C37" s="7" t="e">
        <f t="shared" si="0"/>
        <v>#VALUE!</v>
      </c>
      <c r="D37" s="7" t="e">
        <f t="shared" si="6"/>
        <v>#VALUE!</v>
      </c>
      <c r="E37" s="7" t="e">
        <f>C36*'Compra cartera'!$E$17</f>
        <v>#VALUE!</v>
      </c>
      <c r="F37" s="8" t="e">
        <f>IF(C36&lt;1,"0",IF('Compra cartera'!$D$26="Si",($C$17*(VLOOKUP('Compra cartera'!$C$22,Seguros_Oblig!$A$3:$F$55,6,FALSE))),(C36*(VLOOKUP('Compra cartera'!$C$22,Seguros_Oblig!$A$3:$E$55,5,FALSE)))))</f>
        <v>#VALUE!</v>
      </c>
      <c r="G37" s="8" t="e">
        <f>(C36*(VLOOKUP('Compra cartera'!$C$23,Seguros_Oblig!$A$3:$E$55,5,FALSE)))</f>
        <v>#VALUE!</v>
      </c>
      <c r="H37" s="8" t="e">
        <f>(C36*(VLOOKUP('Compra cartera'!$C$24,Seguros_Oblig!$A$3:$E$55,5,FALSE)))</f>
        <v>#VALUE!</v>
      </c>
      <c r="I37" s="8" t="e">
        <f>(C36*(VLOOKUP('Compra cartera'!$C$25,Seguros_Oblig!$A$3:$E$55,5,FALSE)))</f>
        <v>#VALUE!</v>
      </c>
      <c r="J37" s="10">
        <f t="shared" si="2"/>
        <v>0</v>
      </c>
      <c r="K37" s="7" t="e">
        <f>IF(C36&lt;1,"0",Seguros_Oblig!$K$2*('Compra cartera'!$C$11*90%))</f>
        <v>#VALUE!</v>
      </c>
      <c r="L37" s="7" t="e">
        <f>PMT('Compra cartera'!$E$17,'Compra cartera'!$C$31,-'Compra cartera'!$C$14,,)</f>
        <v>#VALUE!</v>
      </c>
      <c r="M37" s="9" t="e">
        <f t="shared" si="3"/>
        <v>#VALUE!</v>
      </c>
      <c r="N37" s="7" t="e">
        <f>IF(C36&lt;1,"0",'Compra cartera'!$C$44)</f>
        <v>#VALUE!</v>
      </c>
      <c r="O37" s="9" t="e">
        <f t="shared" si="4"/>
        <v>#VALUE!</v>
      </c>
    </row>
    <row r="38" spans="2:15" ht="15.5" x14ac:dyDescent="0.35">
      <c r="B38" s="6" t="e">
        <f t="shared" si="5"/>
        <v>#VALUE!</v>
      </c>
      <c r="C38" s="7" t="e">
        <f t="shared" si="0"/>
        <v>#VALUE!</v>
      </c>
      <c r="D38" s="7" t="e">
        <f t="shared" si="6"/>
        <v>#VALUE!</v>
      </c>
      <c r="E38" s="7" t="e">
        <f>C37*'Compra cartera'!$E$17</f>
        <v>#VALUE!</v>
      </c>
      <c r="F38" s="8" t="e">
        <f>IF(C37&lt;1,"0",IF('Compra cartera'!$D$26="Si",($C$17*(VLOOKUP('Compra cartera'!$C$22,Seguros_Oblig!$A$3:$F$55,6,FALSE))),(C37*(VLOOKUP('Compra cartera'!$C$22,Seguros_Oblig!$A$3:$E$55,5,FALSE)))))</f>
        <v>#VALUE!</v>
      </c>
      <c r="G38" s="8" t="e">
        <f>(C37*(VLOOKUP('Compra cartera'!$C$23,Seguros_Oblig!$A$3:$E$55,5,FALSE)))</f>
        <v>#VALUE!</v>
      </c>
      <c r="H38" s="8" t="e">
        <f>(C37*(VLOOKUP('Compra cartera'!$C$24,Seguros_Oblig!$A$3:$E$55,5,FALSE)))</f>
        <v>#VALUE!</v>
      </c>
      <c r="I38" s="8" t="e">
        <f>(C37*(VLOOKUP('Compra cartera'!$C$25,Seguros_Oblig!$A$3:$E$55,5,FALSE)))</f>
        <v>#VALUE!</v>
      </c>
      <c r="J38" s="10">
        <f t="shared" si="2"/>
        <v>0</v>
      </c>
      <c r="K38" s="7" t="e">
        <f>IF(C37&lt;1,"0",Seguros_Oblig!$K$2*('Compra cartera'!$C$11*90%))</f>
        <v>#VALUE!</v>
      </c>
      <c r="L38" s="7" t="e">
        <f>PMT('Compra cartera'!$E$17,'Compra cartera'!$C$31,-'Compra cartera'!$C$14,,)</f>
        <v>#VALUE!</v>
      </c>
      <c r="M38" s="9" t="e">
        <f t="shared" si="3"/>
        <v>#VALUE!</v>
      </c>
      <c r="N38" s="7" t="e">
        <f>IF(C37&lt;1,"0",'Compra cartera'!$C$44)</f>
        <v>#VALUE!</v>
      </c>
      <c r="O38" s="9" t="e">
        <f t="shared" si="4"/>
        <v>#VALUE!</v>
      </c>
    </row>
    <row r="39" spans="2:15" ht="15.5" x14ac:dyDescent="0.35">
      <c r="B39" s="6" t="e">
        <f t="shared" si="5"/>
        <v>#VALUE!</v>
      </c>
      <c r="C39" s="7" t="e">
        <f t="shared" si="0"/>
        <v>#VALUE!</v>
      </c>
      <c r="D39" s="7" t="e">
        <f t="shared" si="6"/>
        <v>#VALUE!</v>
      </c>
      <c r="E39" s="7" t="e">
        <f>C38*'Compra cartera'!$E$17</f>
        <v>#VALUE!</v>
      </c>
      <c r="F39" s="8" t="e">
        <f>IF(C38&lt;1,"0",IF('Compra cartera'!$D$26="Si",($C$17*(VLOOKUP('Compra cartera'!$C$22,Seguros_Oblig!$A$3:$F$55,6,FALSE))),(C38*(VLOOKUP('Compra cartera'!$C$22,Seguros_Oblig!$A$3:$E$55,5,FALSE)))))</f>
        <v>#VALUE!</v>
      </c>
      <c r="G39" s="8" t="e">
        <f>(C38*(VLOOKUP('Compra cartera'!$C$23,Seguros_Oblig!$A$3:$E$55,5,FALSE)))</f>
        <v>#VALUE!</v>
      </c>
      <c r="H39" s="8" t="e">
        <f>(C38*(VLOOKUP('Compra cartera'!$C$24,Seguros_Oblig!$A$3:$E$55,5,FALSE)))</f>
        <v>#VALUE!</v>
      </c>
      <c r="I39" s="8" t="e">
        <f>(C38*(VLOOKUP('Compra cartera'!$C$25,Seguros_Oblig!$A$3:$E$55,5,FALSE)))</f>
        <v>#VALUE!</v>
      </c>
      <c r="J39" s="10">
        <f t="shared" si="2"/>
        <v>0</v>
      </c>
      <c r="K39" s="7" t="e">
        <f>IF(C38&lt;1,"0",Seguros_Oblig!$K$2*('Compra cartera'!$C$11*90%))</f>
        <v>#VALUE!</v>
      </c>
      <c r="L39" s="7" t="e">
        <f>PMT('Compra cartera'!$E$17,'Compra cartera'!$C$31,-'Compra cartera'!$C$14,,)</f>
        <v>#VALUE!</v>
      </c>
      <c r="M39" s="9" t="e">
        <f t="shared" si="3"/>
        <v>#VALUE!</v>
      </c>
      <c r="N39" s="7" t="e">
        <f>IF(C38&lt;1,"0",'Compra cartera'!$C$44)</f>
        <v>#VALUE!</v>
      </c>
      <c r="O39" s="9" t="e">
        <f t="shared" si="4"/>
        <v>#VALUE!</v>
      </c>
    </row>
    <row r="40" spans="2:15" ht="15.5" x14ac:dyDescent="0.35">
      <c r="B40" s="6" t="e">
        <f t="shared" si="5"/>
        <v>#VALUE!</v>
      </c>
      <c r="C40" s="7" t="e">
        <f t="shared" si="0"/>
        <v>#VALUE!</v>
      </c>
      <c r="D40" s="7" t="e">
        <f t="shared" si="6"/>
        <v>#VALUE!</v>
      </c>
      <c r="E40" s="7" t="e">
        <f>C39*'Compra cartera'!$E$17</f>
        <v>#VALUE!</v>
      </c>
      <c r="F40" s="8" t="e">
        <f>IF(C39&lt;1,"0",IF('Compra cartera'!$D$26="Si",($C$17*(VLOOKUP('Compra cartera'!$C$22,Seguros_Oblig!$A$3:$F$55,6,FALSE))),(C39*(VLOOKUP('Compra cartera'!$C$22,Seguros_Oblig!$A$3:$E$55,5,FALSE)))))</f>
        <v>#VALUE!</v>
      </c>
      <c r="G40" s="8" t="e">
        <f>(C39*(VLOOKUP('Compra cartera'!$C$23,Seguros_Oblig!$A$3:$E$55,5,FALSE)))</f>
        <v>#VALUE!</v>
      </c>
      <c r="H40" s="8" t="e">
        <f>(C39*(VLOOKUP('Compra cartera'!$C$24,Seguros_Oblig!$A$3:$E$55,5,FALSE)))</f>
        <v>#VALUE!</v>
      </c>
      <c r="I40" s="8" t="e">
        <f>(C39*(VLOOKUP('Compra cartera'!$C$25,Seguros_Oblig!$A$3:$E$55,5,FALSE)))</f>
        <v>#VALUE!</v>
      </c>
      <c r="J40" s="10">
        <f t="shared" si="2"/>
        <v>0</v>
      </c>
      <c r="K40" s="7" t="e">
        <f>IF(C39&lt;1,"0",Seguros_Oblig!$K$2*('Compra cartera'!$C$11*90%))</f>
        <v>#VALUE!</v>
      </c>
      <c r="L40" s="7" t="e">
        <f>PMT('Compra cartera'!$E$17,'Compra cartera'!$C$31,-'Compra cartera'!$C$14,,)</f>
        <v>#VALUE!</v>
      </c>
      <c r="M40" s="9" t="e">
        <f t="shared" si="3"/>
        <v>#VALUE!</v>
      </c>
      <c r="N40" s="7" t="e">
        <f>IF(C39&lt;1,"0",'Compra cartera'!$C$44)</f>
        <v>#VALUE!</v>
      </c>
      <c r="O40" s="9" t="e">
        <f t="shared" si="4"/>
        <v>#VALUE!</v>
      </c>
    </row>
    <row r="41" spans="2:15" ht="15.5" x14ac:dyDescent="0.35">
      <c r="B41" s="6" t="e">
        <f t="shared" si="5"/>
        <v>#VALUE!</v>
      </c>
      <c r="C41" s="7" t="e">
        <f t="shared" si="0"/>
        <v>#VALUE!</v>
      </c>
      <c r="D41" s="7" t="e">
        <f t="shared" si="6"/>
        <v>#VALUE!</v>
      </c>
      <c r="E41" s="7" t="e">
        <f>C40*'Compra cartera'!$E$17</f>
        <v>#VALUE!</v>
      </c>
      <c r="F41" s="8" t="e">
        <f>IF(C40&lt;1,"0",IF('Compra cartera'!$D$26="Si",($C$17*(VLOOKUP('Compra cartera'!$C$22,Seguros_Oblig!$A$3:$F$55,6,FALSE))),(C40*(VLOOKUP('Compra cartera'!$C$22,Seguros_Oblig!$A$3:$E$55,5,FALSE)))))</f>
        <v>#VALUE!</v>
      </c>
      <c r="G41" s="8" t="e">
        <f>(C40*(VLOOKUP('Compra cartera'!$C$23,Seguros_Oblig!$A$3:$E$55,5,FALSE)))</f>
        <v>#VALUE!</v>
      </c>
      <c r="H41" s="8" t="e">
        <f>(C40*(VLOOKUP('Compra cartera'!$C$24,Seguros_Oblig!$A$3:$E$55,5,FALSE)))</f>
        <v>#VALUE!</v>
      </c>
      <c r="I41" s="8" t="e">
        <f>(C40*(VLOOKUP('Compra cartera'!$C$25,Seguros_Oblig!$A$3:$E$55,5,FALSE)))</f>
        <v>#VALUE!</v>
      </c>
      <c r="J41" s="10">
        <f t="shared" si="2"/>
        <v>0</v>
      </c>
      <c r="K41" s="7" t="e">
        <f>IF(C40&lt;1,"0",Seguros_Oblig!$K$2*('Compra cartera'!$C$11*90%))</f>
        <v>#VALUE!</v>
      </c>
      <c r="L41" s="7" t="e">
        <f>PMT('Compra cartera'!$E$17,'Compra cartera'!$C$31,-'Compra cartera'!$C$14,,)</f>
        <v>#VALUE!</v>
      </c>
      <c r="M41" s="9" t="e">
        <f t="shared" si="3"/>
        <v>#VALUE!</v>
      </c>
      <c r="N41" s="7" t="e">
        <f>IF(C40&lt;1,"0",'Compra cartera'!$C$44)</f>
        <v>#VALUE!</v>
      </c>
      <c r="O41" s="9" t="e">
        <f t="shared" si="4"/>
        <v>#VALUE!</v>
      </c>
    </row>
    <row r="42" spans="2:15" ht="15.5" x14ac:dyDescent="0.35">
      <c r="B42" s="6" t="e">
        <f t="shared" si="5"/>
        <v>#VALUE!</v>
      </c>
      <c r="C42" s="7" t="e">
        <f t="shared" si="0"/>
        <v>#VALUE!</v>
      </c>
      <c r="D42" s="7" t="e">
        <f t="shared" si="6"/>
        <v>#VALUE!</v>
      </c>
      <c r="E42" s="7" t="e">
        <f>C41*'Compra cartera'!$E$17</f>
        <v>#VALUE!</v>
      </c>
      <c r="F42" s="8" t="e">
        <f>IF(C41&lt;1,"0",IF('Compra cartera'!$D$26="Si",($C$17*(VLOOKUP('Compra cartera'!$C$22,Seguros_Oblig!$A$3:$F$55,6,FALSE))),(C41*(VLOOKUP('Compra cartera'!$C$22,Seguros_Oblig!$A$3:$E$55,5,FALSE)))))</f>
        <v>#VALUE!</v>
      </c>
      <c r="G42" s="8" t="e">
        <f>(C41*(VLOOKUP('Compra cartera'!$C$23,Seguros_Oblig!$A$3:$E$55,5,FALSE)))</f>
        <v>#VALUE!</v>
      </c>
      <c r="H42" s="8" t="e">
        <f>(C41*(VLOOKUP('Compra cartera'!$C$24,Seguros_Oblig!$A$3:$E$55,5,FALSE)))</f>
        <v>#VALUE!</v>
      </c>
      <c r="I42" s="8" t="e">
        <f>(C41*(VLOOKUP('Compra cartera'!$C$25,Seguros_Oblig!$A$3:$E$55,5,FALSE)))</f>
        <v>#VALUE!</v>
      </c>
      <c r="J42" s="10">
        <f t="shared" si="2"/>
        <v>0</v>
      </c>
      <c r="K42" s="7" t="e">
        <f>IF(C41&lt;1,"0",Seguros_Oblig!$K$2*('Compra cartera'!$C$11*90%))</f>
        <v>#VALUE!</v>
      </c>
      <c r="L42" s="7" t="e">
        <f>PMT('Compra cartera'!$E$17,'Compra cartera'!$C$31,-'Compra cartera'!$C$14,,)</f>
        <v>#VALUE!</v>
      </c>
      <c r="M42" s="9" t="e">
        <f t="shared" si="3"/>
        <v>#VALUE!</v>
      </c>
      <c r="N42" s="7" t="e">
        <f>IF(C41&lt;1,"0",'Compra cartera'!$C$44)</f>
        <v>#VALUE!</v>
      </c>
      <c r="O42" s="9" t="e">
        <f t="shared" si="4"/>
        <v>#VALUE!</v>
      </c>
    </row>
    <row r="43" spans="2:15" ht="15.5" x14ac:dyDescent="0.35">
      <c r="B43" s="6" t="e">
        <f t="shared" si="5"/>
        <v>#VALUE!</v>
      </c>
      <c r="C43" s="7" t="e">
        <f t="shared" si="0"/>
        <v>#VALUE!</v>
      </c>
      <c r="D43" s="7" t="e">
        <f t="shared" si="6"/>
        <v>#VALUE!</v>
      </c>
      <c r="E43" s="7" t="e">
        <f>C42*'Compra cartera'!$E$17</f>
        <v>#VALUE!</v>
      </c>
      <c r="F43" s="8" t="e">
        <f>IF(C42&lt;1,"0",IF('Compra cartera'!$D$26="Si",($C$17*(VLOOKUP('Compra cartera'!$C$22,Seguros_Oblig!$A$3:$F$55,6,FALSE))),(C42*(VLOOKUP('Compra cartera'!$C$22,Seguros_Oblig!$A$3:$E$55,5,FALSE)))))</f>
        <v>#VALUE!</v>
      </c>
      <c r="G43" s="8" t="e">
        <f>(C42*(VLOOKUP('Compra cartera'!$C$23,Seguros_Oblig!$A$3:$E$55,5,FALSE)))</f>
        <v>#VALUE!</v>
      </c>
      <c r="H43" s="8" t="e">
        <f>(C42*(VLOOKUP('Compra cartera'!$C$24,Seguros_Oblig!$A$3:$E$55,5,FALSE)))</f>
        <v>#VALUE!</v>
      </c>
      <c r="I43" s="8" t="e">
        <f>(C42*(VLOOKUP('Compra cartera'!$C$25,Seguros_Oblig!$A$3:$E$55,5,FALSE)))</f>
        <v>#VALUE!</v>
      </c>
      <c r="J43" s="10">
        <f t="shared" si="2"/>
        <v>0</v>
      </c>
      <c r="K43" s="7" t="e">
        <f>IF(C42&lt;1,"0",Seguros_Oblig!$K$2*('Compra cartera'!$C$11*90%))</f>
        <v>#VALUE!</v>
      </c>
      <c r="L43" s="7" t="e">
        <f>PMT('Compra cartera'!$E$17,'Compra cartera'!$C$31,-'Compra cartera'!$C$14,,)</f>
        <v>#VALUE!</v>
      </c>
      <c r="M43" s="9" t="e">
        <f t="shared" si="3"/>
        <v>#VALUE!</v>
      </c>
      <c r="N43" s="7" t="e">
        <f>IF(C42&lt;1,"0",'Compra cartera'!$C$44)</f>
        <v>#VALUE!</v>
      </c>
      <c r="O43" s="9" t="e">
        <f t="shared" si="4"/>
        <v>#VALUE!</v>
      </c>
    </row>
    <row r="44" spans="2:15" ht="15.5" x14ac:dyDescent="0.35">
      <c r="B44" s="6" t="e">
        <f t="shared" si="5"/>
        <v>#VALUE!</v>
      </c>
      <c r="C44" s="7" t="e">
        <f t="shared" si="0"/>
        <v>#VALUE!</v>
      </c>
      <c r="D44" s="7" t="e">
        <f t="shared" si="6"/>
        <v>#VALUE!</v>
      </c>
      <c r="E44" s="7" t="e">
        <f>C43*'Compra cartera'!$E$17</f>
        <v>#VALUE!</v>
      </c>
      <c r="F44" s="8" t="e">
        <f>IF(C43&lt;1,"0",IF('Compra cartera'!$D$26="Si",($C$17*(VLOOKUP('Compra cartera'!$C$22,Seguros_Oblig!$A$3:$F$55,6,FALSE))),(C43*(VLOOKUP('Compra cartera'!$C$22,Seguros_Oblig!$A$3:$E$55,5,FALSE)))))</f>
        <v>#VALUE!</v>
      </c>
      <c r="G44" s="8" t="e">
        <f>(C43*(VLOOKUP('Compra cartera'!$C$23,Seguros_Oblig!$A$3:$E$55,5,FALSE)))</f>
        <v>#VALUE!</v>
      </c>
      <c r="H44" s="8" t="e">
        <f>(C43*(VLOOKUP('Compra cartera'!$C$24,Seguros_Oblig!$A$3:$E$55,5,FALSE)))</f>
        <v>#VALUE!</v>
      </c>
      <c r="I44" s="8" t="e">
        <f>(C43*(VLOOKUP('Compra cartera'!$C$25,Seguros_Oblig!$A$3:$E$55,5,FALSE)))</f>
        <v>#VALUE!</v>
      </c>
      <c r="J44" s="10">
        <f t="shared" si="2"/>
        <v>0</v>
      </c>
      <c r="K44" s="7" t="e">
        <f>IF(C43&lt;1,"0",Seguros_Oblig!$K$2*('Compra cartera'!$C$11*90%))</f>
        <v>#VALUE!</v>
      </c>
      <c r="L44" s="7" t="e">
        <f>PMT('Compra cartera'!$E$17,'Compra cartera'!$C$31,-'Compra cartera'!$C$14,,)</f>
        <v>#VALUE!</v>
      </c>
      <c r="M44" s="9" t="e">
        <f t="shared" si="3"/>
        <v>#VALUE!</v>
      </c>
      <c r="N44" s="7" t="e">
        <f>IF(C43&lt;1,"0",'Compra cartera'!$C$44)</f>
        <v>#VALUE!</v>
      </c>
      <c r="O44" s="9" t="e">
        <f t="shared" si="4"/>
        <v>#VALUE!</v>
      </c>
    </row>
    <row r="45" spans="2:15" ht="15.5" x14ac:dyDescent="0.35">
      <c r="B45" s="6" t="e">
        <f t="shared" si="5"/>
        <v>#VALUE!</v>
      </c>
      <c r="C45" s="7" t="e">
        <f t="shared" si="0"/>
        <v>#VALUE!</v>
      </c>
      <c r="D45" s="7" t="e">
        <f t="shared" si="6"/>
        <v>#VALUE!</v>
      </c>
      <c r="E45" s="7" t="e">
        <f>C44*'Compra cartera'!$E$17</f>
        <v>#VALUE!</v>
      </c>
      <c r="F45" s="8" t="e">
        <f>IF(C44&lt;1,"0",IF('Compra cartera'!$D$26="Si",($C$17*(VLOOKUP('Compra cartera'!$C$22,Seguros_Oblig!$A$3:$F$55,6,FALSE))),(C44*(VLOOKUP('Compra cartera'!$C$22,Seguros_Oblig!$A$3:$E$55,5,FALSE)))))</f>
        <v>#VALUE!</v>
      </c>
      <c r="G45" s="8" t="e">
        <f>(C44*(VLOOKUP('Compra cartera'!$C$23,Seguros_Oblig!$A$3:$E$55,5,FALSE)))</f>
        <v>#VALUE!</v>
      </c>
      <c r="H45" s="8" t="e">
        <f>(C44*(VLOOKUP('Compra cartera'!$C$24,Seguros_Oblig!$A$3:$E$55,5,FALSE)))</f>
        <v>#VALUE!</v>
      </c>
      <c r="I45" s="8" t="e">
        <f>(C44*(VLOOKUP('Compra cartera'!$C$25,Seguros_Oblig!$A$3:$E$55,5,FALSE)))</f>
        <v>#VALUE!</v>
      </c>
      <c r="J45" s="10">
        <f t="shared" si="2"/>
        <v>0</v>
      </c>
      <c r="K45" s="7" t="e">
        <f>IF(C44&lt;1,"0",Seguros_Oblig!$K$2*('Compra cartera'!$C$11*90%))</f>
        <v>#VALUE!</v>
      </c>
      <c r="L45" s="7" t="e">
        <f>PMT('Compra cartera'!$E$17,'Compra cartera'!$C$31,-'Compra cartera'!$C$14,,)</f>
        <v>#VALUE!</v>
      </c>
      <c r="M45" s="9" t="e">
        <f t="shared" si="3"/>
        <v>#VALUE!</v>
      </c>
      <c r="N45" s="7" t="e">
        <f>IF(C44&lt;1,"0",'Compra cartera'!$C$44)</f>
        <v>#VALUE!</v>
      </c>
      <c r="O45" s="9" t="e">
        <f t="shared" si="4"/>
        <v>#VALUE!</v>
      </c>
    </row>
    <row r="46" spans="2:15" ht="15.5" x14ac:dyDescent="0.35">
      <c r="B46" s="6" t="e">
        <f t="shared" si="5"/>
        <v>#VALUE!</v>
      </c>
      <c r="C46" s="7" t="e">
        <f t="shared" si="0"/>
        <v>#VALUE!</v>
      </c>
      <c r="D46" s="7" t="e">
        <f t="shared" si="6"/>
        <v>#VALUE!</v>
      </c>
      <c r="E46" s="7" t="e">
        <f>C45*'Compra cartera'!$E$17</f>
        <v>#VALUE!</v>
      </c>
      <c r="F46" s="8" t="e">
        <f>IF(C45&lt;1,"0",IF('Compra cartera'!$D$26="Si",($C$17*(VLOOKUP('Compra cartera'!$C$22,Seguros_Oblig!$A$3:$F$55,6,FALSE))),(C45*(VLOOKUP('Compra cartera'!$C$22,Seguros_Oblig!$A$3:$E$55,5,FALSE)))))</f>
        <v>#VALUE!</v>
      </c>
      <c r="G46" s="8" t="e">
        <f>(C45*(VLOOKUP('Compra cartera'!$C$23,Seguros_Oblig!$A$3:$E$55,5,FALSE)))</f>
        <v>#VALUE!</v>
      </c>
      <c r="H46" s="8" t="e">
        <f>(C45*(VLOOKUP('Compra cartera'!$C$24,Seguros_Oblig!$A$3:$E$55,5,FALSE)))</f>
        <v>#VALUE!</v>
      </c>
      <c r="I46" s="8" t="e">
        <f>(C45*(VLOOKUP('Compra cartera'!$C$25,Seguros_Oblig!$A$3:$E$55,5,FALSE)))</f>
        <v>#VALUE!</v>
      </c>
      <c r="J46" s="10">
        <f t="shared" si="2"/>
        <v>0</v>
      </c>
      <c r="K46" s="7" t="e">
        <f>IF(C45&lt;1,"0",Seguros_Oblig!$K$2*('Compra cartera'!$C$11*90%))</f>
        <v>#VALUE!</v>
      </c>
      <c r="L46" s="7" t="e">
        <f>PMT('Compra cartera'!$E$17,'Compra cartera'!$C$31,-'Compra cartera'!$C$14,,)</f>
        <v>#VALUE!</v>
      </c>
      <c r="M46" s="9" t="e">
        <f t="shared" si="3"/>
        <v>#VALUE!</v>
      </c>
      <c r="N46" s="7" t="e">
        <f>IF(C45&lt;1,"0",'Compra cartera'!$C$44)</f>
        <v>#VALUE!</v>
      </c>
      <c r="O46" s="9" t="e">
        <f t="shared" si="4"/>
        <v>#VALUE!</v>
      </c>
    </row>
    <row r="47" spans="2:15" ht="15.5" x14ac:dyDescent="0.35">
      <c r="B47" s="6" t="e">
        <f t="shared" si="5"/>
        <v>#VALUE!</v>
      </c>
      <c r="C47" s="7" t="e">
        <f t="shared" si="0"/>
        <v>#VALUE!</v>
      </c>
      <c r="D47" s="7" t="e">
        <f t="shared" si="6"/>
        <v>#VALUE!</v>
      </c>
      <c r="E47" s="7" t="e">
        <f>C46*'Compra cartera'!$E$17</f>
        <v>#VALUE!</v>
      </c>
      <c r="F47" s="8" t="e">
        <f>IF(C46&lt;1,"0",IF('Compra cartera'!$D$26="Si",($C$17*(VLOOKUP('Compra cartera'!$C$22,Seguros_Oblig!$A$3:$F$55,6,FALSE))),(C46*(VLOOKUP('Compra cartera'!$C$22,Seguros_Oblig!$A$3:$E$55,5,FALSE)))))</f>
        <v>#VALUE!</v>
      </c>
      <c r="G47" s="8" t="e">
        <f>(C46*(VLOOKUP('Compra cartera'!$C$23,Seguros_Oblig!$A$3:$E$55,5,FALSE)))</f>
        <v>#VALUE!</v>
      </c>
      <c r="H47" s="8" t="e">
        <f>(C46*(VLOOKUP('Compra cartera'!$C$24,Seguros_Oblig!$A$3:$E$55,5,FALSE)))</f>
        <v>#VALUE!</v>
      </c>
      <c r="I47" s="8" t="e">
        <f>(C46*(VLOOKUP('Compra cartera'!$C$25,Seguros_Oblig!$A$3:$E$55,5,FALSE)))</f>
        <v>#VALUE!</v>
      </c>
      <c r="J47" s="10">
        <f t="shared" si="2"/>
        <v>0</v>
      </c>
      <c r="K47" s="7" t="e">
        <f>IF(C46&lt;1,"0",Seguros_Oblig!$K$2*('Compra cartera'!$C$11*90%))</f>
        <v>#VALUE!</v>
      </c>
      <c r="L47" s="7" t="e">
        <f>PMT('Compra cartera'!$E$17,'Compra cartera'!$C$31,-'Compra cartera'!$C$14,,)</f>
        <v>#VALUE!</v>
      </c>
      <c r="M47" s="9" t="e">
        <f t="shared" si="3"/>
        <v>#VALUE!</v>
      </c>
      <c r="N47" s="7" t="e">
        <f>IF(C46&lt;1,"0",'Compra cartera'!$C$44)</f>
        <v>#VALUE!</v>
      </c>
      <c r="O47" s="9" t="e">
        <f t="shared" si="4"/>
        <v>#VALUE!</v>
      </c>
    </row>
    <row r="48" spans="2:15" ht="15.5" x14ac:dyDescent="0.35">
      <c r="B48" s="6" t="e">
        <f t="shared" si="5"/>
        <v>#VALUE!</v>
      </c>
      <c r="C48" s="7" t="e">
        <f t="shared" si="0"/>
        <v>#VALUE!</v>
      </c>
      <c r="D48" s="7" t="e">
        <f t="shared" si="6"/>
        <v>#VALUE!</v>
      </c>
      <c r="E48" s="7" t="e">
        <f>C47*'Compra cartera'!$E$17</f>
        <v>#VALUE!</v>
      </c>
      <c r="F48" s="8" t="e">
        <f>IF(C47&lt;1,"0",IF('Compra cartera'!$D$26="Si",($C$17*(VLOOKUP('Compra cartera'!$C$22,Seguros_Oblig!$A$3:$F$55,6,FALSE))),(C47*(VLOOKUP('Compra cartera'!$C$22,Seguros_Oblig!$A$3:$E$55,5,FALSE)))))</f>
        <v>#VALUE!</v>
      </c>
      <c r="G48" s="8" t="e">
        <f>(C47*(VLOOKUP('Compra cartera'!$C$23,Seguros_Oblig!$A$3:$E$55,5,FALSE)))</f>
        <v>#VALUE!</v>
      </c>
      <c r="H48" s="8" t="e">
        <f>(C47*(VLOOKUP('Compra cartera'!$C$24,Seguros_Oblig!$A$3:$E$55,5,FALSE)))</f>
        <v>#VALUE!</v>
      </c>
      <c r="I48" s="8" t="e">
        <f>(C47*(VLOOKUP('Compra cartera'!$C$25,Seguros_Oblig!$A$3:$E$55,5,FALSE)))</f>
        <v>#VALUE!</v>
      </c>
      <c r="J48" s="10">
        <f t="shared" si="2"/>
        <v>0</v>
      </c>
      <c r="K48" s="7" t="e">
        <f>IF(C47&lt;1,"0",Seguros_Oblig!$K$2*('Compra cartera'!$C$11*90%))</f>
        <v>#VALUE!</v>
      </c>
      <c r="L48" s="7" t="e">
        <f>PMT('Compra cartera'!$E$17,'Compra cartera'!$C$31,-'Compra cartera'!$C$14,,)</f>
        <v>#VALUE!</v>
      </c>
      <c r="M48" s="9" t="e">
        <f t="shared" si="3"/>
        <v>#VALUE!</v>
      </c>
      <c r="N48" s="7" t="e">
        <f>IF(C47&lt;1,"0",'Compra cartera'!$C$44)</f>
        <v>#VALUE!</v>
      </c>
      <c r="O48" s="9" t="e">
        <f t="shared" si="4"/>
        <v>#VALUE!</v>
      </c>
    </row>
    <row r="49" spans="2:15" ht="15.5" x14ac:dyDescent="0.35">
      <c r="B49" s="6" t="e">
        <f t="shared" si="5"/>
        <v>#VALUE!</v>
      </c>
      <c r="C49" s="7" t="e">
        <f t="shared" si="0"/>
        <v>#VALUE!</v>
      </c>
      <c r="D49" s="7" t="e">
        <f t="shared" si="6"/>
        <v>#VALUE!</v>
      </c>
      <c r="E49" s="7" t="e">
        <f>C48*'Compra cartera'!$E$17</f>
        <v>#VALUE!</v>
      </c>
      <c r="F49" s="8" t="e">
        <f>IF(C48&lt;1,"0",IF('Compra cartera'!$D$26="Si",($C$17*(VLOOKUP('Compra cartera'!$C$22,Seguros_Oblig!$A$3:$F$55,6,FALSE))),(C48*(VLOOKUP('Compra cartera'!$C$22,Seguros_Oblig!$A$3:$E$55,5,FALSE)))))</f>
        <v>#VALUE!</v>
      </c>
      <c r="G49" s="8" t="e">
        <f>(C48*(VLOOKUP('Compra cartera'!$C$23,Seguros_Oblig!$A$3:$E$55,5,FALSE)))</f>
        <v>#VALUE!</v>
      </c>
      <c r="H49" s="8" t="e">
        <f>(C48*(VLOOKUP('Compra cartera'!$C$24,Seguros_Oblig!$A$3:$E$55,5,FALSE)))</f>
        <v>#VALUE!</v>
      </c>
      <c r="I49" s="8" t="e">
        <f>(C48*(VLOOKUP('Compra cartera'!$C$25,Seguros_Oblig!$A$3:$E$55,5,FALSE)))</f>
        <v>#VALUE!</v>
      </c>
      <c r="J49" s="10">
        <f t="shared" si="2"/>
        <v>0</v>
      </c>
      <c r="K49" s="7" t="e">
        <f>IF(C48&lt;1,"0",Seguros_Oblig!$K$2*('Compra cartera'!$C$11*90%))</f>
        <v>#VALUE!</v>
      </c>
      <c r="L49" s="7" t="e">
        <f>PMT('Compra cartera'!$E$17,'Compra cartera'!$C$31,-'Compra cartera'!$C$14,,)</f>
        <v>#VALUE!</v>
      </c>
      <c r="M49" s="9" t="e">
        <f t="shared" si="3"/>
        <v>#VALUE!</v>
      </c>
      <c r="N49" s="7" t="e">
        <f>IF(C48&lt;1,"0",'Compra cartera'!$C$44)</f>
        <v>#VALUE!</v>
      </c>
      <c r="O49" s="9" t="e">
        <f t="shared" si="4"/>
        <v>#VALUE!</v>
      </c>
    </row>
    <row r="50" spans="2:15" ht="15.5" x14ac:dyDescent="0.35">
      <c r="B50" s="6" t="e">
        <f t="shared" si="5"/>
        <v>#VALUE!</v>
      </c>
      <c r="C50" s="7" t="e">
        <f t="shared" si="0"/>
        <v>#VALUE!</v>
      </c>
      <c r="D50" s="7" t="e">
        <f t="shared" si="6"/>
        <v>#VALUE!</v>
      </c>
      <c r="E50" s="7" t="e">
        <f>C49*'Compra cartera'!$E$17</f>
        <v>#VALUE!</v>
      </c>
      <c r="F50" s="8" t="e">
        <f>IF(C49&lt;1,"0",IF('Compra cartera'!$D$26="Si",($C$17*(VLOOKUP('Compra cartera'!$C$22,Seguros_Oblig!$A$3:$F$55,6,FALSE))),(C49*(VLOOKUP('Compra cartera'!$C$22,Seguros_Oblig!$A$3:$E$55,5,FALSE)))))</f>
        <v>#VALUE!</v>
      </c>
      <c r="G50" s="8" t="e">
        <f>(C49*(VLOOKUP('Compra cartera'!$C$23,Seguros_Oblig!$A$3:$E$55,5,FALSE)))</f>
        <v>#VALUE!</v>
      </c>
      <c r="H50" s="8" t="e">
        <f>(C49*(VLOOKUP('Compra cartera'!$C$24,Seguros_Oblig!$A$3:$E$55,5,FALSE)))</f>
        <v>#VALUE!</v>
      </c>
      <c r="I50" s="8" t="e">
        <f>(C49*(VLOOKUP('Compra cartera'!$C$25,Seguros_Oblig!$A$3:$E$55,5,FALSE)))</f>
        <v>#VALUE!</v>
      </c>
      <c r="J50" s="10">
        <f t="shared" si="2"/>
        <v>0</v>
      </c>
      <c r="K50" s="7" t="e">
        <f>IF(C49&lt;1,"0",Seguros_Oblig!$K$2*('Compra cartera'!$C$11*90%))</f>
        <v>#VALUE!</v>
      </c>
      <c r="L50" s="7" t="e">
        <f>PMT('Compra cartera'!$E$17,'Compra cartera'!$C$31,-'Compra cartera'!$C$14,,)</f>
        <v>#VALUE!</v>
      </c>
      <c r="M50" s="9" t="e">
        <f t="shared" si="3"/>
        <v>#VALUE!</v>
      </c>
      <c r="N50" s="7" t="e">
        <f>IF(C49&lt;1,"0",'Compra cartera'!$C$44)</f>
        <v>#VALUE!</v>
      </c>
      <c r="O50" s="9" t="e">
        <f t="shared" si="4"/>
        <v>#VALUE!</v>
      </c>
    </row>
    <row r="51" spans="2:15" ht="15.5" x14ac:dyDescent="0.35">
      <c r="B51" s="6" t="e">
        <f t="shared" si="5"/>
        <v>#VALUE!</v>
      </c>
      <c r="C51" s="7" t="e">
        <f t="shared" si="0"/>
        <v>#VALUE!</v>
      </c>
      <c r="D51" s="7" t="e">
        <f t="shared" si="6"/>
        <v>#VALUE!</v>
      </c>
      <c r="E51" s="7" t="e">
        <f>C50*'Compra cartera'!$E$17</f>
        <v>#VALUE!</v>
      </c>
      <c r="F51" s="8" t="e">
        <f>IF(C50&lt;1,"0",IF('Compra cartera'!$D$26="Si",($C$17*(VLOOKUP('Compra cartera'!$C$22,Seguros_Oblig!$A$3:$F$55,6,FALSE))),(C50*(VLOOKUP('Compra cartera'!$C$22,Seguros_Oblig!$A$3:$E$55,5,FALSE)))))</f>
        <v>#VALUE!</v>
      </c>
      <c r="G51" s="8" t="e">
        <f>(C50*(VLOOKUP('Compra cartera'!$C$23,Seguros_Oblig!$A$3:$E$55,5,FALSE)))</f>
        <v>#VALUE!</v>
      </c>
      <c r="H51" s="8" t="e">
        <f>(C50*(VLOOKUP('Compra cartera'!$C$24,Seguros_Oblig!$A$3:$E$55,5,FALSE)))</f>
        <v>#VALUE!</v>
      </c>
      <c r="I51" s="8" t="e">
        <f>(C50*(VLOOKUP('Compra cartera'!$C$25,Seguros_Oblig!$A$3:$E$55,5,FALSE)))</f>
        <v>#VALUE!</v>
      </c>
      <c r="J51" s="10">
        <f t="shared" si="2"/>
        <v>0</v>
      </c>
      <c r="K51" s="7" t="e">
        <f>IF(C50&lt;1,"0",Seguros_Oblig!$K$2*('Compra cartera'!$C$11*90%))</f>
        <v>#VALUE!</v>
      </c>
      <c r="L51" s="7" t="e">
        <f>PMT('Compra cartera'!$E$17,'Compra cartera'!$C$31,-'Compra cartera'!$C$14,,)</f>
        <v>#VALUE!</v>
      </c>
      <c r="M51" s="9" t="e">
        <f t="shared" si="3"/>
        <v>#VALUE!</v>
      </c>
      <c r="N51" s="7" t="e">
        <f>IF(C50&lt;1,"0",'Compra cartera'!$C$44)</f>
        <v>#VALUE!</v>
      </c>
      <c r="O51" s="9" t="e">
        <f t="shared" si="4"/>
        <v>#VALUE!</v>
      </c>
    </row>
    <row r="52" spans="2:15" ht="15.5" x14ac:dyDescent="0.35">
      <c r="B52" s="6" t="e">
        <f t="shared" si="5"/>
        <v>#VALUE!</v>
      </c>
      <c r="C52" s="7" t="e">
        <f t="shared" si="0"/>
        <v>#VALUE!</v>
      </c>
      <c r="D52" s="7" t="e">
        <f t="shared" si="6"/>
        <v>#VALUE!</v>
      </c>
      <c r="E52" s="7" t="e">
        <f>C51*'Compra cartera'!$E$17</f>
        <v>#VALUE!</v>
      </c>
      <c r="F52" s="8" t="e">
        <f>IF(C51&lt;1,"0",IF('Compra cartera'!$D$26="Si",($C$17*(VLOOKUP('Compra cartera'!$C$22,Seguros_Oblig!$A$3:$F$55,6,FALSE))),(C51*(VLOOKUP('Compra cartera'!$C$22,Seguros_Oblig!$A$3:$E$55,5,FALSE)))))</f>
        <v>#VALUE!</v>
      </c>
      <c r="G52" s="8" t="e">
        <f>(C51*(VLOOKUP('Compra cartera'!$C$23,Seguros_Oblig!$A$3:$E$55,5,FALSE)))</f>
        <v>#VALUE!</v>
      </c>
      <c r="H52" s="8" t="e">
        <f>(C51*(VLOOKUP('Compra cartera'!$C$24,Seguros_Oblig!$A$3:$E$55,5,FALSE)))</f>
        <v>#VALUE!</v>
      </c>
      <c r="I52" s="8" t="e">
        <f>(C51*(VLOOKUP('Compra cartera'!$C$25,Seguros_Oblig!$A$3:$E$55,5,FALSE)))</f>
        <v>#VALUE!</v>
      </c>
      <c r="J52" s="10">
        <f t="shared" si="2"/>
        <v>0</v>
      </c>
      <c r="K52" s="7" t="e">
        <f>IF(C51&lt;1,"0",Seguros_Oblig!$K$2*('Compra cartera'!$C$11*90%))</f>
        <v>#VALUE!</v>
      </c>
      <c r="L52" s="7" t="e">
        <f>PMT('Compra cartera'!$E$17,'Compra cartera'!$C$31,-'Compra cartera'!$C$14,,)</f>
        <v>#VALUE!</v>
      </c>
      <c r="M52" s="9" t="e">
        <f t="shared" si="3"/>
        <v>#VALUE!</v>
      </c>
      <c r="N52" s="7" t="e">
        <f>IF(C51&lt;1,"0",'Compra cartera'!$C$44)</f>
        <v>#VALUE!</v>
      </c>
      <c r="O52" s="9" t="e">
        <f t="shared" si="4"/>
        <v>#VALUE!</v>
      </c>
    </row>
    <row r="53" spans="2:15" ht="15.5" x14ac:dyDescent="0.35">
      <c r="B53" s="6" t="e">
        <f t="shared" si="5"/>
        <v>#VALUE!</v>
      </c>
      <c r="C53" s="7" t="e">
        <f t="shared" si="0"/>
        <v>#VALUE!</v>
      </c>
      <c r="D53" s="7" t="e">
        <f t="shared" si="6"/>
        <v>#VALUE!</v>
      </c>
      <c r="E53" s="7" t="e">
        <f>C52*'Compra cartera'!$E$17</f>
        <v>#VALUE!</v>
      </c>
      <c r="F53" s="8" t="e">
        <f>IF(C52&lt;1,"0",IF('Compra cartera'!$D$26="Si",($C$17*(VLOOKUP('Compra cartera'!$C$22,Seguros_Oblig!$A$3:$F$55,6,FALSE))),(C52*(VLOOKUP('Compra cartera'!$C$22,Seguros_Oblig!$A$3:$E$55,5,FALSE)))))</f>
        <v>#VALUE!</v>
      </c>
      <c r="G53" s="8" t="e">
        <f>(C52*(VLOOKUP('Compra cartera'!$C$23,Seguros_Oblig!$A$3:$E$55,5,FALSE)))</f>
        <v>#VALUE!</v>
      </c>
      <c r="H53" s="8" t="e">
        <f>(C52*(VLOOKUP('Compra cartera'!$C$24,Seguros_Oblig!$A$3:$E$55,5,FALSE)))</f>
        <v>#VALUE!</v>
      </c>
      <c r="I53" s="8" t="e">
        <f>(C52*(VLOOKUP('Compra cartera'!$C$25,Seguros_Oblig!$A$3:$E$55,5,FALSE)))</f>
        <v>#VALUE!</v>
      </c>
      <c r="J53" s="10">
        <f t="shared" si="2"/>
        <v>0</v>
      </c>
      <c r="K53" s="7" t="e">
        <f>IF(C52&lt;1,"0",Seguros_Oblig!$K$2*('Compra cartera'!$C$11*90%))</f>
        <v>#VALUE!</v>
      </c>
      <c r="L53" s="7" t="e">
        <f>PMT('Compra cartera'!$E$17,'Compra cartera'!$C$31,-'Compra cartera'!$C$14,,)</f>
        <v>#VALUE!</v>
      </c>
      <c r="M53" s="9" t="e">
        <f t="shared" si="3"/>
        <v>#VALUE!</v>
      </c>
      <c r="N53" s="7" t="e">
        <f>IF(C52&lt;1,"0",'Compra cartera'!$C$44)</f>
        <v>#VALUE!</v>
      </c>
      <c r="O53" s="9" t="e">
        <f t="shared" si="4"/>
        <v>#VALUE!</v>
      </c>
    </row>
    <row r="54" spans="2:15" ht="15.5" x14ac:dyDescent="0.35">
      <c r="B54" s="6" t="e">
        <f t="shared" si="5"/>
        <v>#VALUE!</v>
      </c>
      <c r="C54" s="7" t="e">
        <f t="shared" si="0"/>
        <v>#VALUE!</v>
      </c>
      <c r="D54" s="7" t="e">
        <f t="shared" si="6"/>
        <v>#VALUE!</v>
      </c>
      <c r="E54" s="7" t="e">
        <f>C53*'Compra cartera'!$E$17</f>
        <v>#VALUE!</v>
      </c>
      <c r="F54" s="8" t="e">
        <f>IF(C53&lt;1,"0",IF('Compra cartera'!$D$26="Si",($C$17*(VLOOKUP('Compra cartera'!$C$22,Seguros_Oblig!$A$3:$F$55,6,FALSE))),(C53*(VLOOKUP('Compra cartera'!$C$22,Seguros_Oblig!$A$3:$E$55,5,FALSE)))))</f>
        <v>#VALUE!</v>
      </c>
      <c r="G54" s="8" t="e">
        <f>(C53*(VLOOKUP('Compra cartera'!$C$23,Seguros_Oblig!$A$3:$E$55,5,FALSE)))</f>
        <v>#VALUE!</v>
      </c>
      <c r="H54" s="8" t="e">
        <f>(C53*(VLOOKUP('Compra cartera'!$C$24,Seguros_Oblig!$A$3:$E$55,5,FALSE)))</f>
        <v>#VALUE!</v>
      </c>
      <c r="I54" s="8" t="e">
        <f>(C53*(VLOOKUP('Compra cartera'!$C$25,Seguros_Oblig!$A$3:$E$55,5,FALSE)))</f>
        <v>#VALUE!</v>
      </c>
      <c r="J54" s="10">
        <f t="shared" si="2"/>
        <v>0</v>
      </c>
      <c r="K54" s="7" t="e">
        <f>IF(C53&lt;1,"0",Seguros_Oblig!$K$2*('Compra cartera'!$C$11*90%))</f>
        <v>#VALUE!</v>
      </c>
      <c r="L54" s="7" t="e">
        <f>PMT('Compra cartera'!$E$17,'Compra cartera'!$C$31,-'Compra cartera'!$C$14,,)</f>
        <v>#VALUE!</v>
      </c>
      <c r="M54" s="9" t="e">
        <f t="shared" si="3"/>
        <v>#VALUE!</v>
      </c>
      <c r="N54" s="7" t="e">
        <f>IF(C53&lt;1,"0",'Compra cartera'!$C$44)</f>
        <v>#VALUE!</v>
      </c>
      <c r="O54" s="9" t="e">
        <f t="shared" si="4"/>
        <v>#VALUE!</v>
      </c>
    </row>
    <row r="55" spans="2:15" ht="15.5" x14ac:dyDescent="0.35">
      <c r="B55" s="6" t="e">
        <f t="shared" si="5"/>
        <v>#VALUE!</v>
      </c>
      <c r="C55" s="7" t="e">
        <f t="shared" si="0"/>
        <v>#VALUE!</v>
      </c>
      <c r="D55" s="7" t="e">
        <f t="shared" si="6"/>
        <v>#VALUE!</v>
      </c>
      <c r="E55" s="7" t="e">
        <f>C54*'Compra cartera'!$E$17</f>
        <v>#VALUE!</v>
      </c>
      <c r="F55" s="8" t="e">
        <f>IF(C54&lt;1,"0",IF('Compra cartera'!$D$26="Si",($C$17*(VLOOKUP('Compra cartera'!$C$22,Seguros_Oblig!$A$3:$F$55,6,FALSE))),(C54*(VLOOKUP('Compra cartera'!$C$22,Seguros_Oblig!$A$3:$E$55,5,FALSE)))))</f>
        <v>#VALUE!</v>
      </c>
      <c r="G55" s="8" t="e">
        <f>(C54*(VLOOKUP('Compra cartera'!$C$23,Seguros_Oblig!$A$3:$E$55,5,FALSE)))</f>
        <v>#VALUE!</v>
      </c>
      <c r="H55" s="8" t="e">
        <f>(C54*(VLOOKUP('Compra cartera'!$C$24,Seguros_Oblig!$A$3:$E$55,5,FALSE)))</f>
        <v>#VALUE!</v>
      </c>
      <c r="I55" s="8" t="e">
        <f>(C54*(VLOOKUP('Compra cartera'!$C$25,Seguros_Oblig!$A$3:$E$55,5,FALSE)))</f>
        <v>#VALUE!</v>
      </c>
      <c r="J55" s="10">
        <f t="shared" si="2"/>
        <v>0</v>
      </c>
      <c r="K55" s="7" t="e">
        <f>IF(C54&lt;1,"0",Seguros_Oblig!$K$2*('Compra cartera'!$C$11*90%))</f>
        <v>#VALUE!</v>
      </c>
      <c r="L55" s="7" t="e">
        <f>PMT('Compra cartera'!$E$17,'Compra cartera'!$C$31,-'Compra cartera'!$C$14,,)</f>
        <v>#VALUE!</v>
      </c>
      <c r="M55" s="9" t="e">
        <f t="shared" si="3"/>
        <v>#VALUE!</v>
      </c>
      <c r="N55" s="7" t="e">
        <f>IF(C54&lt;1,"0",'Compra cartera'!$C$44)</f>
        <v>#VALUE!</v>
      </c>
      <c r="O55" s="9" t="e">
        <f t="shared" si="4"/>
        <v>#VALUE!</v>
      </c>
    </row>
    <row r="56" spans="2:15" ht="15.5" x14ac:dyDescent="0.35">
      <c r="B56" s="6" t="e">
        <f t="shared" si="5"/>
        <v>#VALUE!</v>
      </c>
      <c r="C56" s="7" t="e">
        <f t="shared" si="0"/>
        <v>#VALUE!</v>
      </c>
      <c r="D56" s="7" t="e">
        <f t="shared" si="6"/>
        <v>#VALUE!</v>
      </c>
      <c r="E56" s="7" t="e">
        <f>C55*'Compra cartera'!$E$17</f>
        <v>#VALUE!</v>
      </c>
      <c r="F56" s="8" t="e">
        <f>IF(C55&lt;1,"0",IF('Compra cartera'!$D$26="Si",($C$17*(VLOOKUP('Compra cartera'!$C$22,Seguros_Oblig!$A$3:$F$55,6,FALSE))),(C55*(VLOOKUP('Compra cartera'!$C$22,Seguros_Oblig!$A$3:$E$55,5,FALSE)))))</f>
        <v>#VALUE!</v>
      </c>
      <c r="G56" s="8" t="e">
        <f>(C55*(VLOOKUP('Compra cartera'!$C$23,Seguros_Oblig!$A$3:$E$55,5,FALSE)))</f>
        <v>#VALUE!</v>
      </c>
      <c r="H56" s="8" t="e">
        <f>(C55*(VLOOKUP('Compra cartera'!$C$24,Seguros_Oblig!$A$3:$E$55,5,FALSE)))</f>
        <v>#VALUE!</v>
      </c>
      <c r="I56" s="8" t="e">
        <f>(C55*(VLOOKUP('Compra cartera'!$C$25,Seguros_Oblig!$A$3:$E$55,5,FALSE)))</f>
        <v>#VALUE!</v>
      </c>
      <c r="J56" s="10">
        <f t="shared" si="2"/>
        <v>0</v>
      </c>
      <c r="K56" s="7" t="e">
        <f>IF(C55&lt;1,"0",Seguros_Oblig!$K$2*('Compra cartera'!$C$11*90%))</f>
        <v>#VALUE!</v>
      </c>
      <c r="L56" s="7" t="e">
        <f>PMT('Compra cartera'!$E$17,'Compra cartera'!$C$31,-'Compra cartera'!$C$14,,)</f>
        <v>#VALUE!</v>
      </c>
      <c r="M56" s="9" t="e">
        <f t="shared" si="3"/>
        <v>#VALUE!</v>
      </c>
      <c r="N56" s="7" t="e">
        <f>IF(C55&lt;1,"0",'Compra cartera'!$C$44)</f>
        <v>#VALUE!</v>
      </c>
      <c r="O56" s="9" t="e">
        <f t="shared" si="4"/>
        <v>#VALUE!</v>
      </c>
    </row>
    <row r="57" spans="2:15" ht="15.5" x14ac:dyDescent="0.35">
      <c r="B57" s="6" t="e">
        <f t="shared" si="5"/>
        <v>#VALUE!</v>
      </c>
      <c r="C57" s="7" t="e">
        <f t="shared" si="0"/>
        <v>#VALUE!</v>
      </c>
      <c r="D57" s="7" t="e">
        <f t="shared" si="6"/>
        <v>#VALUE!</v>
      </c>
      <c r="E57" s="7" t="e">
        <f>C56*'Compra cartera'!$E$17</f>
        <v>#VALUE!</v>
      </c>
      <c r="F57" s="8" t="e">
        <f>IF(C56&lt;1,"0",IF('Compra cartera'!$D$26="Si",($C$17*(VLOOKUP('Compra cartera'!$C$22,Seguros_Oblig!$A$3:$F$55,6,FALSE))),(C56*(VLOOKUP('Compra cartera'!$C$22,Seguros_Oblig!$A$3:$E$55,5,FALSE)))))</f>
        <v>#VALUE!</v>
      </c>
      <c r="G57" s="8" t="e">
        <f>(C56*(VLOOKUP('Compra cartera'!$C$23,Seguros_Oblig!$A$3:$E$55,5,FALSE)))</f>
        <v>#VALUE!</v>
      </c>
      <c r="H57" s="8" t="e">
        <f>(C56*(VLOOKUP('Compra cartera'!$C$24,Seguros_Oblig!$A$3:$E$55,5,FALSE)))</f>
        <v>#VALUE!</v>
      </c>
      <c r="I57" s="8" t="e">
        <f>(C56*(VLOOKUP('Compra cartera'!$C$25,Seguros_Oblig!$A$3:$E$55,5,FALSE)))</f>
        <v>#VALUE!</v>
      </c>
      <c r="J57" s="10">
        <f t="shared" si="2"/>
        <v>0</v>
      </c>
      <c r="K57" s="7" t="e">
        <f>IF(C56&lt;1,"0",Seguros_Oblig!$K$2*('Compra cartera'!$C$11*90%))</f>
        <v>#VALUE!</v>
      </c>
      <c r="L57" s="7" t="e">
        <f>PMT('Compra cartera'!$E$17,'Compra cartera'!$C$31,-'Compra cartera'!$C$14,,)</f>
        <v>#VALUE!</v>
      </c>
      <c r="M57" s="9" t="e">
        <f t="shared" si="3"/>
        <v>#VALUE!</v>
      </c>
      <c r="N57" s="7" t="e">
        <f>IF(C56&lt;1,"0",'Compra cartera'!$C$44)</f>
        <v>#VALUE!</v>
      </c>
      <c r="O57" s="9" t="e">
        <f t="shared" si="4"/>
        <v>#VALUE!</v>
      </c>
    </row>
    <row r="58" spans="2:15" ht="15.5" x14ac:dyDescent="0.35">
      <c r="B58" s="6" t="e">
        <f t="shared" si="5"/>
        <v>#VALUE!</v>
      </c>
      <c r="C58" s="7" t="e">
        <f t="shared" si="0"/>
        <v>#VALUE!</v>
      </c>
      <c r="D58" s="7" t="e">
        <f t="shared" si="6"/>
        <v>#VALUE!</v>
      </c>
      <c r="E58" s="7" t="e">
        <f>C57*'Compra cartera'!$E$17</f>
        <v>#VALUE!</v>
      </c>
      <c r="F58" s="8" t="e">
        <f>IF(C57&lt;1,"0",IF('Compra cartera'!$D$26="Si",($C$17*(VLOOKUP('Compra cartera'!$C$22,Seguros_Oblig!$A$3:$F$55,6,FALSE))),(C57*(VLOOKUP('Compra cartera'!$C$22,Seguros_Oblig!$A$3:$E$55,5,FALSE)))))</f>
        <v>#VALUE!</v>
      </c>
      <c r="G58" s="8" t="e">
        <f>(C57*(VLOOKUP('Compra cartera'!$C$23,Seguros_Oblig!$A$3:$E$55,5,FALSE)))</f>
        <v>#VALUE!</v>
      </c>
      <c r="H58" s="8" t="e">
        <f>(C57*(VLOOKUP('Compra cartera'!$C$24,Seguros_Oblig!$A$3:$E$55,5,FALSE)))</f>
        <v>#VALUE!</v>
      </c>
      <c r="I58" s="8" t="e">
        <f>(C57*(VLOOKUP('Compra cartera'!$C$25,Seguros_Oblig!$A$3:$E$55,5,FALSE)))</f>
        <v>#VALUE!</v>
      </c>
      <c r="J58" s="10">
        <f t="shared" si="2"/>
        <v>0</v>
      </c>
      <c r="K58" s="7" t="e">
        <f>IF(C57&lt;1,"0",Seguros_Oblig!$K$2*('Compra cartera'!$C$11*90%))</f>
        <v>#VALUE!</v>
      </c>
      <c r="L58" s="7" t="e">
        <f>PMT('Compra cartera'!$E$17,'Compra cartera'!$C$31,-'Compra cartera'!$C$14,,)</f>
        <v>#VALUE!</v>
      </c>
      <c r="M58" s="9" t="e">
        <f t="shared" si="3"/>
        <v>#VALUE!</v>
      </c>
      <c r="N58" s="7" t="e">
        <f>IF(C57&lt;1,"0",'Compra cartera'!$C$44)</f>
        <v>#VALUE!</v>
      </c>
      <c r="O58" s="9" t="e">
        <f t="shared" si="4"/>
        <v>#VALUE!</v>
      </c>
    </row>
    <row r="59" spans="2:15" ht="15.5" x14ac:dyDescent="0.35">
      <c r="B59" s="6" t="e">
        <f t="shared" si="5"/>
        <v>#VALUE!</v>
      </c>
      <c r="C59" s="7" t="e">
        <f t="shared" si="0"/>
        <v>#VALUE!</v>
      </c>
      <c r="D59" s="7" t="e">
        <f t="shared" si="6"/>
        <v>#VALUE!</v>
      </c>
      <c r="E59" s="7" t="e">
        <f>C58*'Compra cartera'!$E$17</f>
        <v>#VALUE!</v>
      </c>
      <c r="F59" s="8" t="e">
        <f>IF(C58&lt;1,"0",IF('Compra cartera'!$D$26="Si",($C$17*(VLOOKUP('Compra cartera'!$C$22,Seguros_Oblig!$A$3:$F$55,6,FALSE))),(C58*(VLOOKUP('Compra cartera'!$C$22,Seguros_Oblig!$A$3:$E$55,5,FALSE)))))</f>
        <v>#VALUE!</v>
      </c>
      <c r="G59" s="8" t="e">
        <f>(C58*(VLOOKUP('Compra cartera'!$C$23,Seguros_Oblig!$A$3:$E$55,5,FALSE)))</f>
        <v>#VALUE!</v>
      </c>
      <c r="H59" s="8" t="e">
        <f>(C58*(VLOOKUP('Compra cartera'!$C$24,Seguros_Oblig!$A$3:$E$55,5,FALSE)))</f>
        <v>#VALUE!</v>
      </c>
      <c r="I59" s="8" t="e">
        <f>(C58*(VLOOKUP('Compra cartera'!$C$25,Seguros_Oblig!$A$3:$E$55,5,FALSE)))</f>
        <v>#VALUE!</v>
      </c>
      <c r="J59" s="10">
        <f t="shared" si="2"/>
        <v>0</v>
      </c>
      <c r="K59" s="7" t="e">
        <f>IF(C58&lt;1,"0",Seguros_Oblig!$K$2*('Compra cartera'!$C$11*90%))</f>
        <v>#VALUE!</v>
      </c>
      <c r="L59" s="7" t="e">
        <f>PMT('Compra cartera'!$E$17,'Compra cartera'!$C$31,-'Compra cartera'!$C$14,,)</f>
        <v>#VALUE!</v>
      </c>
      <c r="M59" s="9" t="e">
        <f t="shared" si="3"/>
        <v>#VALUE!</v>
      </c>
      <c r="N59" s="7" t="e">
        <f>IF(C58&lt;1,"0",'Compra cartera'!$C$44)</f>
        <v>#VALUE!</v>
      </c>
      <c r="O59" s="9" t="e">
        <f t="shared" si="4"/>
        <v>#VALUE!</v>
      </c>
    </row>
    <row r="60" spans="2:15" ht="15.5" x14ac:dyDescent="0.35">
      <c r="B60" s="6" t="e">
        <f t="shared" si="5"/>
        <v>#VALUE!</v>
      </c>
      <c r="C60" s="7" t="e">
        <f t="shared" si="0"/>
        <v>#VALUE!</v>
      </c>
      <c r="D60" s="7" t="e">
        <f t="shared" si="6"/>
        <v>#VALUE!</v>
      </c>
      <c r="E60" s="7" t="e">
        <f>C59*'Compra cartera'!$E$17</f>
        <v>#VALUE!</v>
      </c>
      <c r="F60" s="8" t="e">
        <f>IF(C59&lt;1,"0",IF('Compra cartera'!$D$26="Si",($C$17*(VLOOKUP('Compra cartera'!$C$22,Seguros_Oblig!$A$3:$F$55,6,FALSE))),(C59*(VLOOKUP('Compra cartera'!$C$22,Seguros_Oblig!$A$3:$E$55,5,FALSE)))))</f>
        <v>#VALUE!</v>
      </c>
      <c r="G60" s="8" t="e">
        <f>(C59*(VLOOKUP('Compra cartera'!$C$23,Seguros_Oblig!$A$3:$E$55,5,FALSE)))</f>
        <v>#VALUE!</v>
      </c>
      <c r="H60" s="8" t="e">
        <f>(C59*(VLOOKUP('Compra cartera'!$C$24,Seguros_Oblig!$A$3:$E$55,5,FALSE)))</f>
        <v>#VALUE!</v>
      </c>
      <c r="I60" s="8" t="e">
        <f>(C59*(VLOOKUP('Compra cartera'!$C$25,Seguros_Oblig!$A$3:$E$55,5,FALSE)))</f>
        <v>#VALUE!</v>
      </c>
      <c r="J60" s="10">
        <f t="shared" si="2"/>
        <v>0</v>
      </c>
      <c r="K60" s="7" t="e">
        <f>IF(C59&lt;1,"0",Seguros_Oblig!$K$2*('Compra cartera'!$C$11*90%))</f>
        <v>#VALUE!</v>
      </c>
      <c r="L60" s="7" t="e">
        <f>PMT('Compra cartera'!$E$17,'Compra cartera'!$C$31,-'Compra cartera'!$C$14,,)</f>
        <v>#VALUE!</v>
      </c>
      <c r="M60" s="9" t="e">
        <f t="shared" si="3"/>
        <v>#VALUE!</v>
      </c>
      <c r="N60" s="7" t="e">
        <f>IF(C59&lt;1,"0",'Compra cartera'!$C$44)</f>
        <v>#VALUE!</v>
      </c>
      <c r="O60" s="9" t="e">
        <f t="shared" si="4"/>
        <v>#VALUE!</v>
      </c>
    </row>
    <row r="61" spans="2:15" ht="15.5" x14ac:dyDescent="0.35">
      <c r="B61" s="6" t="e">
        <f t="shared" si="5"/>
        <v>#VALUE!</v>
      </c>
      <c r="C61" s="7" t="e">
        <f t="shared" si="0"/>
        <v>#VALUE!</v>
      </c>
      <c r="D61" s="7" t="e">
        <f t="shared" si="6"/>
        <v>#VALUE!</v>
      </c>
      <c r="E61" s="7" t="e">
        <f>C60*'Compra cartera'!$E$17</f>
        <v>#VALUE!</v>
      </c>
      <c r="F61" s="8" t="e">
        <f>IF(C60&lt;1,"0",IF('Compra cartera'!$D$26="Si",($C$17*(VLOOKUP('Compra cartera'!$C$22,Seguros_Oblig!$A$3:$F$55,6,FALSE))),(C60*(VLOOKUP('Compra cartera'!$C$22,Seguros_Oblig!$A$3:$E$55,5,FALSE)))))</f>
        <v>#VALUE!</v>
      </c>
      <c r="G61" s="8" t="e">
        <f>(C60*(VLOOKUP('Compra cartera'!$C$23,Seguros_Oblig!$A$3:$E$55,5,FALSE)))</f>
        <v>#VALUE!</v>
      </c>
      <c r="H61" s="8" t="e">
        <f>(C60*(VLOOKUP('Compra cartera'!$C$24,Seguros_Oblig!$A$3:$E$55,5,FALSE)))</f>
        <v>#VALUE!</v>
      </c>
      <c r="I61" s="8" t="e">
        <f>(C60*(VLOOKUP('Compra cartera'!$C$25,Seguros_Oblig!$A$3:$E$55,5,FALSE)))</f>
        <v>#VALUE!</v>
      </c>
      <c r="J61" s="10">
        <f t="shared" si="2"/>
        <v>0</v>
      </c>
      <c r="K61" s="7" t="e">
        <f>IF(C60&lt;1,"0",Seguros_Oblig!$K$2*('Compra cartera'!$C$11*90%))</f>
        <v>#VALUE!</v>
      </c>
      <c r="L61" s="7" t="e">
        <f>PMT('Compra cartera'!$E$17,'Compra cartera'!$C$31,-'Compra cartera'!$C$14,,)</f>
        <v>#VALUE!</v>
      </c>
      <c r="M61" s="9" t="e">
        <f t="shared" si="3"/>
        <v>#VALUE!</v>
      </c>
      <c r="N61" s="7" t="e">
        <f>IF(C60&lt;1,"0",'Compra cartera'!$C$44)</f>
        <v>#VALUE!</v>
      </c>
      <c r="O61" s="9" t="e">
        <f t="shared" si="4"/>
        <v>#VALUE!</v>
      </c>
    </row>
    <row r="62" spans="2:15" ht="15.5" x14ac:dyDescent="0.35">
      <c r="B62" s="6" t="e">
        <f t="shared" si="5"/>
        <v>#VALUE!</v>
      </c>
      <c r="C62" s="7" t="e">
        <f t="shared" si="0"/>
        <v>#VALUE!</v>
      </c>
      <c r="D62" s="7" t="e">
        <f t="shared" si="6"/>
        <v>#VALUE!</v>
      </c>
      <c r="E62" s="7" t="e">
        <f>C61*'Compra cartera'!$E$17</f>
        <v>#VALUE!</v>
      </c>
      <c r="F62" s="8" t="e">
        <f>IF(C61&lt;1,"0",IF('Compra cartera'!$D$26="Si",($C$17*(VLOOKUP('Compra cartera'!$C$22,Seguros_Oblig!$A$3:$F$55,6,FALSE))),(C61*(VLOOKUP('Compra cartera'!$C$22,Seguros_Oblig!$A$3:$E$55,5,FALSE)))))</f>
        <v>#VALUE!</v>
      </c>
      <c r="G62" s="8" t="e">
        <f>(C61*(VLOOKUP('Compra cartera'!$C$23,Seguros_Oblig!$A$3:$E$55,5,FALSE)))</f>
        <v>#VALUE!</v>
      </c>
      <c r="H62" s="8" t="e">
        <f>(C61*(VLOOKUP('Compra cartera'!$C$24,Seguros_Oblig!$A$3:$E$55,5,FALSE)))</f>
        <v>#VALUE!</v>
      </c>
      <c r="I62" s="8" t="e">
        <f>(C61*(VLOOKUP('Compra cartera'!$C$25,Seguros_Oblig!$A$3:$E$55,5,FALSE)))</f>
        <v>#VALUE!</v>
      </c>
      <c r="J62" s="10">
        <f t="shared" si="2"/>
        <v>0</v>
      </c>
      <c r="K62" s="7" t="e">
        <f>IF(C61&lt;1,"0",Seguros_Oblig!$K$2*('Compra cartera'!$C$11*90%))</f>
        <v>#VALUE!</v>
      </c>
      <c r="L62" s="7" t="e">
        <f>PMT('Compra cartera'!$E$17,'Compra cartera'!$C$31,-'Compra cartera'!$C$14,,)</f>
        <v>#VALUE!</v>
      </c>
      <c r="M62" s="9" t="e">
        <f t="shared" si="3"/>
        <v>#VALUE!</v>
      </c>
      <c r="N62" s="7" t="e">
        <f>IF(C61&lt;1,"0",'Compra cartera'!$C$44)</f>
        <v>#VALUE!</v>
      </c>
      <c r="O62" s="9" t="e">
        <f t="shared" si="4"/>
        <v>#VALUE!</v>
      </c>
    </row>
    <row r="63" spans="2:15" ht="15.5" x14ac:dyDescent="0.35">
      <c r="B63" s="6" t="e">
        <f t="shared" si="5"/>
        <v>#VALUE!</v>
      </c>
      <c r="C63" s="7" t="e">
        <f t="shared" si="0"/>
        <v>#VALUE!</v>
      </c>
      <c r="D63" s="7" t="e">
        <f t="shared" si="6"/>
        <v>#VALUE!</v>
      </c>
      <c r="E63" s="7" t="e">
        <f>C62*'Compra cartera'!$E$17</f>
        <v>#VALUE!</v>
      </c>
      <c r="F63" s="8" t="e">
        <f>IF(C62&lt;1,"0",IF('Compra cartera'!$D$26="Si",($C$17*(VLOOKUP('Compra cartera'!$C$22,Seguros_Oblig!$A$3:$F$55,6,FALSE))),(C62*(VLOOKUP('Compra cartera'!$C$22,Seguros_Oblig!$A$3:$E$55,5,FALSE)))))</f>
        <v>#VALUE!</v>
      </c>
      <c r="G63" s="8" t="e">
        <f>(C62*(VLOOKUP('Compra cartera'!$C$23,Seguros_Oblig!$A$3:$E$55,5,FALSE)))</f>
        <v>#VALUE!</v>
      </c>
      <c r="H63" s="8" t="e">
        <f>(C62*(VLOOKUP('Compra cartera'!$C$24,Seguros_Oblig!$A$3:$E$55,5,FALSE)))</f>
        <v>#VALUE!</v>
      </c>
      <c r="I63" s="8" t="e">
        <f>(C62*(VLOOKUP('Compra cartera'!$C$25,Seguros_Oblig!$A$3:$E$55,5,FALSE)))</f>
        <v>#VALUE!</v>
      </c>
      <c r="J63" s="10">
        <f t="shared" si="2"/>
        <v>0</v>
      </c>
      <c r="K63" s="7" t="e">
        <f>IF(C62&lt;1,"0",Seguros_Oblig!$K$2*('Compra cartera'!$C$11*90%))</f>
        <v>#VALUE!</v>
      </c>
      <c r="L63" s="7" t="e">
        <f>PMT('Compra cartera'!$E$17,'Compra cartera'!$C$31,-'Compra cartera'!$C$14,,)</f>
        <v>#VALUE!</v>
      </c>
      <c r="M63" s="9" t="e">
        <f t="shared" si="3"/>
        <v>#VALUE!</v>
      </c>
      <c r="N63" s="7" t="e">
        <f>IF(C62&lt;1,"0",'Compra cartera'!$C$44)</f>
        <v>#VALUE!</v>
      </c>
      <c r="O63" s="9" t="e">
        <f t="shared" si="4"/>
        <v>#VALUE!</v>
      </c>
    </row>
    <row r="64" spans="2:15" ht="15.5" x14ac:dyDescent="0.35">
      <c r="B64" s="6" t="e">
        <f t="shared" si="5"/>
        <v>#VALUE!</v>
      </c>
      <c r="C64" s="7" t="e">
        <f t="shared" si="0"/>
        <v>#VALUE!</v>
      </c>
      <c r="D64" s="7" t="e">
        <f t="shared" si="6"/>
        <v>#VALUE!</v>
      </c>
      <c r="E64" s="7" t="e">
        <f>C63*'Compra cartera'!$E$17</f>
        <v>#VALUE!</v>
      </c>
      <c r="F64" s="8" t="e">
        <f>IF(C63&lt;1,"0",IF('Compra cartera'!$D$26="Si",($C$17*(VLOOKUP('Compra cartera'!$C$22,Seguros_Oblig!$A$3:$F$55,6,FALSE))),(C63*(VLOOKUP('Compra cartera'!$C$22,Seguros_Oblig!$A$3:$E$55,5,FALSE)))))</f>
        <v>#VALUE!</v>
      </c>
      <c r="G64" s="8" t="e">
        <f>(C63*(VLOOKUP('Compra cartera'!$C$23,Seguros_Oblig!$A$3:$E$55,5,FALSE)))</f>
        <v>#VALUE!</v>
      </c>
      <c r="H64" s="8" t="e">
        <f>(C63*(VLOOKUP('Compra cartera'!$C$24,Seguros_Oblig!$A$3:$E$55,5,FALSE)))</f>
        <v>#VALUE!</v>
      </c>
      <c r="I64" s="8" t="e">
        <f>(C63*(VLOOKUP('Compra cartera'!$C$25,Seguros_Oblig!$A$3:$E$55,5,FALSE)))</f>
        <v>#VALUE!</v>
      </c>
      <c r="J64" s="10">
        <f t="shared" si="2"/>
        <v>0</v>
      </c>
      <c r="K64" s="7" t="e">
        <f>IF(C63&lt;1,"0",Seguros_Oblig!$K$2*('Compra cartera'!$C$11*90%))</f>
        <v>#VALUE!</v>
      </c>
      <c r="L64" s="7" t="e">
        <f>PMT('Compra cartera'!$E$17,'Compra cartera'!$C$31,-'Compra cartera'!$C$14,,)</f>
        <v>#VALUE!</v>
      </c>
      <c r="M64" s="9" t="e">
        <f t="shared" si="3"/>
        <v>#VALUE!</v>
      </c>
      <c r="N64" s="7" t="e">
        <f>IF(C63&lt;1,"0",'Compra cartera'!$C$44)</f>
        <v>#VALUE!</v>
      </c>
      <c r="O64" s="9" t="e">
        <f t="shared" si="4"/>
        <v>#VALUE!</v>
      </c>
    </row>
    <row r="65" spans="2:15" ht="15.5" x14ac:dyDescent="0.35">
      <c r="B65" s="6" t="e">
        <f t="shared" si="5"/>
        <v>#VALUE!</v>
      </c>
      <c r="C65" s="7" t="e">
        <f t="shared" si="0"/>
        <v>#VALUE!</v>
      </c>
      <c r="D65" s="7" t="e">
        <f t="shared" si="6"/>
        <v>#VALUE!</v>
      </c>
      <c r="E65" s="7" t="e">
        <f>C64*'Compra cartera'!$E$17</f>
        <v>#VALUE!</v>
      </c>
      <c r="F65" s="8" t="e">
        <f>IF(C64&lt;1,"0",IF('Compra cartera'!$D$26="Si",($C$17*(VLOOKUP('Compra cartera'!$C$22,Seguros_Oblig!$A$3:$F$55,6,FALSE))),(C64*(VLOOKUP('Compra cartera'!$C$22,Seguros_Oblig!$A$3:$E$55,5,FALSE)))))</f>
        <v>#VALUE!</v>
      </c>
      <c r="G65" s="8" t="e">
        <f>(C64*(VLOOKUP('Compra cartera'!$C$23,Seguros_Oblig!$A$3:$E$55,5,FALSE)))</f>
        <v>#VALUE!</v>
      </c>
      <c r="H65" s="8" t="e">
        <f>(C64*(VLOOKUP('Compra cartera'!$C$24,Seguros_Oblig!$A$3:$E$55,5,FALSE)))</f>
        <v>#VALUE!</v>
      </c>
      <c r="I65" s="8" t="e">
        <f>(C64*(VLOOKUP('Compra cartera'!$C$25,Seguros_Oblig!$A$3:$E$55,5,FALSE)))</f>
        <v>#VALUE!</v>
      </c>
      <c r="J65" s="10">
        <f t="shared" si="2"/>
        <v>0</v>
      </c>
      <c r="K65" s="7" t="e">
        <f>IF(C64&lt;1,"0",Seguros_Oblig!$K$2*('Compra cartera'!$C$11*90%))</f>
        <v>#VALUE!</v>
      </c>
      <c r="L65" s="7" t="e">
        <f>PMT('Compra cartera'!$E$17,'Compra cartera'!$C$31,-'Compra cartera'!$C$14,,)</f>
        <v>#VALUE!</v>
      </c>
      <c r="M65" s="9" t="e">
        <f t="shared" si="3"/>
        <v>#VALUE!</v>
      </c>
      <c r="N65" s="7" t="e">
        <f>IF(C64&lt;1,"0",'Compra cartera'!$C$44)</f>
        <v>#VALUE!</v>
      </c>
      <c r="O65" s="9" t="e">
        <f t="shared" si="4"/>
        <v>#VALUE!</v>
      </c>
    </row>
    <row r="66" spans="2:15" ht="15.5" x14ac:dyDescent="0.35">
      <c r="B66" s="6" t="e">
        <f t="shared" si="5"/>
        <v>#VALUE!</v>
      </c>
      <c r="C66" s="7" t="e">
        <f t="shared" si="0"/>
        <v>#VALUE!</v>
      </c>
      <c r="D66" s="7" t="e">
        <f t="shared" si="6"/>
        <v>#VALUE!</v>
      </c>
      <c r="E66" s="7" t="e">
        <f>C65*'Compra cartera'!$E$17</f>
        <v>#VALUE!</v>
      </c>
      <c r="F66" s="8" t="e">
        <f>IF(C65&lt;1,"0",IF('Compra cartera'!$D$26="Si",($C$17*(VLOOKUP('Compra cartera'!$C$22,Seguros_Oblig!$A$3:$F$55,6,FALSE))),(C65*(VLOOKUP('Compra cartera'!$C$22,Seguros_Oblig!$A$3:$E$55,5,FALSE)))))</f>
        <v>#VALUE!</v>
      </c>
      <c r="G66" s="8" t="e">
        <f>(C65*(VLOOKUP('Compra cartera'!$C$23,Seguros_Oblig!$A$3:$E$55,5,FALSE)))</f>
        <v>#VALUE!</v>
      </c>
      <c r="H66" s="8" t="e">
        <f>(C65*(VLOOKUP('Compra cartera'!$C$24,Seguros_Oblig!$A$3:$E$55,5,FALSE)))</f>
        <v>#VALUE!</v>
      </c>
      <c r="I66" s="8" t="e">
        <f>(C65*(VLOOKUP('Compra cartera'!$C$25,Seguros_Oblig!$A$3:$E$55,5,FALSE)))</f>
        <v>#VALUE!</v>
      </c>
      <c r="J66" s="10">
        <f t="shared" si="2"/>
        <v>0</v>
      </c>
      <c r="K66" s="7" t="e">
        <f>IF(C65&lt;1,"0",Seguros_Oblig!$K$2*('Compra cartera'!$C$11*90%))</f>
        <v>#VALUE!</v>
      </c>
      <c r="L66" s="7" t="e">
        <f>PMT('Compra cartera'!$E$17,'Compra cartera'!$C$31,-'Compra cartera'!$C$14,,)</f>
        <v>#VALUE!</v>
      </c>
      <c r="M66" s="9" t="e">
        <f t="shared" si="3"/>
        <v>#VALUE!</v>
      </c>
      <c r="N66" s="7" t="e">
        <f>IF(C65&lt;1,"0",'Compra cartera'!$C$44)</f>
        <v>#VALUE!</v>
      </c>
      <c r="O66" s="9" t="e">
        <f t="shared" si="4"/>
        <v>#VALUE!</v>
      </c>
    </row>
    <row r="67" spans="2:15" ht="15.5" x14ac:dyDescent="0.35">
      <c r="B67" s="6" t="e">
        <f t="shared" si="5"/>
        <v>#VALUE!</v>
      </c>
      <c r="C67" s="7" t="e">
        <f t="shared" si="0"/>
        <v>#VALUE!</v>
      </c>
      <c r="D67" s="7" t="e">
        <f t="shared" si="6"/>
        <v>#VALUE!</v>
      </c>
      <c r="E67" s="7" t="e">
        <f>C66*'Compra cartera'!$E$17</f>
        <v>#VALUE!</v>
      </c>
      <c r="F67" s="8" t="e">
        <f>IF(C66&lt;1,"0",IF('Compra cartera'!$D$26="Si",($C$17*(VLOOKUP('Compra cartera'!$C$22,Seguros_Oblig!$A$3:$F$55,6,FALSE))),(C66*(VLOOKUP('Compra cartera'!$C$22,Seguros_Oblig!$A$3:$E$55,5,FALSE)))))</f>
        <v>#VALUE!</v>
      </c>
      <c r="G67" s="8" t="e">
        <f>(C66*(VLOOKUP('Compra cartera'!$C$23,Seguros_Oblig!$A$3:$E$55,5,FALSE)))</f>
        <v>#VALUE!</v>
      </c>
      <c r="H67" s="8" t="e">
        <f>(C66*(VLOOKUP('Compra cartera'!$C$24,Seguros_Oblig!$A$3:$E$55,5,FALSE)))</f>
        <v>#VALUE!</v>
      </c>
      <c r="I67" s="8" t="e">
        <f>(C66*(VLOOKUP('Compra cartera'!$C$25,Seguros_Oblig!$A$3:$E$55,5,FALSE)))</f>
        <v>#VALUE!</v>
      </c>
      <c r="J67" s="10">
        <f t="shared" si="2"/>
        <v>0</v>
      </c>
      <c r="K67" s="7" t="e">
        <f>IF(C66&lt;1,"0",Seguros_Oblig!$K$2*('Compra cartera'!$C$11*90%))</f>
        <v>#VALUE!</v>
      </c>
      <c r="L67" s="7" t="e">
        <f>PMT('Compra cartera'!$E$17,'Compra cartera'!$C$31,-'Compra cartera'!$C$14,,)</f>
        <v>#VALUE!</v>
      </c>
      <c r="M67" s="9" t="e">
        <f t="shared" si="3"/>
        <v>#VALUE!</v>
      </c>
      <c r="N67" s="7" t="e">
        <f>IF(C66&lt;1,"0",'Compra cartera'!$C$44)</f>
        <v>#VALUE!</v>
      </c>
      <c r="O67" s="9" t="e">
        <f t="shared" si="4"/>
        <v>#VALUE!</v>
      </c>
    </row>
    <row r="68" spans="2:15" ht="15.5" x14ac:dyDescent="0.35">
      <c r="B68" s="6" t="e">
        <f t="shared" si="5"/>
        <v>#VALUE!</v>
      </c>
      <c r="C68" s="7" t="e">
        <f t="shared" si="0"/>
        <v>#VALUE!</v>
      </c>
      <c r="D68" s="7" t="e">
        <f t="shared" si="6"/>
        <v>#VALUE!</v>
      </c>
      <c r="E68" s="7" t="e">
        <f>C67*'Compra cartera'!$E$17</f>
        <v>#VALUE!</v>
      </c>
      <c r="F68" s="8" t="e">
        <f>IF(C67&lt;1,"0",IF('Compra cartera'!$D$26="Si",($C$17*(VLOOKUP('Compra cartera'!$C$22,Seguros_Oblig!$A$3:$F$55,6,FALSE))),(C67*(VLOOKUP('Compra cartera'!$C$22,Seguros_Oblig!$A$3:$E$55,5,FALSE)))))</f>
        <v>#VALUE!</v>
      </c>
      <c r="G68" s="8" t="e">
        <f>(C67*(VLOOKUP('Compra cartera'!$C$23,Seguros_Oblig!$A$3:$E$55,5,FALSE)))</f>
        <v>#VALUE!</v>
      </c>
      <c r="H68" s="8" t="e">
        <f>(C67*(VLOOKUP('Compra cartera'!$C$24,Seguros_Oblig!$A$3:$E$55,5,FALSE)))</f>
        <v>#VALUE!</v>
      </c>
      <c r="I68" s="8" t="e">
        <f>(C67*(VLOOKUP('Compra cartera'!$C$25,Seguros_Oblig!$A$3:$E$55,5,FALSE)))</f>
        <v>#VALUE!</v>
      </c>
      <c r="J68" s="10">
        <f t="shared" si="2"/>
        <v>0</v>
      </c>
      <c r="K68" s="7" t="e">
        <f>IF(C67&lt;1,"0",Seguros_Oblig!$K$2*('Compra cartera'!$C$11*90%))</f>
        <v>#VALUE!</v>
      </c>
      <c r="L68" s="7" t="e">
        <f>PMT('Compra cartera'!$E$17,'Compra cartera'!$C$31,-'Compra cartera'!$C$14,,)</f>
        <v>#VALUE!</v>
      </c>
      <c r="M68" s="9" t="e">
        <f t="shared" si="3"/>
        <v>#VALUE!</v>
      </c>
      <c r="N68" s="7" t="e">
        <f>IF(C67&lt;1,"0",'Compra cartera'!$C$44)</f>
        <v>#VALUE!</v>
      </c>
      <c r="O68" s="9" t="e">
        <f t="shared" si="4"/>
        <v>#VALUE!</v>
      </c>
    </row>
    <row r="69" spans="2:15" ht="15.5" x14ac:dyDescent="0.35">
      <c r="B69" s="6" t="e">
        <f t="shared" si="5"/>
        <v>#VALUE!</v>
      </c>
      <c r="C69" s="7" t="e">
        <f t="shared" si="0"/>
        <v>#VALUE!</v>
      </c>
      <c r="D69" s="7" t="e">
        <f t="shared" si="6"/>
        <v>#VALUE!</v>
      </c>
      <c r="E69" s="7" t="e">
        <f>C68*'Compra cartera'!$E$17</f>
        <v>#VALUE!</v>
      </c>
      <c r="F69" s="8" t="e">
        <f>IF(C68&lt;1,"0",IF('Compra cartera'!$D$26="Si",($C$17*(VLOOKUP('Compra cartera'!$C$22,Seguros_Oblig!$A$3:$F$55,6,FALSE))),(C68*(VLOOKUP('Compra cartera'!$C$22,Seguros_Oblig!$A$3:$E$55,5,FALSE)))))</f>
        <v>#VALUE!</v>
      </c>
      <c r="G69" s="8" t="e">
        <f>(C68*(VLOOKUP('Compra cartera'!$C$23,Seguros_Oblig!$A$3:$E$55,5,FALSE)))</f>
        <v>#VALUE!</v>
      </c>
      <c r="H69" s="8" t="e">
        <f>(C68*(VLOOKUP('Compra cartera'!$C$24,Seguros_Oblig!$A$3:$E$55,5,FALSE)))</f>
        <v>#VALUE!</v>
      </c>
      <c r="I69" s="8" t="e">
        <f>(C68*(VLOOKUP('Compra cartera'!$C$25,Seguros_Oblig!$A$3:$E$55,5,FALSE)))</f>
        <v>#VALUE!</v>
      </c>
      <c r="J69" s="10">
        <f t="shared" si="2"/>
        <v>0</v>
      </c>
      <c r="K69" s="7" t="e">
        <f>IF(C68&lt;1,"0",Seguros_Oblig!$K$2*('Compra cartera'!$C$11*90%))</f>
        <v>#VALUE!</v>
      </c>
      <c r="L69" s="7" t="e">
        <f>PMT('Compra cartera'!$E$17,'Compra cartera'!$C$31,-'Compra cartera'!$C$14,,)</f>
        <v>#VALUE!</v>
      </c>
      <c r="M69" s="9" t="e">
        <f t="shared" si="3"/>
        <v>#VALUE!</v>
      </c>
      <c r="N69" s="7" t="e">
        <f>IF(C68&lt;1,"0",'Compra cartera'!$C$44)</f>
        <v>#VALUE!</v>
      </c>
      <c r="O69" s="9" t="e">
        <f t="shared" si="4"/>
        <v>#VALUE!</v>
      </c>
    </row>
    <row r="70" spans="2:15" ht="15.5" x14ac:dyDescent="0.35">
      <c r="B70" s="6" t="e">
        <f t="shared" si="5"/>
        <v>#VALUE!</v>
      </c>
      <c r="C70" s="7" t="e">
        <f t="shared" si="0"/>
        <v>#VALUE!</v>
      </c>
      <c r="D70" s="7" t="e">
        <f t="shared" si="6"/>
        <v>#VALUE!</v>
      </c>
      <c r="E70" s="7" t="e">
        <f>C69*'Compra cartera'!$E$17</f>
        <v>#VALUE!</v>
      </c>
      <c r="F70" s="8" t="e">
        <f>IF(C69&lt;1,"0",IF('Compra cartera'!$D$26="Si",($C$17*(VLOOKUP('Compra cartera'!$C$22,Seguros_Oblig!$A$3:$F$55,6,FALSE))),(C69*(VLOOKUP('Compra cartera'!$C$22,Seguros_Oblig!$A$3:$E$55,5,FALSE)))))</f>
        <v>#VALUE!</v>
      </c>
      <c r="G70" s="8" t="e">
        <f>(C69*(VLOOKUP('Compra cartera'!$C$23,Seguros_Oblig!$A$3:$E$55,5,FALSE)))</f>
        <v>#VALUE!</v>
      </c>
      <c r="H70" s="8" t="e">
        <f>(C69*(VLOOKUP('Compra cartera'!$C$24,Seguros_Oblig!$A$3:$E$55,5,FALSE)))</f>
        <v>#VALUE!</v>
      </c>
      <c r="I70" s="8" t="e">
        <f>(C69*(VLOOKUP('Compra cartera'!$C$25,Seguros_Oblig!$A$3:$E$55,5,FALSE)))</f>
        <v>#VALUE!</v>
      </c>
      <c r="J70" s="10">
        <f t="shared" si="2"/>
        <v>0</v>
      </c>
      <c r="K70" s="7" t="e">
        <f>IF(C69&lt;1,"0",Seguros_Oblig!$K$2*('Compra cartera'!$C$11*90%))</f>
        <v>#VALUE!</v>
      </c>
      <c r="L70" s="7" t="e">
        <f>PMT('Compra cartera'!$E$17,'Compra cartera'!$C$31,-'Compra cartera'!$C$14,,)</f>
        <v>#VALUE!</v>
      </c>
      <c r="M70" s="9" t="e">
        <f t="shared" si="3"/>
        <v>#VALUE!</v>
      </c>
      <c r="N70" s="7" t="e">
        <f>IF(C69&lt;1,"0",'Compra cartera'!$C$44)</f>
        <v>#VALUE!</v>
      </c>
      <c r="O70" s="9" t="e">
        <f t="shared" si="4"/>
        <v>#VALUE!</v>
      </c>
    </row>
    <row r="71" spans="2:15" ht="15.5" x14ac:dyDescent="0.35">
      <c r="B71" s="6" t="e">
        <f t="shared" si="5"/>
        <v>#VALUE!</v>
      </c>
      <c r="C71" s="7" t="e">
        <f t="shared" si="0"/>
        <v>#VALUE!</v>
      </c>
      <c r="D71" s="7" t="e">
        <f t="shared" si="6"/>
        <v>#VALUE!</v>
      </c>
      <c r="E71" s="7" t="e">
        <f>C70*'Compra cartera'!$E$17</f>
        <v>#VALUE!</v>
      </c>
      <c r="F71" s="8" t="e">
        <f>IF(C70&lt;1,"0",IF('Compra cartera'!$D$26="Si",($C$17*(VLOOKUP('Compra cartera'!$C$22,Seguros_Oblig!$A$3:$F$55,6,FALSE))),(C70*(VLOOKUP('Compra cartera'!$C$22,Seguros_Oblig!$A$3:$E$55,5,FALSE)))))</f>
        <v>#VALUE!</v>
      </c>
      <c r="G71" s="8" t="e">
        <f>(C70*(VLOOKUP('Compra cartera'!$C$23,Seguros_Oblig!$A$3:$E$55,5,FALSE)))</f>
        <v>#VALUE!</v>
      </c>
      <c r="H71" s="8" t="e">
        <f>(C70*(VLOOKUP('Compra cartera'!$C$24,Seguros_Oblig!$A$3:$E$55,5,FALSE)))</f>
        <v>#VALUE!</v>
      </c>
      <c r="I71" s="8" t="e">
        <f>(C70*(VLOOKUP('Compra cartera'!$C$25,Seguros_Oblig!$A$3:$E$55,5,FALSE)))</f>
        <v>#VALUE!</v>
      </c>
      <c r="J71" s="10">
        <f t="shared" si="2"/>
        <v>0</v>
      </c>
      <c r="K71" s="7" t="e">
        <f>IF(C70&lt;1,"0",Seguros_Oblig!$K$2*('Compra cartera'!$C$11*90%))</f>
        <v>#VALUE!</v>
      </c>
      <c r="L71" s="7" t="e">
        <f>PMT('Compra cartera'!$E$17,'Compra cartera'!$C$31,-'Compra cartera'!$C$14,,)</f>
        <v>#VALUE!</v>
      </c>
      <c r="M71" s="9" t="e">
        <f t="shared" si="3"/>
        <v>#VALUE!</v>
      </c>
      <c r="N71" s="7" t="e">
        <f>IF(C70&lt;1,"0",'Compra cartera'!$C$44)</f>
        <v>#VALUE!</v>
      </c>
      <c r="O71" s="9" t="e">
        <f t="shared" si="4"/>
        <v>#VALUE!</v>
      </c>
    </row>
    <row r="72" spans="2:15" ht="15.5" x14ac:dyDescent="0.35">
      <c r="B72" s="6" t="e">
        <f t="shared" si="5"/>
        <v>#VALUE!</v>
      </c>
      <c r="C72" s="7" t="e">
        <f t="shared" si="0"/>
        <v>#VALUE!</v>
      </c>
      <c r="D72" s="7" t="e">
        <f t="shared" si="6"/>
        <v>#VALUE!</v>
      </c>
      <c r="E72" s="7" t="e">
        <f>C71*'Compra cartera'!$E$17</f>
        <v>#VALUE!</v>
      </c>
      <c r="F72" s="8" t="e">
        <f>IF(C71&lt;1,"0",IF('Compra cartera'!$D$26="Si",($C$17*(VLOOKUP('Compra cartera'!$C$22,Seguros_Oblig!$A$3:$F$55,6,FALSE))),(C71*(VLOOKUP('Compra cartera'!$C$22,Seguros_Oblig!$A$3:$E$55,5,FALSE)))))</f>
        <v>#VALUE!</v>
      </c>
      <c r="G72" s="8" t="e">
        <f>(C71*(VLOOKUP('Compra cartera'!$C$23,Seguros_Oblig!$A$3:$E$55,5,FALSE)))</f>
        <v>#VALUE!</v>
      </c>
      <c r="H72" s="8" t="e">
        <f>(C71*(VLOOKUP('Compra cartera'!$C$24,Seguros_Oblig!$A$3:$E$55,5,FALSE)))</f>
        <v>#VALUE!</v>
      </c>
      <c r="I72" s="8" t="e">
        <f>(C71*(VLOOKUP('Compra cartera'!$C$25,Seguros_Oblig!$A$3:$E$55,5,FALSE)))</f>
        <v>#VALUE!</v>
      </c>
      <c r="J72" s="10">
        <f t="shared" si="2"/>
        <v>0</v>
      </c>
      <c r="K72" s="7" t="e">
        <f>IF(C71&lt;1,"0",Seguros_Oblig!$K$2*('Compra cartera'!$C$11*90%))</f>
        <v>#VALUE!</v>
      </c>
      <c r="L72" s="7" t="e">
        <f>PMT('Compra cartera'!$E$17,'Compra cartera'!$C$31,-'Compra cartera'!$C$14,,)</f>
        <v>#VALUE!</v>
      </c>
      <c r="M72" s="9" t="e">
        <f t="shared" si="3"/>
        <v>#VALUE!</v>
      </c>
      <c r="N72" s="7" t="e">
        <f>IF(C71&lt;1,"0",'Compra cartera'!$C$44)</f>
        <v>#VALUE!</v>
      </c>
      <c r="O72" s="9" t="e">
        <f t="shared" si="4"/>
        <v>#VALUE!</v>
      </c>
    </row>
    <row r="73" spans="2:15" ht="15.5" x14ac:dyDescent="0.35">
      <c r="B73" s="6" t="e">
        <f t="shared" si="5"/>
        <v>#VALUE!</v>
      </c>
      <c r="C73" s="7" t="e">
        <f t="shared" si="0"/>
        <v>#VALUE!</v>
      </c>
      <c r="D73" s="7" t="e">
        <f t="shared" si="6"/>
        <v>#VALUE!</v>
      </c>
      <c r="E73" s="7" t="e">
        <f>C72*'Compra cartera'!$E$17</f>
        <v>#VALUE!</v>
      </c>
      <c r="F73" s="8" t="e">
        <f>IF(C72&lt;1,"0",IF('Compra cartera'!$D$26="Si",($C$17*(VLOOKUP('Compra cartera'!$C$22,Seguros_Oblig!$A$3:$F$55,6,FALSE))),(C72*(VLOOKUP('Compra cartera'!$C$22,Seguros_Oblig!$A$3:$E$55,5,FALSE)))))</f>
        <v>#VALUE!</v>
      </c>
      <c r="G73" s="8" t="e">
        <f>(C72*(VLOOKUP('Compra cartera'!$C$23,Seguros_Oblig!$A$3:$E$55,5,FALSE)))</f>
        <v>#VALUE!</v>
      </c>
      <c r="H73" s="8" t="e">
        <f>(C72*(VLOOKUP('Compra cartera'!$C$24,Seguros_Oblig!$A$3:$E$55,5,FALSE)))</f>
        <v>#VALUE!</v>
      </c>
      <c r="I73" s="8" t="e">
        <f>(C72*(VLOOKUP('Compra cartera'!$C$25,Seguros_Oblig!$A$3:$E$55,5,FALSE)))</f>
        <v>#VALUE!</v>
      </c>
      <c r="J73" s="10">
        <f t="shared" si="2"/>
        <v>0</v>
      </c>
      <c r="K73" s="7" t="e">
        <f>IF(C72&lt;1,"0",Seguros_Oblig!$K$2*('Compra cartera'!$C$11*90%))</f>
        <v>#VALUE!</v>
      </c>
      <c r="L73" s="7" t="e">
        <f>PMT('Compra cartera'!$E$17,'Compra cartera'!$C$31,-'Compra cartera'!$C$14,,)</f>
        <v>#VALUE!</v>
      </c>
      <c r="M73" s="9" t="e">
        <f t="shared" si="3"/>
        <v>#VALUE!</v>
      </c>
      <c r="N73" s="7" t="e">
        <f>IF(C72&lt;1,"0",'Compra cartera'!$C$44)</f>
        <v>#VALUE!</v>
      </c>
      <c r="O73" s="9" t="e">
        <f t="shared" si="4"/>
        <v>#VALUE!</v>
      </c>
    </row>
    <row r="74" spans="2:15" ht="15.5" x14ac:dyDescent="0.35">
      <c r="B74" s="6" t="e">
        <f t="shared" si="5"/>
        <v>#VALUE!</v>
      </c>
      <c r="C74" s="7" t="e">
        <f t="shared" si="0"/>
        <v>#VALUE!</v>
      </c>
      <c r="D74" s="7" t="e">
        <f t="shared" si="6"/>
        <v>#VALUE!</v>
      </c>
      <c r="E74" s="7" t="e">
        <f>C73*'Compra cartera'!$E$17</f>
        <v>#VALUE!</v>
      </c>
      <c r="F74" s="8" t="e">
        <f>IF(C73&lt;1,"0",IF('Compra cartera'!$D$26="Si",($C$17*(VLOOKUP('Compra cartera'!$C$22,Seguros_Oblig!$A$3:$F$55,6,FALSE))),(C73*(VLOOKUP('Compra cartera'!$C$22,Seguros_Oblig!$A$3:$E$55,5,FALSE)))))</f>
        <v>#VALUE!</v>
      </c>
      <c r="G74" s="8" t="e">
        <f>(C73*(VLOOKUP('Compra cartera'!$C$23,Seguros_Oblig!$A$3:$E$55,5,FALSE)))</f>
        <v>#VALUE!</v>
      </c>
      <c r="H74" s="8" t="e">
        <f>(C73*(VLOOKUP('Compra cartera'!$C$24,Seguros_Oblig!$A$3:$E$55,5,FALSE)))</f>
        <v>#VALUE!</v>
      </c>
      <c r="I74" s="8" t="e">
        <f>(C73*(VLOOKUP('Compra cartera'!$C$25,Seguros_Oblig!$A$3:$E$55,5,FALSE)))</f>
        <v>#VALUE!</v>
      </c>
      <c r="J74" s="10">
        <f t="shared" si="2"/>
        <v>0</v>
      </c>
      <c r="K74" s="7" t="e">
        <f>IF(C73&lt;1,"0",Seguros_Oblig!$K$2*('Compra cartera'!$C$11*90%))</f>
        <v>#VALUE!</v>
      </c>
      <c r="L74" s="7" t="e">
        <f>PMT('Compra cartera'!$E$17,'Compra cartera'!$C$31,-'Compra cartera'!$C$14,,)</f>
        <v>#VALUE!</v>
      </c>
      <c r="M74" s="9" t="e">
        <f t="shared" si="3"/>
        <v>#VALUE!</v>
      </c>
      <c r="N74" s="7" t="e">
        <f>IF(C73&lt;1,"0",'Compra cartera'!$C$44)</f>
        <v>#VALUE!</v>
      </c>
      <c r="O74" s="9" t="e">
        <f t="shared" si="4"/>
        <v>#VALUE!</v>
      </c>
    </row>
    <row r="75" spans="2:15" ht="15.5" x14ac:dyDescent="0.35">
      <c r="B75" s="6" t="e">
        <f t="shared" si="5"/>
        <v>#VALUE!</v>
      </c>
      <c r="C75" s="7" t="e">
        <f t="shared" si="0"/>
        <v>#VALUE!</v>
      </c>
      <c r="D75" s="7" t="e">
        <f t="shared" si="6"/>
        <v>#VALUE!</v>
      </c>
      <c r="E75" s="7" t="e">
        <f>C74*'Compra cartera'!$E$17</f>
        <v>#VALUE!</v>
      </c>
      <c r="F75" s="8" t="e">
        <f>IF(C74&lt;1,"0",IF('Compra cartera'!$D$26="Si",($C$17*(VLOOKUP('Compra cartera'!$C$22,Seguros_Oblig!$A$3:$F$55,6,FALSE))),(C74*(VLOOKUP('Compra cartera'!$C$22,Seguros_Oblig!$A$3:$E$55,5,FALSE)))))</f>
        <v>#VALUE!</v>
      </c>
      <c r="G75" s="8" t="e">
        <f>(C74*(VLOOKUP('Compra cartera'!$C$23,Seguros_Oblig!$A$3:$E$55,5,FALSE)))</f>
        <v>#VALUE!</v>
      </c>
      <c r="H75" s="8" t="e">
        <f>(C74*(VLOOKUP('Compra cartera'!$C$24,Seguros_Oblig!$A$3:$E$55,5,FALSE)))</f>
        <v>#VALUE!</v>
      </c>
      <c r="I75" s="8" t="e">
        <f>(C74*(VLOOKUP('Compra cartera'!$C$25,Seguros_Oblig!$A$3:$E$55,5,FALSE)))</f>
        <v>#VALUE!</v>
      </c>
      <c r="J75" s="10">
        <f t="shared" si="2"/>
        <v>0</v>
      </c>
      <c r="K75" s="7" t="e">
        <f>IF(C74&lt;1,"0",Seguros_Oblig!$K$2*('Compra cartera'!$C$11*90%))</f>
        <v>#VALUE!</v>
      </c>
      <c r="L75" s="7" t="e">
        <f>PMT('Compra cartera'!$E$17,'Compra cartera'!$C$31,-'Compra cartera'!$C$14,,)</f>
        <v>#VALUE!</v>
      </c>
      <c r="M75" s="9" t="e">
        <f t="shared" si="3"/>
        <v>#VALUE!</v>
      </c>
      <c r="N75" s="7" t="e">
        <f>IF(C74&lt;1,"0",'Compra cartera'!$C$44)</f>
        <v>#VALUE!</v>
      </c>
      <c r="O75" s="9" t="e">
        <f t="shared" si="4"/>
        <v>#VALUE!</v>
      </c>
    </row>
    <row r="76" spans="2:15" ht="15.5" x14ac:dyDescent="0.35">
      <c r="B76" s="6" t="e">
        <f t="shared" si="5"/>
        <v>#VALUE!</v>
      </c>
      <c r="C76" s="7" t="e">
        <f t="shared" si="0"/>
        <v>#VALUE!</v>
      </c>
      <c r="D76" s="7" t="e">
        <f t="shared" si="6"/>
        <v>#VALUE!</v>
      </c>
      <c r="E76" s="7" t="e">
        <f>C75*'Compra cartera'!$E$17</f>
        <v>#VALUE!</v>
      </c>
      <c r="F76" s="8" t="e">
        <f>IF(C75&lt;1,"0",IF('Compra cartera'!$D$26="Si",($C$17*(VLOOKUP('Compra cartera'!$C$22,Seguros_Oblig!$A$3:$F$55,6,FALSE))),(C75*(VLOOKUP('Compra cartera'!$C$22,Seguros_Oblig!$A$3:$E$55,5,FALSE)))))</f>
        <v>#VALUE!</v>
      </c>
      <c r="G76" s="8" t="e">
        <f>(C75*(VLOOKUP('Compra cartera'!$C$23,Seguros_Oblig!$A$3:$E$55,5,FALSE)))</f>
        <v>#VALUE!</v>
      </c>
      <c r="H76" s="8" t="e">
        <f>(C75*(VLOOKUP('Compra cartera'!$C$24,Seguros_Oblig!$A$3:$E$55,5,FALSE)))</f>
        <v>#VALUE!</v>
      </c>
      <c r="I76" s="8" t="e">
        <f>(C75*(VLOOKUP('Compra cartera'!$C$25,Seguros_Oblig!$A$3:$E$55,5,FALSE)))</f>
        <v>#VALUE!</v>
      </c>
      <c r="J76" s="10">
        <f t="shared" si="2"/>
        <v>0</v>
      </c>
      <c r="K76" s="7" t="e">
        <f>IF(C75&lt;1,"0",Seguros_Oblig!$K$2*('Compra cartera'!$C$11*90%))</f>
        <v>#VALUE!</v>
      </c>
      <c r="L76" s="7" t="e">
        <f>PMT('Compra cartera'!$E$17,'Compra cartera'!$C$31,-'Compra cartera'!$C$14,,)</f>
        <v>#VALUE!</v>
      </c>
      <c r="M76" s="9" t="e">
        <f t="shared" si="3"/>
        <v>#VALUE!</v>
      </c>
      <c r="N76" s="7" t="e">
        <f>IF(C75&lt;1,"0",'Compra cartera'!$C$44)</f>
        <v>#VALUE!</v>
      </c>
      <c r="O76" s="9" t="e">
        <f t="shared" si="4"/>
        <v>#VALUE!</v>
      </c>
    </row>
    <row r="77" spans="2:15" ht="15.5" x14ac:dyDescent="0.35">
      <c r="B77" s="6" t="e">
        <f t="shared" si="5"/>
        <v>#VALUE!</v>
      </c>
      <c r="C77" s="7" t="e">
        <f t="shared" si="0"/>
        <v>#VALUE!</v>
      </c>
      <c r="D77" s="7" t="e">
        <f t="shared" si="6"/>
        <v>#VALUE!</v>
      </c>
      <c r="E77" s="7" t="e">
        <f>C76*'Compra cartera'!$E$17</f>
        <v>#VALUE!</v>
      </c>
      <c r="F77" s="8" t="e">
        <f>IF(C76&lt;1,"0",IF('Compra cartera'!$D$26="Si",($C$17*(VLOOKUP('Compra cartera'!$C$22,Seguros_Oblig!$A$3:$F$55,6,FALSE))),(C76*(VLOOKUP('Compra cartera'!$C$22,Seguros_Oblig!$A$3:$E$55,5,FALSE)))))</f>
        <v>#VALUE!</v>
      </c>
      <c r="G77" s="8" t="e">
        <f>(C76*(VLOOKUP('Compra cartera'!$C$23,Seguros_Oblig!$A$3:$E$55,5,FALSE)))</f>
        <v>#VALUE!</v>
      </c>
      <c r="H77" s="8" t="e">
        <f>(C76*(VLOOKUP('Compra cartera'!$C$24,Seguros_Oblig!$A$3:$E$55,5,FALSE)))</f>
        <v>#VALUE!</v>
      </c>
      <c r="I77" s="8" t="e">
        <f>(C76*(VLOOKUP('Compra cartera'!$C$25,Seguros_Oblig!$A$3:$E$55,5,FALSE)))</f>
        <v>#VALUE!</v>
      </c>
      <c r="J77" s="10">
        <f t="shared" si="2"/>
        <v>0</v>
      </c>
      <c r="K77" s="7" t="e">
        <f>IF(C76&lt;1,"0",Seguros_Oblig!$K$2*('Compra cartera'!$C$11*90%))</f>
        <v>#VALUE!</v>
      </c>
      <c r="L77" s="7" t="e">
        <f>PMT('Compra cartera'!$E$17,'Compra cartera'!$C$31,-'Compra cartera'!$C$14,,)</f>
        <v>#VALUE!</v>
      </c>
      <c r="M77" s="9" t="e">
        <f t="shared" si="3"/>
        <v>#VALUE!</v>
      </c>
      <c r="N77" s="7" t="e">
        <f>IF(C76&lt;1,"0",'Compra cartera'!$C$44)</f>
        <v>#VALUE!</v>
      </c>
      <c r="O77" s="9" t="e">
        <f t="shared" si="4"/>
        <v>#VALUE!</v>
      </c>
    </row>
    <row r="78" spans="2:15" ht="15.5" x14ac:dyDescent="0.35">
      <c r="B78" s="6" t="e">
        <f t="shared" si="5"/>
        <v>#VALUE!</v>
      </c>
      <c r="C78" s="7" t="e">
        <f t="shared" si="0"/>
        <v>#VALUE!</v>
      </c>
      <c r="D78" s="7" t="e">
        <f t="shared" si="6"/>
        <v>#VALUE!</v>
      </c>
      <c r="E78" s="7" t="e">
        <f>C77*'Compra cartera'!$E$17</f>
        <v>#VALUE!</v>
      </c>
      <c r="F78" s="8" t="e">
        <f>IF(C77&lt;1,"0",IF('Compra cartera'!$D$26="Si",($C$17*(VLOOKUP('Compra cartera'!$C$22,Seguros_Oblig!$A$3:$F$55,6,FALSE))),(C77*(VLOOKUP('Compra cartera'!$C$22,Seguros_Oblig!$A$3:$E$55,5,FALSE)))))</f>
        <v>#VALUE!</v>
      </c>
      <c r="G78" s="8" t="e">
        <f>(C77*(VLOOKUP('Compra cartera'!$C$23,Seguros_Oblig!$A$3:$E$55,5,FALSE)))</f>
        <v>#VALUE!</v>
      </c>
      <c r="H78" s="8" t="e">
        <f>(C77*(VLOOKUP('Compra cartera'!$C$24,Seguros_Oblig!$A$3:$E$55,5,FALSE)))</f>
        <v>#VALUE!</v>
      </c>
      <c r="I78" s="8" t="e">
        <f>(C77*(VLOOKUP('Compra cartera'!$C$25,Seguros_Oblig!$A$3:$E$55,5,FALSE)))</f>
        <v>#VALUE!</v>
      </c>
      <c r="J78" s="10">
        <f t="shared" si="2"/>
        <v>0</v>
      </c>
      <c r="K78" s="7" t="e">
        <f>IF(C77&lt;1,"0",Seguros_Oblig!$K$2*('Compra cartera'!$C$11*90%))</f>
        <v>#VALUE!</v>
      </c>
      <c r="L78" s="7" t="e">
        <f>IF(B78=" ","0",PMT('Compra cartera'!$E$17,'Compra cartera'!$C$31,-'Compra cartera'!$C$14,,))</f>
        <v>#VALUE!</v>
      </c>
      <c r="M78" s="9" t="e">
        <f t="shared" si="3"/>
        <v>#VALUE!</v>
      </c>
      <c r="N78" s="7" t="e">
        <f>IF(C77&lt;1,"0",'Compra cartera'!$C$44)</f>
        <v>#VALUE!</v>
      </c>
      <c r="O78" s="9" t="e">
        <f t="shared" si="4"/>
        <v>#VALUE!</v>
      </c>
    </row>
    <row r="79" spans="2:15" ht="15.5" x14ac:dyDescent="0.35">
      <c r="B79" s="6" t="e">
        <f t="shared" si="5"/>
        <v>#VALUE!</v>
      </c>
      <c r="C79" s="7" t="e">
        <f t="shared" si="0"/>
        <v>#VALUE!</v>
      </c>
      <c r="D79" s="7" t="e">
        <f t="shared" si="6"/>
        <v>#VALUE!</v>
      </c>
      <c r="E79" s="7" t="e">
        <f>C78*'Compra cartera'!$E$17</f>
        <v>#VALUE!</v>
      </c>
      <c r="F79" s="8" t="e">
        <f>IF(C78&lt;1,"0",IF('Compra cartera'!$D$26="Si",($C$17*(VLOOKUP('Compra cartera'!$C$22,Seguros_Oblig!$A$3:$F$55,6,FALSE))),(C78*(VLOOKUP('Compra cartera'!$C$22,Seguros_Oblig!$A$3:$E$55,5,FALSE)))))</f>
        <v>#VALUE!</v>
      </c>
      <c r="G79" s="8" t="e">
        <f>(C78*(VLOOKUP('Compra cartera'!$C$23,Seguros_Oblig!$A$3:$E$55,5,FALSE)))</f>
        <v>#VALUE!</v>
      </c>
      <c r="H79" s="8" t="e">
        <f>(C78*(VLOOKUP('Compra cartera'!$C$24,Seguros_Oblig!$A$3:$E$55,5,FALSE)))</f>
        <v>#VALUE!</v>
      </c>
      <c r="I79" s="8" t="e">
        <f>(C78*(VLOOKUP('Compra cartera'!$C$25,Seguros_Oblig!$A$3:$E$55,5,FALSE)))</f>
        <v>#VALUE!</v>
      </c>
      <c r="J79" s="10">
        <f t="shared" si="2"/>
        <v>0</v>
      </c>
      <c r="K79" s="7" t="e">
        <f>IF(C78&lt;1,"0",Seguros_Oblig!$K$2*('Compra cartera'!$C$11*90%))</f>
        <v>#VALUE!</v>
      </c>
      <c r="L79" s="7" t="e">
        <f>IF(B79=" ","0",PMT('Compra cartera'!$E$17,'Compra cartera'!$C$31,-'Compra cartera'!$C$14,,))</f>
        <v>#VALUE!</v>
      </c>
      <c r="M79" s="9" t="e">
        <f t="shared" si="3"/>
        <v>#VALUE!</v>
      </c>
      <c r="N79" s="7" t="e">
        <f>IF(C78&lt;1,"0",'Compra cartera'!$C$44)</f>
        <v>#VALUE!</v>
      </c>
      <c r="O79" s="9" t="e">
        <f t="shared" si="4"/>
        <v>#VALUE!</v>
      </c>
    </row>
    <row r="80" spans="2:15" ht="15.5" x14ac:dyDescent="0.35">
      <c r="B80" s="6" t="e">
        <f t="shared" si="5"/>
        <v>#VALUE!</v>
      </c>
      <c r="C80" s="7" t="e">
        <f t="shared" si="0"/>
        <v>#VALUE!</v>
      </c>
      <c r="D80" s="7" t="e">
        <f t="shared" si="6"/>
        <v>#VALUE!</v>
      </c>
      <c r="E80" s="7" t="e">
        <f>C79*'Compra cartera'!$E$17</f>
        <v>#VALUE!</v>
      </c>
      <c r="F80" s="8" t="e">
        <f>IF(C79&lt;1,"0",IF('Compra cartera'!$D$26="Si",($C$17*(VLOOKUP('Compra cartera'!$C$22,Seguros_Oblig!$A$3:$F$55,6,FALSE))),(C79*(VLOOKUP('Compra cartera'!$C$22,Seguros_Oblig!$A$3:$E$55,5,FALSE)))))</f>
        <v>#VALUE!</v>
      </c>
      <c r="G80" s="8" t="e">
        <f>(C79*(VLOOKUP('Compra cartera'!$C$23,Seguros_Oblig!$A$3:$E$55,5,FALSE)))</f>
        <v>#VALUE!</v>
      </c>
      <c r="H80" s="8" t="e">
        <f>(C79*(VLOOKUP('Compra cartera'!$C$24,Seguros_Oblig!$A$3:$E$55,5,FALSE)))</f>
        <v>#VALUE!</v>
      </c>
      <c r="I80" s="8" t="e">
        <f>(C79*(VLOOKUP('Compra cartera'!$C$25,Seguros_Oblig!$A$3:$E$55,5,FALSE)))</f>
        <v>#VALUE!</v>
      </c>
      <c r="J80" s="10">
        <f t="shared" si="2"/>
        <v>0</v>
      </c>
      <c r="K80" s="7" t="e">
        <f>IF(C79&lt;1,"0",Seguros_Oblig!$K$2*('Compra cartera'!$C$11*90%))</f>
        <v>#VALUE!</v>
      </c>
      <c r="L80" s="7" t="e">
        <f>IF(B80=" ","0",PMT('Compra cartera'!$E$17,'Compra cartera'!$C$31,-'Compra cartera'!$C$14,,))</f>
        <v>#VALUE!</v>
      </c>
      <c r="M80" s="9" t="e">
        <f t="shared" si="3"/>
        <v>#VALUE!</v>
      </c>
      <c r="N80" s="7" t="e">
        <f>IF(C79&lt;1,"0",'Compra cartera'!$C$44)</f>
        <v>#VALUE!</v>
      </c>
      <c r="O80" s="9" t="e">
        <f t="shared" si="4"/>
        <v>#VALUE!</v>
      </c>
    </row>
    <row r="81" spans="2:15" ht="15.5" x14ac:dyDescent="0.35">
      <c r="B81" s="6" t="e">
        <f t="shared" si="5"/>
        <v>#VALUE!</v>
      </c>
      <c r="C81" s="7" t="e">
        <f t="shared" si="0"/>
        <v>#VALUE!</v>
      </c>
      <c r="D81" s="7" t="e">
        <f t="shared" si="6"/>
        <v>#VALUE!</v>
      </c>
      <c r="E81" s="7" t="e">
        <f>C80*'Compra cartera'!$E$17</f>
        <v>#VALUE!</v>
      </c>
      <c r="F81" s="8" t="e">
        <f>IF(C80&lt;1,"0",IF('Compra cartera'!$D$26="Si",($C$17*(VLOOKUP('Compra cartera'!$C$22,Seguros_Oblig!$A$3:$F$55,6,FALSE))),(C80*(VLOOKUP('Compra cartera'!$C$22,Seguros_Oblig!$A$3:$E$55,5,FALSE)))))</f>
        <v>#VALUE!</v>
      </c>
      <c r="G81" s="8" t="e">
        <f>(C80*(VLOOKUP('Compra cartera'!$C$23,Seguros_Oblig!$A$3:$E$55,5,FALSE)))</f>
        <v>#VALUE!</v>
      </c>
      <c r="H81" s="8" t="e">
        <f>(C80*(VLOOKUP('Compra cartera'!$C$24,Seguros_Oblig!$A$3:$E$55,5,FALSE)))</f>
        <v>#VALUE!</v>
      </c>
      <c r="I81" s="8" t="e">
        <f>(C80*(VLOOKUP('Compra cartera'!$C$25,Seguros_Oblig!$A$3:$E$55,5,FALSE)))</f>
        <v>#VALUE!</v>
      </c>
      <c r="J81" s="10">
        <f t="shared" si="2"/>
        <v>0</v>
      </c>
      <c r="K81" s="7" t="e">
        <f>IF(C80&lt;1,"0",Seguros_Oblig!$K$2*('Compra cartera'!$C$11*90%))</f>
        <v>#VALUE!</v>
      </c>
      <c r="L81" s="7" t="e">
        <f>IF(B81=" ","0",PMT('Compra cartera'!$E$17,'Compra cartera'!$C$31,-'Compra cartera'!$C$14,,))</f>
        <v>#VALUE!</v>
      </c>
      <c r="M81" s="9" t="e">
        <f t="shared" si="3"/>
        <v>#VALUE!</v>
      </c>
      <c r="N81" s="7" t="e">
        <f>IF(C80&lt;1,"0",'Compra cartera'!$C$44)</f>
        <v>#VALUE!</v>
      </c>
      <c r="O81" s="9" t="e">
        <f t="shared" si="4"/>
        <v>#VALUE!</v>
      </c>
    </row>
    <row r="82" spans="2:15" ht="15.5" x14ac:dyDescent="0.35">
      <c r="B82" s="6" t="e">
        <f t="shared" si="5"/>
        <v>#VALUE!</v>
      </c>
      <c r="C82" s="7" t="e">
        <f t="shared" si="0"/>
        <v>#VALUE!</v>
      </c>
      <c r="D82" s="7" t="e">
        <f t="shared" si="6"/>
        <v>#VALUE!</v>
      </c>
      <c r="E82" s="7" t="e">
        <f>C81*'Compra cartera'!$E$17</f>
        <v>#VALUE!</v>
      </c>
      <c r="F82" s="8" t="e">
        <f>IF(C81&lt;1,"0",IF('Compra cartera'!$D$26="Si",($C$17*(VLOOKUP('Compra cartera'!$C$22,Seguros_Oblig!$A$3:$F$55,6,FALSE))),(C81*(VLOOKUP('Compra cartera'!$C$22,Seguros_Oblig!$A$3:$E$55,5,FALSE)))))</f>
        <v>#VALUE!</v>
      </c>
      <c r="G82" s="8" t="e">
        <f>(C81*(VLOOKUP('Compra cartera'!$C$23,Seguros_Oblig!$A$3:$E$55,5,FALSE)))</f>
        <v>#VALUE!</v>
      </c>
      <c r="H82" s="8" t="e">
        <f>(C81*(VLOOKUP('Compra cartera'!$C$24,Seguros_Oblig!$A$3:$E$55,5,FALSE)))</f>
        <v>#VALUE!</v>
      </c>
      <c r="I82" s="8" t="e">
        <f>(C81*(VLOOKUP('Compra cartera'!$C$25,Seguros_Oblig!$A$3:$E$55,5,FALSE)))</f>
        <v>#VALUE!</v>
      </c>
      <c r="J82" s="10">
        <f t="shared" si="2"/>
        <v>0</v>
      </c>
      <c r="K82" s="7" t="e">
        <f>IF(C81&lt;1,"0",Seguros_Oblig!$K$2*('Compra cartera'!$C$11*90%))</f>
        <v>#VALUE!</v>
      </c>
      <c r="L82" s="7" t="e">
        <f>IF(B82=" ","0",PMT('Compra cartera'!$E$17,'Compra cartera'!$C$31,-'Compra cartera'!$C$14,,))</f>
        <v>#VALUE!</v>
      </c>
      <c r="M82" s="9" t="e">
        <f t="shared" si="3"/>
        <v>#VALUE!</v>
      </c>
      <c r="N82" s="7" t="e">
        <f>IF(C81&lt;1,"0",'Compra cartera'!$C$44)</f>
        <v>#VALUE!</v>
      </c>
      <c r="O82" s="9" t="e">
        <f t="shared" si="4"/>
        <v>#VALUE!</v>
      </c>
    </row>
    <row r="83" spans="2:15" ht="15.5" x14ac:dyDescent="0.35">
      <c r="B83" s="6" t="e">
        <f t="shared" si="5"/>
        <v>#VALUE!</v>
      </c>
      <c r="C83" s="7" t="e">
        <f t="shared" ref="C83:C146" si="7">C82-D83</f>
        <v>#VALUE!</v>
      </c>
      <c r="D83" s="7" t="e">
        <f t="shared" si="6"/>
        <v>#VALUE!</v>
      </c>
      <c r="E83" s="7" t="e">
        <f>C82*'Compra cartera'!$E$17</f>
        <v>#VALUE!</v>
      </c>
      <c r="F83" s="8" t="e">
        <f>IF(C82&lt;1,"0",IF('Compra cartera'!$D$26="Si",($C$17*(VLOOKUP('Compra cartera'!$C$22,Seguros_Oblig!$A$3:$F$55,6,FALSE))),(C82*(VLOOKUP('Compra cartera'!$C$22,Seguros_Oblig!$A$3:$E$55,5,FALSE)))))</f>
        <v>#VALUE!</v>
      </c>
      <c r="G83" s="8" t="e">
        <f>(C82*(VLOOKUP('Compra cartera'!$C$23,Seguros_Oblig!$A$3:$E$55,5,FALSE)))</f>
        <v>#VALUE!</v>
      </c>
      <c r="H83" s="8" t="e">
        <f>(C82*(VLOOKUP('Compra cartera'!$C$24,Seguros_Oblig!$A$3:$E$55,5,FALSE)))</f>
        <v>#VALUE!</v>
      </c>
      <c r="I83" s="8" t="e">
        <f>(C82*(VLOOKUP('Compra cartera'!$C$25,Seguros_Oblig!$A$3:$E$55,5,FALSE)))</f>
        <v>#VALUE!</v>
      </c>
      <c r="J83" s="10">
        <f t="shared" ref="J83:J146" si="8">_xlfn.AGGREGATE(9,6,F83:I83)</f>
        <v>0</v>
      </c>
      <c r="K83" s="7" t="e">
        <f>IF(C82&lt;1,"0",Seguros_Oblig!$K$2*('Compra cartera'!$C$11*90%))</f>
        <v>#VALUE!</v>
      </c>
      <c r="L83" s="7" t="e">
        <f>IF(B83=" ","0",PMT('Compra cartera'!$E$17,'Compra cartera'!$C$31,-'Compra cartera'!$C$14,,))</f>
        <v>#VALUE!</v>
      </c>
      <c r="M83" s="9" t="e">
        <f t="shared" ref="M83:M146" si="9">K83+L83+J83</f>
        <v>#VALUE!</v>
      </c>
      <c r="N83" s="7" t="e">
        <f>IF(C82&lt;1,"0",'Compra cartera'!$C$44)</f>
        <v>#VALUE!</v>
      </c>
      <c r="O83" s="9" t="e">
        <f t="shared" ref="O83:O146" si="10">M83+N83</f>
        <v>#VALUE!</v>
      </c>
    </row>
    <row r="84" spans="2:15" ht="15.5" x14ac:dyDescent="0.35">
      <c r="B84" s="6" t="e">
        <f t="shared" si="5"/>
        <v>#VALUE!</v>
      </c>
      <c r="C84" s="7" t="e">
        <f t="shared" si="7"/>
        <v>#VALUE!</v>
      </c>
      <c r="D84" s="7" t="e">
        <f t="shared" si="6"/>
        <v>#VALUE!</v>
      </c>
      <c r="E84" s="7" t="e">
        <f>C83*'Compra cartera'!$E$17</f>
        <v>#VALUE!</v>
      </c>
      <c r="F84" s="8" t="e">
        <f>IF(C83&lt;1,"0",IF('Compra cartera'!$D$26="Si",($C$17*(VLOOKUP('Compra cartera'!$C$22,Seguros_Oblig!$A$3:$F$55,6,FALSE))),(C83*(VLOOKUP('Compra cartera'!$C$22,Seguros_Oblig!$A$3:$E$55,5,FALSE)))))</f>
        <v>#VALUE!</v>
      </c>
      <c r="G84" s="8" t="e">
        <f>(C83*(VLOOKUP('Compra cartera'!$C$23,Seguros_Oblig!$A$3:$E$55,5,FALSE)))</f>
        <v>#VALUE!</v>
      </c>
      <c r="H84" s="8" t="e">
        <f>(C83*(VLOOKUP('Compra cartera'!$C$24,Seguros_Oblig!$A$3:$E$55,5,FALSE)))</f>
        <v>#VALUE!</v>
      </c>
      <c r="I84" s="8" t="e">
        <f>(C83*(VLOOKUP('Compra cartera'!$C$25,Seguros_Oblig!$A$3:$E$55,5,FALSE)))</f>
        <v>#VALUE!</v>
      </c>
      <c r="J84" s="10">
        <f t="shared" si="8"/>
        <v>0</v>
      </c>
      <c r="K84" s="7" t="e">
        <f>IF(C83&lt;1,"0",Seguros_Oblig!$K$2*('Compra cartera'!$C$11*90%))</f>
        <v>#VALUE!</v>
      </c>
      <c r="L84" s="7" t="e">
        <f>IF(B84=" ","0",PMT('Compra cartera'!$E$17,'Compra cartera'!$C$31,-'Compra cartera'!$C$14,,))</f>
        <v>#VALUE!</v>
      </c>
      <c r="M84" s="9" t="e">
        <f t="shared" si="9"/>
        <v>#VALUE!</v>
      </c>
      <c r="N84" s="7" t="e">
        <f>IF(C83&lt;1,"0",'Compra cartera'!$C$44)</f>
        <v>#VALUE!</v>
      </c>
      <c r="O84" s="9" t="e">
        <f t="shared" si="10"/>
        <v>#VALUE!</v>
      </c>
    </row>
    <row r="85" spans="2:15" ht="15.5" x14ac:dyDescent="0.35">
      <c r="B85" s="6" t="e">
        <f t="shared" si="5"/>
        <v>#VALUE!</v>
      </c>
      <c r="C85" s="7" t="e">
        <f t="shared" si="7"/>
        <v>#VALUE!</v>
      </c>
      <c r="D85" s="7" t="e">
        <f t="shared" si="6"/>
        <v>#VALUE!</v>
      </c>
      <c r="E85" s="7" t="e">
        <f>C84*'Compra cartera'!$E$17</f>
        <v>#VALUE!</v>
      </c>
      <c r="F85" s="8" t="e">
        <f>IF(C84&lt;1,"0",IF('Compra cartera'!$D$26="Si",($C$17*(VLOOKUP('Compra cartera'!$C$22,Seguros_Oblig!$A$3:$F$55,6,FALSE))),(C84*(VLOOKUP('Compra cartera'!$C$22,Seguros_Oblig!$A$3:$E$55,5,FALSE)))))</f>
        <v>#VALUE!</v>
      </c>
      <c r="G85" s="8" t="e">
        <f>(C84*(VLOOKUP('Compra cartera'!$C$23,Seguros_Oblig!$A$3:$E$55,5,FALSE)))</f>
        <v>#VALUE!</v>
      </c>
      <c r="H85" s="8" t="e">
        <f>(C84*(VLOOKUP('Compra cartera'!$C$24,Seguros_Oblig!$A$3:$E$55,5,FALSE)))</f>
        <v>#VALUE!</v>
      </c>
      <c r="I85" s="8" t="e">
        <f>(C84*(VLOOKUP('Compra cartera'!$C$25,Seguros_Oblig!$A$3:$E$55,5,FALSE)))</f>
        <v>#VALUE!</v>
      </c>
      <c r="J85" s="10">
        <f t="shared" si="8"/>
        <v>0</v>
      </c>
      <c r="K85" s="7" t="e">
        <f>IF(C84&lt;1,"0",Seguros_Oblig!$K$2*('Compra cartera'!$C$11*90%))</f>
        <v>#VALUE!</v>
      </c>
      <c r="L85" s="7" t="e">
        <f>IF(B85=" ","0",PMT('Compra cartera'!$E$17,'Compra cartera'!$C$31,-'Compra cartera'!$C$14,,))</f>
        <v>#VALUE!</v>
      </c>
      <c r="M85" s="9" t="e">
        <f t="shared" si="9"/>
        <v>#VALUE!</v>
      </c>
      <c r="N85" s="7" t="e">
        <f>IF(C84&lt;1,"0",'Compra cartera'!$C$44)</f>
        <v>#VALUE!</v>
      </c>
      <c r="O85" s="9" t="e">
        <f t="shared" si="10"/>
        <v>#VALUE!</v>
      </c>
    </row>
    <row r="86" spans="2:15" ht="15.5" x14ac:dyDescent="0.35">
      <c r="B86" s="6" t="e">
        <f t="shared" si="5"/>
        <v>#VALUE!</v>
      </c>
      <c r="C86" s="7" t="e">
        <f t="shared" si="7"/>
        <v>#VALUE!</v>
      </c>
      <c r="D86" s="7" t="e">
        <f t="shared" si="6"/>
        <v>#VALUE!</v>
      </c>
      <c r="E86" s="7" t="e">
        <f>C85*'Compra cartera'!$E$17</f>
        <v>#VALUE!</v>
      </c>
      <c r="F86" s="8" t="e">
        <f>IF(C85&lt;1,"0",IF('Compra cartera'!$D$26="Si",($C$17*(VLOOKUP('Compra cartera'!$C$22,Seguros_Oblig!$A$3:$F$55,6,FALSE))),(C85*(VLOOKUP('Compra cartera'!$C$22,Seguros_Oblig!$A$3:$E$55,5,FALSE)))))</f>
        <v>#VALUE!</v>
      </c>
      <c r="G86" s="8" t="e">
        <f>(C85*(VLOOKUP('Compra cartera'!$C$23,Seguros_Oblig!$A$3:$E$55,5,FALSE)))</f>
        <v>#VALUE!</v>
      </c>
      <c r="H86" s="8" t="e">
        <f>(C85*(VLOOKUP('Compra cartera'!$C$24,Seguros_Oblig!$A$3:$E$55,5,FALSE)))</f>
        <v>#VALUE!</v>
      </c>
      <c r="I86" s="8" t="e">
        <f>(C85*(VLOOKUP('Compra cartera'!$C$25,Seguros_Oblig!$A$3:$E$55,5,FALSE)))</f>
        <v>#VALUE!</v>
      </c>
      <c r="J86" s="10">
        <f t="shared" si="8"/>
        <v>0</v>
      </c>
      <c r="K86" s="7" t="e">
        <f>IF(C85&lt;1,"0",Seguros_Oblig!$K$2*('Compra cartera'!$C$11*90%))</f>
        <v>#VALUE!</v>
      </c>
      <c r="L86" s="7" t="e">
        <f>IF(B86=" ","0",PMT('Compra cartera'!$E$17,'Compra cartera'!$C$31,-'Compra cartera'!$C$14,,))</f>
        <v>#VALUE!</v>
      </c>
      <c r="M86" s="9" t="e">
        <f t="shared" si="9"/>
        <v>#VALUE!</v>
      </c>
      <c r="N86" s="7" t="e">
        <f>IF(C85&lt;1,"0",'Compra cartera'!$C$44)</f>
        <v>#VALUE!</v>
      </c>
      <c r="O86" s="9" t="e">
        <f t="shared" si="10"/>
        <v>#VALUE!</v>
      </c>
    </row>
    <row r="87" spans="2:15" ht="15.5" x14ac:dyDescent="0.35">
      <c r="B87" s="6" t="e">
        <f t="shared" si="5"/>
        <v>#VALUE!</v>
      </c>
      <c r="C87" s="7" t="e">
        <f t="shared" si="7"/>
        <v>#VALUE!</v>
      </c>
      <c r="D87" s="7" t="e">
        <f t="shared" si="6"/>
        <v>#VALUE!</v>
      </c>
      <c r="E87" s="7" t="e">
        <f>C86*'Compra cartera'!$E$17</f>
        <v>#VALUE!</v>
      </c>
      <c r="F87" s="8" t="e">
        <f>IF(C86&lt;1,"0",IF('Compra cartera'!$D$26="Si",($C$17*(VLOOKUP('Compra cartera'!$C$22,Seguros_Oblig!$A$3:$F$55,6,FALSE))),(C86*(VLOOKUP('Compra cartera'!$C$22,Seguros_Oblig!$A$3:$E$55,5,FALSE)))))</f>
        <v>#VALUE!</v>
      </c>
      <c r="G87" s="8" t="e">
        <f>(C86*(VLOOKUP('Compra cartera'!$C$23,Seguros_Oblig!$A$3:$E$55,5,FALSE)))</f>
        <v>#VALUE!</v>
      </c>
      <c r="H87" s="8" t="e">
        <f>(C86*(VLOOKUP('Compra cartera'!$C$24,Seguros_Oblig!$A$3:$E$55,5,FALSE)))</f>
        <v>#VALUE!</v>
      </c>
      <c r="I87" s="8" t="e">
        <f>(C86*(VLOOKUP('Compra cartera'!$C$25,Seguros_Oblig!$A$3:$E$55,5,FALSE)))</f>
        <v>#VALUE!</v>
      </c>
      <c r="J87" s="10">
        <f t="shared" si="8"/>
        <v>0</v>
      </c>
      <c r="K87" s="7" t="e">
        <f>IF(C86&lt;1,"0",Seguros_Oblig!$K$2*('Compra cartera'!$C$11*90%))</f>
        <v>#VALUE!</v>
      </c>
      <c r="L87" s="7" t="e">
        <f>IF(B87=" ","0",PMT('Compra cartera'!$E$17,'Compra cartera'!$C$31,-'Compra cartera'!$C$14,,))</f>
        <v>#VALUE!</v>
      </c>
      <c r="M87" s="9" t="e">
        <f t="shared" si="9"/>
        <v>#VALUE!</v>
      </c>
      <c r="N87" s="7" t="e">
        <f>IF(C86&lt;1,"0",'Compra cartera'!$C$44)</f>
        <v>#VALUE!</v>
      </c>
      <c r="O87" s="9" t="e">
        <f t="shared" si="10"/>
        <v>#VALUE!</v>
      </c>
    </row>
    <row r="88" spans="2:15" ht="15.5" x14ac:dyDescent="0.35">
      <c r="B88" s="6" t="e">
        <f t="shared" ref="B88:B151" si="11">IF(C87&gt;1,B87+1," ")</f>
        <v>#VALUE!</v>
      </c>
      <c r="C88" s="7" t="e">
        <f t="shared" si="7"/>
        <v>#VALUE!</v>
      </c>
      <c r="D88" s="7" t="e">
        <f t="shared" si="6"/>
        <v>#VALUE!</v>
      </c>
      <c r="E88" s="7" t="e">
        <f>C87*'Compra cartera'!$E$17</f>
        <v>#VALUE!</v>
      </c>
      <c r="F88" s="8" t="e">
        <f>IF(C87&lt;1,"0",IF('Compra cartera'!$D$26="Si",($C$17*(VLOOKUP('Compra cartera'!$C$22,Seguros_Oblig!$A$3:$F$55,6,FALSE))),(C87*(VLOOKUP('Compra cartera'!$C$22,Seguros_Oblig!$A$3:$E$55,5,FALSE)))))</f>
        <v>#VALUE!</v>
      </c>
      <c r="G88" s="8" t="e">
        <f>(C87*(VLOOKUP('Compra cartera'!$C$23,Seguros_Oblig!$A$3:$E$55,5,FALSE)))</f>
        <v>#VALUE!</v>
      </c>
      <c r="H88" s="8" t="e">
        <f>(C87*(VLOOKUP('Compra cartera'!$C$24,Seguros_Oblig!$A$3:$E$55,5,FALSE)))</f>
        <v>#VALUE!</v>
      </c>
      <c r="I88" s="8" t="e">
        <f>(C87*(VLOOKUP('Compra cartera'!$C$25,Seguros_Oblig!$A$3:$E$55,5,FALSE)))</f>
        <v>#VALUE!</v>
      </c>
      <c r="J88" s="10">
        <f t="shared" si="8"/>
        <v>0</v>
      </c>
      <c r="K88" s="7" t="e">
        <f>IF(C87&lt;1,"0",Seguros_Oblig!$K$2*('Compra cartera'!$C$11*90%))</f>
        <v>#VALUE!</v>
      </c>
      <c r="L88" s="7" t="e">
        <f>IF(B88=" ","0",PMT('Compra cartera'!$E$17,'Compra cartera'!$C$31,-'Compra cartera'!$C$14,,))</f>
        <v>#VALUE!</v>
      </c>
      <c r="M88" s="9" t="e">
        <f t="shared" si="9"/>
        <v>#VALUE!</v>
      </c>
      <c r="N88" s="7" t="e">
        <f>IF(C87&lt;1,"0",'Compra cartera'!$C$44)</f>
        <v>#VALUE!</v>
      </c>
      <c r="O88" s="9" t="e">
        <f t="shared" si="10"/>
        <v>#VALUE!</v>
      </c>
    </row>
    <row r="89" spans="2:15" ht="15.5" x14ac:dyDescent="0.35">
      <c r="B89" s="6" t="e">
        <f t="shared" si="11"/>
        <v>#VALUE!</v>
      </c>
      <c r="C89" s="7" t="e">
        <f t="shared" si="7"/>
        <v>#VALUE!</v>
      </c>
      <c r="D89" s="7" t="e">
        <f t="shared" si="6"/>
        <v>#VALUE!</v>
      </c>
      <c r="E89" s="7" t="e">
        <f>C88*'Compra cartera'!$E$17</f>
        <v>#VALUE!</v>
      </c>
      <c r="F89" s="8" t="e">
        <f>IF(C88&lt;1,"0",IF('Compra cartera'!$D$26="Si",($C$17*(VLOOKUP('Compra cartera'!$C$22,Seguros_Oblig!$A$3:$F$55,6,FALSE))),(C88*(VLOOKUP('Compra cartera'!$C$22,Seguros_Oblig!$A$3:$E$55,5,FALSE)))))</f>
        <v>#VALUE!</v>
      </c>
      <c r="G89" s="8" t="e">
        <f>(C88*(VLOOKUP('Compra cartera'!$C$23,Seguros_Oblig!$A$3:$E$55,5,FALSE)))</f>
        <v>#VALUE!</v>
      </c>
      <c r="H89" s="8" t="e">
        <f>(C88*(VLOOKUP('Compra cartera'!$C$24,Seguros_Oblig!$A$3:$E$55,5,FALSE)))</f>
        <v>#VALUE!</v>
      </c>
      <c r="I89" s="8" t="e">
        <f>(C88*(VLOOKUP('Compra cartera'!$C$25,Seguros_Oblig!$A$3:$E$55,5,FALSE)))</f>
        <v>#VALUE!</v>
      </c>
      <c r="J89" s="10">
        <f t="shared" si="8"/>
        <v>0</v>
      </c>
      <c r="K89" s="7" t="e">
        <f>IF(C88&lt;1,"0",Seguros_Oblig!$K$2*('Compra cartera'!$C$11*90%))</f>
        <v>#VALUE!</v>
      </c>
      <c r="L89" s="7" t="e">
        <f>IF(B89=" ","0",PMT('Compra cartera'!$E$17,'Compra cartera'!$C$31,-'Compra cartera'!$C$14,,))</f>
        <v>#VALUE!</v>
      </c>
      <c r="M89" s="9" t="e">
        <f t="shared" si="9"/>
        <v>#VALUE!</v>
      </c>
      <c r="N89" s="7" t="e">
        <f>IF(C88&lt;1,"0",'Compra cartera'!$C$44)</f>
        <v>#VALUE!</v>
      </c>
      <c r="O89" s="9" t="e">
        <f t="shared" si="10"/>
        <v>#VALUE!</v>
      </c>
    </row>
    <row r="90" spans="2:15" ht="15.5" x14ac:dyDescent="0.35">
      <c r="B90" s="6" t="e">
        <f t="shared" si="11"/>
        <v>#VALUE!</v>
      </c>
      <c r="C90" s="7" t="e">
        <f t="shared" si="7"/>
        <v>#VALUE!</v>
      </c>
      <c r="D90" s="7" t="e">
        <f t="shared" si="6"/>
        <v>#VALUE!</v>
      </c>
      <c r="E90" s="7" t="e">
        <f>C89*'Compra cartera'!$E$17</f>
        <v>#VALUE!</v>
      </c>
      <c r="F90" s="8" t="e">
        <f>IF(C89&lt;1,"0",IF('Compra cartera'!$D$26="Si",($C$17*(VLOOKUP('Compra cartera'!$C$22,Seguros_Oblig!$A$3:$F$55,6,FALSE))),(C89*(VLOOKUP('Compra cartera'!$C$22,Seguros_Oblig!$A$3:$E$55,5,FALSE)))))</f>
        <v>#VALUE!</v>
      </c>
      <c r="G90" s="8" t="e">
        <f>(C89*(VLOOKUP('Compra cartera'!$C$23,Seguros_Oblig!$A$3:$E$55,5,FALSE)))</f>
        <v>#VALUE!</v>
      </c>
      <c r="H90" s="8" t="e">
        <f>(C89*(VLOOKUP('Compra cartera'!$C$24,Seguros_Oblig!$A$3:$E$55,5,FALSE)))</f>
        <v>#VALUE!</v>
      </c>
      <c r="I90" s="8" t="e">
        <f>(C89*(VLOOKUP('Compra cartera'!$C$25,Seguros_Oblig!$A$3:$E$55,5,FALSE)))</f>
        <v>#VALUE!</v>
      </c>
      <c r="J90" s="10">
        <f t="shared" si="8"/>
        <v>0</v>
      </c>
      <c r="K90" s="7" t="e">
        <f>IF(C89&lt;1,"0",Seguros_Oblig!$K$2*('Compra cartera'!$C$11*90%))</f>
        <v>#VALUE!</v>
      </c>
      <c r="L90" s="7" t="e">
        <f>IF(B90=" ","0",PMT('Compra cartera'!$E$17,'Compra cartera'!$C$31,-'Compra cartera'!$C$14,,))</f>
        <v>#VALUE!</v>
      </c>
      <c r="M90" s="9" t="e">
        <f t="shared" si="9"/>
        <v>#VALUE!</v>
      </c>
      <c r="N90" s="7" t="e">
        <f>IF(C89&lt;1,"0",'Compra cartera'!$C$44)</f>
        <v>#VALUE!</v>
      </c>
      <c r="O90" s="9" t="e">
        <f t="shared" si="10"/>
        <v>#VALUE!</v>
      </c>
    </row>
    <row r="91" spans="2:15" ht="15.5" x14ac:dyDescent="0.35">
      <c r="B91" s="6" t="e">
        <f t="shared" si="11"/>
        <v>#VALUE!</v>
      </c>
      <c r="C91" s="7" t="e">
        <f t="shared" si="7"/>
        <v>#VALUE!</v>
      </c>
      <c r="D91" s="7" t="e">
        <f t="shared" si="6"/>
        <v>#VALUE!</v>
      </c>
      <c r="E91" s="7" t="e">
        <f>C90*'Compra cartera'!$E$17</f>
        <v>#VALUE!</v>
      </c>
      <c r="F91" s="8" t="e">
        <f>IF(C90&lt;1,"0",IF('Compra cartera'!$D$26="Si",($C$17*(VLOOKUP('Compra cartera'!$C$22,Seguros_Oblig!$A$3:$F$55,6,FALSE))),(C90*(VLOOKUP('Compra cartera'!$C$22,Seguros_Oblig!$A$3:$E$55,5,FALSE)))))</f>
        <v>#VALUE!</v>
      </c>
      <c r="G91" s="8" t="e">
        <f>(C90*(VLOOKUP('Compra cartera'!$C$23,Seguros_Oblig!$A$3:$E$55,5,FALSE)))</f>
        <v>#VALUE!</v>
      </c>
      <c r="H91" s="8" t="e">
        <f>(C90*(VLOOKUP('Compra cartera'!$C$24,Seguros_Oblig!$A$3:$E$55,5,FALSE)))</f>
        <v>#VALUE!</v>
      </c>
      <c r="I91" s="8" t="e">
        <f>(C90*(VLOOKUP('Compra cartera'!$C$25,Seguros_Oblig!$A$3:$E$55,5,FALSE)))</f>
        <v>#VALUE!</v>
      </c>
      <c r="J91" s="10">
        <f t="shared" si="8"/>
        <v>0</v>
      </c>
      <c r="K91" s="7" t="e">
        <f>IF(C90&lt;1,"0",Seguros_Oblig!$K$2*('Compra cartera'!$C$11*90%))</f>
        <v>#VALUE!</v>
      </c>
      <c r="L91" s="7" t="e">
        <f>IF(B91=" ","0",PMT('Compra cartera'!$E$17,'Compra cartera'!$C$31,-'Compra cartera'!$C$14,,))</f>
        <v>#VALUE!</v>
      </c>
      <c r="M91" s="9" t="e">
        <f t="shared" si="9"/>
        <v>#VALUE!</v>
      </c>
      <c r="N91" s="7" t="e">
        <f>IF(C90&lt;1,"0",'Compra cartera'!$C$44)</f>
        <v>#VALUE!</v>
      </c>
      <c r="O91" s="9" t="e">
        <f t="shared" si="10"/>
        <v>#VALUE!</v>
      </c>
    </row>
    <row r="92" spans="2:15" ht="15.5" x14ac:dyDescent="0.35">
      <c r="B92" s="6" t="e">
        <f t="shared" si="11"/>
        <v>#VALUE!</v>
      </c>
      <c r="C92" s="7" t="e">
        <f t="shared" si="7"/>
        <v>#VALUE!</v>
      </c>
      <c r="D92" s="7" t="e">
        <f t="shared" si="6"/>
        <v>#VALUE!</v>
      </c>
      <c r="E92" s="7" t="e">
        <f>C91*'Compra cartera'!$E$17</f>
        <v>#VALUE!</v>
      </c>
      <c r="F92" s="8" t="e">
        <f>IF(C91&lt;1,"0",IF('Compra cartera'!$D$26="Si",($C$17*(VLOOKUP('Compra cartera'!$C$22,Seguros_Oblig!$A$3:$F$55,6,FALSE))),(C91*(VLOOKUP('Compra cartera'!$C$22,Seguros_Oblig!$A$3:$E$55,5,FALSE)))))</f>
        <v>#VALUE!</v>
      </c>
      <c r="G92" s="8" t="e">
        <f>(C91*(VLOOKUP('Compra cartera'!$C$23,Seguros_Oblig!$A$3:$E$55,5,FALSE)))</f>
        <v>#VALUE!</v>
      </c>
      <c r="H92" s="8" t="e">
        <f>(C91*(VLOOKUP('Compra cartera'!$C$24,Seguros_Oblig!$A$3:$E$55,5,FALSE)))</f>
        <v>#VALUE!</v>
      </c>
      <c r="I92" s="8" t="e">
        <f>(C91*(VLOOKUP('Compra cartera'!$C$25,Seguros_Oblig!$A$3:$E$55,5,FALSE)))</f>
        <v>#VALUE!</v>
      </c>
      <c r="J92" s="10">
        <f t="shared" si="8"/>
        <v>0</v>
      </c>
      <c r="K92" s="7" t="e">
        <f>IF(C91&lt;1,"0",Seguros_Oblig!$K$2*('Compra cartera'!$C$11*90%))</f>
        <v>#VALUE!</v>
      </c>
      <c r="L92" s="7" t="e">
        <f>IF(B92=" ","0",PMT('Compra cartera'!$E$17,'Compra cartera'!$C$31,-'Compra cartera'!$C$14,,))</f>
        <v>#VALUE!</v>
      </c>
      <c r="M92" s="9" t="e">
        <f t="shared" si="9"/>
        <v>#VALUE!</v>
      </c>
      <c r="N92" s="7" t="e">
        <f>IF(C91&lt;1,"0",'Compra cartera'!$C$44)</f>
        <v>#VALUE!</v>
      </c>
      <c r="O92" s="9" t="e">
        <f t="shared" si="10"/>
        <v>#VALUE!</v>
      </c>
    </row>
    <row r="93" spans="2:15" ht="15.5" x14ac:dyDescent="0.35">
      <c r="B93" s="6" t="e">
        <f t="shared" si="11"/>
        <v>#VALUE!</v>
      </c>
      <c r="C93" s="7" t="e">
        <f t="shared" si="7"/>
        <v>#VALUE!</v>
      </c>
      <c r="D93" s="7" t="e">
        <f t="shared" si="6"/>
        <v>#VALUE!</v>
      </c>
      <c r="E93" s="7" t="e">
        <f>C92*'Compra cartera'!$E$17</f>
        <v>#VALUE!</v>
      </c>
      <c r="F93" s="8" t="e">
        <f>IF(C92&lt;1,"0",IF('Compra cartera'!$D$26="Si",($C$17*(VLOOKUP('Compra cartera'!$C$22,Seguros_Oblig!$A$3:$F$55,6,FALSE))),(C92*(VLOOKUP('Compra cartera'!$C$22,Seguros_Oblig!$A$3:$E$55,5,FALSE)))))</f>
        <v>#VALUE!</v>
      </c>
      <c r="G93" s="8" t="e">
        <f>(C92*(VLOOKUP('Compra cartera'!$C$23,Seguros_Oblig!$A$3:$E$55,5,FALSE)))</f>
        <v>#VALUE!</v>
      </c>
      <c r="H93" s="8" t="e">
        <f>(C92*(VLOOKUP('Compra cartera'!$C$24,Seguros_Oblig!$A$3:$E$55,5,FALSE)))</f>
        <v>#VALUE!</v>
      </c>
      <c r="I93" s="8" t="e">
        <f>(C92*(VLOOKUP('Compra cartera'!$C$25,Seguros_Oblig!$A$3:$E$55,5,FALSE)))</f>
        <v>#VALUE!</v>
      </c>
      <c r="J93" s="10">
        <f t="shared" si="8"/>
        <v>0</v>
      </c>
      <c r="K93" s="7" t="e">
        <f>IF(C92&lt;1,"0",Seguros_Oblig!$K$2*('Compra cartera'!$C$11*90%))</f>
        <v>#VALUE!</v>
      </c>
      <c r="L93" s="7" t="e">
        <f>IF(B93=" ","0",PMT('Compra cartera'!$E$17,'Compra cartera'!$C$31,-'Compra cartera'!$C$14,,))</f>
        <v>#VALUE!</v>
      </c>
      <c r="M93" s="9" t="e">
        <f t="shared" si="9"/>
        <v>#VALUE!</v>
      </c>
      <c r="N93" s="7" t="e">
        <f>IF(C92&lt;1,"0",'Compra cartera'!$C$44)</f>
        <v>#VALUE!</v>
      </c>
      <c r="O93" s="9" t="e">
        <f t="shared" si="10"/>
        <v>#VALUE!</v>
      </c>
    </row>
    <row r="94" spans="2:15" ht="15.5" x14ac:dyDescent="0.35">
      <c r="B94" s="6" t="e">
        <f t="shared" si="11"/>
        <v>#VALUE!</v>
      </c>
      <c r="C94" s="7" t="e">
        <f t="shared" si="7"/>
        <v>#VALUE!</v>
      </c>
      <c r="D94" s="7" t="e">
        <f t="shared" si="6"/>
        <v>#VALUE!</v>
      </c>
      <c r="E94" s="7" t="e">
        <f>C93*'Compra cartera'!$E$17</f>
        <v>#VALUE!</v>
      </c>
      <c r="F94" s="8" t="e">
        <f>IF(C93&lt;1,"0",IF('Compra cartera'!$D$26="Si",($C$17*(VLOOKUP('Compra cartera'!$C$22,Seguros_Oblig!$A$3:$F$55,6,FALSE))),(C93*(VLOOKUP('Compra cartera'!$C$22,Seguros_Oblig!$A$3:$E$55,5,FALSE)))))</f>
        <v>#VALUE!</v>
      </c>
      <c r="G94" s="8" t="e">
        <f>(C93*(VLOOKUP('Compra cartera'!$C$23,Seguros_Oblig!$A$3:$E$55,5,FALSE)))</f>
        <v>#VALUE!</v>
      </c>
      <c r="H94" s="8" t="e">
        <f>(C93*(VLOOKUP('Compra cartera'!$C$24,Seguros_Oblig!$A$3:$E$55,5,FALSE)))</f>
        <v>#VALUE!</v>
      </c>
      <c r="I94" s="8" t="e">
        <f>(C93*(VLOOKUP('Compra cartera'!$C$25,Seguros_Oblig!$A$3:$E$55,5,FALSE)))</f>
        <v>#VALUE!</v>
      </c>
      <c r="J94" s="10">
        <f t="shared" si="8"/>
        <v>0</v>
      </c>
      <c r="K94" s="7" t="e">
        <f>IF(C93&lt;1,"0",Seguros_Oblig!$K$2*('Compra cartera'!$C$11*90%))</f>
        <v>#VALUE!</v>
      </c>
      <c r="L94" s="7" t="e">
        <f>IF(B94=" ","0",PMT('Compra cartera'!$E$17,'Compra cartera'!$C$31,-'Compra cartera'!$C$14,,))</f>
        <v>#VALUE!</v>
      </c>
      <c r="M94" s="9" t="e">
        <f t="shared" si="9"/>
        <v>#VALUE!</v>
      </c>
      <c r="N94" s="7" t="e">
        <f>IF(C93&lt;1,"0",'Compra cartera'!$C$44)</f>
        <v>#VALUE!</v>
      </c>
      <c r="O94" s="9" t="e">
        <f t="shared" si="10"/>
        <v>#VALUE!</v>
      </c>
    </row>
    <row r="95" spans="2:15" ht="15.5" x14ac:dyDescent="0.35">
      <c r="B95" s="6" t="e">
        <f t="shared" si="11"/>
        <v>#VALUE!</v>
      </c>
      <c r="C95" s="7" t="e">
        <f t="shared" si="7"/>
        <v>#VALUE!</v>
      </c>
      <c r="D95" s="7" t="e">
        <f t="shared" ref="D95:D158" si="12">IF(C94&lt;1,"0",L95-E95)</f>
        <v>#VALUE!</v>
      </c>
      <c r="E95" s="7" t="e">
        <f>C94*'Compra cartera'!$E$17</f>
        <v>#VALUE!</v>
      </c>
      <c r="F95" s="8" t="e">
        <f>IF(C94&lt;1,"0",IF('Compra cartera'!$D$26="Si",($C$17*(VLOOKUP('Compra cartera'!$C$22,Seguros_Oblig!$A$3:$F$55,6,FALSE))),(C94*(VLOOKUP('Compra cartera'!$C$22,Seguros_Oblig!$A$3:$E$55,5,FALSE)))))</f>
        <v>#VALUE!</v>
      </c>
      <c r="G95" s="8" t="e">
        <f>(C94*(VLOOKUP('Compra cartera'!$C$23,Seguros_Oblig!$A$3:$E$55,5,FALSE)))</f>
        <v>#VALUE!</v>
      </c>
      <c r="H95" s="8" t="e">
        <f>(C94*(VLOOKUP('Compra cartera'!$C$24,Seguros_Oblig!$A$3:$E$55,5,FALSE)))</f>
        <v>#VALUE!</v>
      </c>
      <c r="I95" s="8" t="e">
        <f>(C94*(VLOOKUP('Compra cartera'!$C$25,Seguros_Oblig!$A$3:$E$55,5,FALSE)))</f>
        <v>#VALUE!</v>
      </c>
      <c r="J95" s="10">
        <f t="shared" si="8"/>
        <v>0</v>
      </c>
      <c r="K95" s="7" t="e">
        <f>IF(C94&lt;1,"0",Seguros_Oblig!$K$2*('Compra cartera'!$C$11*90%))</f>
        <v>#VALUE!</v>
      </c>
      <c r="L95" s="7" t="e">
        <f>IF(B95=" ","0",PMT('Compra cartera'!$E$17,'Compra cartera'!$C$31,-'Compra cartera'!$C$14,,))</f>
        <v>#VALUE!</v>
      </c>
      <c r="M95" s="9" t="e">
        <f t="shared" si="9"/>
        <v>#VALUE!</v>
      </c>
      <c r="N95" s="7" t="e">
        <f>IF(C94&lt;1,"0",'Compra cartera'!$C$44)</f>
        <v>#VALUE!</v>
      </c>
      <c r="O95" s="9" t="e">
        <f t="shared" si="10"/>
        <v>#VALUE!</v>
      </c>
    </row>
    <row r="96" spans="2:15" ht="15.5" x14ac:dyDescent="0.35">
      <c r="B96" s="6" t="e">
        <f t="shared" si="11"/>
        <v>#VALUE!</v>
      </c>
      <c r="C96" s="7" t="e">
        <f t="shared" si="7"/>
        <v>#VALUE!</v>
      </c>
      <c r="D96" s="7" t="e">
        <f t="shared" si="12"/>
        <v>#VALUE!</v>
      </c>
      <c r="E96" s="7" t="e">
        <f>C95*'Compra cartera'!$E$17</f>
        <v>#VALUE!</v>
      </c>
      <c r="F96" s="8" t="e">
        <f>IF(C95&lt;1,"0",IF('Compra cartera'!$D$26="Si",($C$17*(VLOOKUP('Compra cartera'!$C$22,Seguros_Oblig!$A$3:$F$55,6,FALSE))),(C95*(VLOOKUP('Compra cartera'!$C$22,Seguros_Oblig!$A$3:$E$55,5,FALSE)))))</f>
        <v>#VALUE!</v>
      </c>
      <c r="G96" s="8" t="e">
        <f>(C95*(VLOOKUP('Compra cartera'!$C$23,Seguros_Oblig!$A$3:$E$55,5,FALSE)))</f>
        <v>#VALUE!</v>
      </c>
      <c r="H96" s="8" t="e">
        <f>(C95*(VLOOKUP('Compra cartera'!$C$24,Seguros_Oblig!$A$3:$E$55,5,FALSE)))</f>
        <v>#VALUE!</v>
      </c>
      <c r="I96" s="8" t="e">
        <f>(C95*(VLOOKUP('Compra cartera'!$C$25,Seguros_Oblig!$A$3:$E$55,5,FALSE)))</f>
        <v>#VALUE!</v>
      </c>
      <c r="J96" s="10">
        <f t="shared" si="8"/>
        <v>0</v>
      </c>
      <c r="K96" s="7" t="e">
        <f>IF(C95&lt;1,"0",Seguros_Oblig!$K$2*('Compra cartera'!$C$11*90%))</f>
        <v>#VALUE!</v>
      </c>
      <c r="L96" s="7" t="e">
        <f>IF(B96=" ","0",PMT('Compra cartera'!$E$17,'Compra cartera'!$C$31,-'Compra cartera'!$C$14,,))</f>
        <v>#VALUE!</v>
      </c>
      <c r="M96" s="9" t="e">
        <f t="shared" si="9"/>
        <v>#VALUE!</v>
      </c>
      <c r="N96" s="7" t="e">
        <f>IF(C95&lt;1,"0",'Compra cartera'!$C$44)</f>
        <v>#VALUE!</v>
      </c>
      <c r="O96" s="9" t="e">
        <f t="shared" si="10"/>
        <v>#VALUE!</v>
      </c>
    </row>
    <row r="97" spans="2:15" ht="15.5" x14ac:dyDescent="0.35">
      <c r="B97" s="6" t="e">
        <f t="shared" si="11"/>
        <v>#VALUE!</v>
      </c>
      <c r="C97" s="7" t="e">
        <f t="shared" si="7"/>
        <v>#VALUE!</v>
      </c>
      <c r="D97" s="7" t="e">
        <f t="shared" si="12"/>
        <v>#VALUE!</v>
      </c>
      <c r="E97" s="7" t="e">
        <f>C96*'Compra cartera'!$E$17</f>
        <v>#VALUE!</v>
      </c>
      <c r="F97" s="8" t="e">
        <f>IF(C96&lt;1,"0",IF('Compra cartera'!$D$26="Si",($C$17*(VLOOKUP('Compra cartera'!$C$22,Seguros_Oblig!$A$3:$F$55,6,FALSE))),(C96*(VLOOKUP('Compra cartera'!$C$22,Seguros_Oblig!$A$3:$E$55,5,FALSE)))))</f>
        <v>#VALUE!</v>
      </c>
      <c r="G97" s="8" t="e">
        <f>(C96*(VLOOKUP('Compra cartera'!$C$23,Seguros_Oblig!$A$3:$E$55,5,FALSE)))</f>
        <v>#VALUE!</v>
      </c>
      <c r="H97" s="8" t="e">
        <f>(C96*(VLOOKUP('Compra cartera'!$C$24,Seguros_Oblig!$A$3:$E$55,5,FALSE)))</f>
        <v>#VALUE!</v>
      </c>
      <c r="I97" s="8" t="e">
        <f>(C96*(VLOOKUP('Compra cartera'!$C$25,Seguros_Oblig!$A$3:$E$55,5,FALSE)))</f>
        <v>#VALUE!</v>
      </c>
      <c r="J97" s="10">
        <f t="shared" si="8"/>
        <v>0</v>
      </c>
      <c r="K97" s="7" t="e">
        <f>IF(C96&lt;1,"0",Seguros_Oblig!$K$2*('Compra cartera'!$C$11*90%))</f>
        <v>#VALUE!</v>
      </c>
      <c r="L97" s="7" t="e">
        <f>IF(B97=" ","0",PMT('Compra cartera'!$E$17,'Compra cartera'!$C$31,-'Compra cartera'!$C$14,,))</f>
        <v>#VALUE!</v>
      </c>
      <c r="M97" s="9" t="e">
        <f t="shared" si="9"/>
        <v>#VALUE!</v>
      </c>
      <c r="N97" s="7" t="e">
        <f>IF(C96&lt;1,"0",'Compra cartera'!$C$44)</f>
        <v>#VALUE!</v>
      </c>
      <c r="O97" s="9" t="e">
        <f t="shared" si="10"/>
        <v>#VALUE!</v>
      </c>
    </row>
    <row r="98" spans="2:15" ht="15.5" x14ac:dyDescent="0.35">
      <c r="B98" s="6" t="e">
        <f t="shared" si="11"/>
        <v>#VALUE!</v>
      </c>
      <c r="C98" s="7" t="e">
        <f t="shared" si="7"/>
        <v>#VALUE!</v>
      </c>
      <c r="D98" s="7" t="e">
        <f t="shared" si="12"/>
        <v>#VALUE!</v>
      </c>
      <c r="E98" s="7" t="e">
        <f>C97*'Compra cartera'!$E$17</f>
        <v>#VALUE!</v>
      </c>
      <c r="F98" s="8" t="e">
        <f>IF(C97&lt;1,"0",IF('Compra cartera'!$D$26="Si",($C$17*(VLOOKUP('Compra cartera'!$C$22,Seguros_Oblig!$A$3:$F$55,6,FALSE))),(C97*(VLOOKUP('Compra cartera'!$C$22,Seguros_Oblig!$A$3:$E$55,5,FALSE)))))</f>
        <v>#VALUE!</v>
      </c>
      <c r="G98" s="8" t="e">
        <f>(C97*(VLOOKUP('Compra cartera'!$C$23,Seguros_Oblig!$A$3:$E$55,5,FALSE)))</f>
        <v>#VALUE!</v>
      </c>
      <c r="H98" s="8" t="e">
        <f>(C97*(VLOOKUP('Compra cartera'!$C$24,Seguros_Oblig!$A$3:$E$55,5,FALSE)))</f>
        <v>#VALUE!</v>
      </c>
      <c r="I98" s="8" t="e">
        <f>(C97*(VLOOKUP('Compra cartera'!$C$25,Seguros_Oblig!$A$3:$E$55,5,FALSE)))</f>
        <v>#VALUE!</v>
      </c>
      <c r="J98" s="10">
        <f t="shared" si="8"/>
        <v>0</v>
      </c>
      <c r="K98" s="7" t="e">
        <f>IF(C97&lt;1,"0",Seguros_Oblig!$K$2*('Compra cartera'!$C$11*90%))</f>
        <v>#VALUE!</v>
      </c>
      <c r="L98" s="7" t="e">
        <f>IF(B98=" ","0",PMT('Compra cartera'!$E$17,'Compra cartera'!$C$31,-'Compra cartera'!$C$14,,))</f>
        <v>#VALUE!</v>
      </c>
      <c r="M98" s="9" t="e">
        <f t="shared" si="9"/>
        <v>#VALUE!</v>
      </c>
      <c r="N98" s="7" t="e">
        <f>IF(C97&lt;1,"0",'Compra cartera'!$C$44)</f>
        <v>#VALUE!</v>
      </c>
      <c r="O98" s="9" t="e">
        <f t="shared" si="10"/>
        <v>#VALUE!</v>
      </c>
    </row>
    <row r="99" spans="2:15" ht="15.5" x14ac:dyDescent="0.35">
      <c r="B99" s="6" t="e">
        <f t="shared" si="11"/>
        <v>#VALUE!</v>
      </c>
      <c r="C99" s="7" t="e">
        <f t="shared" si="7"/>
        <v>#VALUE!</v>
      </c>
      <c r="D99" s="7" t="e">
        <f t="shared" si="12"/>
        <v>#VALUE!</v>
      </c>
      <c r="E99" s="7" t="e">
        <f>C98*'Compra cartera'!$E$17</f>
        <v>#VALUE!</v>
      </c>
      <c r="F99" s="8" t="e">
        <f>IF(C98&lt;1,"0",IF('Compra cartera'!$D$26="Si",($C$17*(VLOOKUP('Compra cartera'!$C$22,Seguros_Oblig!$A$3:$F$55,6,FALSE))),(C98*(VLOOKUP('Compra cartera'!$C$22,Seguros_Oblig!$A$3:$E$55,5,FALSE)))))</f>
        <v>#VALUE!</v>
      </c>
      <c r="G99" s="8" t="e">
        <f>(C98*(VLOOKUP('Compra cartera'!$C$23,Seguros_Oblig!$A$3:$E$55,5,FALSE)))</f>
        <v>#VALUE!</v>
      </c>
      <c r="H99" s="8" t="e">
        <f>(C98*(VLOOKUP('Compra cartera'!$C$24,Seguros_Oblig!$A$3:$E$55,5,FALSE)))</f>
        <v>#VALUE!</v>
      </c>
      <c r="I99" s="8" t="e">
        <f>(C98*(VLOOKUP('Compra cartera'!$C$25,Seguros_Oblig!$A$3:$E$55,5,FALSE)))</f>
        <v>#VALUE!</v>
      </c>
      <c r="J99" s="10">
        <f t="shared" si="8"/>
        <v>0</v>
      </c>
      <c r="K99" s="7" t="e">
        <f>IF(C98&lt;1,"0",Seguros_Oblig!$K$2*('Compra cartera'!$C$11*90%))</f>
        <v>#VALUE!</v>
      </c>
      <c r="L99" s="7" t="e">
        <f>IF(B99=" ","0",PMT('Compra cartera'!$E$17,'Compra cartera'!$C$31,-'Compra cartera'!$C$14,,))</f>
        <v>#VALUE!</v>
      </c>
      <c r="M99" s="9" t="e">
        <f t="shared" si="9"/>
        <v>#VALUE!</v>
      </c>
      <c r="N99" s="7" t="e">
        <f>IF(C98&lt;1,"0",'Compra cartera'!$C$44)</f>
        <v>#VALUE!</v>
      </c>
      <c r="O99" s="9" t="e">
        <f t="shared" si="10"/>
        <v>#VALUE!</v>
      </c>
    </row>
    <row r="100" spans="2:15" ht="15.5" x14ac:dyDescent="0.35">
      <c r="B100" s="6" t="e">
        <f t="shared" si="11"/>
        <v>#VALUE!</v>
      </c>
      <c r="C100" s="7" t="e">
        <f t="shared" si="7"/>
        <v>#VALUE!</v>
      </c>
      <c r="D100" s="7" t="e">
        <f t="shared" si="12"/>
        <v>#VALUE!</v>
      </c>
      <c r="E100" s="7" t="e">
        <f>C99*'Compra cartera'!$E$17</f>
        <v>#VALUE!</v>
      </c>
      <c r="F100" s="8" t="e">
        <f>IF(C99&lt;1,"0",IF('Compra cartera'!$D$26="Si",($C$17*(VLOOKUP('Compra cartera'!$C$22,Seguros_Oblig!$A$3:$F$55,6,FALSE))),(C99*(VLOOKUP('Compra cartera'!$C$22,Seguros_Oblig!$A$3:$E$55,5,FALSE)))))</f>
        <v>#VALUE!</v>
      </c>
      <c r="G100" s="8" t="e">
        <f>(C99*(VLOOKUP('Compra cartera'!$C$23,Seguros_Oblig!$A$3:$E$55,5,FALSE)))</f>
        <v>#VALUE!</v>
      </c>
      <c r="H100" s="8" t="e">
        <f>(C99*(VLOOKUP('Compra cartera'!$C$24,Seguros_Oblig!$A$3:$E$55,5,FALSE)))</f>
        <v>#VALUE!</v>
      </c>
      <c r="I100" s="8" t="e">
        <f>(C99*(VLOOKUP('Compra cartera'!$C$25,Seguros_Oblig!$A$3:$E$55,5,FALSE)))</f>
        <v>#VALUE!</v>
      </c>
      <c r="J100" s="10">
        <f t="shared" si="8"/>
        <v>0</v>
      </c>
      <c r="K100" s="7" t="e">
        <f>IF(C99&lt;1,"0",Seguros_Oblig!$K$2*('Compra cartera'!$C$11*90%))</f>
        <v>#VALUE!</v>
      </c>
      <c r="L100" s="7" t="e">
        <f>IF(B100=" ","0",PMT('Compra cartera'!$E$17,'Compra cartera'!$C$31,-'Compra cartera'!$C$14,,))</f>
        <v>#VALUE!</v>
      </c>
      <c r="M100" s="9" t="e">
        <f t="shared" si="9"/>
        <v>#VALUE!</v>
      </c>
      <c r="N100" s="7" t="e">
        <f>IF(C99&lt;1,"0",'Compra cartera'!$C$44)</f>
        <v>#VALUE!</v>
      </c>
      <c r="O100" s="9" t="e">
        <f t="shared" si="10"/>
        <v>#VALUE!</v>
      </c>
    </row>
    <row r="101" spans="2:15" ht="15.5" x14ac:dyDescent="0.35">
      <c r="B101" s="6" t="e">
        <f t="shared" si="11"/>
        <v>#VALUE!</v>
      </c>
      <c r="C101" s="7" t="e">
        <f t="shared" si="7"/>
        <v>#VALUE!</v>
      </c>
      <c r="D101" s="7" t="e">
        <f t="shared" si="12"/>
        <v>#VALUE!</v>
      </c>
      <c r="E101" s="7" t="e">
        <f>C100*'Compra cartera'!$E$17</f>
        <v>#VALUE!</v>
      </c>
      <c r="F101" s="8" t="e">
        <f>IF(C100&lt;1,"0",IF('Compra cartera'!$D$26="Si",($C$17*(VLOOKUP('Compra cartera'!$C$22,Seguros_Oblig!$A$3:$F$55,6,FALSE))),(C100*(VLOOKUP('Compra cartera'!$C$22,Seguros_Oblig!$A$3:$E$55,5,FALSE)))))</f>
        <v>#VALUE!</v>
      </c>
      <c r="G101" s="8" t="e">
        <f>(C100*(VLOOKUP('Compra cartera'!$C$23,Seguros_Oblig!$A$3:$E$55,5,FALSE)))</f>
        <v>#VALUE!</v>
      </c>
      <c r="H101" s="8" t="e">
        <f>(C100*(VLOOKUP('Compra cartera'!$C$24,Seguros_Oblig!$A$3:$E$55,5,FALSE)))</f>
        <v>#VALUE!</v>
      </c>
      <c r="I101" s="8" t="e">
        <f>(C100*(VLOOKUP('Compra cartera'!$C$25,Seguros_Oblig!$A$3:$E$55,5,FALSE)))</f>
        <v>#VALUE!</v>
      </c>
      <c r="J101" s="10">
        <f t="shared" si="8"/>
        <v>0</v>
      </c>
      <c r="K101" s="7" t="e">
        <f>IF(C100&lt;1,"0",Seguros_Oblig!$K$2*('Compra cartera'!$C$11*90%))</f>
        <v>#VALUE!</v>
      </c>
      <c r="L101" s="7" t="e">
        <f>IF(B101=" ","0",PMT('Compra cartera'!$E$17,'Compra cartera'!$C$31,-'Compra cartera'!$C$14,,))</f>
        <v>#VALUE!</v>
      </c>
      <c r="M101" s="9" t="e">
        <f t="shared" si="9"/>
        <v>#VALUE!</v>
      </c>
      <c r="N101" s="7" t="e">
        <f>IF(C100&lt;1,"0",'Compra cartera'!$C$44)</f>
        <v>#VALUE!</v>
      </c>
      <c r="O101" s="9" t="e">
        <f t="shared" si="10"/>
        <v>#VALUE!</v>
      </c>
    </row>
    <row r="102" spans="2:15" ht="15.5" x14ac:dyDescent="0.35">
      <c r="B102" s="6" t="e">
        <f t="shared" si="11"/>
        <v>#VALUE!</v>
      </c>
      <c r="C102" s="7" t="e">
        <f t="shared" si="7"/>
        <v>#VALUE!</v>
      </c>
      <c r="D102" s="7" t="e">
        <f t="shared" si="12"/>
        <v>#VALUE!</v>
      </c>
      <c r="E102" s="7" t="e">
        <f>C101*'Compra cartera'!$E$17</f>
        <v>#VALUE!</v>
      </c>
      <c r="F102" s="8" t="e">
        <f>IF(C101&lt;1,"0",IF('Compra cartera'!$D$26="Si",($C$17*(VLOOKUP('Compra cartera'!$C$22,Seguros_Oblig!$A$3:$F$55,6,FALSE))),(C101*(VLOOKUP('Compra cartera'!$C$22,Seguros_Oblig!$A$3:$E$55,5,FALSE)))))</f>
        <v>#VALUE!</v>
      </c>
      <c r="G102" s="8" t="e">
        <f>(C101*(VLOOKUP('Compra cartera'!$C$23,Seguros_Oblig!$A$3:$E$55,5,FALSE)))</f>
        <v>#VALUE!</v>
      </c>
      <c r="H102" s="8" t="e">
        <f>(C101*(VLOOKUP('Compra cartera'!$C$24,Seguros_Oblig!$A$3:$E$55,5,FALSE)))</f>
        <v>#VALUE!</v>
      </c>
      <c r="I102" s="8" t="e">
        <f>(C101*(VLOOKUP('Compra cartera'!$C$25,Seguros_Oblig!$A$3:$E$55,5,FALSE)))</f>
        <v>#VALUE!</v>
      </c>
      <c r="J102" s="10">
        <f t="shared" si="8"/>
        <v>0</v>
      </c>
      <c r="K102" s="7" t="e">
        <f>IF(C101&lt;1,"0",Seguros_Oblig!$K$2*('Compra cartera'!$C$11*90%))</f>
        <v>#VALUE!</v>
      </c>
      <c r="L102" s="7" t="e">
        <f>IF(B102=" ","0",PMT('Compra cartera'!$E$17,'Compra cartera'!$C$31,-'Compra cartera'!$C$14,,))</f>
        <v>#VALUE!</v>
      </c>
      <c r="M102" s="9" t="e">
        <f t="shared" si="9"/>
        <v>#VALUE!</v>
      </c>
      <c r="N102" s="7" t="e">
        <f>IF(C101&lt;1,"0",'Compra cartera'!$C$44)</f>
        <v>#VALUE!</v>
      </c>
      <c r="O102" s="9" t="e">
        <f t="shared" si="10"/>
        <v>#VALUE!</v>
      </c>
    </row>
    <row r="103" spans="2:15" ht="15.5" x14ac:dyDescent="0.35">
      <c r="B103" s="6" t="e">
        <f t="shared" si="11"/>
        <v>#VALUE!</v>
      </c>
      <c r="C103" s="7" t="e">
        <f t="shared" si="7"/>
        <v>#VALUE!</v>
      </c>
      <c r="D103" s="7" t="e">
        <f t="shared" si="12"/>
        <v>#VALUE!</v>
      </c>
      <c r="E103" s="7" t="e">
        <f>C102*'Compra cartera'!$E$17</f>
        <v>#VALUE!</v>
      </c>
      <c r="F103" s="8" t="e">
        <f>IF(C102&lt;1,"0",IF('Compra cartera'!$D$26="Si",($C$17*(VLOOKUP('Compra cartera'!$C$22,Seguros_Oblig!$A$3:$F$55,6,FALSE))),(C102*(VLOOKUP('Compra cartera'!$C$22,Seguros_Oblig!$A$3:$E$55,5,FALSE)))))</f>
        <v>#VALUE!</v>
      </c>
      <c r="G103" s="8" t="e">
        <f>(C102*(VLOOKUP('Compra cartera'!$C$23,Seguros_Oblig!$A$3:$E$55,5,FALSE)))</f>
        <v>#VALUE!</v>
      </c>
      <c r="H103" s="8" t="e">
        <f>(C102*(VLOOKUP('Compra cartera'!$C$24,Seguros_Oblig!$A$3:$E$55,5,FALSE)))</f>
        <v>#VALUE!</v>
      </c>
      <c r="I103" s="8" t="e">
        <f>(C102*(VLOOKUP('Compra cartera'!$C$25,Seguros_Oblig!$A$3:$E$55,5,FALSE)))</f>
        <v>#VALUE!</v>
      </c>
      <c r="J103" s="10">
        <f t="shared" si="8"/>
        <v>0</v>
      </c>
      <c r="K103" s="7" t="e">
        <f>IF(C102&lt;1,"0",Seguros_Oblig!$K$2*('Compra cartera'!$C$11*90%))</f>
        <v>#VALUE!</v>
      </c>
      <c r="L103" s="7" t="e">
        <f>IF(B103=" ","0",PMT('Compra cartera'!$E$17,'Compra cartera'!$C$31,-'Compra cartera'!$C$14,,))</f>
        <v>#VALUE!</v>
      </c>
      <c r="M103" s="9" t="e">
        <f t="shared" si="9"/>
        <v>#VALUE!</v>
      </c>
      <c r="N103" s="7" t="e">
        <f>IF(C102&lt;1,"0",'Compra cartera'!$C$44)</f>
        <v>#VALUE!</v>
      </c>
      <c r="O103" s="9" t="e">
        <f t="shared" si="10"/>
        <v>#VALUE!</v>
      </c>
    </row>
    <row r="104" spans="2:15" ht="15.5" x14ac:dyDescent="0.35">
      <c r="B104" s="6" t="e">
        <f t="shared" si="11"/>
        <v>#VALUE!</v>
      </c>
      <c r="C104" s="7" t="e">
        <f t="shared" si="7"/>
        <v>#VALUE!</v>
      </c>
      <c r="D104" s="7" t="e">
        <f t="shared" si="12"/>
        <v>#VALUE!</v>
      </c>
      <c r="E104" s="7" t="e">
        <f>C103*'Compra cartera'!$E$17</f>
        <v>#VALUE!</v>
      </c>
      <c r="F104" s="8" t="e">
        <f>IF(C103&lt;1,"0",IF('Compra cartera'!$D$26="Si",($C$17*(VLOOKUP('Compra cartera'!$C$22,Seguros_Oblig!$A$3:$F$55,6,FALSE))),(C103*(VLOOKUP('Compra cartera'!$C$22,Seguros_Oblig!$A$3:$E$55,5,FALSE)))))</f>
        <v>#VALUE!</v>
      </c>
      <c r="G104" s="8" t="e">
        <f>(C103*(VLOOKUP('Compra cartera'!$C$23,Seguros_Oblig!$A$3:$E$55,5,FALSE)))</f>
        <v>#VALUE!</v>
      </c>
      <c r="H104" s="8" t="e">
        <f>(C103*(VLOOKUP('Compra cartera'!$C$24,Seguros_Oblig!$A$3:$E$55,5,FALSE)))</f>
        <v>#VALUE!</v>
      </c>
      <c r="I104" s="8" t="e">
        <f>(C103*(VLOOKUP('Compra cartera'!$C$25,Seguros_Oblig!$A$3:$E$55,5,FALSE)))</f>
        <v>#VALUE!</v>
      </c>
      <c r="J104" s="10">
        <f t="shared" si="8"/>
        <v>0</v>
      </c>
      <c r="K104" s="7" t="e">
        <f>IF(C103&lt;1,"0",Seguros_Oblig!$K$2*('Compra cartera'!$C$11*90%))</f>
        <v>#VALUE!</v>
      </c>
      <c r="L104" s="7" t="e">
        <f>IF(B104=" ","0",PMT('Compra cartera'!$E$17,'Compra cartera'!$C$31,-'Compra cartera'!$C$14,,))</f>
        <v>#VALUE!</v>
      </c>
      <c r="M104" s="9" t="e">
        <f t="shared" si="9"/>
        <v>#VALUE!</v>
      </c>
      <c r="N104" s="7" t="e">
        <f>IF(C103&lt;1,"0",'Compra cartera'!$C$44)</f>
        <v>#VALUE!</v>
      </c>
      <c r="O104" s="9" t="e">
        <f t="shared" si="10"/>
        <v>#VALUE!</v>
      </c>
    </row>
    <row r="105" spans="2:15" ht="15.5" x14ac:dyDescent="0.35">
      <c r="B105" s="6" t="e">
        <f t="shared" si="11"/>
        <v>#VALUE!</v>
      </c>
      <c r="C105" s="7" t="e">
        <f t="shared" si="7"/>
        <v>#VALUE!</v>
      </c>
      <c r="D105" s="7" t="e">
        <f t="shared" si="12"/>
        <v>#VALUE!</v>
      </c>
      <c r="E105" s="7" t="e">
        <f>C104*'Compra cartera'!$E$17</f>
        <v>#VALUE!</v>
      </c>
      <c r="F105" s="8" t="e">
        <f>IF(C104&lt;1,"0",IF('Compra cartera'!$D$26="Si",($C$17*(VLOOKUP('Compra cartera'!$C$22,Seguros_Oblig!$A$3:$F$55,6,FALSE))),(C104*(VLOOKUP('Compra cartera'!$C$22,Seguros_Oblig!$A$3:$E$55,5,FALSE)))))</f>
        <v>#VALUE!</v>
      </c>
      <c r="G105" s="8" t="e">
        <f>(C104*(VLOOKUP('Compra cartera'!$C$23,Seguros_Oblig!$A$3:$E$55,5,FALSE)))</f>
        <v>#VALUE!</v>
      </c>
      <c r="H105" s="8" t="e">
        <f>(C104*(VLOOKUP('Compra cartera'!$C$24,Seguros_Oblig!$A$3:$E$55,5,FALSE)))</f>
        <v>#VALUE!</v>
      </c>
      <c r="I105" s="8" t="e">
        <f>(C104*(VLOOKUP('Compra cartera'!$C$25,Seguros_Oblig!$A$3:$E$55,5,FALSE)))</f>
        <v>#VALUE!</v>
      </c>
      <c r="J105" s="10">
        <f t="shared" si="8"/>
        <v>0</v>
      </c>
      <c r="K105" s="7" t="e">
        <f>IF(C104&lt;1,"0",Seguros_Oblig!$K$2*('Compra cartera'!$C$11*90%))</f>
        <v>#VALUE!</v>
      </c>
      <c r="L105" s="7" t="e">
        <f>IF(B105=" ","0",PMT('Compra cartera'!$E$17,'Compra cartera'!$C$31,-'Compra cartera'!$C$14,,))</f>
        <v>#VALUE!</v>
      </c>
      <c r="M105" s="9" t="e">
        <f t="shared" si="9"/>
        <v>#VALUE!</v>
      </c>
      <c r="N105" s="7" t="e">
        <f>IF(C104&lt;1,"0",'Compra cartera'!$C$44)</f>
        <v>#VALUE!</v>
      </c>
      <c r="O105" s="9" t="e">
        <f t="shared" si="10"/>
        <v>#VALUE!</v>
      </c>
    </row>
    <row r="106" spans="2:15" ht="15.5" x14ac:dyDescent="0.35">
      <c r="B106" s="6" t="e">
        <f t="shared" si="11"/>
        <v>#VALUE!</v>
      </c>
      <c r="C106" s="7" t="e">
        <f t="shared" si="7"/>
        <v>#VALUE!</v>
      </c>
      <c r="D106" s="7" t="e">
        <f t="shared" si="12"/>
        <v>#VALUE!</v>
      </c>
      <c r="E106" s="7" t="e">
        <f>C105*'Compra cartera'!$E$17</f>
        <v>#VALUE!</v>
      </c>
      <c r="F106" s="8" t="e">
        <f>IF(C105&lt;1,"0",IF('Compra cartera'!$D$26="Si",($C$17*(VLOOKUP('Compra cartera'!$C$22,Seguros_Oblig!$A$3:$F$55,6,FALSE))),(C105*(VLOOKUP('Compra cartera'!$C$22,Seguros_Oblig!$A$3:$E$55,5,FALSE)))))</f>
        <v>#VALUE!</v>
      </c>
      <c r="G106" s="8" t="e">
        <f>(C105*(VLOOKUP('Compra cartera'!$C$23,Seguros_Oblig!$A$3:$E$55,5,FALSE)))</f>
        <v>#VALUE!</v>
      </c>
      <c r="H106" s="8" t="e">
        <f>(C105*(VLOOKUP('Compra cartera'!$C$24,Seguros_Oblig!$A$3:$E$55,5,FALSE)))</f>
        <v>#VALUE!</v>
      </c>
      <c r="I106" s="8" t="e">
        <f>(C105*(VLOOKUP('Compra cartera'!$C$25,Seguros_Oblig!$A$3:$E$55,5,FALSE)))</f>
        <v>#VALUE!</v>
      </c>
      <c r="J106" s="10">
        <f t="shared" si="8"/>
        <v>0</v>
      </c>
      <c r="K106" s="7" t="e">
        <f>IF(C105&lt;1,"0",Seguros_Oblig!$K$2*('Compra cartera'!$C$11*90%))</f>
        <v>#VALUE!</v>
      </c>
      <c r="L106" s="7" t="e">
        <f>IF(B106=" ","0",PMT('Compra cartera'!$E$17,'Compra cartera'!$C$31,-'Compra cartera'!$C$14,,))</f>
        <v>#VALUE!</v>
      </c>
      <c r="M106" s="9" t="e">
        <f t="shared" si="9"/>
        <v>#VALUE!</v>
      </c>
      <c r="N106" s="7" t="e">
        <f>IF(C105&lt;1,"0",'Compra cartera'!$C$44)</f>
        <v>#VALUE!</v>
      </c>
      <c r="O106" s="9" t="e">
        <f t="shared" si="10"/>
        <v>#VALUE!</v>
      </c>
    </row>
    <row r="107" spans="2:15" ht="15.5" x14ac:dyDescent="0.35">
      <c r="B107" s="6" t="e">
        <f t="shared" si="11"/>
        <v>#VALUE!</v>
      </c>
      <c r="C107" s="7" t="e">
        <f t="shared" si="7"/>
        <v>#VALUE!</v>
      </c>
      <c r="D107" s="7" t="e">
        <f t="shared" si="12"/>
        <v>#VALUE!</v>
      </c>
      <c r="E107" s="7" t="e">
        <f>C106*'Compra cartera'!$E$17</f>
        <v>#VALUE!</v>
      </c>
      <c r="F107" s="8" t="e">
        <f>IF(C106&lt;1,"0",IF('Compra cartera'!$D$26="Si",($C$17*(VLOOKUP('Compra cartera'!$C$22,Seguros_Oblig!$A$3:$F$55,6,FALSE))),(C106*(VLOOKUP('Compra cartera'!$C$22,Seguros_Oblig!$A$3:$E$55,5,FALSE)))))</f>
        <v>#VALUE!</v>
      </c>
      <c r="G107" s="8" t="e">
        <f>(C106*(VLOOKUP('Compra cartera'!$C$23,Seguros_Oblig!$A$3:$E$55,5,FALSE)))</f>
        <v>#VALUE!</v>
      </c>
      <c r="H107" s="8" t="e">
        <f>(C106*(VLOOKUP('Compra cartera'!$C$24,Seguros_Oblig!$A$3:$E$55,5,FALSE)))</f>
        <v>#VALUE!</v>
      </c>
      <c r="I107" s="8" t="e">
        <f>(C106*(VLOOKUP('Compra cartera'!$C$25,Seguros_Oblig!$A$3:$E$55,5,FALSE)))</f>
        <v>#VALUE!</v>
      </c>
      <c r="J107" s="10">
        <f t="shared" si="8"/>
        <v>0</v>
      </c>
      <c r="K107" s="7" t="e">
        <f>IF(C106&lt;1,"0",Seguros_Oblig!$K$2*('Compra cartera'!$C$11*90%))</f>
        <v>#VALUE!</v>
      </c>
      <c r="L107" s="7" t="e">
        <f>IF(B107=" ","0",PMT('Compra cartera'!$E$17,'Compra cartera'!$C$31,-'Compra cartera'!$C$14,,))</f>
        <v>#VALUE!</v>
      </c>
      <c r="M107" s="9" t="e">
        <f t="shared" si="9"/>
        <v>#VALUE!</v>
      </c>
      <c r="N107" s="7" t="e">
        <f>IF(C106&lt;1,"0",'Compra cartera'!$C$44)</f>
        <v>#VALUE!</v>
      </c>
      <c r="O107" s="9" t="e">
        <f t="shared" si="10"/>
        <v>#VALUE!</v>
      </c>
    </row>
    <row r="108" spans="2:15" ht="15.5" x14ac:dyDescent="0.35">
      <c r="B108" s="6" t="e">
        <f t="shared" si="11"/>
        <v>#VALUE!</v>
      </c>
      <c r="C108" s="7" t="e">
        <f t="shared" si="7"/>
        <v>#VALUE!</v>
      </c>
      <c r="D108" s="7" t="e">
        <f t="shared" si="12"/>
        <v>#VALUE!</v>
      </c>
      <c r="E108" s="7" t="e">
        <f>C107*'Compra cartera'!$E$17</f>
        <v>#VALUE!</v>
      </c>
      <c r="F108" s="8" t="e">
        <f>IF(C107&lt;1,"0",IF('Compra cartera'!$D$26="Si",($C$17*(VLOOKUP('Compra cartera'!$C$22,Seguros_Oblig!$A$3:$F$55,6,FALSE))),(C107*(VLOOKUP('Compra cartera'!$C$22,Seguros_Oblig!$A$3:$E$55,5,FALSE)))))</f>
        <v>#VALUE!</v>
      </c>
      <c r="G108" s="8" t="e">
        <f>(C107*(VLOOKUP('Compra cartera'!$C$23,Seguros_Oblig!$A$3:$E$55,5,FALSE)))</f>
        <v>#VALUE!</v>
      </c>
      <c r="H108" s="8" t="e">
        <f>(C107*(VLOOKUP('Compra cartera'!$C$24,Seguros_Oblig!$A$3:$E$55,5,FALSE)))</f>
        <v>#VALUE!</v>
      </c>
      <c r="I108" s="8" t="e">
        <f>(C107*(VLOOKUP('Compra cartera'!$C$25,Seguros_Oblig!$A$3:$E$55,5,FALSE)))</f>
        <v>#VALUE!</v>
      </c>
      <c r="J108" s="10">
        <f t="shared" si="8"/>
        <v>0</v>
      </c>
      <c r="K108" s="7" t="e">
        <f>IF(C107&lt;1,"0",Seguros_Oblig!$K$2*('Compra cartera'!$C$11*90%))</f>
        <v>#VALUE!</v>
      </c>
      <c r="L108" s="7" t="e">
        <f>IF(B108=" ","0",PMT('Compra cartera'!$E$17,'Compra cartera'!$C$31,-'Compra cartera'!$C$14,,))</f>
        <v>#VALUE!</v>
      </c>
      <c r="M108" s="9" t="e">
        <f t="shared" si="9"/>
        <v>#VALUE!</v>
      </c>
      <c r="N108" s="7" t="e">
        <f>IF(C107&lt;1,"0",'Compra cartera'!$C$44)</f>
        <v>#VALUE!</v>
      </c>
      <c r="O108" s="9" t="e">
        <f t="shared" si="10"/>
        <v>#VALUE!</v>
      </c>
    </row>
    <row r="109" spans="2:15" ht="15.5" x14ac:dyDescent="0.35">
      <c r="B109" s="6" t="e">
        <f t="shared" si="11"/>
        <v>#VALUE!</v>
      </c>
      <c r="C109" s="7" t="e">
        <f t="shared" si="7"/>
        <v>#VALUE!</v>
      </c>
      <c r="D109" s="7" t="e">
        <f t="shared" si="12"/>
        <v>#VALUE!</v>
      </c>
      <c r="E109" s="7" t="e">
        <f>C108*'Compra cartera'!$E$17</f>
        <v>#VALUE!</v>
      </c>
      <c r="F109" s="8" t="e">
        <f>IF(C108&lt;1,"0",IF('Compra cartera'!$D$26="Si",($C$17*(VLOOKUP('Compra cartera'!$C$22,Seguros_Oblig!$A$3:$F$55,6,FALSE))),(C108*(VLOOKUP('Compra cartera'!$C$22,Seguros_Oblig!$A$3:$E$55,5,FALSE)))))</f>
        <v>#VALUE!</v>
      </c>
      <c r="G109" s="8" t="e">
        <f>(C108*(VLOOKUP('Compra cartera'!$C$23,Seguros_Oblig!$A$3:$E$55,5,FALSE)))</f>
        <v>#VALUE!</v>
      </c>
      <c r="H109" s="8" t="e">
        <f>(C108*(VLOOKUP('Compra cartera'!$C$24,Seguros_Oblig!$A$3:$E$55,5,FALSE)))</f>
        <v>#VALUE!</v>
      </c>
      <c r="I109" s="8" t="e">
        <f>(C108*(VLOOKUP('Compra cartera'!$C$25,Seguros_Oblig!$A$3:$E$55,5,FALSE)))</f>
        <v>#VALUE!</v>
      </c>
      <c r="J109" s="10">
        <f t="shared" si="8"/>
        <v>0</v>
      </c>
      <c r="K109" s="7" t="e">
        <f>IF(C108&lt;1,"0",Seguros_Oblig!$K$2*('Compra cartera'!$C$11*90%))</f>
        <v>#VALUE!</v>
      </c>
      <c r="L109" s="7" t="e">
        <f>IF(B109=" ","0",PMT('Compra cartera'!$E$17,'Compra cartera'!$C$31,-'Compra cartera'!$C$14,,))</f>
        <v>#VALUE!</v>
      </c>
      <c r="M109" s="9" t="e">
        <f t="shared" si="9"/>
        <v>#VALUE!</v>
      </c>
      <c r="N109" s="7" t="e">
        <f>IF(C108&lt;1,"0",'Compra cartera'!$C$44)</f>
        <v>#VALUE!</v>
      </c>
      <c r="O109" s="9" t="e">
        <f t="shared" si="10"/>
        <v>#VALUE!</v>
      </c>
    </row>
    <row r="110" spans="2:15" ht="15.5" x14ac:dyDescent="0.35">
      <c r="B110" s="6" t="e">
        <f t="shared" si="11"/>
        <v>#VALUE!</v>
      </c>
      <c r="C110" s="7" t="e">
        <f t="shared" si="7"/>
        <v>#VALUE!</v>
      </c>
      <c r="D110" s="7" t="e">
        <f t="shared" si="12"/>
        <v>#VALUE!</v>
      </c>
      <c r="E110" s="7" t="e">
        <f>C109*'Compra cartera'!$E$17</f>
        <v>#VALUE!</v>
      </c>
      <c r="F110" s="8" t="e">
        <f>IF(C109&lt;1,"0",IF('Compra cartera'!$D$26="Si",($C$17*(VLOOKUP('Compra cartera'!$C$22,Seguros_Oblig!$A$3:$F$55,6,FALSE))),(C109*(VLOOKUP('Compra cartera'!$C$22,Seguros_Oblig!$A$3:$E$55,5,FALSE)))))</f>
        <v>#VALUE!</v>
      </c>
      <c r="G110" s="8" t="e">
        <f>(C109*(VLOOKUP('Compra cartera'!$C$23,Seguros_Oblig!$A$3:$E$55,5,FALSE)))</f>
        <v>#VALUE!</v>
      </c>
      <c r="H110" s="8" t="e">
        <f>(C109*(VLOOKUP('Compra cartera'!$C$24,Seguros_Oblig!$A$3:$E$55,5,FALSE)))</f>
        <v>#VALUE!</v>
      </c>
      <c r="I110" s="8" t="e">
        <f>(C109*(VLOOKUP('Compra cartera'!$C$25,Seguros_Oblig!$A$3:$E$55,5,FALSE)))</f>
        <v>#VALUE!</v>
      </c>
      <c r="J110" s="10">
        <f t="shared" si="8"/>
        <v>0</v>
      </c>
      <c r="K110" s="7" t="e">
        <f>IF(C109&lt;1,"0",Seguros_Oblig!$K$2*('Compra cartera'!$C$11*90%))</f>
        <v>#VALUE!</v>
      </c>
      <c r="L110" s="7" t="e">
        <f>IF(B110=" ","0",PMT('Compra cartera'!$E$17,'Compra cartera'!$C$31,-'Compra cartera'!$C$14,,))</f>
        <v>#VALUE!</v>
      </c>
      <c r="M110" s="9" t="e">
        <f t="shared" si="9"/>
        <v>#VALUE!</v>
      </c>
      <c r="N110" s="7" t="e">
        <f>IF(C109&lt;1,"0",'Compra cartera'!$C$44)</f>
        <v>#VALUE!</v>
      </c>
      <c r="O110" s="9" t="e">
        <f t="shared" si="10"/>
        <v>#VALUE!</v>
      </c>
    </row>
    <row r="111" spans="2:15" ht="15.5" x14ac:dyDescent="0.35">
      <c r="B111" s="6" t="e">
        <f t="shared" si="11"/>
        <v>#VALUE!</v>
      </c>
      <c r="C111" s="7" t="e">
        <f t="shared" si="7"/>
        <v>#VALUE!</v>
      </c>
      <c r="D111" s="7" t="e">
        <f t="shared" si="12"/>
        <v>#VALUE!</v>
      </c>
      <c r="E111" s="7" t="e">
        <f>C110*'Compra cartera'!$E$17</f>
        <v>#VALUE!</v>
      </c>
      <c r="F111" s="8" t="e">
        <f>IF(C110&lt;1,"0",IF('Compra cartera'!$D$26="Si",($C$17*(VLOOKUP('Compra cartera'!$C$22,Seguros_Oblig!$A$3:$F$55,6,FALSE))),(C110*(VLOOKUP('Compra cartera'!$C$22,Seguros_Oblig!$A$3:$E$55,5,FALSE)))))</f>
        <v>#VALUE!</v>
      </c>
      <c r="G111" s="8" t="e">
        <f>(C110*(VLOOKUP('Compra cartera'!$C$23,Seguros_Oblig!$A$3:$E$55,5,FALSE)))</f>
        <v>#VALUE!</v>
      </c>
      <c r="H111" s="8" t="e">
        <f>(C110*(VLOOKUP('Compra cartera'!$C$24,Seguros_Oblig!$A$3:$E$55,5,FALSE)))</f>
        <v>#VALUE!</v>
      </c>
      <c r="I111" s="8" t="e">
        <f>(C110*(VLOOKUP('Compra cartera'!$C$25,Seguros_Oblig!$A$3:$E$55,5,FALSE)))</f>
        <v>#VALUE!</v>
      </c>
      <c r="J111" s="10">
        <f t="shared" si="8"/>
        <v>0</v>
      </c>
      <c r="K111" s="7" t="e">
        <f>IF(C110&lt;1,"0",Seguros_Oblig!$K$2*('Compra cartera'!$C$11*90%))</f>
        <v>#VALUE!</v>
      </c>
      <c r="L111" s="7" t="e">
        <f>IF(B111=" ","0",PMT('Compra cartera'!$E$17,'Compra cartera'!$C$31,-'Compra cartera'!$C$14,,))</f>
        <v>#VALUE!</v>
      </c>
      <c r="M111" s="9" t="e">
        <f t="shared" si="9"/>
        <v>#VALUE!</v>
      </c>
      <c r="N111" s="7" t="e">
        <f>IF(C110&lt;1,"0",'Compra cartera'!$C$44)</f>
        <v>#VALUE!</v>
      </c>
      <c r="O111" s="9" t="e">
        <f t="shared" si="10"/>
        <v>#VALUE!</v>
      </c>
    </row>
    <row r="112" spans="2:15" ht="15.5" x14ac:dyDescent="0.35">
      <c r="B112" s="6" t="e">
        <f t="shared" si="11"/>
        <v>#VALUE!</v>
      </c>
      <c r="C112" s="7" t="e">
        <f t="shared" si="7"/>
        <v>#VALUE!</v>
      </c>
      <c r="D112" s="7" t="e">
        <f t="shared" si="12"/>
        <v>#VALUE!</v>
      </c>
      <c r="E112" s="7" t="e">
        <f>C111*'Compra cartera'!$E$17</f>
        <v>#VALUE!</v>
      </c>
      <c r="F112" s="8" t="e">
        <f>IF(C111&lt;1,"0",IF('Compra cartera'!$D$26="Si",($C$17*(VLOOKUP('Compra cartera'!$C$22,Seguros_Oblig!$A$3:$F$55,6,FALSE))),(C111*(VLOOKUP('Compra cartera'!$C$22,Seguros_Oblig!$A$3:$E$55,5,FALSE)))))</f>
        <v>#VALUE!</v>
      </c>
      <c r="G112" s="8" t="e">
        <f>(C111*(VLOOKUP('Compra cartera'!$C$23,Seguros_Oblig!$A$3:$E$55,5,FALSE)))</f>
        <v>#VALUE!</v>
      </c>
      <c r="H112" s="8" t="e">
        <f>(C111*(VLOOKUP('Compra cartera'!$C$24,Seguros_Oblig!$A$3:$E$55,5,FALSE)))</f>
        <v>#VALUE!</v>
      </c>
      <c r="I112" s="8" t="e">
        <f>(C111*(VLOOKUP('Compra cartera'!$C$25,Seguros_Oblig!$A$3:$E$55,5,FALSE)))</f>
        <v>#VALUE!</v>
      </c>
      <c r="J112" s="10">
        <f t="shared" si="8"/>
        <v>0</v>
      </c>
      <c r="K112" s="7" t="e">
        <f>IF(C111&lt;1,"0",Seguros_Oblig!$K$2*('Compra cartera'!$C$11*90%))</f>
        <v>#VALUE!</v>
      </c>
      <c r="L112" s="7" t="e">
        <f>IF(B112=" ","0",PMT('Compra cartera'!$E$17,'Compra cartera'!$C$31,-'Compra cartera'!$C$14,,))</f>
        <v>#VALUE!</v>
      </c>
      <c r="M112" s="9" t="e">
        <f t="shared" si="9"/>
        <v>#VALUE!</v>
      </c>
      <c r="N112" s="7" t="e">
        <f>IF(C111&lt;1,"0",'Compra cartera'!$C$44)</f>
        <v>#VALUE!</v>
      </c>
      <c r="O112" s="9" t="e">
        <f t="shared" si="10"/>
        <v>#VALUE!</v>
      </c>
    </row>
    <row r="113" spans="2:15" ht="15.5" x14ac:dyDescent="0.35">
      <c r="B113" s="6" t="e">
        <f t="shared" si="11"/>
        <v>#VALUE!</v>
      </c>
      <c r="C113" s="7" t="e">
        <f t="shared" si="7"/>
        <v>#VALUE!</v>
      </c>
      <c r="D113" s="7" t="e">
        <f t="shared" si="12"/>
        <v>#VALUE!</v>
      </c>
      <c r="E113" s="7" t="e">
        <f>C112*'Compra cartera'!$E$17</f>
        <v>#VALUE!</v>
      </c>
      <c r="F113" s="8" t="e">
        <f>IF(C112&lt;1,"0",IF('Compra cartera'!$D$26="Si",($C$17*(VLOOKUP('Compra cartera'!$C$22,Seguros_Oblig!$A$3:$F$55,6,FALSE))),(C112*(VLOOKUP('Compra cartera'!$C$22,Seguros_Oblig!$A$3:$E$55,5,FALSE)))))</f>
        <v>#VALUE!</v>
      </c>
      <c r="G113" s="8" t="e">
        <f>(C112*(VLOOKUP('Compra cartera'!$C$23,Seguros_Oblig!$A$3:$E$55,5,FALSE)))</f>
        <v>#VALUE!</v>
      </c>
      <c r="H113" s="8" t="e">
        <f>(C112*(VLOOKUP('Compra cartera'!$C$24,Seguros_Oblig!$A$3:$E$55,5,FALSE)))</f>
        <v>#VALUE!</v>
      </c>
      <c r="I113" s="8" t="e">
        <f>(C112*(VLOOKUP('Compra cartera'!$C$25,Seguros_Oblig!$A$3:$E$55,5,FALSE)))</f>
        <v>#VALUE!</v>
      </c>
      <c r="J113" s="10">
        <f t="shared" si="8"/>
        <v>0</v>
      </c>
      <c r="K113" s="7" t="e">
        <f>IF(C112&lt;1,"0",Seguros_Oblig!$K$2*('Compra cartera'!$C$11*90%))</f>
        <v>#VALUE!</v>
      </c>
      <c r="L113" s="7" t="e">
        <f>IF(B113=" ","0",PMT('Compra cartera'!$E$17,'Compra cartera'!$C$31,-'Compra cartera'!$C$14,,))</f>
        <v>#VALUE!</v>
      </c>
      <c r="M113" s="9" t="e">
        <f t="shared" si="9"/>
        <v>#VALUE!</v>
      </c>
      <c r="N113" s="7" t="e">
        <f>IF(C112&lt;1,"0",'Compra cartera'!$C$44)</f>
        <v>#VALUE!</v>
      </c>
      <c r="O113" s="9" t="e">
        <f t="shared" si="10"/>
        <v>#VALUE!</v>
      </c>
    </row>
    <row r="114" spans="2:15" ht="15.5" x14ac:dyDescent="0.35">
      <c r="B114" s="6" t="e">
        <f t="shared" si="11"/>
        <v>#VALUE!</v>
      </c>
      <c r="C114" s="7" t="e">
        <f t="shared" si="7"/>
        <v>#VALUE!</v>
      </c>
      <c r="D114" s="7" t="e">
        <f t="shared" si="12"/>
        <v>#VALUE!</v>
      </c>
      <c r="E114" s="7" t="e">
        <f>C113*'Compra cartera'!$E$17</f>
        <v>#VALUE!</v>
      </c>
      <c r="F114" s="8" t="e">
        <f>IF(C113&lt;1,"0",IF('Compra cartera'!$D$26="Si",($C$17*(VLOOKUP('Compra cartera'!$C$22,Seguros_Oblig!$A$3:$F$55,6,FALSE))),(C113*(VLOOKUP('Compra cartera'!$C$22,Seguros_Oblig!$A$3:$E$55,5,FALSE)))))</f>
        <v>#VALUE!</v>
      </c>
      <c r="G114" s="8" t="e">
        <f>(C113*(VLOOKUP('Compra cartera'!$C$23,Seguros_Oblig!$A$3:$E$55,5,FALSE)))</f>
        <v>#VALUE!</v>
      </c>
      <c r="H114" s="8" t="e">
        <f>(C113*(VLOOKUP('Compra cartera'!$C$24,Seguros_Oblig!$A$3:$E$55,5,FALSE)))</f>
        <v>#VALUE!</v>
      </c>
      <c r="I114" s="8" t="e">
        <f>(C113*(VLOOKUP('Compra cartera'!$C$25,Seguros_Oblig!$A$3:$E$55,5,FALSE)))</f>
        <v>#VALUE!</v>
      </c>
      <c r="J114" s="10">
        <f t="shared" si="8"/>
        <v>0</v>
      </c>
      <c r="K114" s="7" t="e">
        <f>IF(C113&lt;1,"0",Seguros_Oblig!$K$2*('Compra cartera'!$C$11*90%))</f>
        <v>#VALUE!</v>
      </c>
      <c r="L114" s="7" t="e">
        <f>IF(B114=" ","0",PMT('Compra cartera'!$E$17,'Compra cartera'!$C$31,-'Compra cartera'!$C$14,,))</f>
        <v>#VALUE!</v>
      </c>
      <c r="M114" s="9" t="e">
        <f t="shared" si="9"/>
        <v>#VALUE!</v>
      </c>
      <c r="N114" s="7" t="e">
        <f>IF(C113&lt;1,"0",'Compra cartera'!$C$44)</f>
        <v>#VALUE!</v>
      </c>
      <c r="O114" s="9" t="e">
        <f t="shared" si="10"/>
        <v>#VALUE!</v>
      </c>
    </row>
    <row r="115" spans="2:15" ht="15.5" x14ac:dyDescent="0.35">
      <c r="B115" s="6" t="e">
        <f t="shared" si="11"/>
        <v>#VALUE!</v>
      </c>
      <c r="C115" s="7" t="e">
        <f t="shared" si="7"/>
        <v>#VALUE!</v>
      </c>
      <c r="D115" s="7" t="e">
        <f t="shared" si="12"/>
        <v>#VALUE!</v>
      </c>
      <c r="E115" s="7" t="e">
        <f>C114*'Compra cartera'!$E$17</f>
        <v>#VALUE!</v>
      </c>
      <c r="F115" s="8" t="e">
        <f>IF(C114&lt;1,"0",IF('Compra cartera'!$D$26="Si",($C$17*(VLOOKUP('Compra cartera'!$C$22,Seguros_Oblig!$A$3:$F$55,6,FALSE))),(C114*(VLOOKUP('Compra cartera'!$C$22,Seguros_Oblig!$A$3:$E$55,5,FALSE)))))</f>
        <v>#VALUE!</v>
      </c>
      <c r="G115" s="8" t="e">
        <f>(C114*(VLOOKUP('Compra cartera'!$C$23,Seguros_Oblig!$A$3:$E$55,5,FALSE)))</f>
        <v>#VALUE!</v>
      </c>
      <c r="H115" s="8" t="e">
        <f>(C114*(VLOOKUP('Compra cartera'!$C$24,Seguros_Oblig!$A$3:$E$55,5,FALSE)))</f>
        <v>#VALUE!</v>
      </c>
      <c r="I115" s="8" t="e">
        <f>(C114*(VLOOKUP('Compra cartera'!$C$25,Seguros_Oblig!$A$3:$E$55,5,FALSE)))</f>
        <v>#VALUE!</v>
      </c>
      <c r="J115" s="10">
        <f t="shared" si="8"/>
        <v>0</v>
      </c>
      <c r="K115" s="7" t="e">
        <f>IF(C114&lt;1,"0",Seguros_Oblig!$K$2*('Compra cartera'!$C$11*90%))</f>
        <v>#VALUE!</v>
      </c>
      <c r="L115" s="7" t="e">
        <f>IF(B115=" ","0",PMT('Compra cartera'!$E$17,'Compra cartera'!$C$31,-'Compra cartera'!$C$14,,))</f>
        <v>#VALUE!</v>
      </c>
      <c r="M115" s="9" t="e">
        <f t="shared" si="9"/>
        <v>#VALUE!</v>
      </c>
      <c r="N115" s="7" t="e">
        <f>IF(C114&lt;1,"0",'Compra cartera'!$C$44)</f>
        <v>#VALUE!</v>
      </c>
      <c r="O115" s="9" t="e">
        <f t="shared" si="10"/>
        <v>#VALUE!</v>
      </c>
    </row>
    <row r="116" spans="2:15" ht="15.5" x14ac:dyDescent="0.35">
      <c r="B116" s="6" t="e">
        <f t="shared" si="11"/>
        <v>#VALUE!</v>
      </c>
      <c r="C116" s="7" t="e">
        <f t="shared" si="7"/>
        <v>#VALUE!</v>
      </c>
      <c r="D116" s="7" t="e">
        <f t="shared" si="12"/>
        <v>#VALUE!</v>
      </c>
      <c r="E116" s="7" t="e">
        <f>C115*'Compra cartera'!$E$17</f>
        <v>#VALUE!</v>
      </c>
      <c r="F116" s="8" t="e">
        <f>IF(C115&lt;1,"0",IF('Compra cartera'!$D$26="Si",($C$17*(VLOOKUP('Compra cartera'!$C$22,Seguros_Oblig!$A$3:$F$55,6,FALSE))),(C115*(VLOOKUP('Compra cartera'!$C$22,Seguros_Oblig!$A$3:$E$55,5,FALSE)))))</f>
        <v>#VALUE!</v>
      </c>
      <c r="G116" s="8" t="e">
        <f>(C115*(VLOOKUP('Compra cartera'!$C$23,Seguros_Oblig!$A$3:$E$55,5,FALSE)))</f>
        <v>#VALUE!</v>
      </c>
      <c r="H116" s="8" t="e">
        <f>(C115*(VLOOKUP('Compra cartera'!$C$24,Seguros_Oblig!$A$3:$E$55,5,FALSE)))</f>
        <v>#VALUE!</v>
      </c>
      <c r="I116" s="8" t="e">
        <f>(C115*(VLOOKUP('Compra cartera'!$C$25,Seguros_Oblig!$A$3:$E$55,5,FALSE)))</f>
        <v>#VALUE!</v>
      </c>
      <c r="J116" s="10">
        <f t="shared" si="8"/>
        <v>0</v>
      </c>
      <c r="K116" s="7" t="e">
        <f>IF(C115&lt;1,"0",Seguros_Oblig!$K$2*('Compra cartera'!$C$11*90%))</f>
        <v>#VALUE!</v>
      </c>
      <c r="L116" s="7" t="e">
        <f>IF(B116=" ","0",PMT('Compra cartera'!$E$17,'Compra cartera'!$C$31,-'Compra cartera'!$C$14,,))</f>
        <v>#VALUE!</v>
      </c>
      <c r="M116" s="9" t="e">
        <f t="shared" si="9"/>
        <v>#VALUE!</v>
      </c>
      <c r="N116" s="7" t="e">
        <f>IF(C115&lt;1,"0",'Compra cartera'!$C$44)</f>
        <v>#VALUE!</v>
      </c>
      <c r="O116" s="9" t="e">
        <f t="shared" si="10"/>
        <v>#VALUE!</v>
      </c>
    </row>
    <row r="117" spans="2:15" ht="15.5" x14ac:dyDescent="0.35">
      <c r="B117" s="6" t="e">
        <f t="shared" si="11"/>
        <v>#VALUE!</v>
      </c>
      <c r="C117" s="7" t="e">
        <f t="shared" si="7"/>
        <v>#VALUE!</v>
      </c>
      <c r="D117" s="7" t="e">
        <f t="shared" si="12"/>
        <v>#VALUE!</v>
      </c>
      <c r="E117" s="7" t="e">
        <f>C116*'Compra cartera'!$E$17</f>
        <v>#VALUE!</v>
      </c>
      <c r="F117" s="8" t="e">
        <f>IF(C116&lt;1,"0",IF('Compra cartera'!$D$26="Si",($C$17*(VLOOKUP('Compra cartera'!$C$22,Seguros_Oblig!$A$3:$F$55,6,FALSE))),(C116*(VLOOKUP('Compra cartera'!$C$22,Seguros_Oblig!$A$3:$E$55,5,FALSE)))))</f>
        <v>#VALUE!</v>
      </c>
      <c r="G117" s="8" t="e">
        <f>(C116*(VLOOKUP('Compra cartera'!$C$23,Seguros_Oblig!$A$3:$E$55,5,FALSE)))</f>
        <v>#VALUE!</v>
      </c>
      <c r="H117" s="8" t="e">
        <f>(C116*(VLOOKUP('Compra cartera'!$C$24,Seguros_Oblig!$A$3:$E$55,5,FALSE)))</f>
        <v>#VALUE!</v>
      </c>
      <c r="I117" s="8" t="e">
        <f>(C116*(VLOOKUP('Compra cartera'!$C$25,Seguros_Oblig!$A$3:$E$55,5,FALSE)))</f>
        <v>#VALUE!</v>
      </c>
      <c r="J117" s="10">
        <f t="shared" si="8"/>
        <v>0</v>
      </c>
      <c r="K117" s="7" t="e">
        <f>IF(C116&lt;1,"0",Seguros_Oblig!$K$2*('Compra cartera'!$C$11*90%))</f>
        <v>#VALUE!</v>
      </c>
      <c r="L117" s="7" t="e">
        <f>IF(B117=" ","0",PMT('Compra cartera'!$E$17,'Compra cartera'!$C$31,-'Compra cartera'!$C$14,,))</f>
        <v>#VALUE!</v>
      </c>
      <c r="M117" s="9" t="e">
        <f t="shared" si="9"/>
        <v>#VALUE!</v>
      </c>
      <c r="N117" s="7" t="e">
        <f>IF(C116&lt;1,"0",'Compra cartera'!$C$44)</f>
        <v>#VALUE!</v>
      </c>
      <c r="O117" s="9" t="e">
        <f t="shared" si="10"/>
        <v>#VALUE!</v>
      </c>
    </row>
    <row r="118" spans="2:15" ht="15.5" x14ac:dyDescent="0.35">
      <c r="B118" s="6" t="e">
        <f t="shared" si="11"/>
        <v>#VALUE!</v>
      </c>
      <c r="C118" s="7" t="e">
        <f t="shared" si="7"/>
        <v>#VALUE!</v>
      </c>
      <c r="D118" s="7" t="e">
        <f t="shared" si="12"/>
        <v>#VALUE!</v>
      </c>
      <c r="E118" s="7" t="e">
        <f>C117*'Compra cartera'!$E$17</f>
        <v>#VALUE!</v>
      </c>
      <c r="F118" s="8" t="e">
        <f>IF(C117&lt;1,"0",IF('Compra cartera'!$D$26="Si",($C$17*(VLOOKUP('Compra cartera'!$C$22,Seguros_Oblig!$A$3:$F$55,6,FALSE))),(C117*(VLOOKUP('Compra cartera'!$C$22,Seguros_Oblig!$A$3:$E$55,5,FALSE)))))</f>
        <v>#VALUE!</v>
      </c>
      <c r="G118" s="8" t="e">
        <f>(C117*(VLOOKUP('Compra cartera'!$C$23,Seguros_Oblig!$A$3:$E$55,5,FALSE)))</f>
        <v>#VALUE!</v>
      </c>
      <c r="H118" s="8" t="e">
        <f>(C117*(VLOOKUP('Compra cartera'!$C$24,Seguros_Oblig!$A$3:$E$55,5,FALSE)))</f>
        <v>#VALUE!</v>
      </c>
      <c r="I118" s="8" t="e">
        <f>(C117*(VLOOKUP('Compra cartera'!$C$25,Seguros_Oblig!$A$3:$E$55,5,FALSE)))</f>
        <v>#VALUE!</v>
      </c>
      <c r="J118" s="10">
        <f t="shared" si="8"/>
        <v>0</v>
      </c>
      <c r="K118" s="7" t="e">
        <f>IF(C117&lt;1,"0",Seguros_Oblig!$K$2*('Compra cartera'!$C$11*90%))</f>
        <v>#VALUE!</v>
      </c>
      <c r="L118" s="7" t="e">
        <f>IF(B118=" ","0",PMT('Compra cartera'!$E$17,'Compra cartera'!$C$31,-'Compra cartera'!$C$14,,))</f>
        <v>#VALUE!</v>
      </c>
      <c r="M118" s="9" t="e">
        <f t="shared" si="9"/>
        <v>#VALUE!</v>
      </c>
      <c r="N118" s="7" t="e">
        <f>IF(C117&lt;1,"0",'Compra cartera'!$C$44)</f>
        <v>#VALUE!</v>
      </c>
      <c r="O118" s="9" t="e">
        <f t="shared" si="10"/>
        <v>#VALUE!</v>
      </c>
    </row>
    <row r="119" spans="2:15" ht="15.5" x14ac:dyDescent="0.35">
      <c r="B119" s="6" t="e">
        <f t="shared" si="11"/>
        <v>#VALUE!</v>
      </c>
      <c r="C119" s="7" t="e">
        <f t="shared" si="7"/>
        <v>#VALUE!</v>
      </c>
      <c r="D119" s="7" t="e">
        <f t="shared" si="12"/>
        <v>#VALUE!</v>
      </c>
      <c r="E119" s="7" t="e">
        <f>C118*'Compra cartera'!$E$17</f>
        <v>#VALUE!</v>
      </c>
      <c r="F119" s="8" t="e">
        <f>IF(C118&lt;1,"0",IF('Compra cartera'!$D$26="Si",($C$17*(VLOOKUP('Compra cartera'!$C$22,Seguros_Oblig!$A$3:$F$55,6,FALSE))),(C118*(VLOOKUP('Compra cartera'!$C$22,Seguros_Oblig!$A$3:$E$55,5,FALSE)))))</f>
        <v>#VALUE!</v>
      </c>
      <c r="G119" s="8" t="e">
        <f>(C118*(VLOOKUP('Compra cartera'!$C$23,Seguros_Oblig!$A$3:$E$55,5,FALSE)))</f>
        <v>#VALUE!</v>
      </c>
      <c r="H119" s="8" t="e">
        <f>(C118*(VLOOKUP('Compra cartera'!$C$24,Seguros_Oblig!$A$3:$E$55,5,FALSE)))</f>
        <v>#VALUE!</v>
      </c>
      <c r="I119" s="8" t="e">
        <f>(C118*(VLOOKUP('Compra cartera'!$C$25,Seguros_Oblig!$A$3:$E$55,5,FALSE)))</f>
        <v>#VALUE!</v>
      </c>
      <c r="J119" s="10">
        <f t="shared" si="8"/>
        <v>0</v>
      </c>
      <c r="K119" s="7" t="e">
        <f>IF(C118&lt;1,"0",Seguros_Oblig!$K$2*('Compra cartera'!$C$11*90%))</f>
        <v>#VALUE!</v>
      </c>
      <c r="L119" s="7" t="e">
        <f>IF(B119=" ","0",PMT('Compra cartera'!$E$17,'Compra cartera'!$C$31,-'Compra cartera'!$C$14,,))</f>
        <v>#VALUE!</v>
      </c>
      <c r="M119" s="9" t="e">
        <f t="shared" si="9"/>
        <v>#VALUE!</v>
      </c>
      <c r="N119" s="7" t="e">
        <f>IF(C118&lt;1,"0",'Compra cartera'!$C$44)</f>
        <v>#VALUE!</v>
      </c>
      <c r="O119" s="9" t="e">
        <f t="shared" si="10"/>
        <v>#VALUE!</v>
      </c>
    </row>
    <row r="120" spans="2:15" ht="15.5" x14ac:dyDescent="0.35">
      <c r="B120" s="6" t="e">
        <f t="shared" si="11"/>
        <v>#VALUE!</v>
      </c>
      <c r="C120" s="7" t="e">
        <f t="shared" si="7"/>
        <v>#VALUE!</v>
      </c>
      <c r="D120" s="7" t="e">
        <f t="shared" si="12"/>
        <v>#VALUE!</v>
      </c>
      <c r="E120" s="7" t="e">
        <f>C119*'Compra cartera'!$E$17</f>
        <v>#VALUE!</v>
      </c>
      <c r="F120" s="8" t="e">
        <f>IF(C119&lt;1,"0",IF('Compra cartera'!$D$26="Si",($C$17*(VLOOKUP('Compra cartera'!$C$22,Seguros_Oblig!$A$3:$F$55,6,FALSE))),(C119*(VLOOKUP('Compra cartera'!$C$22,Seguros_Oblig!$A$3:$E$55,5,FALSE)))))</f>
        <v>#VALUE!</v>
      </c>
      <c r="G120" s="8" t="e">
        <f>(C119*(VLOOKUP('Compra cartera'!$C$23,Seguros_Oblig!$A$3:$E$55,5,FALSE)))</f>
        <v>#VALUE!</v>
      </c>
      <c r="H120" s="8" t="e">
        <f>(C119*(VLOOKUP('Compra cartera'!$C$24,Seguros_Oblig!$A$3:$E$55,5,FALSE)))</f>
        <v>#VALUE!</v>
      </c>
      <c r="I120" s="8" t="e">
        <f>(C119*(VLOOKUP('Compra cartera'!$C$25,Seguros_Oblig!$A$3:$E$55,5,FALSE)))</f>
        <v>#VALUE!</v>
      </c>
      <c r="J120" s="10">
        <f t="shared" si="8"/>
        <v>0</v>
      </c>
      <c r="K120" s="7" t="e">
        <f>IF(C119&lt;1,"0",Seguros_Oblig!$K$2*('Compra cartera'!$C$11*90%))</f>
        <v>#VALUE!</v>
      </c>
      <c r="L120" s="7" t="e">
        <f>IF(B120=" ","0",PMT('Compra cartera'!$E$17,'Compra cartera'!$C$31,-'Compra cartera'!$C$14,,))</f>
        <v>#VALUE!</v>
      </c>
      <c r="M120" s="9" t="e">
        <f t="shared" si="9"/>
        <v>#VALUE!</v>
      </c>
      <c r="N120" s="7" t="e">
        <f>IF(C119&lt;1,"0",'Compra cartera'!$C$44)</f>
        <v>#VALUE!</v>
      </c>
      <c r="O120" s="9" t="e">
        <f t="shared" si="10"/>
        <v>#VALUE!</v>
      </c>
    </row>
    <row r="121" spans="2:15" ht="15.5" x14ac:dyDescent="0.35">
      <c r="B121" s="6" t="e">
        <f t="shared" si="11"/>
        <v>#VALUE!</v>
      </c>
      <c r="C121" s="7" t="e">
        <f t="shared" si="7"/>
        <v>#VALUE!</v>
      </c>
      <c r="D121" s="7" t="e">
        <f t="shared" si="12"/>
        <v>#VALUE!</v>
      </c>
      <c r="E121" s="7" t="e">
        <f>C120*'Compra cartera'!$E$17</f>
        <v>#VALUE!</v>
      </c>
      <c r="F121" s="8" t="e">
        <f>IF(C120&lt;1,"0",IF('Compra cartera'!$D$26="Si",($C$17*(VLOOKUP('Compra cartera'!$C$22,Seguros_Oblig!$A$3:$F$55,6,FALSE))),(C120*(VLOOKUP('Compra cartera'!$C$22,Seguros_Oblig!$A$3:$E$55,5,FALSE)))))</f>
        <v>#VALUE!</v>
      </c>
      <c r="G121" s="8" t="e">
        <f>(C120*(VLOOKUP('Compra cartera'!$C$23,Seguros_Oblig!$A$3:$E$55,5,FALSE)))</f>
        <v>#VALUE!</v>
      </c>
      <c r="H121" s="8" t="e">
        <f>(C120*(VLOOKUP('Compra cartera'!$C$24,Seguros_Oblig!$A$3:$E$55,5,FALSE)))</f>
        <v>#VALUE!</v>
      </c>
      <c r="I121" s="8" t="e">
        <f>(C120*(VLOOKUP('Compra cartera'!$C$25,Seguros_Oblig!$A$3:$E$55,5,FALSE)))</f>
        <v>#VALUE!</v>
      </c>
      <c r="J121" s="10">
        <f t="shared" si="8"/>
        <v>0</v>
      </c>
      <c r="K121" s="7" t="e">
        <f>IF(C120&lt;1,"0",Seguros_Oblig!$K$2*('Compra cartera'!$C$11*90%))</f>
        <v>#VALUE!</v>
      </c>
      <c r="L121" s="7" t="e">
        <f>IF(B121=" ","0",PMT('Compra cartera'!$E$17,'Compra cartera'!$C$31,-'Compra cartera'!$C$14,,))</f>
        <v>#VALUE!</v>
      </c>
      <c r="M121" s="9" t="e">
        <f t="shared" si="9"/>
        <v>#VALUE!</v>
      </c>
      <c r="N121" s="7" t="e">
        <f>IF(C120&lt;1,"0",'Compra cartera'!$C$44)</f>
        <v>#VALUE!</v>
      </c>
      <c r="O121" s="9" t="e">
        <f t="shared" si="10"/>
        <v>#VALUE!</v>
      </c>
    </row>
    <row r="122" spans="2:15" ht="15.5" x14ac:dyDescent="0.35">
      <c r="B122" s="6" t="e">
        <f t="shared" si="11"/>
        <v>#VALUE!</v>
      </c>
      <c r="C122" s="7" t="e">
        <f t="shared" si="7"/>
        <v>#VALUE!</v>
      </c>
      <c r="D122" s="7" t="e">
        <f t="shared" si="12"/>
        <v>#VALUE!</v>
      </c>
      <c r="E122" s="7" t="e">
        <f>C121*'Compra cartera'!$E$17</f>
        <v>#VALUE!</v>
      </c>
      <c r="F122" s="8" t="e">
        <f>IF(C121&lt;1,"0",IF('Compra cartera'!$D$26="Si",($C$17*(VLOOKUP('Compra cartera'!$C$22,Seguros_Oblig!$A$3:$F$55,6,FALSE))),(C121*(VLOOKUP('Compra cartera'!$C$22,Seguros_Oblig!$A$3:$E$55,5,FALSE)))))</f>
        <v>#VALUE!</v>
      </c>
      <c r="G122" s="8" t="e">
        <f>(C121*(VLOOKUP('Compra cartera'!$C$23,Seguros_Oblig!$A$3:$E$55,5,FALSE)))</f>
        <v>#VALUE!</v>
      </c>
      <c r="H122" s="8" t="e">
        <f>(C121*(VLOOKUP('Compra cartera'!$C$24,Seguros_Oblig!$A$3:$E$55,5,FALSE)))</f>
        <v>#VALUE!</v>
      </c>
      <c r="I122" s="8" t="e">
        <f>(C121*(VLOOKUP('Compra cartera'!$C$25,Seguros_Oblig!$A$3:$E$55,5,FALSE)))</f>
        <v>#VALUE!</v>
      </c>
      <c r="J122" s="10">
        <f t="shared" si="8"/>
        <v>0</v>
      </c>
      <c r="K122" s="7" t="e">
        <f>IF(C121&lt;1,"0",Seguros_Oblig!$K$2*('Compra cartera'!$C$11*90%))</f>
        <v>#VALUE!</v>
      </c>
      <c r="L122" s="7" t="e">
        <f>IF(B122=" ","0",PMT('Compra cartera'!$E$17,'Compra cartera'!$C$31,-'Compra cartera'!$C$14,,))</f>
        <v>#VALUE!</v>
      </c>
      <c r="M122" s="9" t="e">
        <f t="shared" si="9"/>
        <v>#VALUE!</v>
      </c>
      <c r="N122" s="7" t="e">
        <f>IF(C121&lt;1,"0",'Compra cartera'!$C$44)</f>
        <v>#VALUE!</v>
      </c>
      <c r="O122" s="9" t="e">
        <f t="shared" si="10"/>
        <v>#VALUE!</v>
      </c>
    </row>
    <row r="123" spans="2:15" ht="15.5" x14ac:dyDescent="0.35">
      <c r="B123" s="6" t="e">
        <f t="shared" si="11"/>
        <v>#VALUE!</v>
      </c>
      <c r="C123" s="7" t="e">
        <f t="shared" si="7"/>
        <v>#VALUE!</v>
      </c>
      <c r="D123" s="7" t="e">
        <f t="shared" si="12"/>
        <v>#VALUE!</v>
      </c>
      <c r="E123" s="7" t="e">
        <f>C122*'Compra cartera'!$E$17</f>
        <v>#VALUE!</v>
      </c>
      <c r="F123" s="8" t="e">
        <f>IF(C122&lt;1,"0",IF('Compra cartera'!$D$26="Si",($C$17*(VLOOKUP('Compra cartera'!$C$22,Seguros_Oblig!$A$3:$F$55,6,FALSE))),(C122*(VLOOKUP('Compra cartera'!$C$22,Seguros_Oblig!$A$3:$E$55,5,FALSE)))))</f>
        <v>#VALUE!</v>
      </c>
      <c r="G123" s="8" t="e">
        <f>(C122*(VLOOKUP('Compra cartera'!$C$23,Seguros_Oblig!$A$3:$E$55,5,FALSE)))</f>
        <v>#VALUE!</v>
      </c>
      <c r="H123" s="8" t="e">
        <f>(C122*(VLOOKUP('Compra cartera'!$C$24,Seguros_Oblig!$A$3:$E$55,5,FALSE)))</f>
        <v>#VALUE!</v>
      </c>
      <c r="I123" s="8" t="e">
        <f>(C122*(VLOOKUP('Compra cartera'!$C$25,Seguros_Oblig!$A$3:$E$55,5,FALSE)))</f>
        <v>#VALUE!</v>
      </c>
      <c r="J123" s="10">
        <f t="shared" si="8"/>
        <v>0</v>
      </c>
      <c r="K123" s="7" t="e">
        <f>IF(C122&lt;1,"0",Seguros_Oblig!$K$2*('Compra cartera'!$C$11*90%))</f>
        <v>#VALUE!</v>
      </c>
      <c r="L123" s="7" t="e">
        <f>IF(B123=" ","0",PMT('Compra cartera'!$E$17,'Compra cartera'!$C$31,-'Compra cartera'!$C$14,,))</f>
        <v>#VALUE!</v>
      </c>
      <c r="M123" s="9" t="e">
        <f t="shared" si="9"/>
        <v>#VALUE!</v>
      </c>
      <c r="N123" s="7" t="e">
        <f>IF(C122&lt;1,"0",'Compra cartera'!$C$44)</f>
        <v>#VALUE!</v>
      </c>
      <c r="O123" s="9" t="e">
        <f t="shared" si="10"/>
        <v>#VALUE!</v>
      </c>
    </row>
    <row r="124" spans="2:15" ht="15.5" x14ac:dyDescent="0.35">
      <c r="B124" s="6" t="e">
        <f t="shared" si="11"/>
        <v>#VALUE!</v>
      </c>
      <c r="C124" s="7" t="e">
        <f t="shared" si="7"/>
        <v>#VALUE!</v>
      </c>
      <c r="D124" s="7" t="e">
        <f t="shared" si="12"/>
        <v>#VALUE!</v>
      </c>
      <c r="E124" s="7" t="e">
        <f>C123*'Compra cartera'!$E$17</f>
        <v>#VALUE!</v>
      </c>
      <c r="F124" s="8" t="e">
        <f>IF(C123&lt;1,"0",IF('Compra cartera'!$D$26="Si",($C$17*(VLOOKUP('Compra cartera'!$C$22,Seguros_Oblig!$A$3:$F$55,6,FALSE))),(C123*(VLOOKUP('Compra cartera'!$C$22,Seguros_Oblig!$A$3:$E$55,5,FALSE)))))</f>
        <v>#VALUE!</v>
      </c>
      <c r="G124" s="8" t="e">
        <f>(C123*(VLOOKUP('Compra cartera'!$C$23,Seguros_Oblig!$A$3:$E$55,5,FALSE)))</f>
        <v>#VALUE!</v>
      </c>
      <c r="H124" s="8" t="e">
        <f>(C123*(VLOOKUP('Compra cartera'!$C$24,Seguros_Oblig!$A$3:$E$55,5,FALSE)))</f>
        <v>#VALUE!</v>
      </c>
      <c r="I124" s="8" t="e">
        <f>(C123*(VLOOKUP('Compra cartera'!$C$25,Seguros_Oblig!$A$3:$E$55,5,FALSE)))</f>
        <v>#VALUE!</v>
      </c>
      <c r="J124" s="10">
        <f t="shared" si="8"/>
        <v>0</v>
      </c>
      <c r="K124" s="7" t="e">
        <f>IF(C123&lt;1,"0",Seguros_Oblig!$K$2*('Compra cartera'!$C$11*90%))</f>
        <v>#VALUE!</v>
      </c>
      <c r="L124" s="7" t="e">
        <f>IF(B124=" ","0",PMT('Compra cartera'!$E$17,'Compra cartera'!$C$31,-'Compra cartera'!$C$14,,))</f>
        <v>#VALUE!</v>
      </c>
      <c r="M124" s="9" t="e">
        <f t="shared" si="9"/>
        <v>#VALUE!</v>
      </c>
      <c r="N124" s="7" t="e">
        <f>IF(C123&lt;1,"0",'Compra cartera'!$C$44)</f>
        <v>#VALUE!</v>
      </c>
      <c r="O124" s="9" t="e">
        <f t="shared" si="10"/>
        <v>#VALUE!</v>
      </c>
    </row>
    <row r="125" spans="2:15" ht="15.5" x14ac:dyDescent="0.35">
      <c r="B125" s="6" t="e">
        <f t="shared" si="11"/>
        <v>#VALUE!</v>
      </c>
      <c r="C125" s="7" t="e">
        <f t="shared" si="7"/>
        <v>#VALUE!</v>
      </c>
      <c r="D125" s="7" t="e">
        <f t="shared" si="12"/>
        <v>#VALUE!</v>
      </c>
      <c r="E125" s="7" t="e">
        <f>C124*'Compra cartera'!$E$17</f>
        <v>#VALUE!</v>
      </c>
      <c r="F125" s="8" t="e">
        <f>IF(C124&lt;1,"0",IF('Compra cartera'!$D$26="Si",($C$17*(VLOOKUP('Compra cartera'!$C$22,Seguros_Oblig!$A$3:$F$55,6,FALSE))),(C124*(VLOOKUP('Compra cartera'!$C$22,Seguros_Oblig!$A$3:$E$55,5,FALSE)))))</f>
        <v>#VALUE!</v>
      </c>
      <c r="G125" s="8" t="e">
        <f>(C124*(VLOOKUP('Compra cartera'!$C$23,Seguros_Oblig!$A$3:$E$55,5,FALSE)))</f>
        <v>#VALUE!</v>
      </c>
      <c r="H125" s="8" t="e">
        <f>(C124*(VLOOKUP('Compra cartera'!$C$24,Seguros_Oblig!$A$3:$E$55,5,FALSE)))</f>
        <v>#VALUE!</v>
      </c>
      <c r="I125" s="8" t="e">
        <f>(C124*(VLOOKUP('Compra cartera'!$C$25,Seguros_Oblig!$A$3:$E$55,5,FALSE)))</f>
        <v>#VALUE!</v>
      </c>
      <c r="J125" s="10">
        <f t="shared" si="8"/>
        <v>0</v>
      </c>
      <c r="K125" s="7" t="e">
        <f>IF(C124&lt;1,"0",Seguros_Oblig!$K$2*('Compra cartera'!$C$11*90%))</f>
        <v>#VALUE!</v>
      </c>
      <c r="L125" s="7" t="e">
        <f>IF(B125=" ","0",PMT('Compra cartera'!$E$17,'Compra cartera'!$C$31,-'Compra cartera'!$C$14,,))</f>
        <v>#VALUE!</v>
      </c>
      <c r="M125" s="9" t="e">
        <f t="shared" si="9"/>
        <v>#VALUE!</v>
      </c>
      <c r="N125" s="7" t="e">
        <f>IF(C124&lt;1,"0",'Compra cartera'!$C$44)</f>
        <v>#VALUE!</v>
      </c>
      <c r="O125" s="9" t="e">
        <f t="shared" si="10"/>
        <v>#VALUE!</v>
      </c>
    </row>
    <row r="126" spans="2:15" ht="15.5" x14ac:dyDescent="0.35">
      <c r="B126" s="6" t="e">
        <f t="shared" si="11"/>
        <v>#VALUE!</v>
      </c>
      <c r="C126" s="7" t="e">
        <f t="shared" si="7"/>
        <v>#VALUE!</v>
      </c>
      <c r="D126" s="7" t="e">
        <f t="shared" si="12"/>
        <v>#VALUE!</v>
      </c>
      <c r="E126" s="7" t="e">
        <f>C125*'Compra cartera'!$E$17</f>
        <v>#VALUE!</v>
      </c>
      <c r="F126" s="8" t="e">
        <f>IF(C125&lt;1,"0",IF('Compra cartera'!$D$26="Si",($C$17*(VLOOKUP('Compra cartera'!$C$22,Seguros_Oblig!$A$3:$F$55,6,FALSE))),(C125*(VLOOKUP('Compra cartera'!$C$22,Seguros_Oblig!$A$3:$E$55,5,FALSE)))))</f>
        <v>#VALUE!</v>
      </c>
      <c r="G126" s="8" t="e">
        <f>(C125*(VLOOKUP('Compra cartera'!$C$23,Seguros_Oblig!$A$3:$E$55,5,FALSE)))</f>
        <v>#VALUE!</v>
      </c>
      <c r="H126" s="8" t="e">
        <f>(C125*(VLOOKUP('Compra cartera'!$C$24,Seguros_Oblig!$A$3:$E$55,5,FALSE)))</f>
        <v>#VALUE!</v>
      </c>
      <c r="I126" s="8" t="e">
        <f>(C125*(VLOOKUP('Compra cartera'!$C$25,Seguros_Oblig!$A$3:$E$55,5,FALSE)))</f>
        <v>#VALUE!</v>
      </c>
      <c r="J126" s="10">
        <f t="shared" si="8"/>
        <v>0</v>
      </c>
      <c r="K126" s="7" t="e">
        <f>IF(C125&lt;1,"0",Seguros_Oblig!$K$2*('Compra cartera'!$C$11*90%))</f>
        <v>#VALUE!</v>
      </c>
      <c r="L126" s="7" t="e">
        <f>IF(B126=" ","0",PMT('Compra cartera'!$E$17,'Compra cartera'!$C$31,-'Compra cartera'!$C$14,,))</f>
        <v>#VALUE!</v>
      </c>
      <c r="M126" s="9" t="e">
        <f t="shared" si="9"/>
        <v>#VALUE!</v>
      </c>
      <c r="N126" s="7" t="e">
        <f>IF(C125&lt;1,"0",'Compra cartera'!$C$44)</f>
        <v>#VALUE!</v>
      </c>
      <c r="O126" s="9" t="e">
        <f t="shared" si="10"/>
        <v>#VALUE!</v>
      </c>
    </row>
    <row r="127" spans="2:15" ht="15.5" x14ac:dyDescent="0.35">
      <c r="B127" s="6" t="e">
        <f t="shared" si="11"/>
        <v>#VALUE!</v>
      </c>
      <c r="C127" s="7" t="e">
        <f t="shared" si="7"/>
        <v>#VALUE!</v>
      </c>
      <c r="D127" s="7" t="e">
        <f t="shared" si="12"/>
        <v>#VALUE!</v>
      </c>
      <c r="E127" s="7" t="e">
        <f>C126*'Compra cartera'!$E$17</f>
        <v>#VALUE!</v>
      </c>
      <c r="F127" s="8" t="e">
        <f>IF(C126&lt;1,"0",IF('Compra cartera'!$D$26="Si",($C$17*(VLOOKUP('Compra cartera'!$C$22,Seguros_Oblig!$A$3:$F$55,6,FALSE))),(C126*(VLOOKUP('Compra cartera'!$C$22,Seguros_Oblig!$A$3:$E$55,5,FALSE)))))</f>
        <v>#VALUE!</v>
      </c>
      <c r="G127" s="8" t="e">
        <f>(C126*(VLOOKUP('Compra cartera'!$C$23,Seguros_Oblig!$A$3:$E$55,5,FALSE)))</f>
        <v>#VALUE!</v>
      </c>
      <c r="H127" s="8" t="e">
        <f>(C126*(VLOOKUP('Compra cartera'!$C$24,Seguros_Oblig!$A$3:$E$55,5,FALSE)))</f>
        <v>#VALUE!</v>
      </c>
      <c r="I127" s="8" t="e">
        <f>(C126*(VLOOKUP('Compra cartera'!$C$25,Seguros_Oblig!$A$3:$E$55,5,FALSE)))</f>
        <v>#VALUE!</v>
      </c>
      <c r="J127" s="10">
        <f t="shared" si="8"/>
        <v>0</v>
      </c>
      <c r="K127" s="7" t="e">
        <f>IF(C126&lt;1,"0",Seguros_Oblig!$K$2*('Compra cartera'!$C$11*90%))</f>
        <v>#VALUE!</v>
      </c>
      <c r="L127" s="7" t="e">
        <f>IF(B127=" ","0",PMT('Compra cartera'!$E$17,'Compra cartera'!$C$31,-'Compra cartera'!$C$14,,))</f>
        <v>#VALUE!</v>
      </c>
      <c r="M127" s="9" t="e">
        <f t="shared" si="9"/>
        <v>#VALUE!</v>
      </c>
      <c r="N127" s="7" t="e">
        <f>IF(C126&lt;1,"0",'Compra cartera'!$C$44)</f>
        <v>#VALUE!</v>
      </c>
      <c r="O127" s="9" t="e">
        <f t="shared" si="10"/>
        <v>#VALUE!</v>
      </c>
    </row>
    <row r="128" spans="2:15" ht="15.5" x14ac:dyDescent="0.35">
      <c r="B128" s="6" t="e">
        <f t="shared" si="11"/>
        <v>#VALUE!</v>
      </c>
      <c r="C128" s="7" t="e">
        <f t="shared" si="7"/>
        <v>#VALUE!</v>
      </c>
      <c r="D128" s="7" t="e">
        <f t="shared" si="12"/>
        <v>#VALUE!</v>
      </c>
      <c r="E128" s="7" t="e">
        <f>C127*'Compra cartera'!$E$17</f>
        <v>#VALUE!</v>
      </c>
      <c r="F128" s="8" t="e">
        <f>IF(C127&lt;1,"0",IF('Compra cartera'!$D$26="Si",($C$17*(VLOOKUP('Compra cartera'!$C$22,Seguros_Oblig!$A$3:$F$55,6,FALSE))),(C127*(VLOOKUP('Compra cartera'!$C$22,Seguros_Oblig!$A$3:$E$55,5,FALSE)))))</f>
        <v>#VALUE!</v>
      </c>
      <c r="G128" s="8" t="e">
        <f>(C127*(VLOOKUP('Compra cartera'!$C$23,Seguros_Oblig!$A$3:$E$55,5,FALSE)))</f>
        <v>#VALUE!</v>
      </c>
      <c r="H128" s="8" t="e">
        <f>(C127*(VLOOKUP('Compra cartera'!$C$24,Seguros_Oblig!$A$3:$E$55,5,FALSE)))</f>
        <v>#VALUE!</v>
      </c>
      <c r="I128" s="8" t="e">
        <f>(C127*(VLOOKUP('Compra cartera'!$C$25,Seguros_Oblig!$A$3:$E$55,5,FALSE)))</f>
        <v>#VALUE!</v>
      </c>
      <c r="J128" s="10">
        <f t="shared" si="8"/>
        <v>0</v>
      </c>
      <c r="K128" s="7" t="e">
        <f>IF(C127&lt;1,"0",Seguros_Oblig!$K$2*('Compra cartera'!$C$11*90%))</f>
        <v>#VALUE!</v>
      </c>
      <c r="L128" s="7" t="e">
        <f>IF(B128=" ","0",PMT('Compra cartera'!$E$17,'Compra cartera'!$C$31,-'Compra cartera'!$C$14,,))</f>
        <v>#VALUE!</v>
      </c>
      <c r="M128" s="9" t="e">
        <f t="shared" si="9"/>
        <v>#VALUE!</v>
      </c>
      <c r="N128" s="7" t="e">
        <f>IF(C127&lt;1,"0",'Compra cartera'!$C$44)</f>
        <v>#VALUE!</v>
      </c>
      <c r="O128" s="9" t="e">
        <f t="shared" si="10"/>
        <v>#VALUE!</v>
      </c>
    </row>
    <row r="129" spans="2:15" ht="15.5" x14ac:dyDescent="0.35">
      <c r="B129" s="6" t="e">
        <f t="shared" si="11"/>
        <v>#VALUE!</v>
      </c>
      <c r="C129" s="7" t="e">
        <f t="shared" si="7"/>
        <v>#VALUE!</v>
      </c>
      <c r="D129" s="7" t="e">
        <f t="shared" si="12"/>
        <v>#VALUE!</v>
      </c>
      <c r="E129" s="7" t="e">
        <f>C128*'Compra cartera'!$E$17</f>
        <v>#VALUE!</v>
      </c>
      <c r="F129" s="8" t="e">
        <f>IF(C128&lt;1,"0",IF('Compra cartera'!$D$26="Si",($C$17*(VLOOKUP('Compra cartera'!$C$22,Seguros_Oblig!$A$3:$F$55,6,FALSE))),(C128*(VLOOKUP('Compra cartera'!$C$22,Seguros_Oblig!$A$3:$E$55,5,FALSE)))))</f>
        <v>#VALUE!</v>
      </c>
      <c r="G129" s="8" t="e">
        <f>(C128*(VLOOKUP('Compra cartera'!$C$23,Seguros_Oblig!$A$3:$E$55,5,FALSE)))</f>
        <v>#VALUE!</v>
      </c>
      <c r="H129" s="8" t="e">
        <f>(C128*(VLOOKUP('Compra cartera'!$C$24,Seguros_Oblig!$A$3:$E$55,5,FALSE)))</f>
        <v>#VALUE!</v>
      </c>
      <c r="I129" s="8" t="e">
        <f>(C128*(VLOOKUP('Compra cartera'!$C$25,Seguros_Oblig!$A$3:$E$55,5,FALSE)))</f>
        <v>#VALUE!</v>
      </c>
      <c r="J129" s="10">
        <f t="shared" si="8"/>
        <v>0</v>
      </c>
      <c r="K129" s="7" t="e">
        <f>IF(C128&lt;1,"0",Seguros_Oblig!$K$2*('Compra cartera'!$C$11*90%))</f>
        <v>#VALUE!</v>
      </c>
      <c r="L129" s="7" t="e">
        <f>IF(B129=" ","0",PMT('Compra cartera'!$E$17,'Compra cartera'!$C$31,-'Compra cartera'!$C$14,,))</f>
        <v>#VALUE!</v>
      </c>
      <c r="M129" s="9" t="e">
        <f t="shared" si="9"/>
        <v>#VALUE!</v>
      </c>
      <c r="N129" s="7" t="e">
        <f>IF(C128&lt;1,"0",'Compra cartera'!$C$44)</f>
        <v>#VALUE!</v>
      </c>
      <c r="O129" s="9" t="e">
        <f t="shared" si="10"/>
        <v>#VALUE!</v>
      </c>
    </row>
    <row r="130" spans="2:15" ht="15.5" x14ac:dyDescent="0.35">
      <c r="B130" s="6" t="e">
        <f t="shared" si="11"/>
        <v>#VALUE!</v>
      </c>
      <c r="C130" s="7" t="e">
        <f t="shared" si="7"/>
        <v>#VALUE!</v>
      </c>
      <c r="D130" s="7" t="e">
        <f t="shared" si="12"/>
        <v>#VALUE!</v>
      </c>
      <c r="E130" s="7" t="e">
        <f>C129*'Compra cartera'!$E$17</f>
        <v>#VALUE!</v>
      </c>
      <c r="F130" s="8" t="e">
        <f>IF(C129&lt;1,"0",IF('Compra cartera'!$D$26="Si",($C$17*(VLOOKUP('Compra cartera'!$C$22,Seguros_Oblig!$A$3:$F$55,6,FALSE))),(C129*(VLOOKUP('Compra cartera'!$C$22,Seguros_Oblig!$A$3:$E$55,5,FALSE)))))</f>
        <v>#VALUE!</v>
      </c>
      <c r="G130" s="8" t="e">
        <f>(C129*(VLOOKUP('Compra cartera'!$C$23,Seguros_Oblig!$A$3:$E$55,5,FALSE)))</f>
        <v>#VALUE!</v>
      </c>
      <c r="H130" s="8" t="e">
        <f>(C129*(VLOOKUP('Compra cartera'!$C$24,Seguros_Oblig!$A$3:$E$55,5,FALSE)))</f>
        <v>#VALUE!</v>
      </c>
      <c r="I130" s="8" t="e">
        <f>(C129*(VLOOKUP('Compra cartera'!$C$25,Seguros_Oblig!$A$3:$E$55,5,FALSE)))</f>
        <v>#VALUE!</v>
      </c>
      <c r="J130" s="10">
        <f t="shared" si="8"/>
        <v>0</v>
      </c>
      <c r="K130" s="7" t="e">
        <f>IF(C129&lt;1,"0",Seguros_Oblig!$K$2*('Compra cartera'!$C$11*90%))</f>
        <v>#VALUE!</v>
      </c>
      <c r="L130" s="7" t="e">
        <f>IF(B130=" ","0",PMT('Compra cartera'!$E$17,'Compra cartera'!$C$31,-'Compra cartera'!$C$14,,))</f>
        <v>#VALUE!</v>
      </c>
      <c r="M130" s="9" t="e">
        <f t="shared" si="9"/>
        <v>#VALUE!</v>
      </c>
      <c r="N130" s="7" t="e">
        <f>IF(C129&lt;1,"0",'Compra cartera'!$C$44)</f>
        <v>#VALUE!</v>
      </c>
      <c r="O130" s="9" t="e">
        <f t="shared" si="10"/>
        <v>#VALUE!</v>
      </c>
    </row>
    <row r="131" spans="2:15" ht="15.5" x14ac:dyDescent="0.35">
      <c r="B131" s="6" t="e">
        <f t="shared" si="11"/>
        <v>#VALUE!</v>
      </c>
      <c r="C131" s="7" t="e">
        <f t="shared" si="7"/>
        <v>#VALUE!</v>
      </c>
      <c r="D131" s="7" t="e">
        <f t="shared" si="12"/>
        <v>#VALUE!</v>
      </c>
      <c r="E131" s="7" t="e">
        <f>C130*'Compra cartera'!$E$17</f>
        <v>#VALUE!</v>
      </c>
      <c r="F131" s="8" t="e">
        <f>IF(C130&lt;1,"0",IF('Compra cartera'!$D$26="Si",($C$17*(VLOOKUP('Compra cartera'!$C$22,Seguros_Oblig!$A$3:$F$55,6,FALSE))),(C130*(VLOOKUP('Compra cartera'!$C$22,Seguros_Oblig!$A$3:$E$55,5,FALSE)))))</f>
        <v>#VALUE!</v>
      </c>
      <c r="G131" s="8" t="e">
        <f>(C130*(VLOOKUP('Compra cartera'!$C$23,Seguros_Oblig!$A$3:$E$55,5,FALSE)))</f>
        <v>#VALUE!</v>
      </c>
      <c r="H131" s="8" t="e">
        <f>(C130*(VLOOKUP('Compra cartera'!$C$24,Seguros_Oblig!$A$3:$E$55,5,FALSE)))</f>
        <v>#VALUE!</v>
      </c>
      <c r="I131" s="8" t="e">
        <f>(C130*(VLOOKUP('Compra cartera'!$C$25,Seguros_Oblig!$A$3:$E$55,5,FALSE)))</f>
        <v>#VALUE!</v>
      </c>
      <c r="J131" s="10">
        <f t="shared" si="8"/>
        <v>0</v>
      </c>
      <c r="K131" s="7" t="e">
        <f>IF(C130&lt;1,"0",Seguros_Oblig!$K$2*('Compra cartera'!$C$11*90%))</f>
        <v>#VALUE!</v>
      </c>
      <c r="L131" s="7" t="e">
        <f>IF(B131=" ","0",PMT('Compra cartera'!$E$17,'Compra cartera'!$C$31,-'Compra cartera'!$C$14,,))</f>
        <v>#VALUE!</v>
      </c>
      <c r="M131" s="9" t="e">
        <f t="shared" si="9"/>
        <v>#VALUE!</v>
      </c>
      <c r="N131" s="7" t="e">
        <f>IF(C130&lt;1,"0",'Compra cartera'!$C$44)</f>
        <v>#VALUE!</v>
      </c>
      <c r="O131" s="9" t="e">
        <f t="shared" si="10"/>
        <v>#VALUE!</v>
      </c>
    </row>
    <row r="132" spans="2:15" ht="15.5" x14ac:dyDescent="0.35">
      <c r="B132" s="6" t="e">
        <f t="shared" si="11"/>
        <v>#VALUE!</v>
      </c>
      <c r="C132" s="7" t="e">
        <f t="shared" si="7"/>
        <v>#VALUE!</v>
      </c>
      <c r="D132" s="7" t="e">
        <f t="shared" si="12"/>
        <v>#VALUE!</v>
      </c>
      <c r="E132" s="7" t="e">
        <f>C131*'Compra cartera'!$E$17</f>
        <v>#VALUE!</v>
      </c>
      <c r="F132" s="8" t="e">
        <f>IF(C131&lt;1,"0",IF('Compra cartera'!$D$26="Si",($C$17*(VLOOKUP('Compra cartera'!$C$22,Seguros_Oblig!$A$3:$F$55,6,FALSE))),(C131*(VLOOKUP('Compra cartera'!$C$22,Seguros_Oblig!$A$3:$E$55,5,FALSE)))))</f>
        <v>#VALUE!</v>
      </c>
      <c r="G132" s="8" t="e">
        <f>(C131*(VLOOKUP('Compra cartera'!$C$23,Seguros_Oblig!$A$3:$E$55,5,FALSE)))</f>
        <v>#VALUE!</v>
      </c>
      <c r="H132" s="8" t="e">
        <f>(C131*(VLOOKUP('Compra cartera'!$C$24,Seguros_Oblig!$A$3:$E$55,5,FALSE)))</f>
        <v>#VALUE!</v>
      </c>
      <c r="I132" s="8" t="e">
        <f>(C131*(VLOOKUP('Compra cartera'!$C$25,Seguros_Oblig!$A$3:$E$55,5,FALSE)))</f>
        <v>#VALUE!</v>
      </c>
      <c r="J132" s="10">
        <f t="shared" si="8"/>
        <v>0</v>
      </c>
      <c r="K132" s="7" t="e">
        <f>IF(C131&lt;1,"0",Seguros_Oblig!$K$2*('Compra cartera'!$C$11*90%))</f>
        <v>#VALUE!</v>
      </c>
      <c r="L132" s="7" t="e">
        <f>IF(B132=" ","0",PMT('Compra cartera'!$E$17,'Compra cartera'!$C$31,-'Compra cartera'!$C$14,,))</f>
        <v>#VALUE!</v>
      </c>
      <c r="M132" s="9" t="e">
        <f t="shared" si="9"/>
        <v>#VALUE!</v>
      </c>
      <c r="N132" s="7" t="e">
        <f>IF(C131&lt;1,"0",'Compra cartera'!$C$44)</f>
        <v>#VALUE!</v>
      </c>
      <c r="O132" s="9" t="e">
        <f t="shared" si="10"/>
        <v>#VALUE!</v>
      </c>
    </row>
    <row r="133" spans="2:15" ht="15.5" x14ac:dyDescent="0.35">
      <c r="B133" s="6" t="e">
        <f t="shared" si="11"/>
        <v>#VALUE!</v>
      </c>
      <c r="C133" s="7" t="e">
        <f t="shared" si="7"/>
        <v>#VALUE!</v>
      </c>
      <c r="D133" s="7" t="e">
        <f t="shared" si="12"/>
        <v>#VALUE!</v>
      </c>
      <c r="E133" s="7" t="e">
        <f>C132*'Compra cartera'!$E$17</f>
        <v>#VALUE!</v>
      </c>
      <c r="F133" s="8" t="e">
        <f>IF(C132&lt;1,"0",IF('Compra cartera'!$D$26="Si",($C$17*(VLOOKUP('Compra cartera'!$C$22,Seguros_Oblig!$A$3:$F$55,6,FALSE))),(C132*(VLOOKUP('Compra cartera'!$C$22,Seguros_Oblig!$A$3:$E$55,5,FALSE)))))</f>
        <v>#VALUE!</v>
      </c>
      <c r="G133" s="8" t="e">
        <f>(C132*(VLOOKUP('Compra cartera'!$C$23,Seguros_Oblig!$A$3:$E$55,5,FALSE)))</f>
        <v>#VALUE!</v>
      </c>
      <c r="H133" s="8" t="e">
        <f>(C132*(VLOOKUP('Compra cartera'!$C$24,Seguros_Oblig!$A$3:$E$55,5,FALSE)))</f>
        <v>#VALUE!</v>
      </c>
      <c r="I133" s="8" t="e">
        <f>(C132*(VLOOKUP('Compra cartera'!$C$25,Seguros_Oblig!$A$3:$E$55,5,FALSE)))</f>
        <v>#VALUE!</v>
      </c>
      <c r="J133" s="10">
        <f t="shared" si="8"/>
        <v>0</v>
      </c>
      <c r="K133" s="7" t="e">
        <f>IF(C132&lt;1,"0",Seguros_Oblig!$K$2*('Compra cartera'!$C$11*90%))</f>
        <v>#VALUE!</v>
      </c>
      <c r="L133" s="7" t="e">
        <f>IF(B133=" ","0",PMT('Compra cartera'!$E$17,'Compra cartera'!$C$31,-'Compra cartera'!$C$14,,))</f>
        <v>#VALUE!</v>
      </c>
      <c r="M133" s="9" t="e">
        <f t="shared" si="9"/>
        <v>#VALUE!</v>
      </c>
      <c r="N133" s="7" t="e">
        <f>IF(C132&lt;1,"0",'Compra cartera'!$C$44)</f>
        <v>#VALUE!</v>
      </c>
      <c r="O133" s="9" t="e">
        <f t="shared" si="10"/>
        <v>#VALUE!</v>
      </c>
    </row>
    <row r="134" spans="2:15" ht="15.5" x14ac:dyDescent="0.35">
      <c r="B134" s="6" t="e">
        <f t="shared" si="11"/>
        <v>#VALUE!</v>
      </c>
      <c r="C134" s="7" t="e">
        <f t="shared" si="7"/>
        <v>#VALUE!</v>
      </c>
      <c r="D134" s="7" t="e">
        <f t="shared" si="12"/>
        <v>#VALUE!</v>
      </c>
      <c r="E134" s="7" t="e">
        <f>C133*'Compra cartera'!$E$17</f>
        <v>#VALUE!</v>
      </c>
      <c r="F134" s="8" t="e">
        <f>IF(C133&lt;1,"0",IF('Compra cartera'!$D$26="Si",($C$17*(VLOOKUP('Compra cartera'!$C$22,Seguros_Oblig!$A$3:$F$55,6,FALSE))),(C133*(VLOOKUP('Compra cartera'!$C$22,Seguros_Oblig!$A$3:$E$55,5,FALSE)))))</f>
        <v>#VALUE!</v>
      </c>
      <c r="G134" s="8" t="e">
        <f>(C133*(VLOOKUP('Compra cartera'!$C$23,Seguros_Oblig!$A$3:$E$55,5,FALSE)))</f>
        <v>#VALUE!</v>
      </c>
      <c r="H134" s="8" t="e">
        <f>(C133*(VLOOKUP('Compra cartera'!$C$24,Seguros_Oblig!$A$3:$E$55,5,FALSE)))</f>
        <v>#VALUE!</v>
      </c>
      <c r="I134" s="8" t="e">
        <f>(C133*(VLOOKUP('Compra cartera'!$C$25,Seguros_Oblig!$A$3:$E$55,5,FALSE)))</f>
        <v>#VALUE!</v>
      </c>
      <c r="J134" s="10">
        <f t="shared" si="8"/>
        <v>0</v>
      </c>
      <c r="K134" s="7" t="e">
        <f>IF(C133&lt;1,"0",Seguros_Oblig!$K$2*('Compra cartera'!$C$11*90%))</f>
        <v>#VALUE!</v>
      </c>
      <c r="L134" s="7" t="e">
        <f>IF(B134=" ","0",PMT('Compra cartera'!$E$17,'Compra cartera'!$C$31,-'Compra cartera'!$C$14,,))</f>
        <v>#VALUE!</v>
      </c>
      <c r="M134" s="9" t="e">
        <f t="shared" si="9"/>
        <v>#VALUE!</v>
      </c>
      <c r="N134" s="7" t="e">
        <f>IF(C133&lt;1,"0",'Compra cartera'!$C$44)</f>
        <v>#VALUE!</v>
      </c>
      <c r="O134" s="9" t="e">
        <f t="shared" si="10"/>
        <v>#VALUE!</v>
      </c>
    </row>
    <row r="135" spans="2:15" ht="15.5" x14ac:dyDescent="0.35">
      <c r="B135" s="6" t="e">
        <f t="shared" si="11"/>
        <v>#VALUE!</v>
      </c>
      <c r="C135" s="7" t="e">
        <f t="shared" si="7"/>
        <v>#VALUE!</v>
      </c>
      <c r="D135" s="7" t="e">
        <f t="shared" si="12"/>
        <v>#VALUE!</v>
      </c>
      <c r="E135" s="7" t="e">
        <f>C134*'Compra cartera'!$E$17</f>
        <v>#VALUE!</v>
      </c>
      <c r="F135" s="8" t="e">
        <f>IF(C134&lt;1,"0",IF('Compra cartera'!$D$26="Si",($C$17*(VLOOKUP('Compra cartera'!$C$22,Seguros_Oblig!$A$3:$F$55,6,FALSE))),(C134*(VLOOKUP('Compra cartera'!$C$22,Seguros_Oblig!$A$3:$E$55,5,FALSE)))))</f>
        <v>#VALUE!</v>
      </c>
      <c r="G135" s="8" t="e">
        <f>(C134*(VLOOKUP('Compra cartera'!$C$23,Seguros_Oblig!$A$3:$E$55,5,FALSE)))</f>
        <v>#VALUE!</v>
      </c>
      <c r="H135" s="8" t="e">
        <f>(C134*(VLOOKUP('Compra cartera'!$C$24,Seguros_Oblig!$A$3:$E$55,5,FALSE)))</f>
        <v>#VALUE!</v>
      </c>
      <c r="I135" s="8" t="e">
        <f>(C134*(VLOOKUP('Compra cartera'!$C$25,Seguros_Oblig!$A$3:$E$55,5,FALSE)))</f>
        <v>#VALUE!</v>
      </c>
      <c r="J135" s="10">
        <f t="shared" si="8"/>
        <v>0</v>
      </c>
      <c r="K135" s="7" t="e">
        <f>IF(C134&lt;1,"0",Seguros_Oblig!$K$2*('Compra cartera'!$C$11*90%))</f>
        <v>#VALUE!</v>
      </c>
      <c r="L135" s="7" t="e">
        <f>IF(B135=" ","0",PMT('Compra cartera'!$E$17,'Compra cartera'!$C$31,-'Compra cartera'!$C$14,,))</f>
        <v>#VALUE!</v>
      </c>
      <c r="M135" s="9" t="e">
        <f t="shared" si="9"/>
        <v>#VALUE!</v>
      </c>
      <c r="N135" s="7" t="e">
        <f>IF(C134&lt;1,"0",'Compra cartera'!$C$44)</f>
        <v>#VALUE!</v>
      </c>
      <c r="O135" s="9" t="e">
        <f t="shared" si="10"/>
        <v>#VALUE!</v>
      </c>
    </row>
    <row r="136" spans="2:15" ht="15.5" x14ac:dyDescent="0.35">
      <c r="B136" s="6" t="e">
        <f t="shared" si="11"/>
        <v>#VALUE!</v>
      </c>
      <c r="C136" s="7" t="e">
        <f t="shared" si="7"/>
        <v>#VALUE!</v>
      </c>
      <c r="D136" s="7" t="e">
        <f t="shared" si="12"/>
        <v>#VALUE!</v>
      </c>
      <c r="E136" s="7" t="e">
        <f>C135*'Compra cartera'!$E$17</f>
        <v>#VALUE!</v>
      </c>
      <c r="F136" s="8" t="e">
        <f>IF(C135&lt;1,"0",IF('Compra cartera'!$D$26="Si",($C$17*(VLOOKUP('Compra cartera'!$C$22,Seguros_Oblig!$A$3:$F$55,6,FALSE))),(C135*(VLOOKUP('Compra cartera'!$C$22,Seguros_Oblig!$A$3:$E$55,5,FALSE)))))</f>
        <v>#VALUE!</v>
      </c>
      <c r="G136" s="8" t="e">
        <f>(C135*(VLOOKUP('Compra cartera'!$C$23,Seguros_Oblig!$A$3:$E$55,5,FALSE)))</f>
        <v>#VALUE!</v>
      </c>
      <c r="H136" s="8" t="e">
        <f>(C135*(VLOOKUP('Compra cartera'!$C$24,Seguros_Oblig!$A$3:$E$55,5,FALSE)))</f>
        <v>#VALUE!</v>
      </c>
      <c r="I136" s="8" t="e">
        <f>(C135*(VLOOKUP('Compra cartera'!$C$25,Seguros_Oblig!$A$3:$E$55,5,FALSE)))</f>
        <v>#VALUE!</v>
      </c>
      <c r="J136" s="10">
        <f t="shared" si="8"/>
        <v>0</v>
      </c>
      <c r="K136" s="7" t="e">
        <f>IF(C135&lt;1,"0",Seguros_Oblig!$K$2*('Compra cartera'!$C$11*90%))</f>
        <v>#VALUE!</v>
      </c>
      <c r="L136" s="7" t="e">
        <f>IF(B136=" ","0",PMT('Compra cartera'!$E$17,'Compra cartera'!$C$31,-'Compra cartera'!$C$14,,))</f>
        <v>#VALUE!</v>
      </c>
      <c r="M136" s="9" t="e">
        <f t="shared" si="9"/>
        <v>#VALUE!</v>
      </c>
      <c r="N136" s="7" t="e">
        <f>IF(C135&lt;1,"0",'Compra cartera'!$C$44)</f>
        <v>#VALUE!</v>
      </c>
      <c r="O136" s="9" t="e">
        <f t="shared" si="10"/>
        <v>#VALUE!</v>
      </c>
    </row>
    <row r="137" spans="2:15" ht="15.5" x14ac:dyDescent="0.35">
      <c r="B137" s="6" t="e">
        <f t="shared" si="11"/>
        <v>#VALUE!</v>
      </c>
      <c r="C137" s="7" t="e">
        <f t="shared" si="7"/>
        <v>#VALUE!</v>
      </c>
      <c r="D137" s="7" t="e">
        <f t="shared" si="12"/>
        <v>#VALUE!</v>
      </c>
      <c r="E137" s="7" t="e">
        <f>C136*'Compra cartera'!$E$17</f>
        <v>#VALUE!</v>
      </c>
      <c r="F137" s="8" t="e">
        <f>IF(C136&lt;1,"0",IF('Compra cartera'!$D$26="Si",($C$17*(VLOOKUP('Compra cartera'!$C$22,Seguros_Oblig!$A$3:$F$55,6,FALSE))),(C136*(VLOOKUP('Compra cartera'!$C$22,Seguros_Oblig!$A$3:$E$55,5,FALSE)))))</f>
        <v>#VALUE!</v>
      </c>
      <c r="G137" s="8" t="e">
        <f>(C136*(VLOOKUP('Compra cartera'!$C$23,Seguros_Oblig!$A$3:$E$55,5,FALSE)))</f>
        <v>#VALUE!</v>
      </c>
      <c r="H137" s="8" t="e">
        <f>(C136*(VLOOKUP('Compra cartera'!$C$24,Seguros_Oblig!$A$3:$E$55,5,FALSE)))</f>
        <v>#VALUE!</v>
      </c>
      <c r="I137" s="8" t="e">
        <f>(C136*(VLOOKUP('Compra cartera'!$C$25,Seguros_Oblig!$A$3:$E$55,5,FALSE)))</f>
        <v>#VALUE!</v>
      </c>
      <c r="J137" s="10">
        <f t="shared" si="8"/>
        <v>0</v>
      </c>
      <c r="K137" s="7" t="e">
        <f>IF(C136&lt;1,"0",Seguros_Oblig!$K$2*('Compra cartera'!$C$11*90%))</f>
        <v>#VALUE!</v>
      </c>
      <c r="L137" s="7" t="e">
        <f>IF(B137=" ","0",PMT('Compra cartera'!$E$17,'Compra cartera'!$C$31,-'Compra cartera'!$C$14,,))</f>
        <v>#VALUE!</v>
      </c>
      <c r="M137" s="9" t="e">
        <f t="shared" si="9"/>
        <v>#VALUE!</v>
      </c>
      <c r="N137" s="7" t="e">
        <f>IF(C136&lt;1,"0",'Compra cartera'!$C$44)</f>
        <v>#VALUE!</v>
      </c>
      <c r="O137" s="9" t="e">
        <f t="shared" si="10"/>
        <v>#VALUE!</v>
      </c>
    </row>
    <row r="138" spans="2:15" ht="15.5" x14ac:dyDescent="0.35">
      <c r="B138" s="6" t="e">
        <f t="shared" si="11"/>
        <v>#VALUE!</v>
      </c>
      <c r="C138" s="7" t="e">
        <f t="shared" si="7"/>
        <v>#VALUE!</v>
      </c>
      <c r="D138" s="7" t="e">
        <f t="shared" si="12"/>
        <v>#VALUE!</v>
      </c>
      <c r="E138" s="7" t="e">
        <f>C137*'Compra cartera'!$E$17</f>
        <v>#VALUE!</v>
      </c>
      <c r="F138" s="8" t="e">
        <f>IF(C137&lt;1,"0",IF('Compra cartera'!$D$26="Si",($C$17*(VLOOKUP('Compra cartera'!$C$22,Seguros_Oblig!$A$3:$F$55,6,FALSE))),(C137*(VLOOKUP('Compra cartera'!$C$22,Seguros_Oblig!$A$3:$E$55,5,FALSE)))))</f>
        <v>#VALUE!</v>
      </c>
      <c r="G138" s="8" t="e">
        <f>(C137*(VLOOKUP('Compra cartera'!$C$23,Seguros_Oblig!$A$3:$E$55,5,FALSE)))</f>
        <v>#VALUE!</v>
      </c>
      <c r="H138" s="8" t="e">
        <f>(C137*(VLOOKUP('Compra cartera'!$C$24,Seguros_Oblig!$A$3:$E$55,5,FALSE)))</f>
        <v>#VALUE!</v>
      </c>
      <c r="I138" s="8" t="e">
        <f>(C137*(VLOOKUP('Compra cartera'!$C$25,Seguros_Oblig!$A$3:$E$55,5,FALSE)))</f>
        <v>#VALUE!</v>
      </c>
      <c r="J138" s="10">
        <f t="shared" si="8"/>
        <v>0</v>
      </c>
      <c r="K138" s="7" t="e">
        <f>IF(C137&lt;1,"0",Seguros_Oblig!$K$2*('Compra cartera'!$C$11*90%))</f>
        <v>#VALUE!</v>
      </c>
      <c r="L138" s="7" t="e">
        <f>IF(B138=" ","0",PMT('Compra cartera'!$E$17,'Compra cartera'!$C$31,-'Compra cartera'!$C$14,,))</f>
        <v>#VALUE!</v>
      </c>
      <c r="M138" s="9" t="e">
        <f t="shared" si="9"/>
        <v>#VALUE!</v>
      </c>
      <c r="N138" s="7" t="e">
        <f>IF(C137&lt;1,"0",'Compra cartera'!$C$44)</f>
        <v>#VALUE!</v>
      </c>
      <c r="O138" s="9" t="e">
        <f t="shared" si="10"/>
        <v>#VALUE!</v>
      </c>
    </row>
    <row r="139" spans="2:15" ht="15.5" x14ac:dyDescent="0.35">
      <c r="B139" s="6" t="e">
        <f t="shared" si="11"/>
        <v>#VALUE!</v>
      </c>
      <c r="C139" s="7" t="e">
        <f t="shared" si="7"/>
        <v>#VALUE!</v>
      </c>
      <c r="D139" s="7" t="e">
        <f t="shared" si="12"/>
        <v>#VALUE!</v>
      </c>
      <c r="E139" s="7" t="e">
        <f>C138*'Compra cartera'!$E$17</f>
        <v>#VALUE!</v>
      </c>
      <c r="F139" s="8" t="e">
        <f>IF(C138&lt;1,"0",IF('Compra cartera'!$D$26="Si",($C$17*(VLOOKUP('Compra cartera'!$C$22,Seguros_Oblig!$A$3:$F$55,6,FALSE))),(C138*(VLOOKUP('Compra cartera'!$C$22,Seguros_Oblig!$A$3:$E$55,5,FALSE)))))</f>
        <v>#VALUE!</v>
      </c>
      <c r="G139" s="8" t="e">
        <f>(C138*(VLOOKUP('Compra cartera'!$C$23,Seguros_Oblig!$A$3:$E$55,5,FALSE)))</f>
        <v>#VALUE!</v>
      </c>
      <c r="H139" s="8" t="e">
        <f>(C138*(VLOOKUP('Compra cartera'!$C$24,Seguros_Oblig!$A$3:$E$55,5,FALSE)))</f>
        <v>#VALUE!</v>
      </c>
      <c r="I139" s="8" t="e">
        <f>(C138*(VLOOKUP('Compra cartera'!$C$25,Seguros_Oblig!$A$3:$E$55,5,FALSE)))</f>
        <v>#VALUE!</v>
      </c>
      <c r="J139" s="10">
        <f t="shared" si="8"/>
        <v>0</v>
      </c>
      <c r="K139" s="7" t="e">
        <f>IF(C138&lt;1,"0",Seguros_Oblig!$K$2*('Compra cartera'!$C$11*90%))</f>
        <v>#VALUE!</v>
      </c>
      <c r="L139" s="7" t="e">
        <f>IF(B139=" ","0",PMT('Compra cartera'!$E$17,'Compra cartera'!$C$31,-'Compra cartera'!$C$14,,))</f>
        <v>#VALUE!</v>
      </c>
      <c r="M139" s="9" t="e">
        <f t="shared" si="9"/>
        <v>#VALUE!</v>
      </c>
      <c r="N139" s="7" t="e">
        <f>IF(C138&lt;1,"0",'Compra cartera'!$C$44)</f>
        <v>#VALUE!</v>
      </c>
      <c r="O139" s="9" t="e">
        <f t="shared" si="10"/>
        <v>#VALUE!</v>
      </c>
    </row>
    <row r="140" spans="2:15" ht="15.5" x14ac:dyDescent="0.35">
      <c r="B140" s="6" t="e">
        <f t="shared" si="11"/>
        <v>#VALUE!</v>
      </c>
      <c r="C140" s="7" t="e">
        <f t="shared" si="7"/>
        <v>#VALUE!</v>
      </c>
      <c r="D140" s="7" t="e">
        <f t="shared" si="12"/>
        <v>#VALUE!</v>
      </c>
      <c r="E140" s="7" t="e">
        <f>C139*'Compra cartera'!$E$17</f>
        <v>#VALUE!</v>
      </c>
      <c r="F140" s="8" t="e">
        <f>IF(C139&lt;1,"0",IF('Compra cartera'!$D$26="Si",($C$17*(VLOOKUP('Compra cartera'!$C$22,Seguros_Oblig!$A$3:$F$55,6,FALSE))),(C139*(VLOOKUP('Compra cartera'!$C$22,Seguros_Oblig!$A$3:$E$55,5,FALSE)))))</f>
        <v>#VALUE!</v>
      </c>
      <c r="G140" s="8" t="e">
        <f>(C139*(VLOOKUP('Compra cartera'!$C$23,Seguros_Oblig!$A$3:$E$55,5,FALSE)))</f>
        <v>#VALUE!</v>
      </c>
      <c r="H140" s="8" t="e">
        <f>(C139*(VLOOKUP('Compra cartera'!$C$24,Seguros_Oblig!$A$3:$E$55,5,FALSE)))</f>
        <v>#VALUE!</v>
      </c>
      <c r="I140" s="8" t="e">
        <f>(C139*(VLOOKUP('Compra cartera'!$C$25,Seguros_Oblig!$A$3:$E$55,5,FALSE)))</f>
        <v>#VALUE!</v>
      </c>
      <c r="J140" s="10">
        <f t="shared" si="8"/>
        <v>0</v>
      </c>
      <c r="K140" s="7" t="e">
        <f>IF(C139&lt;1,"0",Seguros_Oblig!$K$2*('Compra cartera'!$C$11*90%))</f>
        <v>#VALUE!</v>
      </c>
      <c r="L140" s="7" t="e">
        <f>IF(B140=" ","0",PMT('Compra cartera'!$E$17,'Compra cartera'!$C$31,-'Compra cartera'!$C$14,,))</f>
        <v>#VALUE!</v>
      </c>
      <c r="M140" s="9" t="e">
        <f t="shared" si="9"/>
        <v>#VALUE!</v>
      </c>
      <c r="N140" s="7" t="e">
        <f>IF(C139&lt;1,"0",'Compra cartera'!$C$44)</f>
        <v>#VALUE!</v>
      </c>
      <c r="O140" s="9" t="e">
        <f t="shared" si="10"/>
        <v>#VALUE!</v>
      </c>
    </row>
    <row r="141" spans="2:15" ht="15.5" x14ac:dyDescent="0.35">
      <c r="B141" s="6" t="e">
        <f t="shared" si="11"/>
        <v>#VALUE!</v>
      </c>
      <c r="C141" s="7" t="e">
        <f t="shared" si="7"/>
        <v>#VALUE!</v>
      </c>
      <c r="D141" s="7" t="e">
        <f t="shared" si="12"/>
        <v>#VALUE!</v>
      </c>
      <c r="E141" s="7" t="e">
        <f>C140*'Compra cartera'!$E$17</f>
        <v>#VALUE!</v>
      </c>
      <c r="F141" s="8" t="e">
        <f>IF(C140&lt;1,"0",IF('Compra cartera'!$D$26="Si",($C$17*(VLOOKUP('Compra cartera'!$C$22,Seguros_Oblig!$A$3:$F$55,6,FALSE))),(C140*(VLOOKUP('Compra cartera'!$C$22,Seguros_Oblig!$A$3:$E$55,5,FALSE)))))</f>
        <v>#VALUE!</v>
      </c>
      <c r="G141" s="8" t="e">
        <f>(C140*(VLOOKUP('Compra cartera'!$C$23,Seguros_Oblig!$A$3:$E$55,5,FALSE)))</f>
        <v>#VALUE!</v>
      </c>
      <c r="H141" s="8" t="e">
        <f>(C140*(VLOOKUP('Compra cartera'!$C$24,Seguros_Oblig!$A$3:$E$55,5,FALSE)))</f>
        <v>#VALUE!</v>
      </c>
      <c r="I141" s="8" t="e">
        <f>(C140*(VLOOKUP('Compra cartera'!$C$25,Seguros_Oblig!$A$3:$E$55,5,FALSE)))</f>
        <v>#VALUE!</v>
      </c>
      <c r="J141" s="10">
        <f t="shared" si="8"/>
        <v>0</v>
      </c>
      <c r="K141" s="7" t="e">
        <f>IF(C140&lt;1,"0",Seguros_Oblig!$K$2*('Compra cartera'!$C$11*90%))</f>
        <v>#VALUE!</v>
      </c>
      <c r="L141" s="7" t="e">
        <f>IF(B141=" ","0",PMT('Compra cartera'!$E$17,'Compra cartera'!$C$31,-'Compra cartera'!$C$14,,))</f>
        <v>#VALUE!</v>
      </c>
      <c r="M141" s="9" t="e">
        <f t="shared" si="9"/>
        <v>#VALUE!</v>
      </c>
      <c r="N141" s="7" t="e">
        <f>IF(C140&lt;1,"0",'Compra cartera'!$C$44)</f>
        <v>#VALUE!</v>
      </c>
      <c r="O141" s="9" t="e">
        <f t="shared" si="10"/>
        <v>#VALUE!</v>
      </c>
    </row>
    <row r="142" spans="2:15" ht="15.5" x14ac:dyDescent="0.35">
      <c r="B142" s="6" t="e">
        <f t="shared" si="11"/>
        <v>#VALUE!</v>
      </c>
      <c r="C142" s="7" t="e">
        <f t="shared" si="7"/>
        <v>#VALUE!</v>
      </c>
      <c r="D142" s="7" t="e">
        <f t="shared" si="12"/>
        <v>#VALUE!</v>
      </c>
      <c r="E142" s="7" t="e">
        <f>C141*'Compra cartera'!$E$17</f>
        <v>#VALUE!</v>
      </c>
      <c r="F142" s="8" t="e">
        <f>IF(C141&lt;1,"0",IF('Compra cartera'!$D$26="Si",($C$17*(VLOOKUP('Compra cartera'!$C$22,Seguros_Oblig!$A$3:$F$55,6,FALSE))),(C141*(VLOOKUP('Compra cartera'!$C$22,Seguros_Oblig!$A$3:$E$55,5,FALSE)))))</f>
        <v>#VALUE!</v>
      </c>
      <c r="G142" s="8" t="e">
        <f>(C141*(VLOOKUP('Compra cartera'!$C$23,Seguros_Oblig!$A$3:$E$55,5,FALSE)))</f>
        <v>#VALUE!</v>
      </c>
      <c r="H142" s="8" t="e">
        <f>(C141*(VLOOKUP('Compra cartera'!$C$24,Seguros_Oblig!$A$3:$E$55,5,FALSE)))</f>
        <v>#VALUE!</v>
      </c>
      <c r="I142" s="8" t="e">
        <f>(C141*(VLOOKUP('Compra cartera'!$C$25,Seguros_Oblig!$A$3:$E$55,5,FALSE)))</f>
        <v>#VALUE!</v>
      </c>
      <c r="J142" s="10">
        <f t="shared" si="8"/>
        <v>0</v>
      </c>
      <c r="K142" s="7" t="e">
        <f>IF(C141&lt;1,"0",Seguros_Oblig!$K$2*('Compra cartera'!$C$11*90%))</f>
        <v>#VALUE!</v>
      </c>
      <c r="L142" s="7" t="e">
        <f>IF(B142=" ","0",PMT('Compra cartera'!$E$17,'Compra cartera'!$C$31,-'Compra cartera'!$C$14,,))</f>
        <v>#VALUE!</v>
      </c>
      <c r="M142" s="9" t="e">
        <f t="shared" si="9"/>
        <v>#VALUE!</v>
      </c>
      <c r="N142" s="7" t="e">
        <f>IF(C141&lt;1,"0",'Compra cartera'!$C$44)</f>
        <v>#VALUE!</v>
      </c>
      <c r="O142" s="9" t="e">
        <f t="shared" si="10"/>
        <v>#VALUE!</v>
      </c>
    </row>
    <row r="143" spans="2:15" ht="15.5" x14ac:dyDescent="0.35">
      <c r="B143" s="6" t="e">
        <f t="shared" si="11"/>
        <v>#VALUE!</v>
      </c>
      <c r="C143" s="7" t="e">
        <f t="shared" si="7"/>
        <v>#VALUE!</v>
      </c>
      <c r="D143" s="7" t="e">
        <f t="shared" si="12"/>
        <v>#VALUE!</v>
      </c>
      <c r="E143" s="7" t="e">
        <f>C142*'Compra cartera'!$E$17</f>
        <v>#VALUE!</v>
      </c>
      <c r="F143" s="8" t="e">
        <f>IF(C142&lt;1,"0",IF('Compra cartera'!$D$26="Si",($C$17*(VLOOKUP('Compra cartera'!$C$22,Seguros_Oblig!$A$3:$F$55,6,FALSE))),(C142*(VLOOKUP('Compra cartera'!$C$22,Seguros_Oblig!$A$3:$E$55,5,FALSE)))))</f>
        <v>#VALUE!</v>
      </c>
      <c r="G143" s="8" t="e">
        <f>(C142*(VLOOKUP('Compra cartera'!$C$23,Seguros_Oblig!$A$3:$E$55,5,FALSE)))</f>
        <v>#VALUE!</v>
      </c>
      <c r="H143" s="8" t="e">
        <f>(C142*(VLOOKUP('Compra cartera'!$C$24,Seguros_Oblig!$A$3:$E$55,5,FALSE)))</f>
        <v>#VALUE!</v>
      </c>
      <c r="I143" s="8" t="e">
        <f>(C142*(VLOOKUP('Compra cartera'!$C$25,Seguros_Oblig!$A$3:$E$55,5,FALSE)))</f>
        <v>#VALUE!</v>
      </c>
      <c r="J143" s="10">
        <f t="shared" si="8"/>
        <v>0</v>
      </c>
      <c r="K143" s="7" t="e">
        <f>IF(C142&lt;1,"0",Seguros_Oblig!$K$2*('Compra cartera'!$C$11*90%))</f>
        <v>#VALUE!</v>
      </c>
      <c r="L143" s="7" t="e">
        <f>IF(B143=" ","0",PMT('Compra cartera'!$E$17,'Compra cartera'!$C$31,-'Compra cartera'!$C$14,,))</f>
        <v>#VALUE!</v>
      </c>
      <c r="M143" s="9" t="e">
        <f t="shared" si="9"/>
        <v>#VALUE!</v>
      </c>
      <c r="N143" s="7" t="e">
        <f>IF(C142&lt;1,"0",'Compra cartera'!$C$44)</f>
        <v>#VALUE!</v>
      </c>
      <c r="O143" s="9" t="e">
        <f t="shared" si="10"/>
        <v>#VALUE!</v>
      </c>
    </row>
    <row r="144" spans="2:15" ht="15.5" x14ac:dyDescent="0.35">
      <c r="B144" s="6" t="e">
        <f t="shared" si="11"/>
        <v>#VALUE!</v>
      </c>
      <c r="C144" s="7" t="e">
        <f t="shared" si="7"/>
        <v>#VALUE!</v>
      </c>
      <c r="D144" s="7" t="e">
        <f t="shared" si="12"/>
        <v>#VALUE!</v>
      </c>
      <c r="E144" s="7" t="e">
        <f>C143*'Compra cartera'!$E$17</f>
        <v>#VALUE!</v>
      </c>
      <c r="F144" s="8" t="e">
        <f>IF(C143&lt;1,"0",IF('Compra cartera'!$D$26="Si",($C$17*(VLOOKUP('Compra cartera'!$C$22,Seguros_Oblig!$A$3:$F$55,6,FALSE))),(C143*(VLOOKUP('Compra cartera'!$C$22,Seguros_Oblig!$A$3:$E$55,5,FALSE)))))</f>
        <v>#VALUE!</v>
      </c>
      <c r="G144" s="8" t="e">
        <f>(C143*(VLOOKUP('Compra cartera'!$C$23,Seguros_Oblig!$A$3:$E$55,5,FALSE)))</f>
        <v>#VALUE!</v>
      </c>
      <c r="H144" s="8" t="e">
        <f>(C143*(VLOOKUP('Compra cartera'!$C$24,Seguros_Oblig!$A$3:$E$55,5,FALSE)))</f>
        <v>#VALUE!</v>
      </c>
      <c r="I144" s="8" t="e">
        <f>(C143*(VLOOKUP('Compra cartera'!$C$25,Seguros_Oblig!$A$3:$E$55,5,FALSE)))</f>
        <v>#VALUE!</v>
      </c>
      <c r="J144" s="10">
        <f t="shared" si="8"/>
        <v>0</v>
      </c>
      <c r="K144" s="7" t="e">
        <f>IF(C143&lt;1,"0",Seguros_Oblig!$K$2*('Compra cartera'!$C$11*90%))</f>
        <v>#VALUE!</v>
      </c>
      <c r="L144" s="7" t="e">
        <f>IF(B144=" ","0",PMT('Compra cartera'!$E$17,'Compra cartera'!$C$31,-'Compra cartera'!$C$14,,))</f>
        <v>#VALUE!</v>
      </c>
      <c r="M144" s="9" t="e">
        <f t="shared" si="9"/>
        <v>#VALUE!</v>
      </c>
      <c r="N144" s="7" t="e">
        <f>IF(C143&lt;1,"0",'Compra cartera'!$C$44)</f>
        <v>#VALUE!</v>
      </c>
      <c r="O144" s="9" t="e">
        <f t="shared" si="10"/>
        <v>#VALUE!</v>
      </c>
    </row>
    <row r="145" spans="2:15" ht="15.5" x14ac:dyDescent="0.35">
      <c r="B145" s="6" t="e">
        <f t="shared" si="11"/>
        <v>#VALUE!</v>
      </c>
      <c r="C145" s="7" t="e">
        <f t="shared" si="7"/>
        <v>#VALUE!</v>
      </c>
      <c r="D145" s="7" t="e">
        <f t="shared" si="12"/>
        <v>#VALUE!</v>
      </c>
      <c r="E145" s="7" t="e">
        <f>C144*'Compra cartera'!$E$17</f>
        <v>#VALUE!</v>
      </c>
      <c r="F145" s="8" t="e">
        <f>IF(C144&lt;1,"0",IF('Compra cartera'!$D$26="Si",($C$17*(VLOOKUP('Compra cartera'!$C$22,Seguros_Oblig!$A$3:$F$55,6,FALSE))),(C144*(VLOOKUP('Compra cartera'!$C$22,Seguros_Oblig!$A$3:$E$55,5,FALSE)))))</f>
        <v>#VALUE!</v>
      </c>
      <c r="G145" s="8" t="e">
        <f>(C144*(VLOOKUP('Compra cartera'!$C$23,Seguros_Oblig!$A$3:$E$55,5,FALSE)))</f>
        <v>#VALUE!</v>
      </c>
      <c r="H145" s="8" t="e">
        <f>(C144*(VLOOKUP('Compra cartera'!$C$24,Seguros_Oblig!$A$3:$E$55,5,FALSE)))</f>
        <v>#VALUE!</v>
      </c>
      <c r="I145" s="8" t="e">
        <f>(C144*(VLOOKUP('Compra cartera'!$C$25,Seguros_Oblig!$A$3:$E$55,5,FALSE)))</f>
        <v>#VALUE!</v>
      </c>
      <c r="J145" s="10">
        <f t="shared" si="8"/>
        <v>0</v>
      </c>
      <c r="K145" s="7" t="e">
        <f>IF(C144&lt;1,"0",Seguros_Oblig!$K$2*('Compra cartera'!$C$11*90%))</f>
        <v>#VALUE!</v>
      </c>
      <c r="L145" s="7" t="e">
        <f>IF(B145=" ","0",PMT('Compra cartera'!$E$17,'Compra cartera'!$C$31,-'Compra cartera'!$C$14,,))</f>
        <v>#VALUE!</v>
      </c>
      <c r="M145" s="9" t="e">
        <f t="shared" si="9"/>
        <v>#VALUE!</v>
      </c>
      <c r="N145" s="7" t="e">
        <f>IF(C144&lt;1,"0",'Compra cartera'!$C$44)</f>
        <v>#VALUE!</v>
      </c>
      <c r="O145" s="9" t="e">
        <f t="shared" si="10"/>
        <v>#VALUE!</v>
      </c>
    </row>
    <row r="146" spans="2:15" ht="15.5" x14ac:dyDescent="0.35">
      <c r="B146" s="6" t="e">
        <f t="shared" si="11"/>
        <v>#VALUE!</v>
      </c>
      <c r="C146" s="7" t="e">
        <f t="shared" si="7"/>
        <v>#VALUE!</v>
      </c>
      <c r="D146" s="7" t="e">
        <f t="shared" si="12"/>
        <v>#VALUE!</v>
      </c>
      <c r="E146" s="7" t="e">
        <f>C145*'Compra cartera'!$E$17</f>
        <v>#VALUE!</v>
      </c>
      <c r="F146" s="8" t="e">
        <f>IF(C145&lt;1,"0",IF('Compra cartera'!$D$26="Si",($C$17*(VLOOKUP('Compra cartera'!$C$22,Seguros_Oblig!$A$3:$F$55,6,FALSE))),(C145*(VLOOKUP('Compra cartera'!$C$22,Seguros_Oblig!$A$3:$E$55,5,FALSE)))))</f>
        <v>#VALUE!</v>
      </c>
      <c r="G146" s="8" t="e">
        <f>(C145*(VLOOKUP('Compra cartera'!$C$23,Seguros_Oblig!$A$3:$E$55,5,FALSE)))</f>
        <v>#VALUE!</v>
      </c>
      <c r="H146" s="8" t="e">
        <f>(C145*(VLOOKUP('Compra cartera'!$C$24,Seguros_Oblig!$A$3:$E$55,5,FALSE)))</f>
        <v>#VALUE!</v>
      </c>
      <c r="I146" s="8" t="e">
        <f>(C145*(VLOOKUP('Compra cartera'!$C$25,Seguros_Oblig!$A$3:$E$55,5,FALSE)))</f>
        <v>#VALUE!</v>
      </c>
      <c r="J146" s="10">
        <f t="shared" si="8"/>
        <v>0</v>
      </c>
      <c r="K146" s="7" t="e">
        <f>IF(C145&lt;1,"0",Seguros_Oblig!$K$2*('Compra cartera'!$C$11*90%))</f>
        <v>#VALUE!</v>
      </c>
      <c r="L146" s="7" t="e">
        <f>IF(B146=" ","0",PMT('Compra cartera'!$E$17,'Compra cartera'!$C$31,-'Compra cartera'!$C$14,,))</f>
        <v>#VALUE!</v>
      </c>
      <c r="M146" s="9" t="e">
        <f t="shared" si="9"/>
        <v>#VALUE!</v>
      </c>
      <c r="N146" s="7" t="e">
        <f>IF(C145&lt;1,"0",'Compra cartera'!$C$44)</f>
        <v>#VALUE!</v>
      </c>
      <c r="O146" s="9" t="e">
        <f t="shared" si="10"/>
        <v>#VALUE!</v>
      </c>
    </row>
    <row r="147" spans="2:15" ht="15.5" x14ac:dyDescent="0.35">
      <c r="B147" s="6" t="e">
        <f t="shared" si="11"/>
        <v>#VALUE!</v>
      </c>
      <c r="C147" s="7" t="e">
        <f t="shared" ref="C147:C210" si="13">C146-D147</f>
        <v>#VALUE!</v>
      </c>
      <c r="D147" s="7" t="e">
        <f t="shared" si="12"/>
        <v>#VALUE!</v>
      </c>
      <c r="E147" s="7" t="e">
        <f>C146*'Compra cartera'!$E$17</f>
        <v>#VALUE!</v>
      </c>
      <c r="F147" s="8" t="e">
        <f>IF(C146&lt;1,"0",IF('Compra cartera'!$D$26="Si",($C$17*(VLOOKUP('Compra cartera'!$C$22,Seguros_Oblig!$A$3:$F$55,6,FALSE))),(C146*(VLOOKUP('Compra cartera'!$C$22,Seguros_Oblig!$A$3:$E$55,5,FALSE)))))</f>
        <v>#VALUE!</v>
      </c>
      <c r="G147" s="8" t="e">
        <f>(C146*(VLOOKUP('Compra cartera'!$C$23,Seguros_Oblig!$A$3:$E$55,5,FALSE)))</f>
        <v>#VALUE!</v>
      </c>
      <c r="H147" s="8" t="e">
        <f>(C146*(VLOOKUP('Compra cartera'!$C$24,Seguros_Oblig!$A$3:$E$55,5,FALSE)))</f>
        <v>#VALUE!</v>
      </c>
      <c r="I147" s="8" t="e">
        <f>(C146*(VLOOKUP('Compra cartera'!$C$25,Seguros_Oblig!$A$3:$E$55,5,FALSE)))</f>
        <v>#VALUE!</v>
      </c>
      <c r="J147" s="10">
        <f t="shared" ref="J147:J210" si="14">_xlfn.AGGREGATE(9,6,F147:I147)</f>
        <v>0</v>
      </c>
      <c r="K147" s="7" t="e">
        <f>IF(C146&lt;1,"0",Seguros_Oblig!$K$2*('Compra cartera'!$C$11*90%))</f>
        <v>#VALUE!</v>
      </c>
      <c r="L147" s="7" t="e">
        <f>IF(B147=" ","0",PMT('Compra cartera'!$E$17,'Compra cartera'!$C$31,-'Compra cartera'!$C$14,,))</f>
        <v>#VALUE!</v>
      </c>
      <c r="M147" s="9" t="e">
        <f t="shared" ref="M147:M210" si="15">K147+L147+J147</f>
        <v>#VALUE!</v>
      </c>
      <c r="N147" s="7" t="e">
        <f>IF(C146&lt;1,"0",'Compra cartera'!$C$44)</f>
        <v>#VALUE!</v>
      </c>
      <c r="O147" s="9" t="e">
        <f t="shared" ref="O147:O210" si="16">M147+N147</f>
        <v>#VALUE!</v>
      </c>
    </row>
    <row r="148" spans="2:15" ht="15.5" x14ac:dyDescent="0.35">
      <c r="B148" s="6" t="e">
        <f t="shared" si="11"/>
        <v>#VALUE!</v>
      </c>
      <c r="C148" s="7" t="e">
        <f t="shared" si="13"/>
        <v>#VALUE!</v>
      </c>
      <c r="D148" s="7" t="e">
        <f t="shared" si="12"/>
        <v>#VALUE!</v>
      </c>
      <c r="E148" s="7" t="e">
        <f>C147*'Compra cartera'!$E$17</f>
        <v>#VALUE!</v>
      </c>
      <c r="F148" s="8" t="e">
        <f>IF(C147&lt;1,"0",IF('Compra cartera'!$D$26="Si",($C$17*(VLOOKUP('Compra cartera'!$C$22,Seguros_Oblig!$A$3:$F$55,6,FALSE))),(C147*(VLOOKUP('Compra cartera'!$C$22,Seguros_Oblig!$A$3:$E$55,5,FALSE)))))</f>
        <v>#VALUE!</v>
      </c>
      <c r="G148" s="8" t="e">
        <f>(C147*(VLOOKUP('Compra cartera'!$C$23,Seguros_Oblig!$A$3:$E$55,5,FALSE)))</f>
        <v>#VALUE!</v>
      </c>
      <c r="H148" s="8" t="e">
        <f>(C147*(VLOOKUP('Compra cartera'!$C$24,Seguros_Oblig!$A$3:$E$55,5,FALSE)))</f>
        <v>#VALUE!</v>
      </c>
      <c r="I148" s="8" t="e">
        <f>(C147*(VLOOKUP('Compra cartera'!$C$25,Seguros_Oblig!$A$3:$E$55,5,FALSE)))</f>
        <v>#VALUE!</v>
      </c>
      <c r="J148" s="10">
        <f t="shared" si="14"/>
        <v>0</v>
      </c>
      <c r="K148" s="7" t="e">
        <f>IF(C147&lt;1,"0",Seguros_Oblig!$K$2*('Compra cartera'!$C$11*90%))</f>
        <v>#VALUE!</v>
      </c>
      <c r="L148" s="7" t="e">
        <f>IF(B148=" ","0",PMT('Compra cartera'!$E$17,'Compra cartera'!$C$31,-'Compra cartera'!$C$14,,))</f>
        <v>#VALUE!</v>
      </c>
      <c r="M148" s="9" t="e">
        <f t="shared" si="15"/>
        <v>#VALUE!</v>
      </c>
      <c r="N148" s="7" t="e">
        <f>IF(C147&lt;1,"0",'Compra cartera'!$C$44)</f>
        <v>#VALUE!</v>
      </c>
      <c r="O148" s="9" t="e">
        <f t="shared" si="16"/>
        <v>#VALUE!</v>
      </c>
    </row>
    <row r="149" spans="2:15" ht="15.5" x14ac:dyDescent="0.35">
      <c r="B149" s="6" t="e">
        <f t="shared" si="11"/>
        <v>#VALUE!</v>
      </c>
      <c r="C149" s="7" t="e">
        <f t="shared" si="13"/>
        <v>#VALUE!</v>
      </c>
      <c r="D149" s="7" t="e">
        <f t="shared" si="12"/>
        <v>#VALUE!</v>
      </c>
      <c r="E149" s="7" t="e">
        <f>C148*'Compra cartera'!$E$17</f>
        <v>#VALUE!</v>
      </c>
      <c r="F149" s="8" t="e">
        <f>IF(C148&lt;1,"0",IF('Compra cartera'!$D$26="Si",($C$17*(VLOOKUP('Compra cartera'!$C$22,Seguros_Oblig!$A$3:$F$55,6,FALSE))),(C148*(VLOOKUP('Compra cartera'!$C$22,Seguros_Oblig!$A$3:$E$55,5,FALSE)))))</f>
        <v>#VALUE!</v>
      </c>
      <c r="G149" s="8" t="e">
        <f>(C148*(VLOOKUP('Compra cartera'!$C$23,Seguros_Oblig!$A$3:$E$55,5,FALSE)))</f>
        <v>#VALUE!</v>
      </c>
      <c r="H149" s="8" t="e">
        <f>(C148*(VLOOKUP('Compra cartera'!$C$24,Seguros_Oblig!$A$3:$E$55,5,FALSE)))</f>
        <v>#VALUE!</v>
      </c>
      <c r="I149" s="8" t="e">
        <f>(C148*(VLOOKUP('Compra cartera'!$C$25,Seguros_Oblig!$A$3:$E$55,5,FALSE)))</f>
        <v>#VALUE!</v>
      </c>
      <c r="J149" s="10">
        <f t="shared" si="14"/>
        <v>0</v>
      </c>
      <c r="K149" s="7" t="e">
        <f>IF(C148&lt;1,"0",Seguros_Oblig!$K$2*('Compra cartera'!$C$11*90%))</f>
        <v>#VALUE!</v>
      </c>
      <c r="L149" s="7" t="e">
        <f>IF(B149=" ","0",PMT('Compra cartera'!$E$17,'Compra cartera'!$C$31,-'Compra cartera'!$C$14,,))</f>
        <v>#VALUE!</v>
      </c>
      <c r="M149" s="9" t="e">
        <f t="shared" si="15"/>
        <v>#VALUE!</v>
      </c>
      <c r="N149" s="7" t="e">
        <f>IF(C148&lt;1,"0",'Compra cartera'!$C$44)</f>
        <v>#VALUE!</v>
      </c>
      <c r="O149" s="9" t="e">
        <f t="shared" si="16"/>
        <v>#VALUE!</v>
      </c>
    </row>
    <row r="150" spans="2:15" ht="15.5" x14ac:dyDescent="0.35">
      <c r="B150" s="6" t="e">
        <f t="shared" si="11"/>
        <v>#VALUE!</v>
      </c>
      <c r="C150" s="7" t="e">
        <f t="shared" si="13"/>
        <v>#VALUE!</v>
      </c>
      <c r="D150" s="7" t="e">
        <f t="shared" si="12"/>
        <v>#VALUE!</v>
      </c>
      <c r="E150" s="7" t="e">
        <f>C149*'Compra cartera'!$E$17</f>
        <v>#VALUE!</v>
      </c>
      <c r="F150" s="8" t="e">
        <f>IF(C149&lt;1,"0",IF('Compra cartera'!$D$26="Si",($C$17*(VLOOKUP('Compra cartera'!$C$22,Seguros_Oblig!$A$3:$F$55,6,FALSE))),(C149*(VLOOKUP('Compra cartera'!$C$22,Seguros_Oblig!$A$3:$E$55,5,FALSE)))))</f>
        <v>#VALUE!</v>
      </c>
      <c r="G150" s="8" t="e">
        <f>(C149*(VLOOKUP('Compra cartera'!$C$23,Seguros_Oblig!$A$3:$E$55,5,FALSE)))</f>
        <v>#VALUE!</v>
      </c>
      <c r="H150" s="8" t="e">
        <f>(C149*(VLOOKUP('Compra cartera'!$C$24,Seguros_Oblig!$A$3:$E$55,5,FALSE)))</f>
        <v>#VALUE!</v>
      </c>
      <c r="I150" s="8" t="e">
        <f>(C149*(VLOOKUP('Compra cartera'!$C$25,Seguros_Oblig!$A$3:$E$55,5,FALSE)))</f>
        <v>#VALUE!</v>
      </c>
      <c r="J150" s="10">
        <f t="shared" si="14"/>
        <v>0</v>
      </c>
      <c r="K150" s="7" t="e">
        <f>IF(C149&lt;1,"0",Seguros_Oblig!$K$2*('Compra cartera'!$C$11*90%))</f>
        <v>#VALUE!</v>
      </c>
      <c r="L150" s="7" t="e">
        <f>IF(B150=" ","0",PMT('Compra cartera'!$E$17,'Compra cartera'!$C$31,-'Compra cartera'!$C$14,,))</f>
        <v>#VALUE!</v>
      </c>
      <c r="M150" s="9" t="e">
        <f t="shared" si="15"/>
        <v>#VALUE!</v>
      </c>
      <c r="N150" s="7" t="e">
        <f>IF(C149&lt;1,"0",'Compra cartera'!$C$44)</f>
        <v>#VALUE!</v>
      </c>
      <c r="O150" s="9" t="e">
        <f t="shared" si="16"/>
        <v>#VALUE!</v>
      </c>
    </row>
    <row r="151" spans="2:15" ht="15.5" x14ac:dyDescent="0.35">
      <c r="B151" s="6" t="e">
        <f t="shared" si="11"/>
        <v>#VALUE!</v>
      </c>
      <c r="C151" s="7" t="e">
        <f t="shared" si="13"/>
        <v>#VALUE!</v>
      </c>
      <c r="D151" s="7" t="e">
        <f t="shared" si="12"/>
        <v>#VALUE!</v>
      </c>
      <c r="E151" s="7" t="e">
        <f>C150*'Compra cartera'!$E$17</f>
        <v>#VALUE!</v>
      </c>
      <c r="F151" s="8" t="e">
        <f>IF(C150&lt;1,"0",IF('Compra cartera'!$D$26="Si",($C$17*(VLOOKUP('Compra cartera'!$C$22,Seguros_Oblig!$A$3:$F$55,6,FALSE))),(C150*(VLOOKUP('Compra cartera'!$C$22,Seguros_Oblig!$A$3:$E$55,5,FALSE)))))</f>
        <v>#VALUE!</v>
      </c>
      <c r="G151" s="8" t="e">
        <f>(C150*(VLOOKUP('Compra cartera'!$C$23,Seguros_Oblig!$A$3:$E$55,5,FALSE)))</f>
        <v>#VALUE!</v>
      </c>
      <c r="H151" s="8" t="e">
        <f>(C150*(VLOOKUP('Compra cartera'!$C$24,Seguros_Oblig!$A$3:$E$55,5,FALSE)))</f>
        <v>#VALUE!</v>
      </c>
      <c r="I151" s="8" t="e">
        <f>(C150*(VLOOKUP('Compra cartera'!$C$25,Seguros_Oblig!$A$3:$E$55,5,FALSE)))</f>
        <v>#VALUE!</v>
      </c>
      <c r="J151" s="10">
        <f t="shared" si="14"/>
        <v>0</v>
      </c>
      <c r="K151" s="7" t="e">
        <f>IF(C150&lt;1,"0",Seguros_Oblig!$K$2*('Compra cartera'!$C$11*90%))</f>
        <v>#VALUE!</v>
      </c>
      <c r="L151" s="7" t="e">
        <f>IF(B151=" ","0",PMT('Compra cartera'!$E$17,'Compra cartera'!$C$31,-'Compra cartera'!$C$14,,))</f>
        <v>#VALUE!</v>
      </c>
      <c r="M151" s="9" t="e">
        <f t="shared" si="15"/>
        <v>#VALUE!</v>
      </c>
      <c r="N151" s="7" t="e">
        <f>IF(C150&lt;1,"0",'Compra cartera'!$C$44)</f>
        <v>#VALUE!</v>
      </c>
      <c r="O151" s="9" t="e">
        <f t="shared" si="16"/>
        <v>#VALUE!</v>
      </c>
    </row>
    <row r="152" spans="2:15" ht="15.5" x14ac:dyDescent="0.35">
      <c r="B152" s="6" t="e">
        <f t="shared" ref="B152:B215" si="17">IF(C151&gt;1,B151+1," ")</f>
        <v>#VALUE!</v>
      </c>
      <c r="C152" s="7" t="e">
        <f t="shared" si="13"/>
        <v>#VALUE!</v>
      </c>
      <c r="D152" s="7" t="e">
        <f t="shared" si="12"/>
        <v>#VALUE!</v>
      </c>
      <c r="E152" s="7" t="e">
        <f>C151*'Compra cartera'!$E$17</f>
        <v>#VALUE!</v>
      </c>
      <c r="F152" s="8" t="e">
        <f>IF(C151&lt;1,"0",IF('Compra cartera'!$D$26="Si",($C$17*(VLOOKUP('Compra cartera'!$C$22,Seguros_Oblig!$A$3:$F$55,6,FALSE))),(C151*(VLOOKUP('Compra cartera'!$C$22,Seguros_Oblig!$A$3:$E$55,5,FALSE)))))</f>
        <v>#VALUE!</v>
      </c>
      <c r="G152" s="8" t="e">
        <f>(C151*(VLOOKUP('Compra cartera'!$C$23,Seguros_Oblig!$A$3:$E$55,5,FALSE)))</f>
        <v>#VALUE!</v>
      </c>
      <c r="H152" s="8" t="e">
        <f>(C151*(VLOOKUP('Compra cartera'!$C$24,Seguros_Oblig!$A$3:$E$55,5,FALSE)))</f>
        <v>#VALUE!</v>
      </c>
      <c r="I152" s="8" t="e">
        <f>(C151*(VLOOKUP('Compra cartera'!$C$25,Seguros_Oblig!$A$3:$E$55,5,FALSE)))</f>
        <v>#VALUE!</v>
      </c>
      <c r="J152" s="10">
        <f t="shared" si="14"/>
        <v>0</v>
      </c>
      <c r="K152" s="7" t="e">
        <f>IF(C151&lt;1,"0",Seguros_Oblig!$K$2*('Compra cartera'!$C$11*90%))</f>
        <v>#VALUE!</v>
      </c>
      <c r="L152" s="7" t="e">
        <f>IF(B152=" ","0",PMT('Compra cartera'!$E$17,'Compra cartera'!$C$31,-'Compra cartera'!$C$14,,))</f>
        <v>#VALUE!</v>
      </c>
      <c r="M152" s="9" t="e">
        <f t="shared" si="15"/>
        <v>#VALUE!</v>
      </c>
      <c r="N152" s="7" t="e">
        <f>IF(C151&lt;1,"0",'Compra cartera'!$C$44)</f>
        <v>#VALUE!</v>
      </c>
      <c r="O152" s="9" t="e">
        <f t="shared" si="16"/>
        <v>#VALUE!</v>
      </c>
    </row>
    <row r="153" spans="2:15" ht="15.5" x14ac:dyDescent="0.35">
      <c r="B153" s="6" t="e">
        <f t="shared" si="17"/>
        <v>#VALUE!</v>
      </c>
      <c r="C153" s="7" t="e">
        <f t="shared" si="13"/>
        <v>#VALUE!</v>
      </c>
      <c r="D153" s="7" t="e">
        <f t="shared" si="12"/>
        <v>#VALUE!</v>
      </c>
      <c r="E153" s="7" t="e">
        <f>C152*'Compra cartera'!$E$17</f>
        <v>#VALUE!</v>
      </c>
      <c r="F153" s="8" t="e">
        <f>IF(C152&lt;1,"0",IF('Compra cartera'!$D$26="Si",($C$17*(VLOOKUP('Compra cartera'!$C$22,Seguros_Oblig!$A$3:$F$55,6,FALSE))),(C152*(VLOOKUP('Compra cartera'!$C$22,Seguros_Oblig!$A$3:$E$55,5,FALSE)))))</f>
        <v>#VALUE!</v>
      </c>
      <c r="G153" s="8" t="e">
        <f>(C152*(VLOOKUP('Compra cartera'!$C$23,Seguros_Oblig!$A$3:$E$55,5,FALSE)))</f>
        <v>#VALUE!</v>
      </c>
      <c r="H153" s="8" t="e">
        <f>(C152*(VLOOKUP('Compra cartera'!$C$24,Seguros_Oblig!$A$3:$E$55,5,FALSE)))</f>
        <v>#VALUE!</v>
      </c>
      <c r="I153" s="8" t="e">
        <f>(C152*(VLOOKUP('Compra cartera'!$C$25,Seguros_Oblig!$A$3:$E$55,5,FALSE)))</f>
        <v>#VALUE!</v>
      </c>
      <c r="J153" s="10">
        <f t="shared" si="14"/>
        <v>0</v>
      </c>
      <c r="K153" s="7" t="e">
        <f>IF(C152&lt;1,"0",Seguros_Oblig!$K$2*('Compra cartera'!$C$11*90%))</f>
        <v>#VALUE!</v>
      </c>
      <c r="L153" s="7" t="e">
        <f>IF(B153=" ","0",PMT('Compra cartera'!$E$17,'Compra cartera'!$C$31,-'Compra cartera'!$C$14,,))</f>
        <v>#VALUE!</v>
      </c>
      <c r="M153" s="9" t="e">
        <f t="shared" si="15"/>
        <v>#VALUE!</v>
      </c>
      <c r="N153" s="7" t="e">
        <f>IF(C152&lt;1,"0",'Compra cartera'!$C$44)</f>
        <v>#VALUE!</v>
      </c>
      <c r="O153" s="9" t="e">
        <f t="shared" si="16"/>
        <v>#VALUE!</v>
      </c>
    </row>
    <row r="154" spans="2:15" ht="15.5" x14ac:dyDescent="0.35">
      <c r="B154" s="6" t="e">
        <f t="shared" si="17"/>
        <v>#VALUE!</v>
      </c>
      <c r="C154" s="7" t="e">
        <f t="shared" si="13"/>
        <v>#VALUE!</v>
      </c>
      <c r="D154" s="7" t="e">
        <f t="shared" si="12"/>
        <v>#VALUE!</v>
      </c>
      <c r="E154" s="7" t="e">
        <f>C153*'Compra cartera'!$E$17</f>
        <v>#VALUE!</v>
      </c>
      <c r="F154" s="8" t="e">
        <f>IF(C153&lt;1,"0",IF('Compra cartera'!$D$26="Si",($C$17*(VLOOKUP('Compra cartera'!$C$22,Seguros_Oblig!$A$3:$F$55,6,FALSE))),(C153*(VLOOKUP('Compra cartera'!$C$22,Seguros_Oblig!$A$3:$E$55,5,FALSE)))))</f>
        <v>#VALUE!</v>
      </c>
      <c r="G154" s="8" t="e">
        <f>(C153*(VLOOKUP('Compra cartera'!$C$23,Seguros_Oblig!$A$3:$E$55,5,FALSE)))</f>
        <v>#VALUE!</v>
      </c>
      <c r="H154" s="8" t="e">
        <f>(C153*(VLOOKUP('Compra cartera'!$C$24,Seguros_Oblig!$A$3:$E$55,5,FALSE)))</f>
        <v>#VALUE!</v>
      </c>
      <c r="I154" s="8" t="e">
        <f>(C153*(VLOOKUP('Compra cartera'!$C$25,Seguros_Oblig!$A$3:$E$55,5,FALSE)))</f>
        <v>#VALUE!</v>
      </c>
      <c r="J154" s="10">
        <f t="shared" si="14"/>
        <v>0</v>
      </c>
      <c r="K154" s="7" t="e">
        <f>IF(C153&lt;1,"0",Seguros_Oblig!$K$2*('Compra cartera'!$C$11*90%))</f>
        <v>#VALUE!</v>
      </c>
      <c r="L154" s="7" t="e">
        <f>IF(B154=" ","0",PMT('Compra cartera'!$E$17,'Compra cartera'!$C$31,-'Compra cartera'!$C$14,,))</f>
        <v>#VALUE!</v>
      </c>
      <c r="M154" s="9" t="e">
        <f t="shared" si="15"/>
        <v>#VALUE!</v>
      </c>
      <c r="N154" s="7" t="e">
        <f>IF(C153&lt;1,"0",'Compra cartera'!$C$44)</f>
        <v>#VALUE!</v>
      </c>
      <c r="O154" s="9" t="e">
        <f t="shared" si="16"/>
        <v>#VALUE!</v>
      </c>
    </row>
    <row r="155" spans="2:15" ht="15.5" x14ac:dyDescent="0.35">
      <c r="B155" s="6" t="e">
        <f t="shared" si="17"/>
        <v>#VALUE!</v>
      </c>
      <c r="C155" s="7" t="e">
        <f t="shared" si="13"/>
        <v>#VALUE!</v>
      </c>
      <c r="D155" s="7" t="e">
        <f t="shared" si="12"/>
        <v>#VALUE!</v>
      </c>
      <c r="E155" s="7" t="e">
        <f>C154*'Compra cartera'!$E$17</f>
        <v>#VALUE!</v>
      </c>
      <c r="F155" s="8" t="e">
        <f>IF(C154&lt;1,"0",IF('Compra cartera'!$D$26="Si",($C$17*(VLOOKUP('Compra cartera'!$C$22,Seguros_Oblig!$A$3:$F$55,6,FALSE))),(C154*(VLOOKUP('Compra cartera'!$C$22,Seguros_Oblig!$A$3:$E$55,5,FALSE)))))</f>
        <v>#VALUE!</v>
      </c>
      <c r="G155" s="8" t="e">
        <f>(C154*(VLOOKUP('Compra cartera'!$C$23,Seguros_Oblig!$A$3:$E$55,5,FALSE)))</f>
        <v>#VALUE!</v>
      </c>
      <c r="H155" s="8" t="e">
        <f>(C154*(VLOOKUP('Compra cartera'!$C$24,Seguros_Oblig!$A$3:$E$55,5,FALSE)))</f>
        <v>#VALUE!</v>
      </c>
      <c r="I155" s="8" t="e">
        <f>(C154*(VLOOKUP('Compra cartera'!$C$25,Seguros_Oblig!$A$3:$E$55,5,FALSE)))</f>
        <v>#VALUE!</v>
      </c>
      <c r="J155" s="10">
        <f t="shared" si="14"/>
        <v>0</v>
      </c>
      <c r="K155" s="7" t="e">
        <f>IF(C154&lt;1,"0",Seguros_Oblig!$K$2*('Compra cartera'!$C$11*90%))</f>
        <v>#VALUE!</v>
      </c>
      <c r="L155" s="7" t="e">
        <f>IF(B155=" ","0",PMT('Compra cartera'!$E$17,'Compra cartera'!$C$31,-'Compra cartera'!$C$14,,))</f>
        <v>#VALUE!</v>
      </c>
      <c r="M155" s="9" t="e">
        <f t="shared" si="15"/>
        <v>#VALUE!</v>
      </c>
      <c r="N155" s="7" t="e">
        <f>IF(C154&lt;1,"0",'Compra cartera'!$C$44)</f>
        <v>#VALUE!</v>
      </c>
      <c r="O155" s="9" t="e">
        <f t="shared" si="16"/>
        <v>#VALUE!</v>
      </c>
    </row>
    <row r="156" spans="2:15" ht="15.5" x14ac:dyDescent="0.35">
      <c r="B156" s="6" t="e">
        <f t="shared" si="17"/>
        <v>#VALUE!</v>
      </c>
      <c r="C156" s="7" t="e">
        <f t="shared" si="13"/>
        <v>#VALUE!</v>
      </c>
      <c r="D156" s="7" t="e">
        <f t="shared" si="12"/>
        <v>#VALUE!</v>
      </c>
      <c r="E156" s="7" t="e">
        <f>C155*'Compra cartera'!$E$17</f>
        <v>#VALUE!</v>
      </c>
      <c r="F156" s="8" t="e">
        <f>IF(C155&lt;1,"0",IF('Compra cartera'!$D$26="Si",($C$17*(VLOOKUP('Compra cartera'!$C$22,Seguros_Oblig!$A$3:$F$55,6,FALSE))),(C155*(VLOOKUP('Compra cartera'!$C$22,Seguros_Oblig!$A$3:$E$55,5,FALSE)))))</f>
        <v>#VALUE!</v>
      </c>
      <c r="G156" s="8" t="e">
        <f>(C155*(VLOOKUP('Compra cartera'!$C$23,Seguros_Oblig!$A$3:$E$55,5,FALSE)))</f>
        <v>#VALUE!</v>
      </c>
      <c r="H156" s="8" t="e">
        <f>(C155*(VLOOKUP('Compra cartera'!$C$24,Seguros_Oblig!$A$3:$E$55,5,FALSE)))</f>
        <v>#VALUE!</v>
      </c>
      <c r="I156" s="8" t="e">
        <f>(C155*(VLOOKUP('Compra cartera'!$C$25,Seguros_Oblig!$A$3:$E$55,5,FALSE)))</f>
        <v>#VALUE!</v>
      </c>
      <c r="J156" s="10">
        <f t="shared" si="14"/>
        <v>0</v>
      </c>
      <c r="K156" s="7" t="e">
        <f>IF(C155&lt;1,"0",Seguros_Oblig!$K$2*('Compra cartera'!$C$11*90%))</f>
        <v>#VALUE!</v>
      </c>
      <c r="L156" s="7" t="e">
        <f>IF(B156=" ","0",PMT('Compra cartera'!$E$17,'Compra cartera'!$C$31,-'Compra cartera'!$C$14,,))</f>
        <v>#VALUE!</v>
      </c>
      <c r="M156" s="9" t="e">
        <f t="shared" si="15"/>
        <v>#VALUE!</v>
      </c>
      <c r="N156" s="7" t="e">
        <f>IF(C155&lt;1,"0",'Compra cartera'!$C$44)</f>
        <v>#VALUE!</v>
      </c>
      <c r="O156" s="9" t="e">
        <f t="shared" si="16"/>
        <v>#VALUE!</v>
      </c>
    </row>
    <row r="157" spans="2:15" ht="15.5" x14ac:dyDescent="0.35">
      <c r="B157" s="6" t="e">
        <f t="shared" si="17"/>
        <v>#VALUE!</v>
      </c>
      <c r="C157" s="7" t="e">
        <f t="shared" si="13"/>
        <v>#VALUE!</v>
      </c>
      <c r="D157" s="7" t="e">
        <f t="shared" si="12"/>
        <v>#VALUE!</v>
      </c>
      <c r="E157" s="7" t="e">
        <f>C156*'Compra cartera'!$E$17</f>
        <v>#VALUE!</v>
      </c>
      <c r="F157" s="8" t="e">
        <f>IF(C156&lt;1,"0",IF('Compra cartera'!$D$26="Si",($C$17*(VLOOKUP('Compra cartera'!$C$22,Seguros_Oblig!$A$3:$F$55,6,FALSE))),(C156*(VLOOKUP('Compra cartera'!$C$22,Seguros_Oblig!$A$3:$E$55,5,FALSE)))))</f>
        <v>#VALUE!</v>
      </c>
      <c r="G157" s="8" t="e">
        <f>(C156*(VLOOKUP('Compra cartera'!$C$23,Seguros_Oblig!$A$3:$E$55,5,FALSE)))</f>
        <v>#VALUE!</v>
      </c>
      <c r="H157" s="8" t="e">
        <f>(C156*(VLOOKUP('Compra cartera'!$C$24,Seguros_Oblig!$A$3:$E$55,5,FALSE)))</f>
        <v>#VALUE!</v>
      </c>
      <c r="I157" s="8" t="e">
        <f>(C156*(VLOOKUP('Compra cartera'!$C$25,Seguros_Oblig!$A$3:$E$55,5,FALSE)))</f>
        <v>#VALUE!</v>
      </c>
      <c r="J157" s="10">
        <f t="shared" si="14"/>
        <v>0</v>
      </c>
      <c r="K157" s="7" t="e">
        <f>IF(C156&lt;1,"0",Seguros_Oblig!$K$2*('Compra cartera'!$C$11*90%))</f>
        <v>#VALUE!</v>
      </c>
      <c r="L157" s="7" t="e">
        <f>IF(B157=" ","0",PMT('Compra cartera'!$E$17,'Compra cartera'!$C$31,-'Compra cartera'!$C$14,,))</f>
        <v>#VALUE!</v>
      </c>
      <c r="M157" s="9" t="e">
        <f t="shared" si="15"/>
        <v>#VALUE!</v>
      </c>
      <c r="N157" s="7" t="e">
        <f>IF(C156&lt;1,"0",'Compra cartera'!$C$44)</f>
        <v>#VALUE!</v>
      </c>
      <c r="O157" s="9" t="e">
        <f t="shared" si="16"/>
        <v>#VALUE!</v>
      </c>
    </row>
    <row r="158" spans="2:15" ht="15.5" x14ac:dyDescent="0.35">
      <c r="B158" s="6" t="e">
        <f t="shared" si="17"/>
        <v>#VALUE!</v>
      </c>
      <c r="C158" s="7" t="e">
        <f t="shared" si="13"/>
        <v>#VALUE!</v>
      </c>
      <c r="D158" s="7" t="e">
        <f t="shared" si="12"/>
        <v>#VALUE!</v>
      </c>
      <c r="E158" s="7" t="e">
        <f>C157*'Compra cartera'!$E$17</f>
        <v>#VALUE!</v>
      </c>
      <c r="F158" s="8" t="e">
        <f>IF(C157&lt;1,"0",IF('Compra cartera'!$D$26="Si",($C$17*(VLOOKUP('Compra cartera'!$C$22,Seguros_Oblig!$A$3:$F$55,6,FALSE))),(C157*(VLOOKUP('Compra cartera'!$C$22,Seguros_Oblig!$A$3:$E$55,5,FALSE)))))</f>
        <v>#VALUE!</v>
      </c>
      <c r="G158" s="8" t="e">
        <f>(C157*(VLOOKUP('Compra cartera'!$C$23,Seguros_Oblig!$A$3:$E$55,5,FALSE)))</f>
        <v>#VALUE!</v>
      </c>
      <c r="H158" s="8" t="e">
        <f>(C157*(VLOOKUP('Compra cartera'!$C$24,Seguros_Oblig!$A$3:$E$55,5,FALSE)))</f>
        <v>#VALUE!</v>
      </c>
      <c r="I158" s="8" t="e">
        <f>(C157*(VLOOKUP('Compra cartera'!$C$25,Seguros_Oblig!$A$3:$E$55,5,FALSE)))</f>
        <v>#VALUE!</v>
      </c>
      <c r="J158" s="10">
        <f t="shared" si="14"/>
        <v>0</v>
      </c>
      <c r="K158" s="7" t="e">
        <f>IF(C157&lt;1,"0",Seguros_Oblig!$K$2*('Compra cartera'!$C$11*90%))</f>
        <v>#VALUE!</v>
      </c>
      <c r="L158" s="7" t="e">
        <f>IF(B158=" ","0",PMT('Compra cartera'!$E$17,'Compra cartera'!$C$31,-'Compra cartera'!$C$14,,))</f>
        <v>#VALUE!</v>
      </c>
      <c r="M158" s="9" t="e">
        <f t="shared" si="15"/>
        <v>#VALUE!</v>
      </c>
      <c r="N158" s="7" t="e">
        <f>IF(C157&lt;1,"0",'Compra cartera'!$C$44)</f>
        <v>#VALUE!</v>
      </c>
      <c r="O158" s="9" t="e">
        <f t="shared" si="16"/>
        <v>#VALUE!</v>
      </c>
    </row>
    <row r="159" spans="2:15" ht="15.5" x14ac:dyDescent="0.35">
      <c r="B159" s="6" t="e">
        <f t="shared" si="17"/>
        <v>#VALUE!</v>
      </c>
      <c r="C159" s="7" t="e">
        <f t="shared" si="13"/>
        <v>#VALUE!</v>
      </c>
      <c r="D159" s="7" t="e">
        <f t="shared" ref="D159:D222" si="18">IF(C158&lt;1,"0",L159-E159)</f>
        <v>#VALUE!</v>
      </c>
      <c r="E159" s="7" t="e">
        <f>C158*'Compra cartera'!$E$17</f>
        <v>#VALUE!</v>
      </c>
      <c r="F159" s="8" t="e">
        <f>IF(C158&lt;1,"0",IF('Compra cartera'!$D$26="Si",($C$17*(VLOOKUP('Compra cartera'!$C$22,Seguros_Oblig!$A$3:$F$55,6,FALSE))),(C158*(VLOOKUP('Compra cartera'!$C$22,Seguros_Oblig!$A$3:$E$55,5,FALSE)))))</f>
        <v>#VALUE!</v>
      </c>
      <c r="G159" s="8" t="e">
        <f>(C158*(VLOOKUP('Compra cartera'!$C$23,Seguros_Oblig!$A$3:$E$55,5,FALSE)))</f>
        <v>#VALUE!</v>
      </c>
      <c r="H159" s="8" t="e">
        <f>(C158*(VLOOKUP('Compra cartera'!$C$24,Seguros_Oblig!$A$3:$E$55,5,FALSE)))</f>
        <v>#VALUE!</v>
      </c>
      <c r="I159" s="8" t="e">
        <f>(C158*(VLOOKUP('Compra cartera'!$C$25,Seguros_Oblig!$A$3:$E$55,5,FALSE)))</f>
        <v>#VALUE!</v>
      </c>
      <c r="J159" s="10">
        <f t="shared" si="14"/>
        <v>0</v>
      </c>
      <c r="K159" s="7" t="e">
        <f>IF(C158&lt;1,"0",Seguros_Oblig!$K$2*('Compra cartera'!$C$11*90%))</f>
        <v>#VALUE!</v>
      </c>
      <c r="L159" s="7" t="e">
        <f>IF(B159=" ","0",PMT('Compra cartera'!$E$17,'Compra cartera'!$C$31,-'Compra cartera'!$C$14,,))</f>
        <v>#VALUE!</v>
      </c>
      <c r="M159" s="9" t="e">
        <f t="shared" si="15"/>
        <v>#VALUE!</v>
      </c>
      <c r="N159" s="7" t="e">
        <f>IF(C158&lt;1,"0",'Compra cartera'!$C$44)</f>
        <v>#VALUE!</v>
      </c>
      <c r="O159" s="9" t="e">
        <f t="shared" si="16"/>
        <v>#VALUE!</v>
      </c>
    </row>
    <row r="160" spans="2:15" ht="15.5" x14ac:dyDescent="0.35">
      <c r="B160" s="6" t="e">
        <f t="shared" si="17"/>
        <v>#VALUE!</v>
      </c>
      <c r="C160" s="7" t="e">
        <f t="shared" si="13"/>
        <v>#VALUE!</v>
      </c>
      <c r="D160" s="7" t="e">
        <f t="shared" si="18"/>
        <v>#VALUE!</v>
      </c>
      <c r="E160" s="7" t="e">
        <f>C159*'Compra cartera'!$E$17</f>
        <v>#VALUE!</v>
      </c>
      <c r="F160" s="8" t="e">
        <f>IF(C159&lt;1,"0",IF('Compra cartera'!$D$26="Si",($C$17*(VLOOKUP('Compra cartera'!$C$22,Seguros_Oblig!$A$3:$F$55,6,FALSE))),(C159*(VLOOKUP('Compra cartera'!$C$22,Seguros_Oblig!$A$3:$E$55,5,FALSE)))))</f>
        <v>#VALUE!</v>
      </c>
      <c r="G160" s="8" t="e">
        <f>(C159*(VLOOKUP('Compra cartera'!$C$23,Seguros_Oblig!$A$3:$E$55,5,FALSE)))</f>
        <v>#VALUE!</v>
      </c>
      <c r="H160" s="8" t="e">
        <f>(C159*(VLOOKUP('Compra cartera'!$C$24,Seguros_Oblig!$A$3:$E$55,5,FALSE)))</f>
        <v>#VALUE!</v>
      </c>
      <c r="I160" s="8" t="e">
        <f>(C159*(VLOOKUP('Compra cartera'!$C$25,Seguros_Oblig!$A$3:$E$55,5,FALSE)))</f>
        <v>#VALUE!</v>
      </c>
      <c r="J160" s="10">
        <f t="shared" si="14"/>
        <v>0</v>
      </c>
      <c r="K160" s="7" t="e">
        <f>IF(C159&lt;1,"0",Seguros_Oblig!$K$2*('Compra cartera'!$C$11*90%))</f>
        <v>#VALUE!</v>
      </c>
      <c r="L160" s="7" t="e">
        <f>IF(B160=" ","0",PMT('Compra cartera'!$E$17,'Compra cartera'!$C$31,-'Compra cartera'!$C$14,,))</f>
        <v>#VALUE!</v>
      </c>
      <c r="M160" s="9" t="e">
        <f t="shared" si="15"/>
        <v>#VALUE!</v>
      </c>
      <c r="N160" s="7" t="e">
        <f>IF(C159&lt;1,"0",'Compra cartera'!$C$44)</f>
        <v>#VALUE!</v>
      </c>
      <c r="O160" s="9" t="e">
        <f t="shared" si="16"/>
        <v>#VALUE!</v>
      </c>
    </row>
    <row r="161" spans="2:15" ht="15.5" x14ac:dyDescent="0.35">
      <c r="B161" s="6" t="e">
        <f t="shared" si="17"/>
        <v>#VALUE!</v>
      </c>
      <c r="C161" s="7" t="e">
        <f t="shared" si="13"/>
        <v>#VALUE!</v>
      </c>
      <c r="D161" s="7" t="e">
        <f t="shared" si="18"/>
        <v>#VALUE!</v>
      </c>
      <c r="E161" s="7" t="e">
        <f>C160*'Compra cartera'!$E$17</f>
        <v>#VALUE!</v>
      </c>
      <c r="F161" s="8" t="e">
        <f>IF(C160&lt;1,"0",IF('Compra cartera'!$D$26="Si",($C$17*(VLOOKUP('Compra cartera'!$C$22,Seguros_Oblig!$A$3:$F$55,6,FALSE))),(C160*(VLOOKUP('Compra cartera'!$C$22,Seguros_Oblig!$A$3:$E$55,5,FALSE)))))</f>
        <v>#VALUE!</v>
      </c>
      <c r="G161" s="8" t="e">
        <f>(C160*(VLOOKUP('Compra cartera'!$C$23,Seguros_Oblig!$A$3:$E$55,5,FALSE)))</f>
        <v>#VALUE!</v>
      </c>
      <c r="H161" s="8" t="e">
        <f>(C160*(VLOOKUP('Compra cartera'!$C$24,Seguros_Oblig!$A$3:$E$55,5,FALSE)))</f>
        <v>#VALUE!</v>
      </c>
      <c r="I161" s="8" t="e">
        <f>(C160*(VLOOKUP('Compra cartera'!$C$25,Seguros_Oblig!$A$3:$E$55,5,FALSE)))</f>
        <v>#VALUE!</v>
      </c>
      <c r="J161" s="10">
        <f t="shared" si="14"/>
        <v>0</v>
      </c>
      <c r="K161" s="7" t="e">
        <f>IF(C160&lt;1,"0",Seguros_Oblig!$K$2*('Compra cartera'!$C$11*90%))</f>
        <v>#VALUE!</v>
      </c>
      <c r="L161" s="7" t="e">
        <f>IF(B161=" ","0",PMT('Compra cartera'!$E$17,'Compra cartera'!$C$31,-'Compra cartera'!$C$14,,))</f>
        <v>#VALUE!</v>
      </c>
      <c r="M161" s="9" t="e">
        <f t="shared" si="15"/>
        <v>#VALUE!</v>
      </c>
      <c r="N161" s="7" t="e">
        <f>IF(C160&lt;1,"0",'Compra cartera'!$C$44)</f>
        <v>#VALUE!</v>
      </c>
      <c r="O161" s="9" t="e">
        <f t="shared" si="16"/>
        <v>#VALUE!</v>
      </c>
    </row>
    <row r="162" spans="2:15" ht="15.5" x14ac:dyDescent="0.35">
      <c r="B162" s="6" t="e">
        <f t="shared" si="17"/>
        <v>#VALUE!</v>
      </c>
      <c r="C162" s="7" t="e">
        <f t="shared" si="13"/>
        <v>#VALUE!</v>
      </c>
      <c r="D162" s="7" t="e">
        <f t="shared" si="18"/>
        <v>#VALUE!</v>
      </c>
      <c r="E162" s="7" t="e">
        <f>C161*'Compra cartera'!$E$17</f>
        <v>#VALUE!</v>
      </c>
      <c r="F162" s="8" t="e">
        <f>IF(C161&lt;1,"0",IF('Compra cartera'!$D$26="Si",($C$17*(VLOOKUP('Compra cartera'!$C$22,Seguros_Oblig!$A$3:$F$55,6,FALSE))),(C161*(VLOOKUP('Compra cartera'!$C$22,Seguros_Oblig!$A$3:$E$55,5,FALSE)))))</f>
        <v>#VALUE!</v>
      </c>
      <c r="G162" s="8" t="e">
        <f>(C161*(VLOOKUP('Compra cartera'!$C$23,Seguros_Oblig!$A$3:$E$55,5,FALSE)))</f>
        <v>#VALUE!</v>
      </c>
      <c r="H162" s="8" t="e">
        <f>(C161*(VLOOKUP('Compra cartera'!$C$24,Seguros_Oblig!$A$3:$E$55,5,FALSE)))</f>
        <v>#VALUE!</v>
      </c>
      <c r="I162" s="8" t="e">
        <f>(C161*(VLOOKUP('Compra cartera'!$C$25,Seguros_Oblig!$A$3:$E$55,5,FALSE)))</f>
        <v>#VALUE!</v>
      </c>
      <c r="J162" s="10">
        <f t="shared" si="14"/>
        <v>0</v>
      </c>
      <c r="K162" s="7" t="e">
        <f>IF(C161&lt;1,"0",Seguros_Oblig!$K$2*('Compra cartera'!$C$11*90%))</f>
        <v>#VALUE!</v>
      </c>
      <c r="L162" s="7" t="e">
        <f>IF(B162=" ","0",PMT('Compra cartera'!$E$17,'Compra cartera'!$C$31,-'Compra cartera'!$C$14,,))</f>
        <v>#VALUE!</v>
      </c>
      <c r="M162" s="9" t="e">
        <f t="shared" si="15"/>
        <v>#VALUE!</v>
      </c>
      <c r="N162" s="7" t="e">
        <f>IF(C161&lt;1,"0",'Compra cartera'!$C$44)</f>
        <v>#VALUE!</v>
      </c>
      <c r="O162" s="9" t="e">
        <f t="shared" si="16"/>
        <v>#VALUE!</v>
      </c>
    </row>
    <row r="163" spans="2:15" ht="15.5" x14ac:dyDescent="0.35">
      <c r="B163" s="6" t="e">
        <f t="shared" si="17"/>
        <v>#VALUE!</v>
      </c>
      <c r="C163" s="7" t="e">
        <f t="shared" si="13"/>
        <v>#VALUE!</v>
      </c>
      <c r="D163" s="7" t="e">
        <f t="shared" si="18"/>
        <v>#VALUE!</v>
      </c>
      <c r="E163" s="7" t="e">
        <f>C162*'Compra cartera'!$E$17</f>
        <v>#VALUE!</v>
      </c>
      <c r="F163" s="8" t="e">
        <f>IF(C162&lt;1,"0",IF('Compra cartera'!$D$26="Si",($C$17*(VLOOKUP('Compra cartera'!$C$22,Seguros_Oblig!$A$3:$F$55,6,FALSE))),(C162*(VLOOKUP('Compra cartera'!$C$22,Seguros_Oblig!$A$3:$E$55,5,FALSE)))))</f>
        <v>#VALUE!</v>
      </c>
      <c r="G163" s="8" t="e">
        <f>(C162*(VLOOKUP('Compra cartera'!$C$23,Seguros_Oblig!$A$3:$E$55,5,FALSE)))</f>
        <v>#VALUE!</v>
      </c>
      <c r="H163" s="8" t="e">
        <f>(C162*(VLOOKUP('Compra cartera'!$C$24,Seguros_Oblig!$A$3:$E$55,5,FALSE)))</f>
        <v>#VALUE!</v>
      </c>
      <c r="I163" s="8" t="e">
        <f>(C162*(VLOOKUP('Compra cartera'!$C$25,Seguros_Oblig!$A$3:$E$55,5,FALSE)))</f>
        <v>#VALUE!</v>
      </c>
      <c r="J163" s="10">
        <f t="shared" si="14"/>
        <v>0</v>
      </c>
      <c r="K163" s="7" t="e">
        <f>IF(C162&lt;1,"0",Seguros_Oblig!$K$2*('Compra cartera'!$C$11*90%))</f>
        <v>#VALUE!</v>
      </c>
      <c r="L163" s="7" t="e">
        <f>IF(B163=" ","0",PMT('Compra cartera'!$E$17,'Compra cartera'!$C$31,-'Compra cartera'!$C$14,,))</f>
        <v>#VALUE!</v>
      </c>
      <c r="M163" s="9" t="e">
        <f t="shared" si="15"/>
        <v>#VALUE!</v>
      </c>
      <c r="N163" s="7" t="e">
        <f>IF(C162&lt;1,"0",'Compra cartera'!$C$44)</f>
        <v>#VALUE!</v>
      </c>
      <c r="O163" s="9" t="e">
        <f t="shared" si="16"/>
        <v>#VALUE!</v>
      </c>
    </row>
    <row r="164" spans="2:15" ht="15.5" x14ac:dyDescent="0.35">
      <c r="B164" s="6" t="e">
        <f t="shared" si="17"/>
        <v>#VALUE!</v>
      </c>
      <c r="C164" s="7" t="e">
        <f t="shared" si="13"/>
        <v>#VALUE!</v>
      </c>
      <c r="D164" s="7" t="e">
        <f t="shared" si="18"/>
        <v>#VALUE!</v>
      </c>
      <c r="E164" s="7" t="e">
        <f>C163*'Compra cartera'!$E$17</f>
        <v>#VALUE!</v>
      </c>
      <c r="F164" s="8" t="e">
        <f>IF(C163&lt;1,"0",IF('Compra cartera'!$D$26="Si",($C$17*(VLOOKUP('Compra cartera'!$C$22,Seguros_Oblig!$A$3:$F$55,6,FALSE))),(C163*(VLOOKUP('Compra cartera'!$C$22,Seguros_Oblig!$A$3:$E$55,5,FALSE)))))</f>
        <v>#VALUE!</v>
      </c>
      <c r="G164" s="8" t="e">
        <f>(C163*(VLOOKUP('Compra cartera'!$C$23,Seguros_Oblig!$A$3:$E$55,5,FALSE)))</f>
        <v>#VALUE!</v>
      </c>
      <c r="H164" s="8" t="e">
        <f>(C163*(VLOOKUP('Compra cartera'!$C$24,Seguros_Oblig!$A$3:$E$55,5,FALSE)))</f>
        <v>#VALUE!</v>
      </c>
      <c r="I164" s="8" t="e">
        <f>(C163*(VLOOKUP('Compra cartera'!$C$25,Seguros_Oblig!$A$3:$E$55,5,FALSE)))</f>
        <v>#VALUE!</v>
      </c>
      <c r="J164" s="10">
        <f t="shared" si="14"/>
        <v>0</v>
      </c>
      <c r="K164" s="7" t="e">
        <f>IF(C163&lt;1,"0",Seguros_Oblig!$K$2*('Compra cartera'!$C$11*90%))</f>
        <v>#VALUE!</v>
      </c>
      <c r="L164" s="7" t="e">
        <f>IF(B164=" ","0",PMT('Compra cartera'!$E$17,'Compra cartera'!$C$31,-'Compra cartera'!$C$14,,))</f>
        <v>#VALUE!</v>
      </c>
      <c r="M164" s="9" t="e">
        <f t="shared" si="15"/>
        <v>#VALUE!</v>
      </c>
      <c r="N164" s="7" t="e">
        <f>IF(C163&lt;1,"0",'Compra cartera'!$C$44)</f>
        <v>#VALUE!</v>
      </c>
      <c r="O164" s="9" t="e">
        <f t="shared" si="16"/>
        <v>#VALUE!</v>
      </c>
    </row>
    <row r="165" spans="2:15" ht="15.5" x14ac:dyDescent="0.35">
      <c r="B165" s="6" t="e">
        <f t="shared" si="17"/>
        <v>#VALUE!</v>
      </c>
      <c r="C165" s="7" t="e">
        <f t="shared" si="13"/>
        <v>#VALUE!</v>
      </c>
      <c r="D165" s="7" t="e">
        <f t="shared" si="18"/>
        <v>#VALUE!</v>
      </c>
      <c r="E165" s="7" t="e">
        <f>C164*'Compra cartera'!$E$17</f>
        <v>#VALUE!</v>
      </c>
      <c r="F165" s="8" t="e">
        <f>IF(C164&lt;1,"0",IF('Compra cartera'!$D$26="Si",($C$17*(VLOOKUP('Compra cartera'!$C$22,Seguros_Oblig!$A$3:$F$55,6,FALSE))),(C164*(VLOOKUP('Compra cartera'!$C$22,Seguros_Oblig!$A$3:$E$55,5,FALSE)))))</f>
        <v>#VALUE!</v>
      </c>
      <c r="G165" s="8" t="e">
        <f>(C164*(VLOOKUP('Compra cartera'!$C$23,Seguros_Oblig!$A$3:$E$55,5,FALSE)))</f>
        <v>#VALUE!</v>
      </c>
      <c r="H165" s="8" t="e">
        <f>(C164*(VLOOKUP('Compra cartera'!$C$24,Seguros_Oblig!$A$3:$E$55,5,FALSE)))</f>
        <v>#VALUE!</v>
      </c>
      <c r="I165" s="8" t="e">
        <f>(C164*(VLOOKUP('Compra cartera'!$C$25,Seguros_Oblig!$A$3:$E$55,5,FALSE)))</f>
        <v>#VALUE!</v>
      </c>
      <c r="J165" s="10">
        <f t="shared" si="14"/>
        <v>0</v>
      </c>
      <c r="K165" s="7" t="e">
        <f>IF(C164&lt;1,"0",Seguros_Oblig!$K$2*('Compra cartera'!$C$11*90%))</f>
        <v>#VALUE!</v>
      </c>
      <c r="L165" s="7" t="e">
        <f>IF(B165=" ","0",PMT('Compra cartera'!$E$17,'Compra cartera'!$C$31,-'Compra cartera'!$C$14,,))</f>
        <v>#VALUE!</v>
      </c>
      <c r="M165" s="9" t="e">
        <f t="shared" si="15"/>
        <v>#VALUE!</v>
      </c>
      <c r="N165" s="7" t="e">
        <f>IF(C164&lt;1,"0",'Compra cartera'!$C$44)</f>
        <v>#VALUE!</v>
      </c>
      <c r="O165" s="9" t="e">
        <f t="shared" si="16"/>
        <v>#VALUE!</v>
      </c>
    </row>
    <row r="166" spans="2:15" ht="15.5" x14ac:dyDescent="0.35">
      <c r="B166" s="6" t="e">
        <f t="shared" si="17"/>
        <v>#VALUE!</v>
      </c>
      <c r="C166" s="7" t="e">
        <f t="shared" si="13"/>
        <v>#VALUE!</v>
      </c>
      <c r="D166" s="7" t="e">
        <f t="shared" si="18"/>
        <v>#VALUE!</v>
      </c>
      <c r="E166" s="7" t="e">
        <f>C165*'Compra cartera'!$E$17</f>
        <v>#VALUE!</v>
      </c>
      <c r="F166" s="8" t="e">
        <f>IF(C165&lt;1,"0",IF('Compra cartera'!$D$26="Si",($C$17*(VLOOKUP('Compra cartera'!$C$22,Seguros_Oblig!$A$3:$F$55,6,FALSE))),(C165*(VLOOKUP('Compra cartera'!$C$22,Seguros_Oblig!$A$3:$E$55,5,FALSE)))))</f>
        <v>#VALUE!</v>
      </c>
      <c r="G166" s="8" t="e">
        <f>(C165*(VLOOKUP('Compra cartera'!$C$23,Seguros_Oblig!$A$3:$E$55,5,FALSE)))</f>
        <v>#VALUE!</v>
      </c>
      <c r="H166" s="8" t="e">
        <f>(C165*(VLOOKUP('Compra cartera'!$C$24,Seguros_Oblig!$A$3:$E$55,5,FALSE)))</f>
        <v>#VALUE!</v>
      </c>
      <c r="I166" s="8" t="e">
        <f>(C165*(VLOOKUP('Compra cartera'!$C$25,Seguros_Oblig!$A$3:$E$55,5,FALSE)))</f>
        <v>#VALUE!</v>
      </c>
      <c r="J166" s="10">
        <f t="shared" si="14"/>
        <v>0</v>
      </c>
      <c r="K166" s="7" t="e">
        <f>IF(C165&lt;1,"0",Seguros_Oblig!$K$2*('Compra cartera'!$C$11*90%))</f>
        <v>#VALUE!</v>
      </c>
      <c r="L166" s="7" t="e">
        <f>IF(B166=" ","0",PMT('Compra cartera'!$E$17,'Compra cartera'!$C$31,-'Compra cartera'!$C$14,,))</f>
        <v>#VALUE!</v>
      </c>
      <c r="M166" s="9" t="e">
        <f t="shared" si="15"/>
        <v>#VALUE!</v>
      </c>
      <c r="N166" s="7" t="e">
        <f>IF(C165&lt;1,"0",'Compra cartera'!$C$44)</f>
        <v>#VALUE!</v>
      </c>
      <c r="O166" s="9" t="e">
        <f t="shared" si="16"/>
        <v>#VALUE!</v>
      </c>
    </row>
    <row r="167" spans="2:15" ht="15.5" x14ac:dyDescent="0.35">
      <c r="B167" s="6" t="e">
        <f t="shared" si="17"/>
        <v>#VALUE!</v>
      </c>
      <c r="C167" s="7" t="e">
        <f t="shared" si="13"/>
        <v>#VALUE!</v>
      </c>
      <c r="D167" s="7" t="e">
        <f t="shared" si="18"/>
        <v>#VALUE!</v>
      </c>
      <c r="E167" s="7" t="e">
        <f>C166*'Compra cartera'!$E$17</f>
        <v>#VALUE!</v>
      </c>
      <c r="F167" s="8" t="e">
        <f>IF(C166&lt;1,"0",IF('Compra cartera'!$D$26="Si",($C$17*(VLOOKUP('Compra cartera'!$C$22,Seguros_Oblig!$A$3:$F$55,6,FALSE))),(C166*(VLOOKUP('Compra cartera'!$C$22,Seguros_Oblig!$A$3:$E$55,5,FALSE)))))</f>
        <v>#VALUE!</v>
      </c>
      <c r="G167" s="8" t="e">
        <f>(C166*(VLOOKUP('Compra cartera'!$C$23,Seguros_Oblig!$A$3:$E$55,5,FALSE)))</f>
        <v>#VALUE!</v>
      </c>
      <c r="H167" s="8" t="e">
        <f>(C166*(VLOOKUP('Compra cartera'!$C$24,Seguros_Oblig!$A$3:$E$55,5,FALSE)))</f>
        <v>#VALUE!</v>
      </c>
      <c r="I167" s="8" t="e">
        <f>(C166*(VLOOKUP('Compra cartera'!$C$25,Seguros_Oblig!$A$3:$E$55,5,FALSE)))</f>
        <v>#VALUE!</v>
      </c>
      <c r="J167" s="10">
        <f t="shared" si="14"/>
        <v>0</v>
      </c>
      <c r="K167" s="7" t="e">
        <f>IF(C166&lt;1,"0",Seguros_Oblig!$K$2*('Compra cartera'!$C$11*90%))</f>
        <v>#VALUE!</v>
      </c>
      <c r="L167" s="7" t="e">
        <f>IF(B167=" ","0",PMT('Compra cartera'!$E$17,'Compra cartera'!$C$31,-'Compra cartera'!$C$14,,))</f>
        <v>#VALUE!</v>
      </c>
      <c r="M167" s="9" t="e">
        <f t="shared" si="15"/>
        <v>#VALUE!</v>
      </c>
      <c r="N167" s="7" t="e">
        <f>IF(C166&lt;1,"0",'Compra cartera'!$C$44)</f>
        <v>#VALUE!</v>
      </c>
      <c r="O167" s="9" t="e">
        <f t="shared" si="16"/>
        <v>#VALUE!</v>
      </c>
    </row>
    <row r="168" spans="2:15" ht="15.5" x14ac:dyDescent="0.35">
      <c r="B168" s="6" t="e">
        <f t="shared" si="17"/>
        <v>#VALUE!</v>
      </c>
      <c r="C168" s="7" t="e">
        <f t="shared" si="13"/>
        <v>#VALUE!</v>
      </c>
      <c r="D168" s="7" t="e">
        <f t="shared" si="18"/>
        <v>#VALUE!</v>
      </c>
      <c r="E168" s="7" t="e">
        <f>C167*'Compra cartera'!$E$17</f>
        <v>#VALUE!</v>
      </c>
      <c r="F168" s="8" t="e">
        <f>IF(C167&lt;1,"0",IF('Compra cartera'!$D$26="Si",($C$17*(VLOOKUP('Compra cartera'!$C$22,Seguros_Oblig!$A$3:$F$55,6,FALSE))),(C167*(VLOOKUP('Compra cartera'!$C$22,Seguros_Oblig!$A$3:$E$55,5,FALSE)))))</f>
        <v>#VALUE!</v>
      </c>
      <c r="G168" s="8" t="e">
        <f>(C167*(VLOOKUP('Compra cartera'!$C$23,Seguros_Oblig!$A$3:$E$55,5,FALSE)))</f>
        <v>#VALUE!</v>
      </c>
      <c r="H168" s="8" t="e">
        <f>(C167*(VLOOKUP('Compra cartera'!$C$24,Seguros_Oblig!$A$3:$E$55,5,FALSE)))</f>
        <v>#VALUE!</v>
      </c>
      <c r="I168" s="8" t="e">
        <f>(C167*(VLOOKUP('Compra cartera'!$C$25,Seguros_Oblig!$A$3:$E$55,5,FALSE)))</f>
        <v>#VALUE!</v>
      </c>
      <c r="J168" s="10">
        <f t="shared" si="14"/>
        <v>0</v>
      </c>
      <c r="K168" s="7" t="e">
        <f>IF(C167&lt;1,"0",Seguros_Oblig!$K$2*('Compra cartera'!$C$11*90%))</f>
        <v>#VALUE!</v>
      </c>
      <c r="L168" s="7" t="e">
        <f>IF(B168=" ","0",PMT('Compra cartera'!$E$17,'Compra cartera'!$C$31,-'Compra cartera'!$C$14,,))</f>
        <v>#VALUE!</v>
      </c>
      <c r="M168" s="9" t="e">
        <f t="shared" si="15"/>
        <v>#VALUE!</v>
      </c>
      <c r="N168" s="7" t="e">
        <f>IF(C167&lt;1,"0",'Compra cartera'!$C$44)</f>
        <v>#VALUE!</v>
      </c>
      <c r="O168" s="9" t="e">
        <f t="shared" si="16"/>
        <v>#VALUE!</v>
      </c>
    </row>
    <row r="169" spans="2:15" ht="15.5" x14ac:dyDescent="0.35">
      <c r="B169" s="6" t="e">
        <f t="shared" si="17"/>
        <v>#VALUE!</v>
      </c>
      <c r="C169" s="7" t="e">
        <f t="shared" si="13"/>
        <v>#VALUE!</v>
      </c>
      <c r="D169" s="7" t="e">
        <f t="shared" si="18"/>
        <v>#VALUE!</v>
      </c>
      <c r="E169" s="7" t="e">
        <f>C168*'Compra cartera'!$E$17</f>
        <v>#VALUE!</v>
      </c>
      <c r="F169" s="8" t="e">
        <f>IF(C168&lt;1,"0",IF('Compra cartera'!$D$26="Si",($C$17*(VLOOKUP('Compra cartera'!$C$22,Seguros_Oblig!$A$3:$F$55,6,FALSE))),(C168*(VLOOKUP('Compra cartera'!$C$22,Seguros_Oblig!$A$3:$E$55,5,FALSE)))))</f>
        <v>#VALUE!</v>
      </c>
      <c r="G169" s="8" t="e">
        <f>(C168*(VLOOKUP('Compra cartera'!$C$23,Seguros_Oblig!$A$3:$E$55,5,FALSE)))</f>
        <v>#VALUE!</v>
      </c>
      <c r="H169" s="8" t="e">
        <f>(C168*(VLOOKUP('Compra cartera'!$C$24,Seguros_Oblig!$A$3:$E$55,5,FALSE)))</f>
        <v>#VALUE!</v>
      </c>
      <c r="I169" s="8" t="e">
        <f>(C168*(VLOOKUP('Compra cartera'!$C$25,Seguros_Oblig!$A$3:$E$55,5,FALSE)))</f>
        <v>#VALUE!</v>
      </c>
      <c r="J169" s="10">
        <f t="shared" si="14"/>
        <v>0</v>
      </c>
      <c r="K169" s="7" t="e">
        <f>IF(C168&lt;1,"0",Seguros_Oblig!$K$2*('Compra cartera'!$C$11*90%))</f>
        <v>#VALUE!</v>
      </c>
      <c r="L169" s="7" t="e">
        <f>IF(B169=" ","0",PMT('Compra cartera'!$E$17,'Compra cartera'!$C$31,-'Compra cartera'!$C$14,,))</f>
        <v>#VALUE!</v>
      </c>
      <c r="M169" s="9" t="e">
        <f t="shared" si="15"/>
        <v>#VALUE!</v>
      </c>
      <c r="N169" s="7" t="e">
        <f>IF(C168&lt;1,"0",'Compra cartera'!$C$44)</f>
        <v>#VALUE!</v>
      </c>
      <c r="O169" s="9" t="e">
        <f t="shared" si="16"/>
        <v>#VALUE!</v>
      </c>
    </row>
    <row r="170" spans="2:15" ht="15.5" x14ac:dyDescent="0.35">
      <c r="B170" s="6" t="e">
        <f t="shared" si="17"/>
        <v>#VALUE!</v>
      </c>
      <c r="C170" s="7" t="e">
        <f t="shared" si="13"/>
        <v>#VALUE!</v>
      </c>
      <c r="D170" s="7" t="e">
        <f t="shared" si="18"/>
        <v>#VALUE!</v>
      </c>
      <c r="E170" s="7" t="e">
        <f>C169*'Compra cartera'!$E$17</f>
        <v>#VALUE!</v>
      </c>
      <c r="F170" s="8" t="e">
        <f>IF(C169&lt;1,"0",IF('Compra cartera'!$D$26="Si",($C$17*(VLOOKUP('Compra cartera'!$C$22,Seguros_Oblig!$A$3:$F$55,6,FALSE))),(C169*(VLOOKUP('Compra cartera'!$C$22,Seguros_Oblig!$A$3:$E$55,5,FALSE)))))</f>
        <v>#VALUE!</v>
      </c>
      <c r="G170" s="8" t="e">
        <f>(C169*(VLOOKUP('Compra cartera'!$C$23,Seguros_Oblig!$A$3:$E$55,5,FALSE)))</f>
        <v>#VALUE!</v>
      </c>
      <c r="H170" s="8" t="e">
        <f>(C169*(VLOOKUP('Compra cartera'!$C$24,Seguros_Oblig!$A$3:$E$55,5,FALSE)))</f>
        <v>#VALUE!</v>
      </c>
      <c r="I170" s="8" t="e">
        <f>(C169*(VLOOKUP('Compra cartera'!$C$25,Seguros_Oblig!$A$3:$E$55,5,FALSE)))</f>
        <v>#VALUE!</v>
      </c>
      <c r="J170" s="10">
        <f t="shared" si="14"/>
        <v>0</v>
      </c>
      <c r="K170" s="7" t="e">
        <f>IF(C169&lt;1,"0",Seguros_Oblig!$K$2*('Compra cartera'!$C$11*90%))</f>
        <v>#VALUE!</v>
      </c>
      <c r="L170" s="7" t="e">
        <f>IF(B170=" ","0",PMT('Compra cartera'!$E$17,'Compra cartera'!$C$31,-'Compra cartera'!$C$14,,))</f>
        <v>#VALUE!</v>
      </c>
      <c r="M170" s="9" t="e">
        <f t="shared" si="15"/>
        <v>#VALUE!</v>
      </c>
      <c r="N170" s="7" t="e">
        <f>IF(C169&lt;1,"0",'Compra cartera'!$C$44)</f>
        <v>#VALUE!</v>
      </c>
      <c r="O170" s="9" t="e">
        <f t="shared" si="16"/>
        <v>#VALUE!</v>
      </c>
    </row>
    <row r="171" spans="2:15" ht="15.5" x14ac:dyDescent="0.35">
      <c r="B171" s="6" t="e">
        <f t="shared" si="17"/>
        <v>#VALUE!</v>
      </c>
      <c r="C171" s="7" t="e">
        <f t="shared" si="13"/>
        <v>#VALUE!</v>
      </c>
      <c r="D171" s="7" t="e">
        <f t="shared" si="18"/>
        <v>#VALUE!</v>
      </c>
      <c r="E171" s="7" t="e">
        <f>C170*'Compra cartera'!$E$17</f>
        <v>#VALUE!</v>
      </c>
      <c r="F171" s="8" t="e">
        <f>IF(C170&lt;1,"0",IF('Compra cartera'!$D$26="Si",($C$17*(VLOOKUP('Compra cartera'!$C$22,Seguros_Oblig!$A$3:$F$55,6,FALSE))),(C170*(VLOOKUP('Compra cartera'!$C$22,Seguros_Oblig!$A$3:$E$55,5,FALSE)))))</f>
        <v>#VALUE!</v>
      </c>
      <c r="G171" s="8" t="e">
        <f>(C170*(VLOOKUP('Compra cartera'!$C$23,Seguros_Oblig!$A$3:$E$55,5,FALSE)))</f>
        <v>#VALUE!</v>
      </c>
      <c r="H171" s="8" t="e">
        <f>(C170*(VLOOKUP('Compra cartera'!$C$24,Seguros_Oblig!$A$3:$E$55,5,FALSE)))</f>
        <v>#VALUE!</v>
      </c>
      <c r="I171" s="8" t="e">
        <f>(C170*(VLOOKUP('Compra cartera'!$C$25,Seguros_Oblig!$A$3:$E$55,5,FALSE)))</f>
        <v>#VALUE!</v>
      </c>
      <c r="J171" s="10">
        <f t="shared" si="14"/>
        <v>0</v>
      </c>
      <c r="K171" s="7" t="e">
        <f>IF(C170&lt;1,"0",Seguros_Oblig!$K$2*('Compra cartera'!$C$11*90%))</f>
        <v>#VALUE!</v>
      </c>
      <c r="L171" s="7" t="e">
        <f>IF(B171=" ","0",PMT('Compra cartera'!$E$17,'Compra cartera'!$C$31,-'Compra cartera'!$C$14,,))</f>
        <v>#VALUE!</v>
      </c>
      <c r="M171" s="9" t="e">
        <f t="shared" si="15"/>
        <v>#VALUE!</v>
      </c>
      <c r="N171" s="7" t="e">
        <f>IF(C170&lt;1,"0",'Compra cartera'!$C$44)</f>
        <v>#VALUE!</v>
      </c>
      <c r="O171" s="9" t="e">
        <f t="shared" si="16"/>
        <v>#VALUE!</v>
      </c>
    </row>
    <row r="172" spans="2:15" ht="15.5" x14ac:dyDescent="0.35">
      <c r="B172" s="6" t="e">
        <f t="shared" si="17"/>
        <v>#VALUE!</v>
      </c>
      <c r="C172" s="7" t="e">
        <f t="shared" si="13"/>
        <v>#VALUE!</v>
      </c>
      <c r="D172" s="7" t="e">
        <f t="shared" si="18"/>
        <v>#VALUE!</v>
      </c>
      <c r="E172" s="7" t="e">
        <f>C171*'Compra cartera'!$E$17</f>
        <v>#VALUE!</v>
      </c>
      <c r="F172" s="8" t="e">
        <f>IF(C171&lt;1,"0",IF('Compra cartera'!$D$26="Si",($C$17*(VLOOKUP('Compra cartera'!$C$22,Seguros_Oblig!$A$3:$F$55,6,FALSE))),(C171*(VLOOKUP('Compra cartera'!$C$22,Seguros_Oblig!$A$3:$E$55,5,FALSE)))))</f>
        <v>#VALUE!</v>
      </c>
      <c r="G172" s="8" t="e">
        <f>(C171*(VLOOKUP('Compra cartera'!$C$23,Seguros_Oblig!$A$3:$E$55,5,FALSE)))</f>
        <v>#VALUE!</v>
      </c>
      <c r="H172" s="8" t="e">
        <f>(C171*(VLOOKUP('Compra cartera'!$C$24,Seguros_Oblig!$A$3:$E$55,5,FALSE)))</f>
        <v>#VALUE!</v>
      </c>
      <c r="I172" s="8" t="e">
        <f>(C171*(VLOOKUP('Compra cartera'!$C$25,Seguros_Oblig!$A$3:$E$55,5,FALSE)))</f>
        <v>#VALUE!</v>
      </c>
      <c r="J172" s="10">
        <f t="shared" si="14"/>
        <v>0</v>
      </c>
      <c r="K172" s="7" t="e">
        <f>IF(C171&lt;1,"0",Seguros_Oblig!$K$2*('Compra cartera'!$C$11*90%))</f>
        <v>#VALUE!</v>
      </c>
      <c r="L172" s="7" t="e">
        <f>IF(B172=" ","0",PMT('Compra cartera'!$E$17,'Compra cartera'!$C$31,-'Compra cartera'!$C$14,,))</f>
        <v>#VALUE!</v>
      </c>
      <c r="M172" s="9" t="e">
        <f t="shared" si="15"/>
        <v>#VALUE!</v>
      </c>
      <c r="N172" s="7" t="e">
        <f>IF(C171&lt;1,"0",'Compra cartera'!$C$44)</f>
        <v>#VALUE!</v>
      </c>
      <c r="O172" s="9" t="e">
        <f t="shared" si="16"/>
        <v>#VALUE!</v>
      </c>
    </row>
    <row r="173" spans="2:15" ht="15.5" x14ac:dyDescent="0.35">
      <c r="B173" s="6" t="e">
        <f t="shared" si="17"/>
        <v>#VALUE!</v>
      </c>
      <c r="C173" s="7" t="e">
        <f t="shared" si="13"/>
        <v>#VALUE!</v>
      </c>
      <c r="D173" s="7" t="e">
        <f t="shared" si="18"/>
        <v>#VALUE!</v>
      </c>
      <c r="E173" s="7" t="e">
        <f>C172*'Compra cartera'!$E$17</f>
        <v>#VALUE!</v>
      </c>
      <c r="F173" s="8" t="e">
        <f>IF(C172&lt;1,"0",IF('Compra cartera'!$D$26="Si",($C$17*(VLOOKUP('Compra cartera'!$C$22,Seguros_Oblig!$A$3:$F$55,6,FALSE))),(C172*(VLOOKUP('Compra cartera'!$C$22,Seguros_Oblig!$A$3:$E$55,5,FALSE)))))</f>
        <v>#VALUE!</v>
      </c>
      <c r="G173" s="8" t="e">
        <f>(C172*(VLOOKUP('Compra cartera'!$C$23,Seguros_Oblig!$A$3:$E$55,5,FALSE)))</f>
        <v>#VALUE!</v>
      </c>
      <c r="H173" s="8" t="e">
        <f>(C172*(VLOOKUP('Compra cartera'!$C$24,Seguros_Oblig!$A$3:$E$55,5,FALSE)))</f>
        <v>#VALUE!</v>
      </c>
      <c r="I173" s="8" t="e">
        <f>(C172*(VLOOKUP('Compra cartera'!$C$25,Seguros_Oblig!$A$3:$E$55,5,FALSE)))</f>
        <v>#VALUE!</v>
      </c>
      <c r="J173" s="10">
        <f t="shared" si="14"/>
        <v>0</v>
      </c>
      <c r="K173" s="7" t="e">
        <f>IF(C172&lt;1,"0",Seguros_Oblig!$K$2*('Compra cartera'!$C$11*90%))</f>
        <v>#VALUE!</v>
      </c>
      <c r="L173" s="7" t="e">
        <f>IF(B173=" ","0",PMT('Compra cartera'!$E$17,'Compra cartera'!$C$31,-'Compra cartera'!$C$14,,))</f>
        <v>#VALUE!</v>
      </c>
      <c r="M173" s="9" t="e">
        <f t="shared" si="15"/>
        <v>#VALUE!</v>
      </c>
      <c r="N173" s="7" t="e">
        <f>IF(C172&lt;1,"0",'Compra cartera'!$C$44)</f>
        <v>#VALUE!</v>
      </c>
      <c r="O173" s="9" t="e">
        <f t="shared" si="16"/>
        <v>#VALUE!</v>
      </c>
    </row>
    <row r="174" spans="2:15" ht="15.5" x14ac:dyDescent="0.35">
      <c r="B174" s="6" t="e">
        <f t="shared" si="17"/>
        <v>#VALUE!</v>
      </c>
      <c r="C174" s="7" t="e">
        <f t="shared" si="13"/>
        <v>#VALUE!</v>
      </c>
      <c r="D174" s="7" t="e">
        <f t="shared" si="18"/>
        <v>#VALUE!</v>
      </c>
      <c r="E174" s="7" t="e">
        <f>C173*'Compra cartera'!$E$17</f>
        <v>#VALUE!</v>
      </c>
      <c r="F174" s="8" t="e">
        <f>IF(C173&lt;1,"0",IF('Compra cartera'!$D$26="Si",($C$17*(VLOOKUP('Compra cartera'!$C$22,Seguros_Oblig!$A$3:$F$55,6,FALSE))),(C173*(VLOOKUP('Compra cartera'!$C$22,Seguros_Oblig!$A$3:$E$55,5,FALSE)))))</f>
        <v>#VALUE!</v>
      </c>
      <c r="G174" s="8" t="e">
        <f>(C173*(VLOOKUP('Compra cartera'!$C$23,Seguros_Oblig!$A$3:$E$55,5,FALSE)))</f>
        <v>#VALUE!</v>
      </c>
      <c r="H174" s="8" t="e">
        <f>(C173*(VLOOKUP('Compra cartera'!$C$24,Seguros_Oblig!$A$3:$E$55,5,FALSE)))</f>
        <v>#VALUE!</v>
      </c>
      <c r="I174" s="8" t="e">
        <f>(C173*(VLOOKUP('Compra cartera'!$C$25,Seguros_Oblig!$A$3:$E$55,5,FALSE)))</f>
        <v>#VALUE!</v>
      </c>
      <c r="J174" s="10">
        <f t="shared" si="14"/>
        <v>0</v>
      </c>
      <c r="K174" s="7" t="e">
        <f>IF(C173&lt;1,"0",Seguros_Oblig!$K$2*('Compra cartera'!$C$11*90%))</f>
        <v>#VALUE!</v>
      </c>
      <c r="L174" s="7" t="e">
        <f>IF(B174=" ","0",PMT('Compra cartera'!$E$17,'Compra cartera'!$C$31,-'Compra cartera'!$C$14,,))</f>
        <v>#VALUE!</v>
      </c>
      <c r="M174" s="9" t="e">
        <f t="shared" si="15"/>
        <v>#VALUE!</v>
      </c>
      <c r="N174" s="7" t="e">
        <f>IF(C173&lt;1,"0",'Compra cartera'!$C$44)</f>
        <v>#VALUE!</v>
      </c>
      <c r="O174" s="9" t="e">
        <f t="shared" si="16"/>
        <v>#VALUE!</v>
      </c>
    </row>
    <row r="175" spans="2:15" ht="15.5" x14ac:dyDescent="0.35">
      <c r="B175" s="6" t="e">
        <f t="shared" si="17"/>
        <v>#VALUE!</v>
      </c>
      <c r="C175" s="7" t="e">
        <f t="shared" si="13"/>
        <v>#VALUE!</v>
      </c>
      <c r="D175" s="7" t="e">
        <f t="shared" si="18"/>
        <v>#VALUE!</v>
      </c>
      <c r="E175" s="7" t="e">
        <f>C174*'Compra cartera'!$E$17</f>
        <v>#VALUE!</v>
      </c>
      <c r="F175" s="8" t="e">
        <f>IF(C174&lt;1,"0",IF('Compra cartera'!$D$26="Si",($C$17*(VLOOKUP('Compra cartera'!$C$22,Seguros_Oblig!$A$3:$F$55,6,FALSE))),(C174*(VLOOKUP('Compra cartera'!$C$22,Seguros_Oblig!$A$3:$E$55,5,FALSE)))))</f>
        <v>#VALUE!</v>
      </c>
      <c r="G175" s="8" t="e">
        <f>(C174*(VLOOKUP('Compra cartera'!$C$23,Seguros_Oblig!$A$3:$E$55,5,FALSE)))</f>
        <v>#VALUE!</v>
      </c>
      <c r="H175" s="8" t="e">
        <f>(C174*(VLOOKUP('Compra cartera'!$C$24,Seguros_Oblig!$A$3:$E$55,5,FALSE)))</f>
        <v>#VALUE!</v>
      </c>
      <c r="I175" s="8" t="e">
        <f>(C174*(VLOOKUP('Compra cartera'!$C$25,Seguros_Oblig!$A$3:$E$55,5,FALSE)))</f>
        <v>#VALUE!</v>
      </c>
      <c r="J175" s="10">
        <f t="shared" si="14"/>
        <v>0</v>
      </c>
      <c r="K175" s="7" t="e">
        <f>IF(C174&lt;1,"0",Seguros_Oblig!$K$2*('Compra cartera'!$C$11*90%))</f>
        <v>#VALUE!</v>
      </c>
      <c r="L175" s="7" t="e">
        <f>IF(B175=" ","0",PMT('Compra cartera'!$E$17,'Compra cartera'!$C$31,-'Compra cartera'!$C$14,,))</f>
        <v>#VALUE!</v>
      </c>
      <c r="M175" s="9" t="e">
        <f t="shared" si="15"/>
        <v>#VALUE!</v>
      </c>
      <c r="N175" s="7" t="e">
        <f>IF(C174&lt;1,"0",'Compra cartera'!$C$44)</f>
        <v>#VALUE!</v>
      </c>
      <c r="O175" s="9" t="e">
        <f t="shared" si="16"/>
        <v>#VALUE!</v>
      </c>
    </row>
    <row r="176" spans="2:15" ht="15.5" x14ac:dyDescent="0.35">
      <c r="B176" s="6" t="e">
        <f t="shared" si="17"/>
        <v>#VALUE!</v>
      </c>
      <c r="C176" s="7" t="e">
        <f t="shared" si="13"/>
        <v>#VALUE!</v>
      </c>
      <c r="D176" s="7" t="e">
        <f t="shared" si="18"/>
        <v>#VALUE!</v>
      </c>
      <c r="E176" s="7" t="e">
        <f>C175*'Compra cartera'!$E$17</f>
        <v>#VALUE!</v>
      </c>
      <c r="F176" s="8" t="e">
        <f>IF(C175&lt;1,"0",IF('Compra cartera'!$D$26="Si",($C$17*(VLOOKUP('Compra cartera'!$C$22,Seguros_Oblig!$A$3:$F$55,6,FALSE))),(C175*(VLOOKUP('Compra cartera'!$C$22,Seguros_Oblig!$A$3:$E$55,5,FALSE)))))</f>
        <v>#VALUE!</v>
      </c>
      <c r="G176" s="8" t="e">
        <f>(C175*(VLOOKUP('Compra cartera'!$C$23,Seguros_Oblig!$A$3:$E$55,5,FALSE)))</f>
        <v>#VALUE!</v>
      </c>
      <c r="H176" s="8" t="e">
        <f>(C175*(VLOOKUP('Compra cartera'!$C$24,Seguros_Oblig!$A$3:$E$55,5,FALSE)))</f>
        <v>#VALUE!</v>
      </c>
      <c r="I176" s="8" t="e">
        <f>(C175*(VLOOKUP('Compra cartera'!$C$25,Seguros_Oblig!$A$3:$E$55,5,FALSE)))</f>
        <v>#VALUE!</v>
      </c>
      <c r="J176" s="10">
        <f t="shared" si="14"/>
        <v>0</v>
      </c>
      <c r="K176" s="7" t="e">
        <f>IF(C175&lt;1,"0",Seguros_Oblig!$K$2*('Compra cartera'!$C$11*90%))</f>
        <v>#VALUE!</v>
      </c>
      <c r="L176" s="7" t="e">
        <f>IF(B176=" ","0",PMT('Compra cartera'!$E$17,'Compra cartera'!$C$31,-'Compra cartera'!$C$14,,))</f>
        <v>#VALUE!</v>
      </c>
      <c r="M176" s="9" t="e">
        <f t="shared" si="15"/>
        <v>#VALUE!</v>
      </c>
      <c r="N176" s="7" t="e">
        <f>IF(C175&lt;1,"0",'Compra cartera'!$C$44)</f>
        <v>#VALUE!</v>
      </c>
      <c r="O176" s="9" t="e">
        <f t="shared" si="16"/>
        <v>#VALUE!</v>
      </c>
    </row>
    <row r="177" spans="2:15" ht="15.5" x14ac:dyDescent="0.35">
      <c r="B177" s="6" t="e">
        <f t="shared" si="17"/>
        <v>#VALUE!</v>
      </c>
      <c r="C177" s="7" t="e">
        <f t="shared" si="13"/>
        <v>#VALUE!</v>
      </c>
      <c r="D177" s="7" t="e">
        <f t="shared" si="18"/>
        <v>#VALUE!</v>
      </c>
      <c r="E177" s="7" t="e">
        <f>C176*'Compra cartera'!$E$17</f>
        <v>#VALUE!</v>
      </c>
      <c r="F177" s="8" t="e">
        <f>IF(C176&lt;1,"0",IF('Compra cartera'!$D$26="Si",($C$17*(VLOOKUP('Compra cartera'!$C$22,Seguros_Oblig!$A$3:$F$55,6,FALSE))),(C176*(VLOOKUP('Compra cartera'!$C$22,Seguros_Oblig!$A$3:$E$55,5,FALSE)))))</f>
        <v>#VALUE!</v>
      </c>
      <c r="G177" s="8" t="e">
        <f>(C176*(VLOOKUP('Compra cartera'!$C$23,Seguros_Oblig!$A$3:$E$55,5,FALSE)))</f>
        <v>#VALUE!</v>
      </c>
      <c r="H177" s="8" t="e">
        <f>(C176*(VLOOKUP('Compra cartera'!$C$24,Seguros_Oblig!$A$3:$E$55,5,FALSE)))</f>
        <v>#VALUE!</v>
      </c>
      <c r="I177" s="8" t="e">
        <f>(C176*(VLOOKUP('Compra cartera'!$C$25,Seguros_Oblig!$A$3:$E$55,5,FALSE)))</f>
        <v>#VALUE!</v>
      </c>
      <c r="J177" s="10">
        <f t="shared" si="14"/>
        <v>0</v>
      </c>
      <c r="K177" s="7" t="e">
        <f>IF(C176&lt;1,"0",Seguros_Oblig!$K$2*('Compra cartera'!$C$11*90%))</f>
        <v>#VALUE!</v>
      </c>
      <c r="L177" s="7" t="e">
        <f>IF(B177=" ","0",PMT('Compra cartera'!$E$17,'Compra cartera'!$C$31,-'Compra cartera'!$C$14,,))</f>
        <v>#VALUE!</v>
      </c>
      <c r="M177" s="9" t="e">
        <f t="shared" si="15"/>
        <v>#VALUE!</v>
      </c>
      <c r="N177" s="7" t="e">
        <f>IF(C176&lt;1,"0",'Compra cartera'!$C$44)</f>
        <v>#VALUE!</v>
      </c>
      <c r="O177" s="9" t="e">
        <f t="shared" si="16"/>
        <v>#VALUE!</v>
      </c>
    </row>
    <row r="178" spans="2:15" ht="15.5" x14ac:dyDescent="0.35">
      <c r="B178" s="6" t="e">
        <f t="shared" si="17"/>
        <v>#VALUE!</v>
      </c>
      <c r="C178" s="7" t="e">
        <f t="shared" si="13"/>
        <v>#VALUE!</v>
      </c>
      <c r="D178" s="7" t="e">
        <f t="shared" si="18"/>
        <v>#VALUE!</v>
      </c>
      <c r="E178" s="7" t="e">
        <f>C177*'Compra cartera'!$E$17</f>
        <v>#VALUE!</v>
      </c>
      <c r="F178" s="8" t="e">
        <f>IF(C177&lt;1,"0",IF('Compra cartera'!$D$26="Si",($C$17*(VLOOKUP('Compra cartera'!$C$22,Seguros_Oblig!$A$3:$F$55,6,FALSE))),(C177*(VLOOKUP('Compra cartera'!$C$22,Seguros_Oblig!$A$3:$E$55,5,FALSE)))))</f>
        <v>#VALUE!</v>
      </c>
      <c r="G178" s="8" t="e">
        <f>(C177*(VLOOKUP('Compra cartera'!$C$23,Seguros_Oblig!$A$3:$E$55,5,FALSE)))</f>
        <v>#VALUE!</v>
      </c>
      <c r="H178" s="8" t="e">
        <f>(C177*(VLOOKUP('Compra cartera'!$C$24,Seguros_Oblig!$A$3:$E$55,5,FALSE)))</f>
        <v>#VALUE!</v>
      </c>
      <c r="I178" s="8" t="e">
        <f>(C177*(VLOOKUP('Compra cartera'!$C$25,Seguros_Oblig!$A$3:$E$55,5,FALSE)))</f>
        <v>#VALUE!</v>
      </c>
      <c r="J178" s="10">
        <f t="shared" si="14"/>
        <v>0</v>
      </c>
      <c r="K178" s="7" t="e">
        <f>IF(C177&lt;1,"0",Seguros_Oblig!$K$2*('Compra cartera'!$C$11*90%))</f>
        <v>#VALUE!</v>
      </c>
      <c r="L178" s="7" t="e">
        <f>IF(B178=" ","0",PMT('Compra cartera'!$E$17,'Compra cartera'!$C$31,-'Compra cartera'!$C$14,,))</f>
        <v>#VALUE!</v>
      </c>
      <c r="M178" s="9" t="e">
        <f t="shared" si="15"/>
        <v>#VALUE!</v>
      </c>
      <c r="N178" s="7" t="e">
        <f>IF(C177&lt;1,"0",'Compra cartera'!$C$44)</f>
        <v>#VALUE!</v>
      </c>
      <c r="O178" s="9" t="e">
        <f t="shared" si="16"/>
        <v>#VALUE!</v>
      </c>
    </row>
    <row r="179" spans="2:15" ht="15.5" x14ac:dyDescent="0.35">
      <c r="B179" s="6" t="e">
        <f t="shared" si="17"/>
        <v>#VALUE!</v>
      </c>
      <c r="C179" s="7" t="e">
        <f t="shared" si="13"/>
        <v>#VALUE!</v>
      </c>
      <c r="D179" s="7" t="e">
        <f t="shared" si="18"/>
        <v>#VALUE!</v>
      </c>
      <c r="E179" s="7" t="e">
        <f>C178*'Compra cartera'!$E$17</f>
        <v>#VALUE!</v>
      </c>
      <c r="F179" s="8" t="e">
        <f>IF(C178&lt;1,"0",IF('Compra cartera'!$D$26="Si",($C$17*(VLOOKUP('Compra cartera'!$C$22,Seguros_Oblig!$A$3:$F$55,6,FALSE))),(C178*(VLOOKUP('Compra cartera'!$C$22,Seguros_Oblig!$A$3:$E$55,5,FALSE)))))</f>
        <v>#VALUE!</v>
      </c>
      <c r="G179" s="8" t="e">
        <f>(C178*(VLOOKUP('Compra cartera'!$C$23,Seguros_Oblig!$A$3:$E$55,5,FALSE)))</f>
        <v>#VALUE!</v>
      </c>
      <c r="H179" s="8" t="e">
        <f>(C178*(VLOOKUP('Compra cartera'!$C$24,Seguros_Oblig!$A$3:$E$55,5,FALSE)))</f>
        <v>#VALUE!</v>
      </c>
      <c r="I179" s="8" t="e">
        <f>(C178*(VLOOKUP('Compra cartera'!$C$25,Seguros_Oblig!$A$3:$E$55,5,FALSE)))</f>
        <v>#VALUE!</v>
      </c>
      <c r="J179" s="10">
        <f t="shared" si="14"/>
        <v>0</v>
      </c>
      <c r="K179" s="7" t="e">
        <f>IF(C178&lt;1,"0",Seguros_Oblig!$K$2*('Compra cartera'!$C$11*90%))</f>
        <v>#VALUE!</v>
      </c>
      <c r="L179" s="7" t="e">
        <f>IF(B179=" ","0",PMT('Compra cartera'!$E$17,'Compra cartera'!$C$31,-'Compra cartera'!$C$14,,))</f>
        <v>#VALUE!</v>
      </c>
      <c r="M179" s="9" t="e">
        <f t="shared" si="15"/>
        <v>#VALUE!</v>
      </c>
      <c r="N179" s="7" t="e">
        <f>IF(C178&lt;1,"0",'Compra cartera'!$C$44)</f>
        <v>#VALUE!</v>
      </c>
      <c r="O179" s="9" t="e">
        <f t="shared" si="16"/>
        <v>#VALUE!</v>
      </c>
    </row>
    <row r="180" spans="2:15" ht="15.5" x14ac:dyDescent="0.35">
      <c r="B180" s="6" t="e">
        <f t="shared" si="17"/>
        <v>#VALUE!</v>
      </c>
      <c r="C180" s="7" t="e">
        <f t="shared" si="13"/>
        <v>#VALUE!</v>
      </c>
      <c r="D180" s="7" t="e">
        <f t="shared" si="18"/>
        <v>#VALUE!</v>
      </c>
      <c r="E180" s="7" t="e">
        <f>C179*'Compra cartera'!$E$17</f>
        <v>#VALUE!</v>
      </c>
      <c r="F180" s="8" t="e">
        <f>IF(C179&lt;1,"0",IF('Compra cartera'!$D$26="Si",($C$17*(VLOOKUP('Compra cartera'!$C$22,Seguros_Oblig!$A$3:$F$55,6,FALSE))),(C179*(VLOOKUP('Compra cartera'!$C$22,Seguros_Oblig!$A$3:$E$55,5,FALSE)))))</f>
        <v>#VALUE!</v>
      </c>
      <c r="G180" s="8" t="e">
        <f>(C179*(VLOOKUP('Compra cartera'!$C$23,Seguros_Oblig!$A$3:$E$55,5,FALSE)))</f>
        <v>#VALUE!</v>
      </c>
      <c r="H180" s="8" t="e">
        <f>(C179*(VLOOKUP('Compra cartera'!$C$24,Seguros_Oblig!$A$3:$E$55,5,FALSE)))</f>
        <v>#VALUE!</v>
      </c>
      <c r="I180" s="8" t="e">
        <f>(C179*(VLOOKUP('Compra cartera'!$C$25,Seguros_Oblig!$A$3:$E$55,5,FALSE)))</f>
        <v>#VALUE!</v>
      </c>
      <c r="J180" s="10">
        <f t="shared" si="14"/>
        <v>0</v>
      </c>
      <c r="K180" s="7" t="e">
        <f>IF(C179&lt;1,"0",Seguros_Oblig!$K$2*('Compra cartera'!$C$11*90%))</f>
        <v>#VALUE!</v>
      </c>
      <c r="L180" s="7" t="e">
        <f>IF(B180=" ","0",PMT('Compra cartera'!$E$17,'Compra cartera'!$C$31,-'Compra cartera'!$C$14,,))</f>
        <v>#VALUE!</v>
      </c>
      <c r="M180" s="9" t="e">
        <f t="shared" si="15"/>
        <v>#VALUE!</v>
      </c>
      <c r="N180" s="7" t="e">
        <f>IF(C179&lt;1,"0",'Compra cartera'!$C$44)</f>
        <v>#VALUE!</v>
      </c>
      <c r="O180" s="9" t="e">
        <f t="shared" si="16"/>
        <v>#VALUE!</v>
      </c>
    </row>
    <row r="181" spans="2:15" ht="15.5" x14ac:dyDescent="0.35">
      <c r="B181" s="6" t="e">
        <f t="shared" si="17"/>
        <v>#VALUE!</v>
      </c>
      <c r="C181" s="7" t="e">
        <f t="shared" si="13"/>
        <v>#VALUE!</v>
      </c>
      <c r="D181" s="7" t="e">
        <f t="shared" si="18"/>
        <v>#VALUE!</v>
      </c>
      <c r="E181" s="7" t="e">
        <f>C180*'Compra cartera'!$E$17</f>
        <v>#VALUE!</v>
      </c>
      <c r="F181" s="8" t="e">
        <f>IF(C180&lt;1,"0",IF('Compra cartera'!$D$26="Si",($C$17*(VLOOKUP('Compra cartera'!$C$22,Seguros_Oblig!$A$3:$F$55,6,FALSE))),(C180*(VLOOKUP('Compra cartera'!$C$22,Seguros_Oblig!$A$3:$E$55,5,FALSE)))))</f>
        <v>#VALUE!</v>
      </c>
      <c r="G181" s="8" t="e">
        <f>(C180*(VLOOKUP('Compra cartera'!$C$23,Seguros_Oblig!$A$3:$E$55,5,FALSE)))</f>
        <v>#VALUE!</v>
      </c>
      <c r="H181" s="8" t="e">
        <f>(C180*(VLOOKUP('Compra cartera'!$C$24,Seguros_Oblig!$A$3:$E$55,5,FALSE)))</f>
        <v>#VALUE!</v>
      </c>
      <c r="I181" s="8" t="e">
        <f>(C180*(VLOOKUP('Compra cartera'!$C$25,Seguros_Oblig!$A$3:$E$55,5,FALSE)))</f>
        <v>#VALUE!</v>
      </c>
      <c r="J181" s="10">
        <f t="shared" si="14"/>
        <v>0</v>
      </c>
      <c r="K181" s="7" t="e">
        <f>IF(C180&lt;1,"0",Seguros_Oblig!$K$2*('Compra cartera'!$C$11*90%))</f>
        <v>#VALUE!</v>
      </c>
      <c r="L181" s="7" t="e">
        <f>IF(B181=" ","0",PMT('Compra cartera'!$E$17,'Compra cartera'!$C$31,-'Compra cartera'!$C$14,,))</f>
        <v>#VALUE!</v>
      </c>
      <c r="M181" s="9" t="e">
        <f t="shared" si="15"/>
        <v>#VALUE!</v>
      </c>
      <c r="N181" s="7" t="e">
        <f>IF(C180&lt;1,"0",'Compra cartera'!$C$44)</f>
        <v>#VALUE!</v>
      </c>
      <c r="O181" s="9" t="e">
        <f t="shared" si="16"/>
        <v>#VALUE!</v>
      </c>
    </row>
    <row r="182" spans="2:15" ht="15.5" x14ac:dyDescent="0.35">
      <c r="B182" s="6" t="e">
        <f t="shared" si="17"/>
        <v>#VALUE!</v>
      </c>
      <c r="C182" s="7" t="e">
        <f t="shared" si="13"/>
        <v>#VALUE!</v>
      </c>
      <c r="D182" s="7" t="e">
        <f t="shared" si="18"/>
        <v>#VALUE!</v>
      </c>
      <c r="E182" s="7" t="e">
        <f>C181*'Compra cartera'!$E$17</f>
        <v>#VALUE!</v>
      </c>
      <c r="F182" s="8" t="e">
        <f>IF(C181&lt;1,"0",IF('Compra cartera'!$D$26="Si",($C$17*(VLOOKUP('Compra cartera'!$C$22,Seguros_Oblig!$A$3:$F$55,6,FALSE))),(C181*(VLOOKUP('Compra cartera'!$C$22,Seguros_Oblig!$A$3:$E$55,5,FALSE)))))</f>
        <v>#VALUE!</v>
      </c>
      <c r="G182" s="8" t="e">
        <f>(C181*(VLOOKUP('Compra cartera'!$C$23,Seguros_Oblig!$A$3:$E$55,5,FALSE)))</f>
        <v>#VALUE!</v>
      </c>
      <c r="H182" s="8" t="e">
        <f>(C181*(VLOOKUP('Compra cartera'!$C$24,Seguros_Oblig!$A$3:$E$55,5,FALSE)))</f>
        <v>#VALUE!</v>
      </c>
      <c r="I182" s="8" t="e">
        <f>(C181*(VLOOKUP('Compra cartera'!$C$25,Seguros_Oblig!$A$3:$E$55,5,FALSE)))</f>
        <v>#VALUE!</v>
      </c>
      <c r="J182" s="10">
        <f t="shared" si="14"/>
        <v>0</v>
      </c>
      <c r="K182" s="7" t="e">
        <f>IF(C181&lt;1,"0",Seguros_Oblig!$K$2*('Compra cartera'!$C$11*90%))</f>
        <v>#VALUE!</v>
      </c>
      <c r="L182" s="7" t="e">
        <f>IF(B182=" ","0",PMT('Compra cartera'!$E$17,'Compra cartera'!$C$31,-'Compra cartera'!$C$14,,))</f>
        <v>#VALUE!</v>
      </c>
      <c r="M182" s="9" t="e">
        <f t="shared" si="15"/>
        <v>#VALUE!</v>
      </c>
      <c r="N182" s="7" t="e">
        <f>IF(C181&lt;1,"0",'Compra cartera'!$C$44)</f>
        <v>#VALUE!</v>
      </c>
      <c r="O182" s="9" t="e">
        <f t="shared" si="16"/>
        <v>#VALUE!</v>
      </c>
    </row>
    <row r="183" spans="2:15" ht="15.5" x14ac:dyDescent="0.35">
      <c r="B183" s="6" t="e">
        <f t="shared" si="17"/>
        <v>#VALUE!</v>
      </c>
      <c r="C183" s="7" t="e">
        <f t="shared" si="13"/>
        <v>#VALUE!</v>
      </c>
      <c r="D183" s="7" t="e">
        <f t="shared" si="18"/>
        <v>#VALUE!</v>
      </c>
      <c r="E183" s="7" t="e">
        <f>C182*'Compra cartera'!$E$17</f>
        <v>#VALUE!</v>
      </c>
      <c r="F183" s="8" t="e">
        <f>IF(C182&lt;1,"0",IF('Compra cartera'!$D$26="Si",($C$17*(VLOOKUP('Compra cartera'!$C$22,Seguros_Oblig!$A$3:$F$55,6,FALSE))),(C182*(VLOOKUP('Compra cartera'!$C$22,Seguros_Oblig!$A$3:$E$55,5,FALSE)))))</f>
        <v>#VALUE!</v>
      </c>
      <c r="G183" s="8" t="e">
        <f>(C182*(VLOOKUP('Compra cartera'!$C$23,Seguros_Oblig!$A$3:$E$55,5,FALSE)))</f>
        <v>#VALUE!</v>
      </c>
      <c r="H183" s="8" t="e">
        <f>(C182*(VLOOKUP('Compra cartera'!$C$24,Seguros_Oblig!$A$3:$E$55,5,FALSE)))</f>
        <v>#VALUE!</v>
      </c>
      <c r="I183" s="8" t="e">
        <f>(C182*(VLOOKUP('Compra cartera'!$C$25,Seguros_Oblig!$A$3:$E$55,5,FALSE)))</f>
        <v>#VALUE!</v>
      </c>
      <c r="J183" s="10">
        <f t="shared" si="14"/>
        <v>0</v>
      </c>
      <c r="K183" s="7" t="e">
        <f>IF(C182&lt;1,"0",Seguros_Oblig!$K$2*('Compra cartera'!$C$11*90%))</f>
        <v>#VALUE!</v>
      </c>
      <c r="L183" s="7" t="e">
        <f>IF(B183=" ","0",PMT('Compra cartera'!$E$17,'Compra cartera'!$C$31,-'Compra cartera'!$C$14,,))</f>
        <v>#VALUE!</v>
      </c>
      <c r="M183" s="9" t="e">
        <f t="shared" si="15"/>
        <v>#VALUE!</v>
      </c>
      <c r="N183" s="7" t="e">
        <f>IF(C182&lt;1,"0",'Compra cartera'!$C$44)</f>
        <v>#VALUE!</v>
      </c>
      <c r="O183" s="9" t="e">
        <f t="shared" si="16"/>
        <v>#VALUE!</v>
      </c>
    </row>
    <row r="184" spans="2:15" ht="15.5" x14ac:dyDescent="0.35">
      <c r="B184" s="6" t="e">
        <f t="shared" si="17"/>
        <v>#VALUE!</v>
      </c>
      <c r="C184" s="7" t="e">
        <f t="shared" si="13"/>
        <v>#VALUE!</v>
      </c>
      <c r="D184" s="7" t="e">
        <f t="shared" si="18"/>
        <v>#VALUE!</v>
      </c>
      <c r="E184" s="7" t="e">
        <f>C183*'Compra cartera'!$E$17</f>
        <v>#VALUE!</v>
      </c>
      <c r="F184" s="8" t="e">
        <f>IF(C183&lt;1,"0",IF('Compra cartera'!$D$26="Si",($C$17*(VLOOKUP('Compra cartera'!$C$22,Seguros_Oblig!$A$3:$F$55,6,FALSE))),(C183*(VLOOKUP('Compra cartera'!$C$22,Seguros_Oblig!$A$3:$E$55,5,FALSE)))))</f>
        <v>#VALUE!</v>
      </c>
      <c r="G184" s="8" t="e">
        <f>(C183*(VLOOKUP('Compra cartera'!$C$23,Seguros_Oblig!$A$3:$E$55,5,FALSE)))</f>
        <v>#VALUE!</v>
      </c>
      <c r="H184" s="8" t="e">
        <f>(C183*(VLOOKUP('Compra cartera'!$C$24,Seguros_Oblig!$A$3:$E$55,5,FALSE)))</f>
        <v>#VALUE!</v>
      </c>
      <c r="I184" s="8" t="e">
        <f>(C183*(VLOOKUP('Compra cartera'!$C$25,Seguros_Oblig!$A$3:$E$55,5,FALSE)))</f>
        <v>#VALUE!</v>
      </c>
      <c r="J184" s="10">
        <f t="shared" si="14"/>
        <v>0</v>
      </c>
      <c r="K184" s="7" t="e">
        <f>IF(C183&lt;1,"0",Seguros_Oblig!$K$2*('Compra cartera'!$C$11*90%))</f>
        <v>#VALUE!</v>
      </c>
      <c r="L184" s="7" t="e">
        <f>IF(B184=" ","0",PMT('Compra cartera'!$E$17,'Compra cartera'!$C$31,-'Compra cartera'!$C$14,,))</f>
        <v>#VALUE!</v>
      </c>
      <c r="M184" s="9" t="e">
        <f t="shared" si="15"/>
        <v>#VALUE!</v>
      </c>
      <c r="N184" s="7" t="e">
        <f>IF(C183&lt;1,"0",'Compra cartera'!$C$44)</f>
        <v>#VALUE!</v>
      </c>
      <c r="O184" s="9" t="e">
        <f t="shared" si="16"/>
        <v>#VALUE!</v>
      </c>
    </row>
    <row r="185" spans="2:15" ht="15.5" x14ac:dyDescent="0.35">
      <c r="B185" s="6" t="e">
        <f t="shared" si="17"/>
        <v>#VALUE!</v>
      </c>
      <c r="C185" s="7" t="e">
        <f t="shared" si="13"/>
        <v>#VALUE!</v>
      </c>
      <c r="D185" s="7" t="e">
        <f t="shared" si="18"/>
        <v>#VALUE!</v>
      </c>
      <c r="E185" s="7" t="e">
        <f>C184*'Compra cartera'!$E$17</f>
        <v>#VALUE!</v>
      </c>
      <c r="F185" s="8" t="e">
        <f>IF(C184&lt;1,"0",IF('Compra cartera'!$D$26="Si",($C$17*(VLOOKUP('Compra cartera'!$C$22,Seguros_Oblig!$A$3:$F$55,6,FALSE))),(C184*(VLOOKUP('Compra cartera'!$C$22,Seguros_Oblig!$A$3:$E$55,5,FALSE)))))</f>
        <v>#VALUE!</v>
      </c>
      <c r="G185" s="8" t="e">
        <f>(C184*(VLOOKUP('Compra cartera'!$C$23,Seguros_Oblig!$A$3:$E$55,5,FALSE)))</f>
        <v>#VALUE!</v>
      </c>
      <c r="H185" s="8" t="e">
        <f>(C184*(VLOOKUP('Compra cartera'!$C$24,Seguros_Oblig!$A$3:$E$55,5,FALSE)))</f>
        <v>#VALUE!</v>
      </c>
      <c r="I185" s="8" t="e">
        <f>(C184*(VLOOKUP('Compra cartera'!$C$25,Seguros_Oblig!$A$3:$E$55,5,FALSE)))</f>
        <v>#VALUE!</v>
      </c>
      <c r="J185" s="10">
        <f t="shared" si="14"/>
        <v>0</v>
      </c>
      <c r="K185" s="7" t="e">
        <f>IF(C184&lt;1,"0",Seguros_Oblig!$K$2*('Compra cartera'!$C$11*90%))</f>
        <v>#VALUE!</v>
      </c>
      <c r="L185" s="7" t="e">
        <f>IF(B185=" ","0",PMT('Compra cartera'!$E$17,'Compra cartera'!$C$31,-'Compra cartera'!$C$14,,))</f>
        <v>#VALUE!</v>
      </c>
      <c r="M185" s="9" t="e">
        <f t="shared" si="15"/>
        <v>#VALUE!</v>
      </c>
      <c r="N185" s="7" t="e">
        <f>IF(C184&lt;1,"0",'Compra cartera'!$C$44)</f>
        <v>#VALUE!</v>
      </c>
      <c r="O185" s="9" t="e">
        <f t="shared" si="16"/>
        <v>#VALUE!</v>
      </c>
    </row>
    <row r="186" spans="2:15" ht="15.5" x14ac:dyDescent="0.35">
      <c r="B186" s="6" t="e">
        <f t="shared" si="17"/>
        <v>#VALUE!</v>
      </c>
      <c r="C186" s="7" t="e">
        <f t="shared" si="13"/>
        <v>#VALUE!</v>
      </c>
      <c r="D186" s="7" t="e">
        <f t="shared" si="18"/>
        <v>#VALUE!</v>
      </c>
      <c r="E186" s="7" t="e">
        <f>C185*'Compra cartera'!$E$17</f>
        <v>#VALUE!</v>
      </c>
      <c r="F186" s="8" t="e">
        <f>IF(C185&lt;1,"0",IF('Compra cartera'!$D$26="Si",($C$17*(VLOOKUP('Compra cartera'!$C$22,Seguros_Oblig!$A$3:$F$55,6,FALSE))),(C185*(VLOOKUP('Compra cartera'!$C$22,Seguros_Oblig!$A$3:$E$55,5,FALSE)))))</f>
        <v>#VALUE!</v>
      </c>
      <c r="G186" s="8" t="e">
        <f>(C185*(VLOOKUP('Compra cartera'!$C$23,Seguros_Oblig!$A$3:$E$55,5,FALSE)))</f>
        <v>#VALUE!</v>
      </c>
      <c r="H186" s="8" t="e">
        <f>(C185*(VLOOKUP('Compra cartera'!$C$24,Seguros_Oblig!$A$3:$E$55,5,FALSE)))</f>
        <v>#VALUE!</v>
      </c>
      <c r="I186" s="8" t="e">
        <f>(C185*(VLOOKUP('Compra cartera'!$C$25,Seguros_Oblig!$A$3:$E$55,5,FALSE)))</f>
        <v>#VALUE!</v>
      </c>
      <c r="J186" s="10">
        <f t="shared" si="14"/>
        <v>0</v>
      </c>
      <c r="K186" s="7" t="e">
        <f>IF(C185&lt;1,"0",Seguros_Oblig!$K$2*('Compra cartera'!$C$11*90%))</f>
        <v>#VALUE!</v>
      </c>
      <c r="L186" s="7" t="e">
        <f>IF(B186=" ","0",PMT('Compra cartera'!$E$17,'Compra cartera'!$C$31,-'Compra cartera'!$C$14,,))</f>
        <v>#VALUE!</v>
      </c>
      <c r="M186" s="9" t="e">
        <f t="shared" si="15"/>
        <v>#VALUE!</v>
      </c>
      <c r="N186" s="7" t="e">
        <f>IF(C185&lt;1,"0",'Compra cartera'!$C$44)</f>
        <v>#VALUE!</v>
      </c>
      <c r="O186" s="9" t="e">
        <f t="shared" si="16"/>
        <v>#VALUE!</v>
      </c>
    </row>
    <row r="187" spans="2:15" ht="15.5" x14ac:dyDescent="0.35">
      <c r="B187" s="6" t="e">
        <f t="shared" si="17"/>
        <v>#VALUE!</v>
      </c>
      <c r="C187" s="7" t="e">
        <f t="shared" si="13"/>
        <v>#VALUE!</v>
      </c>
      <c r="D187" s="7" t="e">
        <f t="shared" si="18"/>
        <v>#VALUE!</v>
      </c>
      <c r="E187" s="7" t="e">
        <f>C186*'Compra cartera'!$E$17</f>
        <v>#VALUE!</v>
      </c>
      <c r="F187" s="8" t="e">
        <f>IF(C186&lt;1,"0",IF('Compra cartera'!$D$26="Si",($C$17*(VLOOKUP('Compra cartera'!$C$22,Seguros_Oblig!$A$3:$F$55,6,FALSE))),(C186*(VLOOKUP('Compra cartera'!$C$22,Seguros_Oblig!$A$3:$E$55,5,FALSE)))))</f>
        <v>#VALUE!</v>
      </c>
      <c r="G187" s="8" t="e">
        <f>(C186*(VLOOKUP('Compra cartera'!$C$23,Seguros_Oblig!$A$3:$E$55,5,FALSE)))</f>
        <v>#VALUE!</v>
      </c>
      <c r="H187" s="8" t="e">
        <f>(C186*(VLOOKUP('Compra cartera'!$C$24,Seguros_Oblig!$A$3:$E$55,5,FALSE)))</f>
        <v>#VALUE!</v>
      </c>
      <c r="I187" s="8" t="e">
        <f>(C186*(VLOOKUP('Compra cartera'!$C$25,Seguros_Oblig!$A$3:$E$55,5,FALSE)))</f>
        <v>#VALUE!</v>
      </c>
      <c r="J187" s="10">
        <f t="shared" si="14"/>
        <v>0</v>
      </c>
      <c r="K187" s="7" t="e">
        <f>IF(C186&lt;1,"0",Seguros_Oblig!$K$2*('Compra cartera'!$C$11*90%))</f>
        <v>#VALUE!</v>
      </c>
      <c r="L187" s="7" t="e">
        <f>IF(B187=" ","0",PMT('Compra cartera'!$E$17,'Compra cartera'!$C$31,-'Compra cartera'!$C$14,,))</f>
        <v>#VALUE!</v>
      </c>
      <c r="M187" s="9" t="e">
        <f t="shared" si="15"/>
        <v>#VALUE!</v>
      </c>
      <c r="N187" s="7" t="e">
        <f>IF(C186&lt;1,"0",'Compra cartera'!$C$44)</f>
        <v>#VALUE!</v>
      </c>
      <c r="O187" s="9" t="e">
        <f t="shared" si="16"/>
        <v>#VALUE!</v>
      </c>
    </row>
    <row r="188" spans="2:15" ht="15.5" x14ac:dyDescent="0.35">
      <c r="B188" s="6" t="e">
        <f t="shared" si="17"/>
        <v>#VALUE!</v>
      </c>
      <c r="C188" s="7" t="e">
        <f t="shared" si="13"/>
        <v>#VALUE!</v>
      </c>
      <c r="D188" s="7" t="e">
        <f t="shared" si="18"/>
        <v>#VALUE!</v>
      </c>
      <c r="E188" s="7" t="e">
        <f>C187*'Compra cartera'!$E$17</f>
        <v>#VALUE!</v>
      </c>
      <c r="F188" s="8" t="e">
        <f>IF(C187&lt;1,"0",IF('Compra cartera'!$D$26="Si",($C$17*(VLOOKUP('Compra cartera'!$C$22,Seguros_Oblig!$A$3:$F$55,6,FALSE))),(C187*(VLOOKUP('Compra cartera'!$C$22,Seguros_Oblig!$A$3:$E$55,5,FALSE)))))</f>
        <v>#VALUE!</v>
      </c>
      <c r="G188" s="8" t="e">
        <f>(C187*(VLOOKUP('Compra cartera'!$C$23,Seguros_Oblig!$A$3:$E$55,5,FALSE)))</f>
        <v>#VALUE!</v>
      </c>
      <c r="H188" s="8" t="e">
        <f>(C187*(VLOOKUP('Compra cartera'!$C$24,Seguros_Oblig!$A$3:$E$55,5,FALSE)))</f>
        <v>#VALUE!</v>
      </c>
      <c r="I188" s="8" t="e">
        <f>(C187*(VLOOKUP('Compra cartera'!$C$25,Seguros_Oblig!$A$3:$E$55,5,FALSE)))</f>
        <v>#VALUE!</v>
      </c>
      <c r="J188" s="10">
        <f t="shared" si="14"/>
        <v>0</v>
      </c>
      <c r="K188" s="7" t="e">
        <f>IF(C187&lt;1,"0",Seguros_Oblig!$K$2*('Compra cartera'!$C$11*90%))</f>
        <v>#VALUE!</v>
      </c>
      <c r="L188" s="7" t="e">
        <f>IF(B188=" ","0",PMT('Compra cartera'!$E$17,'Compra cartera'!$C$31,-'Compra cartera'!$C$14,,))</f>
        <v>#VALUE!</v>
      </c>
      <c r="M188" s="9" t="e">
        <f t="shared" si="15"/>
        <v>#VALUE!</v>
      </c>
      <c r="N188" s="7" t="e">
        <f>IF(C187&lt;1,"0",'Compra cartera'!$C$44)</f>
        <v>#VALUE!</v>
      </c>
      <c r="O188" s="9" t="e">
        <f t="shared" si="16"/>
        <v>#VALUE!</v>
      </c>
    </row>
    <row r="189" spans="2:15" ht="15.5" x14ac:dyDescent="0.35">
      <c r="B189" s="6" t="e">
        <f t="shared" si="17"/>
        <v>#VALUE!</v>
      </c>
      <c r="C189" s="7" t="e">
        <f t="shared" si="13"/>
        <v>#VALUE!</v>
      </c>
      <c r="D189" s="7" t="e">
        <f t="shared" si="18"/>
        <v>#VALUE!</v>
      </c>
      <c r="E189" s="7" t="e">
        <f>C188*'Compra cartera'!$E$17</f>
        <v>#VALUE!</v>
      </c>
      <c r="F189" s="8" t="e">
        <f>IF(C188&lt;1,"0",IF('Compra cartera'!$D$26="Si",($C$17*(VLOOKUP('Compra cartera'!$C$22,Seguros_Oblig!$A$3:$F$55,6,FALSE))),(C188*(VLOOKUP('Compra cartera'!$C$22,Seguros_Oblig!$A$3:$E$55,5,FALSE)))))</f>
        <v>#VALUE!</v>
      </c>
      <c r="G189" s="8" t="e">
        <f>(C188*(VLOOKUP('Compra cartera'!$C$23,Seguros_Oblig!$A$3:$E$55,5,FALSE)))</f>
        <v>#VALUE!</v>
      </c>
      <c r="H189" s="8" t="e">
        <f>(C188*(VLOOKUP('Compra cartera'!$C$24,Seguros_Oblig!$A$3:$E$55,5,FALSE)))</f>
        <v>#VALUE!</v>
      </c>
      <c r="I189" s="8" t="e">
        <f>(C188*(VLOOKUP('Compra cartera'!$C$25,Seguros_Oblig!$A$3:$E$55,5,FALSE)))</f>
        <v>#VALUE!</v>
      </c>
      <c r="J189" s="10">
        <f t="shared" si="14"/>
        <v>0</v>
      </c>
      <c r="K189" s="7" t="e">
        <f>IF(C188&lt;1,"0",Seguros_Oblig!$K$2*('Compra cartera'!$C$11*90%))</f>
        <v>#VALUE!</v>
      </c>
      <c r="L189" s="7" t="e">
        <f>IF(B189=" ","0",PMT('Compra cartera'!$E$17,'Compra cartera'!$C$31,-'Compra cartera'!$C$14,,))</f>
        <v>#VALUE!</v>
      </c>
      <c r="M189" s="9" t="e">
        <f t="shared" si="15"/>
        <v>#VALUE!</v>
      </c>
      <c r="N189" s="7" t="e">
        <f>IF(C188&lt;1,"0",'Compra cartera'!$C$44)</f>
        <v>#VALUE!</v>
      </c>
      <c r="O189" s="9" t="e">
        <f t="shared" si="16"/>
        <v>#VALUE!</v>
      </c>
    </row>
    <row r="190" spans="2:15" ht="15.5" x14ac:dyDescent="0.35">
      <c r="B190" s="6" t="e">
        <f t="shared" si="17"/>
        <v>#VALUE!</v>
      </c>
      <c r="C190" s="7" t="e">
        <f t="shared" si="13"/>
        <v>#VALUE!</v>
      </c>
      <c r="D190" s="7" t="e">
        <f t="shared" si="18"/>
        <v>#VALUE!</v>
      </c>
      <c r="E190" s="7" t="e">
        <f>C189*'Compra cartera'!$E$17</f>
        <v>#VALUE!</v>
      </c>
      <c r="F190" s="8" t="e">
        <f>IF(C189&lt;1,"0",IF('Compra cartera'!$D$26="Si",($C$17*(VLOOKUP('Compra cartera'!$C$22,Seguros_Oblig!$A$3:$F$55,6,FALSE))),(C189*(VLOOKUP('Compra cartera'!$C$22,Seguros_Oblig!$A$3:$E$55,5,FALSE)))))</f>
        <v>#VALUE!</v>
      </c>
      <c r="G190" s="8" t="e">
        <f>(C189*(VLOOKUP('Compra cartera'!$C$23,Seguros_Oblig!$A$3:$E$55,5,FALSE)))</f>
        <v>#VALUE!</v>
      </c>
      <c r="H190" s="8" t="e">
        <f>(C189*(VLOOKUP('Compra cartera'!$C$24,Seguros_Oblig!$A$3:$E$55,5,FALSE)))</f>
        <v>#VALUE!</v>
      </c>
      <c r="I190" s="8" t="e">
        <f>(C189*(VLOOKUP('Compra cartera'!$C$25,Seguros_Oblig!$A$3:$E$55,5,FALSE)))</f>
        <v>#VALUE!</v>
      </c>
      <c r="J190" s="10">
        <f t="shared" si="14"/>
        <v>0</v>
      </c>
      <c r="K190" s="7" t="e">
        <f>IF(C189&lt;1,"0",Seguros_Oblig!$K$2*('Compra cartera'!$C$11*90%))</f>
        <v>#VALUE!</v>
      </c>
      <c r="L190" s="7" t="e">
        <f>IF(B190=" ","0",PMT('Compra cartera'!$E$17,'Compra cartera'!$C$31,-'Compra cartera'!$C$14,,))</f>
        <v>#VALUE!</v>
      </c>
      <c r="M190" s="9" t="e">
        <f t="shared" si="15"/>
        <v>#VALUE!</v>
      </c>
      <c r="N190" s="7" t="e">
        <f>IF(C189&lt;1,"0",'Compra cartera'!$C$44)</f>
        <v>#VALUE!</v>
      </c>
      <c r="O190" s="9" t="e">
        <f t="shared" si="16"/>
        <v>#VALUE!</v>
      </c>
    </row>
    <row r="191" spans="2:15" ht="15.5" x14ac:dyDescent="0.35">
      <c r="B191" s="6" t="e">
        <f t="shared" si="17"/>
        <v>#VALUE!</v>
      </c>
      <c r="C191" s="7" t="e">
        <f t="shared" si="13"/>
        <v>#VALUE!</v>
      </c>
      <c r="D191" s="7" t="e">
        <f t="shared" si="18"/>
        <v>#VALUE!</v>
      </c>
      <c r="E191" s="7" t="e">
        <f>C190*'Compra cartera'!$E$17</f>
        <v>#VALUE!</v>
      </c>
      <c r="F191" s="8" t="e">
        <f>IF(C190&lt;1,"0",IF('Compra cartera'!$D$26="Si",($C$17*(VLOOKUP('Compra cartera'!$C$22,Seguros_Oblig!$A$3:$F$55,6,FALSE))),(C190*(VLOOKUP('Compra cartera'!$C$22,Seguros_Oblig!$A$3:$E$55,5,FALSE)))))</f>
        <v>#VALUE!</v>
      </c>
      <c r="G191" s="8" t="e">
        <f>(C190*(VLOOKUP('Compra cartera'!$C$23,Seguros_Oblig!$A$3:$E$55,5,FALSE)))</f>
        <v>#VALUE!</v>
      </c>
      <c r="H191" s="8" t="e">
        <f>(C190*(VLOOKUP('Compra cartera'!$C$24,Seguros_Oblig!$A$3:$E$55,5,FALSE)))</f>
        <v>#VALUE!</v>
      </c>
      <c r="I191" s="8" t="e">
        <f>(C190*(VLOOKUP('Compra cartera'!$C$25,Seguros_Oblig!$A$3:$E$55,5,FALSE)))</f>
        <v>#VALUE!</v>
      </c>
      <c r="J191" s="10">
        <f t="shared" si="14"/>
        <v>0</v>
      </c>
      <c r="K191" s="7" t="e">
        <f>IF(C190&lt;1,"0",Seguros_Oblig!$K$2*('Compra cartera'!$C$11*90%))</f>
        <v>#VALUE!</v>
      </c>
      <c r="L191" s="7" t="e">
        <f>IF(B191=" ","0",PMT('Compra cartera'!$E$17,'Compra cartera'!$C$31,-'Compra cartera'!$C$14,,))</f>
        <v>#VALUE!</v>
      </c>
      <c r="M191" s="9" t="e">
        <f t="shared" si="15"/>
        <v>#VALUE!</v>
      </c>
      <c r="N191" s="7" t="e">
        <f>IF(C190&lt;1,"0",'Compra cartera'!$C$44)</f>
        <v>#VALUE!</v>
      </c>
      <c r="O191" s="9" t="e">
        <f t="shared" si="16"/>
        <v>#VALUE!</v>
      </c>
    </row>
    <row r="192" spans="2:15" ht="15.5" x14ac:dyDescent="0.35">
      <c r="B192" s="6" t="e">
        <f t="shared" si="17"/>
        <v>#VALUE!</v>
      </c>
      <c r="C192" s="7" t="e">
        <f t="shared" si="13"/>
        <v>#VALUE!</v>
      </c>
      <c r="D192" s="7" t="e">
        <f t="shared" si="18"/>
        <v>#VALUE!</v>
      </c>
      <c r="E192" s="7" t="e">
        <f>C191*'Compra cartera'!$E$17</f>
        <v>#VALUE!</v>
      </c>
      <c r="F192" s="8" t="e">
        <f>IF(C191&lt;1,"0",IF('Compra cartera'!$D$26="Si",($C$17*(VLOOKUP('Compra cartera'!$C$22,Seguros_Oblig!$A$3:$F$55,6,FALSE))),(C191*(VLOOKUP('Compra cartera'!$C$22,Seguros_Oblig!$A$3:$E$55,5,FALSE)))))</f>
        <v>#VALUE!</v>
      </c>
      <c r="G192" s="8" t="e">
        <f>(C191*(VLOOKUP('Compra cartera'!$C$23,Seguros_Oblig!$A$3:$E$55,5,FALSE)))</f>
        <v>#VALUE!</v>
      </c>
      <c r="H192" s="8" t="e">
        <f>(C191*(VLOOKUP('Compra cartera'!$C$24,Seguros_Oblig!$A$3:$E$55,5,FALSE)))</f>
        <v>#VALUE!</v>
      </c>
      <c r="I192" s="8" t="e">
        <f>(C191*(VLOOKUP('Compra cartera'!$C$25,Seguros_Oblig!$A$3:$E$55,5,FALSE)))</f>
        <v>#VALUE!</v>
      </c>
      <c r="J192" s="10">
        <f t="shared" si="14"/>
        <v>0</v>
      </c>
      <c r="K192" s="7" t="e">
        <f>IF(C191&lt;1,"0",Seguros_Oblig!$K$2*('Compra cartera'!$C$11*90%))</f>
        <v>#VALUE!</v>
      </c>
      <c r="L192" s="7" t="e">
        <f>IF(B192=" ","0",PMT('Compra cartera'!$E$17,'Compra cartera'!$C$31,-'Compra cartera'!$C$14,,))</f>
        <v>#VALUE!</v>
      </c>
      <c r="M192" s="9" t="e">
        <f t="shared" si="15"/>
        <v>#VALUE!</v>
      </c>
      <c r="N192" s="7" t="e">
        <f>IF(C191&lt;1,"0",'Compra cartera'!$C$44)</f>
        <v>#VALUE!</v>
      </c>
      <c r="O192" s="9" t="e">
        <f t="shared" si="16"/>
        <v>#VALUE!</v>
      </c>
    </row>
    <row r="193" spans="2:15" ht="15.5" x14ac:dyDescent="0.35">
      <c r="B193" s="6" t="e">
        <f t="shared" si="17"/>
        <v>#VALUE!</v>
      </c>
      <c r="C193" s="7" t="e">
        <f t="shared" si="13"/>
        <v>#VALUE!</v>
      </c>
      <c r="D193" s="7" t="e">
        <f t="shared" si="18"/>
        <v>#VALUE!</v>
      </c>
      <c r="E193" s="7" t="e">
        <f>C192*'Compra cartera'!$E$17</f>
        <v>#VALUE!</v>
      </c>
      <c r="F193" s="8" t="e">
        <f>IF(C192&lt;1,"0",IF('Compra cartera'!$D$26="Si",($C$17*(VLOOKUP('Compra cartera'!$C$22,Seguros_Oblig!$A$3:$F$55,6,FALSE))),(C192*(VLOOKUP('Compra cartera'!$C$22,Seguros_Oblig!$A$3:$E$55,5,FALSE)))))</f>
        <v>#VALUE!</v>
      </c>
      <c r="G193" s="8" t="e">
        <f>(C192*(VLOOKUP('Compra cartera'!$C$23,Seguros_Oblig!$A$3:$E$55,5,FALSE)))</f>
        <v>#VALUE!</v>
      </c>
      <c r="H193" s="8" t="e">
        <f>(C192*(VLOOKUP('Compra cartera'!$C$24,Seguros_Oblig!$A$3:$E$55,5,FALSE)))</f>
        <v>#VALUE!</v>
      </c>
      <c r="I193" s="8" t="e">
        <f>(C192*(VLOOKUP('Compra cartera'!$C$25,Seguros_Oblig!$A$3:$E$55,5,FALSE)))</f>
        <v>#VALUE!</v>
      </c>
      <c r="J193" s="10">
        <f t="shared" si="14"/>
        <v>0</v>
      </c>
      <c r="K193" s="7" t="e">
        <f>IF(C192&lt;1,"0",Seguros_Oblig!$K$2*('Compra cartera'!$C$11*90%))</f>
        <v>#VALUE!</v>
      </c>
      <c r="L193" s="7" t="e">
        <f>IF(B193=" ","0",PMT('Compra cartera'!$E$17,'Compra cartera'!$C$31,-'Compra cartera'!$C$14,,))</f>
        <v>#VALUE!</v>
      </c>
      <c r="M193" s="9" t="e">
        <f t="shared" si="15"/>
        <v>#VALUE!</v>
      </c>
      <c r="N193" s="7" t="e">
        <f>IF(C192&lt;1,"0",'Compra cartera'!$C$44)</f>
        <v>#VALUE!</v>
      </c>
      <c r="O193" s="9" t="e">
        <f t="shared" si="16"/>
        <v>#VALUE!</v>
      </c>
    </row>
    <row r="194" spans="2:15" ht="15.5" x14ac:dyDescent="0.35">
      <c r="B194" s="6" t="e">
        <f t="shared" si="17"/>
        <v>#VALUE!</v>
      </c>
      <c r="C194" s="7" t="e">
        <f t="shared" si="13"/>
        <v>#VALUE!</v>
      </c>
      <c r="D194" s="7" t="e">
        <f t="shared" si="18"/>
        <v>#VALUE!</v>
      </c>
      <c r="E194" s="7" t="e">
        <f>C193*'Compra cartera'!$E$17</f>
        <v>#VALUE!</v>
      </c>
      <c r="F194" s="8" t="e">
        <f>IF(C193&lt;1,"0",IF('Compra cartera'!$D$26="Si",($C$17*(VLOOKUP('Compra cartera'!$C$22,Seguros_Oblig!$A$3:$F$55,6,FALSE))),(C193*(VLOOKUP('Compra cartera'!$C$22,Seguros_Oblig!$A$3:$E$55,5,FALSE)))))</f>
        <v>#VALUE!</v>
      </c>
      <c r="G194" s="8" t="e">
        <f>(C193*(VLOOKUP('Compra cartera'!$C$23,Seguros_Oblig!$A$3:$E$55,5,FALSE)))</f>
        <v>#VALUE!</v>
      </c>
      <c r="H194" s="8" t="e">
        <f>(C193*(VLOOKUP('Compra cartera'!$C$24,Seguros_Oblig!$A$3:$E$55,5,FALSE)))</f>
        <v>#VALUE!</v>
      </c>
      <c r="I194" s="8" t="e">
        <f>(C193*(VLOOKUP('Compra cartera'!$C$25,Seguros_Oblig!$A$3:$E$55,5,FALSE)))</f>
        <v>#VALUE!</v>
      </c>
      <c r="J194" s="10">
        <f t="shared" si="14"/>
        <v>0</v>
      </c>
      <c r="K194" s="7" t="e">
        <f>IF(C193&lt;1,"0",Seguros_Oblig!$K$2*('Compra cartera'!$C$11*90%))</f>
        <v>#VALUE!</v>
      </c>
      <c r="L194" s="7" t="e">
        <f>IF(B194=" ","0",PMT('Compra cartera'!$E$17,'Compra cartera'!$C$31,-'Compra cartera'!$C$14,,))</f>
        <v>#VALUE!</v>
      </c>
      <c r="M194" s="9" t="e">
        <f t="shared" si="15"/>
        <v>#VALUE!</v>
      </c>
      <c r="N194" s="7" t="e">
        <f>IF(C193&lt;1,"0",'Compra cartera'!$C$44)</f>
        <v>#VALUE!</v>
      </c>
      <c r="O194" s="9" t="e">
        <f t="shared" si="16"/>
        <v>#VALUE!</v>
      </c>
    </row>
    <row r="195" spans="2:15" ht="15.5" x14ac:dyDescent="0.35">
      <c r="B195" s="6" t="e">
        <f t="shared" si="17"/>
        <v>#VALUE!</v>
      </c>
      <c r="C195" s="7" t="e">
        <f t="shared" si="13"/>
        <v>#VALUE!</v>
      </c>
      <c r="D195" s="7" t="e">
        <f t="shared" si="18"/>
        <v>#VALUE!</v>
      </c>
      <c r="E195" s="7" t="e">
        <f>C194*'Compra cartera'!$E$17</f>
        <v>#VALUE!</v>
      </c>
      <c r="F195" s="8" t="e">
        <f>IF(C194&lt;1,"0",IF('Compra cartera'!$D$26="Si",($C$17*(VLOOKUP('Compra cartera'!$C$22,Seguros_Oblig!$A$3:$F$55,6,FALSE))),(C194*(VLOOKUP('Compra cartera'!$C$22,Seguros_Oblig!$A$3:$E$55,5,FALSE)))))</f>
        <v>#VALUE!</v>
      </c>
      <c r="G195" s="8" t="e">
        <f>(C194*(VLOOKUP('Compra cartera'!$C$23,Seguros_Oblig!$A$3:$E$55,5,FALSE)))</f>
        <v>#VALUE!</v>
      </c>
      <c r="H195" s="8" t="e">
        <f>(C194*(VLOOKUP('Compra cartera'!$C$24,Seguros_Oblig!$A$3:$E$55,5,FALSE)))</f>
        <v>#VALUE!</v>
      </c>
      <c r="I195" s="8" t="e">
        <f>(C194*(VLOOKUP('Compra cartera'!$C$25,Seguros_Oblig!$A$3:$E$55,5,FALSE)))</f>
        <v>#VALUE!</v>
      </c>
      <c r="J195" s="10">
        <f t="shared" si="14"/>
        <v>0</v>
      </c>
      <c r="K195" s="7" t="e">
        <f>IF(C194&lt;1,"0",Seguros_Oblig!$K$2*('Compra cartera'!$C$11*90%))</f>
        <v>#VALUE!</v>
      </c>
      <c r="L195" s="7" t="e">
        <f>IF(B195=" ","0",PMT('Compra cartera'!$E$17,'Compra cartera'!$C$31,-'Compra cartera'!$C$14,,))</f>
        <v>#VALUE!</v>
      </c>
      <c r="M195" s="9" t="e">
        <f t="shared" si="15"/>
        <v>#VALUE!</v>
      </c>
      <c r="N195" s="7" t="e">
        <f>IF(C194&lt;1,"0",'Compra cartera'!$C$44)</f>
        <v>#VALUE!</v>
      </c>
      <c r="O195" s="9" t="e">
        <f t="shared" si="16"/>
        <v>#VALUE!</v>
      </c>
    </row>
    <row r="196" spans="2:15" ht="15.5" x14ac:dyDescent="0.35">
      <c r="B196" s="6" t="e">
        <f t="shared" si="17"/>
        <v>#VALUE!</v>
      </c>
      <c r="C196" s="7" t="e">
        <f t="shared" si="13"/>
        <v>#VALUE!</v>
      </c>
      <c r="D196" s="7" t="e">
        <f t="shared" si="18"/>
        <v>#VALUE!</v>
      </c>
      <c r="E196" s="7" t="e">
        <f>C195*'Compra cartera'!$E$17</f>
        <v>#VALUE!</v>
      </c>
      <c r="F196" s="8" t="e">
        <f>IF(C195&lt;1,"0",IF('Compra cartera'!$D$26="Si",($C$17*(VLOOKUP('Compra cartera'!$C$22,Seguros_Oblig!$A$3:$F$55,6,FALSE))),(C195*(VLOOKUP('Compra cartera'!$C$22,Seguros_Oblig!$A$3:$E$55,5,FALSE)))))</f>
        <v>#VALUE!</v>
      </c>
      <c r="G196" s="8" t="e">
        <f>(C195*(VLOOKUP('Compra cartera'!$C$23,Seguros_Oblig!$A$3:$E$55,5,FALSE)))</f>
        <v>#VALUE!</v>
      </c>
      <c r="H196" s="8" t="e">
        <f>(C195*(VLOOKUP('Compra cartera'!$C$24,Seguros_Oblig!$A$3:$E$55,5,FALSE)))</f>
        <v>#VALUE!</v>
      </c>
      <c r="I196" s="8" t="e">
        <f>(C195*(VLOOKUP('Compra cartera'!$C$25,Seguros_Oblig!$A$3:$E$55,5,FALSE)))</f>
        <v>#VALUE!</v>
      </c>
      <c r="J196" s="10">
        <f t="shared" si="14"/>
        <v>0</v>
      </c>
      <c r="K196" s="7" t="e">
        <f>IF(C195&lt;1,"0",Seguros_Oblig!$K$2*('Compra cartera'!$C$11*90%))</f>
        <v>#VALUE!</v>
      </c>
      <c r="L196" s="7" t="e">
        <f>IF(B196=" ","0",PMT('Compra cartera'!$E$17,'Compra cartera'!$C$31,-'Compra cartera'!$C$14,,))</f>
        <v>#VALUE!</v>
      </c>
      <c r="M196" s="9" t="e">
        <f t="shared" si="15"/>
        <v>#VALUE!</v>
      </c>
      <c r="N196" s="7" t="e">
        <f>IF(C195&lt;1,"0",'Compra cartera'!$C$44)</f>
        <v>#VALUE!</v>
      </c>
      <c r="O196" s="9" t="e">
        <f t="shared" si="16"/>
        <v>#VALUE!</v>
      </c>
    </row>
    <row r="197" spans="2:15" ht="15.5" x14ac:dyDescent="0.35">
      <c r="B197" s="6" t="e">
        <f t="shared" si="17"/>
        <v>#VALUE!</v>
      </c>
      <c r="C197" s="7" t="e">
        <f t="shared" si="13"/>
        <v>#VALUE!</v>
      </c>
      <c r="D197" s="7" t="e">
        <f t="shared" si="18"/>
        <v>#VALUE!</v>
      </c>
      <c r="E197" s="7" t="e">
        <f>C196*'Compra cartera'!$E$17</f>
        <v>#VALUE!</v>
      </c>
      <c r="F197" s="8" t="e">
        <f>IF(C196&lt;1,"0",IF('Compra cartera'!$D$26="Si",($C$17*(VLOOKUP('Compra cartera'!$C$22,Seguros_Oblig!$A$3:$F$55,6,FALSE))),(C196*(VLOOKUP('Compra cartera'!$C$22,Seguros_Oblig!$A$3:$E$55,5,FALSE)))))</f>
        <v>#VALUE!</v>
      </c>
      <c r="G197" s="8" t="e">
        <f>(C196*(VLOOKUP('Compra cartera'!$C$23,Seguros_Oblig!$A$3:$E$55,5,FALSE)))</f>
        <v>#VALUE!</v>
      </c>
      <c r="H197" s="8" t="e">
        <f>(C196*(VLOOKUP('Compra cartera'!$C$24,Seguros_Oblig!$A$3:$E$55,5,FALSE)))</f>
        <v>#VALUE!</v>
      </c>
      <c r="I197" s="8" t="e">
        <f>(C196*(VLOOKUP('Compra cartera'!$C$25,Seguros_Oblig!$A$3:$E$55,5,FALSE)))</f>
        <v>#VALUE!</v>
      </c>
      <c r="J197" s="10">
        <f t="shared" si="14"/>
        <v>0</v>
      </c>
      <c r="K197" s="7" t="e">
        <f>IF(C196&lt;1,"0",Seguros_Oblig!$K$2*('Compra cartera'!$C$11*90%))</f>
        <v>#VALUE!</v>
      </c>
      <c r="L197" s="7" t="e">
        <f>IF(B197=" ","0",PMT('Compra cartera'!$E$17,'Compra cartera'!$C$31,-'Compra cartera'!$C$14,,))</f>
        <v>#VALUE!</v>
      </c>
      <c r="M197" s="9" t="e">
        <f t="shared" si="15"/>
        <v>#VALUE!</v>
      </c>
      <c r="N197" s="7" t="e">
        <f>IF(C196&lt;1,"0",'Compra cartera'!$C$44)</f>
        <v>#VALUE!</v>
      </c>
      <c r="O197" s="9" t="e">
        <f t="shared" si="16"/>
        <v>#VALUE!</v>
      </c>
    </row>
    <row r="198" spans="2:15" ht="15.5" x14ac:dyDescent="0.35">
      <c r="B198" s="6" t="e">
        <f t="shared" si="17"/>
        <v>#VALUE!</v>
      </c>
      <c r="C198" s="7" t="e">
        <f t="shared" si="13"/>
        <v>#VALUE!</v>
      </c>
      <c r="D198" s="7" t="e">
        <f t="shared" si="18"/>
        <v>#VALUE!</v>
      </c>
      <c r="E198" s="7" t="e">
        <f>C197*'Compra cartera'!$E$17</f>
        <v>#VALUE!</v>
      </c>
      <c r="F198" s="8" t="e">
        <f>IF(C197&lt;1,"0",IF('Compra cartera'!$D$26="Si",($C$17*(VLOOKUP('Compra cartera'!$C$22,Seguros_Oblig!$A$3:$F$55,6,FALSE))),(C197*(VLOOKUP('Compra cartera'!$C$22,Seguros_Oblig!$A$3:$E$55,5,FALSE)))))</f>
        <v>#VALUE!</v>
      </c>
      <c r="G198" s="8" t="e">
        <f>(C197*(VLOOKUP('Compra cartera'!$C$23,Seguros_Oblig!$A$3:$E$55,5,FALSE)))</f>
        <v>#VALUE!</v>
      </c>
      <c r="H198" s="8" t="e">
        <f>(C197*(VLOOKUP('Compra cartera'!$C$24,Seguros_Oblig!$A$3:$E$55,5,FALSE)))</f>
        <v>#VALUE!</v>
      </c>
      <c r="I198" s="8" t="e">
        <f>(C197*(VLOOKUP('Compra cartera'!$C$25,Seguros_Oblig!$A$3:$E$55,5,FALSE)))</f>
        <v>#VALUE!</v>
      </c>
      <c r="J198" s="10">
        <f t="shared" si="14"/>
        <v>0</v>
      </c>
      <c r="K198" s="7" t="e">
        <f>IF(C197&lt;1,"0",Seguros_Oblig!$K$2*('Compra cartera'!$C$11*90%))</f>
        <v>#VALUE!</v>
      </c>
      <c r="L198" s="7" t="e">
        <f>IF(B198=" ","0",PMT('Compra cartera'!$E$17,'Compra cartera'!$C$31,-'Compra cartera'!$C$14,,))</f>
        <v>#VALUE!</v>
      </c>
      <c r="M198" s="9" t="e">
        <f t="shared" si="15"/>
        <v>#VALUE!</v>
      </c>
      <c r="N198" s="7" t="e">
        <f>IF(C197&lt;1,"0",'Compra cartera'!$C$44)</f>
        <v>#VALUE!</v>
      </c>
      <c r="O198" s="9" t="e">
        <f t="shared" si="16"/>
        <v>#VALUE!</v>
      </c>
    </row>
    <row r="199" spans="2:15" ht="15.5" x14ac:dyDescent="0.35">
      <c r="B199" s="6" t="e">
        <f t="shared" si="17"/>
        <v>#VALUE!</v>
      </c>
      <c r="C199" s="7" t="e">
        <f t="shared" si="13"/>
        <v>#VALUE!</v>
      </c>
      <c r="D199" s="7" t="e">
        <f t="shared" si="18"/>
        <v>#VALUE!</v>
      </c>
      <c r="E199" s="7" t="e">
        <f>C198*'Compra cartera'!$E$17</f>
        <v>#VALUE!</v>
      </c>
      <c r="F199" s="8" t="e">
        <f>IF(C198&lt;1,"0",IF('Compra cartera'!$D$26="Si",($C$17*(VLOOKUP('Compra cartera'!$C$22,Seguros_Oblig!$A$3:$F$55,6,FALSE))),(C198*(VLOOKUP('Compra cartera'!$C$22,Seguros_Oblig!$A$3:$E$55,5,FALSE)))))</f>
        <v>#VALUE!</v>
      </c>
      <c r="G199" s="8" t="e">
        <f>(C198*(VLOOKUP('Compra cartera'!$C$23,Seguros_Oblig!$A$3:$E$55,5,FALSE)))</f>
        <v>#VALUE!</v>
      </c>
      <c r="H199" s="8" t="e">
        <f>(C198*(VLOOKUP('Compra cartera'!$C$24,Seguros_Oblig!$A$3:$E$55,5,FALSE)))</f>
        <v>#VALUE!</v>
      </c>
      <c r="I199" s="8" t="e">
        <f>(C198*(VLOOKUP('Compra cartera'!$C$25,Seguros_Oblig!$A$3:$E$55,5,FALSE)))</f>
        <v>#VALUE!</v>
      </c>
      <c r="J199" s="10">
        <f t="shared" si="14"/>
        <v>0</v>
      </c>
      <c r="K199" s="7" t="e">
        <f>IF(C198&lt;1,"0",Seguros_Oblig!$K$2*('Compra cartera'!$C$11*90%))</f>
        <v>#VALUE!</v>
      </c>
      <c r="L199" s="7" t="e">
        <f>IF(B199=" ","0",PMT('Compra cartera'!$E$17,'Compra cartera'!$C$31,-'Compra cartera'!$C$14,,))</f>
        <v>#VALUE!</v>
      </c>
      <c r="M199" s="9" t="e">
        <f t="shared" si="15"/>
        <v>#VALUE!</v>
      </c>
      <c r="N199" s="7" t="e">
        <f>IF(C198&lt;1,"0",'Compra cartera'!$C$44)</f>
        <v>#VALUE!</v>
      </c>
      <c r="O199" s="9" t="e">
        <f t="shared" si="16"/>
        <v>#VALUE!</v>
      </c>
    </row>
    <row r="200" spans="2:15" ht="15.5" x14ac:dyDescent="0.35">
      <c r="B200" s="6" t="e">
        <f t="shared" si="17"/>
        <v>#VALUE!</v>
      </c>
      <c r="C200" s="7" t="e">
        <f t="shared" si="13"/>
        <v>#VALUE!</v>
      </c>
      <c r="D200" s="7" t="e">
        <f t="shared" si="18"/>
        <v>#VALUE!</v>
      </c>
      <c r="E200" s="7" t="e">
        <f>C199*'Compra cartera'!$E$17</f>
        <v>#VALUE!</v>
      </c>
      <c r="F200" s="8" t="e">
        <f>IF(C199&lt;1,"0",IF('Compra cartera'!$D$26="Si",($C$17*(VLOOKUP('Compra cartera'!$C$22,Seguros_Oblig!$A$3:$F$55,6,FALSE))),(C199*(VLOOKUP('Compra cartera'!$C$22,Seguros_Oblig!$A$3:$E$55,5,FALSE)))))</f>
        <v>#VALUE!</v>
      </c>
      <c r="G200" s="8" t="e">
        <f>(C199*(VLOOKUP('Compra cartera'!$C$23,Seguros_Oblig!$A$3:$E$55,5,FALSE)))</f>
        <v>#VALUE!</v>
      </c>
      <c r="H200" s="8" t="e">
        <f>(C199*(VLOOKUP('Compra cartera'!$C$24,Seguros_Oblig!$A$3:$E$55,5,FALSE)))</f>
        <v>#VALUE!</v>
      </c>
      <c r="I200" s="8" t="e">
        <f>(C199*(VLOOKUP('Compra cartera'!$C$25,Seguros_Oblig!$A$3:$E$55,5,FALSE)))</f>
        <v>#VALUE!</v>
      </c>
      <c r="J200" s="10">
        <f t="shared" si="14"/>
        <v>0</v>
      </c>
      <c r="K200" s="7" t="e">
        <f>IF(C199&lt;1,"0",Seguros_Oblig!$K$2*('Compra cartera'!$C$11*90%))</f>
        <v>#VALUE!</v>
      </c>
      <c r="L200" s="7" t="e">
        <f>IF(B200=" ","0",PMT('Compra cartera'!$E$17,'Compra cartera'!$C$31,-'Compra cartera'!$C$14,,))</f>
        <v>#VALUE!</v>
      </c>
      <c r="M200" s="9" t="e">
        <f t="shared" si="15"/>
        <v>#VALUE!</v>
      </c>
      <c r="N200" s="7" t="e">
        <f>IF(C199&lt;1,"0",'Compra cartera'!$C$44)</f>
        <v>#VALUE!</v>
      </c>
      <c r="O200" s="9" t="e">
        <f t="shared" si="16"/>
        <v>#VALUE!</v>
      </c>
    </row>
    <row r="201" spans="2:15" ht="15.5" x14ac:dyDescent="0.35">
      <c r="B201" s="6" t="e">
        <f t="shared" si="17"/>
        <v>#VALUE!</v>
      </c>
      <c r="C201" s="7" t="e">
        <f t="shared" si="13"/>
        <v>#VALUE!</v>
      </c>
      <c r="D201" s="7" t="e">
        <f t="shared" si="18"/>
        <v>#VALUE!</v>
      </c>
      <c r="E201" s="7" t="e">
        <f>C200*'Compra cartera'!$E$17</f>
        <v>#VALUE!</v>
      </c>
      <c r="F201" s="8" t="e">
        <f>IF(C200&lt;1,"0",IF('Compra cartera'!$D$26="Si",($C$17*(VLOOKUP('Compra cartera'!$C$22,Seguros_Oblig!$A$3:$F$55,6,FALSE))),(C200*(VLOOKUP('Compra cartera'!$C$22,Seguros_Oblig!$A$3:$E$55,5,FALSE)))))</f>
        <v>#VALUE!</v>
      </c>
      <c r="G201" s="8" t="e">
        <f>(C200*(VLOOKUP('Compra cartera'!$C$23,Seguros_Oblig!$A$3:$E$55,5,FALSE)))</f>
        <v>#VALUE!</v>
      </c>
      <c r="H201" s="8" t="e">
        <f>(C200*(VLOOKUP('Compra cartera'!$C$24,Seguros_Oblig!$A$3:$E$55,5,FALSE)))</f>
        <v>#VALUE!</v>
      </c>
      <c r="I201" s="8" t="e">
        <f>(C200*(VLOOKUP('Compra cartera'!$C$25,Seguros_Oblig!$A$3:$E$55,5,FALSE)))</f>
        <v>#VALUE!</v>
      </c>
      <c r="J201" s="10">
        <f t="shared" si="14"/>
        <v>0</v>
      </c>
      <c r="K201" s="7" t="e">
        <f>IF(C200&lt;1,"0",Seguros_Oblig!$K$2*('Compra cartera'!$C$11*90%))</f>
        <v>#VALUE!</v>
      </c>
      <c r="L201" s="7" t="e">
        <f>IF(B201=" ","0",PMT('Compra cartera'!$E$17,'Compra cartera'!$C$31,-'Compra cartera'!$C$14,,))</f>
        <v>#VALUE!</v>
      </c>
      <c r="M201" s="9" t="e">
        <f t="shared" si="15"/>
        <v>#VALUE!</v>
      </c>
      <c r="N201" s="7" t="e">
        <f>IF(C200&lt;1,"0",'Compra cartera'!$C$44)</f>
        <v>#VALUE!</v>
      </c>
      <c r="O201" s="9" t="e">
        <f t="shared" si="16"/>
        <v>#VALUE!</v>
      </c>
    </row>
    <row r="202" spans="2:15" ht="15.5" x14ac:dyDescent="0.35">
      <c r="B202" s="6" t="e">
        <f t="shared" si="17"/>
        <v>#VALUE!</v>
      </c>
      <c r="C202" s="7" t="e">
        <f t="shared" si="13"/>
        <v>#VALUE!</v>
      </c>
      <c r="D202" s="7" t="e">
        <f t="shared" si="18"/>
        <v>#VALUE!</v>
      </c>
      <c r="E202" s="7" t="e">
        <f>C201*'Compra cartera'!$E$17</f>
        <v>#VALUE!</v>
      </c>
      <c r="F202" s="8" t="e">
        <f>IF(C201&lt;1,"0",IF('Compra cartera'!$D$26="Si",($C$17*(VLOOKUP('Compra cartera'!$C$22,Seguros_Oblig!$A$3:$F$55,6,FALSE))),(C201*(VLOOKUP('Compra cartera'!$C$22,Seguros_Oblig!$A$3:$E$55,5,FALSE)))))</f>
        <v>#VALUE!</v>
      </c>
      <c r="G202" s="8" t="e">
        <f>(C201*(VLOOKUP('Compra cartera'!$C$23,Seguros_Oblig!$A$3:$E$55,5,FALSE)))</f>
        <v>#VALUE!</v>
      </c>
      <c r="H202" s="8" t="e">
        <f>(C201*(VLOOKUP('Compra cartera'!$C$24,Seguros_Oblig!$A$3:$E$55,5,FALSE)))</f>
        <v>#VALUE!</v>
      </c>
      <c r="I202" s="8" t="e">
        <f>(C201*(VLOOKUP('Compra cartera'!$C$25,Seguros_Oblig!$A$3:$E$55,5,FALSE)))</f>
        <v>#VALUE!</v>
      </c>
      <c r="J202" s="10">
        <f t="shared" si="14"/>
        <v>0</v>
      </c>
      <c r="K202" s="7" t="e">
        <f>IF(C201&lt;1,"0",Seguros_Oblig!$K$2*('Compra cartera'!$C$11*90%))</f>
        <v>#VALUE!</v>
      </c>
      <c r="L202" s="7" t="e">
        <f>IF(B202=" ","0",PMT('Compra cartera'!$E$17,'Compra cartera'!$C$31,-'Compra cartera'!$C$14,,))</f>
        <v>#VALUE!</v>
      </c>
      <c r="M202" s="9" t="e">
        <f t="shared" si="15"/>
        <v>#VALUE!</v>
      </c>
      <c r="N202" s="7" t="e">
        <f>IF(C201&lt;1,"0",'Compra cartera'!$C$44)</f>
        <v>#VALUE!</v>
      </c>
      <c r="O202" s="9" t="e">
        <f t="shared" si="16"/>
        <v>#VALUE!</v>
      </c>
    </row>
    <row r="203" spans="2:15" ht="15.5" x14ac:dyDescent="0.35">
      <c r="B203" s="6" t="e">
        <f t="shared" si="17"/>
        <v>#VALUE!</v>
      </c>
      <c r="C203" s="7" t="e">
        <f t="shared" si="13"/>
        <v>#VALUE!</v>
      </c>
      <c r="D203" s="7" t="e">
        <f t="shared" si="18"/>
        <v>#VALUE!</v>
      </c>
      <c r="E203" s="7" t="e">
        <f>C202*'Compra cartera'!$E$17</f>
        <v>#VALUE!</v>
      </c>
      <c r="F203" s="8" t="e">
        <f>IF(C202&lt;1,"0",IF('Compra cartera'!$D$26="Si",($C$17*(VLOOKUP('Compra cartera'!$C$22,Seguros_Oblig!$A$3:$F$55,6,FALSE))),(C202*(VLOOKUP('Compra cartera'!$C$22,Seguros_Oblig!$A$3:$E$55,5,FALSE)))))</f>
        <v>#VALUE!</v>
      </c>
      <c r="G203" s="8" t="e">
        <f>(C202*(VLOOKUP('Compra cartera'!$C$23,Seguros_Oblig!$A$3:$E$55,5,FALSE)))</f>
        <v>#VALUE!</v>
      </c>
      <c r="H203" s="8" t="e">
        <f>(C202*(VLOOKUP('Compra cartera'!$C$24,Seguros_Oblig!$A$3:$E$55,5,FALSE)))</f>
        <v>#VALUE!</v>
      </c>
      <c r="I203" s="8" t="e">
        <f>(C202*(VLOOKUP('Compra cartera'!$C$25,Seguros_Oblig!$A$3:$E$55,5,FALSE)))</f>
        <v>#VALUE!</v>
      </c>
      <c r="J203" s="10">
        <f t="shared" si="14"/>
        <v>0</v>
      </c>
      <c r="K203" s="7" t="e">
        <f>IF(C202&lt;1,"0",Seguros_Oblig!$K$2*('Compra cartera'!$C$11*90%))</f>
        <v>#VALUE!</v>
      </c>
      <c r="L203" s="7" t="e">
        <f>IF(B203=" ","0",PMT('Compra cartera'!$E$17,'Compra cartera'!$C$31,-'Compra cartera'!$C$14,,))</f>
        <v>#VALUE!</v>
      </c>
      <c r="M203" s="9" t="e">
        <f t="shared" si="15"/>
        <v>#VALUE!</v>
      </c>
      <c r="N203" s="7" t="e">
        <f>IF(C202&lt;1,"0",'Compra cartera'!$C$44)</f>
        <v>#VALUE!</v>
      </c>
      <c r="O203" s="9" t="e">
        <f t="shared" si="16"/>
        <v>#VALUE!</v>
      </c>
    </row>
    <row r="204" spans="2:15" ht="15.5" x14ac:dyDescent="0.35">
      <c r="B204" s="6" t="e">
        <f t="shared" si="17"/>
        <v>#VALUE!</v>
      </c>
      <c r="C204" s="7" t="e">
        <f t="shared" si="13"/>
        <v>#VALUE!</v>
      </c>
      <c r="D204" s="7" t="e">
        <f t="shared" si="18"/>
        <v>#VALUE!</v>
      </c>
      <c r="E204" s="7" t="e">
        <f>C203*'Compra cartera'!$E$17</f>
        <v>#VALUE!</v>
      </c>
      <c r="F204" s="8" t="e">
        <f>IF(C203&lt;1,"0",IF('Compra cartera'!$D$26="Si",($C$17*(VLOOKUP('Compra cartera'!$C$22,Seguros_Oblig!$A$3:$F$55,6,FALSE))),(C203*(VLOOKUP('Compra cartera'!$C$22,Seguros_Oblig!$A$3:$E$55,5,FALSE)))))</f>
        <v>#VALUE!</v>
      </c>
      <c r="G204" s="8" t="e">
        <f>(C203*(VLOOKUP('Compra cartera'!$C$23,Seguros_Oblig!$A$3:$E$55,5,FALSE)))</f>
        <v>#VALUE!</v>
      </c>
      <c r="H204" s="8" t="e">
        <f>(C203*(VLOOKUP('Compra cartera'!$C$24,Seguros_Oblig!$A$3:$E$55,5,FALSE)))</f>
        <v>#VALUE!</v>
      </c>
      <c r="I204" s="8" t="e">
        <f>(C203*(VLOOKUP('Compra cartera'!$C$25,Seguros_Oblig!$A$3:$E$55,5,FALSE)))</f>
        <v>#VALUE!</v>
      </c>
      <c r="J204" s="10">
        <f t="shared" si="14"/>
        <v>0</v>
      </c>
      <c r="K204" s="7" t="e">
        <f>IF(C203&lt;1,"0",Seguros_Oblig!$K$2*('Compra cartera'!$C$11*90%))</f>
        <v>#VALUE!</v>
      </c>
      <c r="L204" s="7" t="e">
        <f>IF(B204=" ","0",PMT('Compra cartera'!$E$17,'Compra cartera'!$C$31,-'Compra cartera'!$C$14,,))</f>
        <v>#VALUE!</v>
      </c>
      <c r="M204" s="9" t="e">
        <f t="shared" si="15"/>
        <v>#VALUE!</v>
      </c>
      <c r="N204" s="7" t="e">
        <f>IF(C203&lt;1,"0",'Compra cartera'!$C$44)</f>
        <v>#VALUE!</v>
      </c>
      <c r="O204" s="9" t="e">
        <f t="shared" si="16"/>
        <v>#VALUE!</v>
      </c>
    </row>
    <row r="205" spans="2:15" ht="15.5" x14ac:dyDescent="0.35">
      <c r="B205" s="6" t="e">
        <f t="shared" si="17"/>
        <v>#VALUE!</v>
      </c>
      <c r="C205" s="7" t="e">
        <f t="shared" si="13"/>
        <v>#VALUE!</v>
      </c>
      <c r="D205" s="7" t="e">
        <f t="shared" si="18"/>
        <v>#VALUE!</v>
      </c>
      <c r="E205" s="7" t="e">
        <f>C204*'Compra cartera'!$E$17</f>
        <v>#VALUE!</v>
      </c>
      <c r="F205" s="8" t="e">
        <f>IF(C204&lt;1,"0",IF('Compra cartera'!$D$26="Si",($C$17*(VLOOKUP('Compra cartera'!$C$22,Seguros_Oblig!$A$3:$F$55,6,FALSE))),(C204*(VLOOKUP('Compra cartera'!$C$22,Seguros_Oblig!$A$3:$E$55,5,FALSE)))))</f>
        <v>#VALUE!</v>
      </c>
      <c r="G205" s="8" t="e">
        <f>(C204*(VLOOKUP('Compra cartera'!$C$23,Seguros_Oblig!$A$3:$E$55,5,FALSE)))</f>
        <v>#VALUE!</v>
      </c>
      <c r="H205" s="8" t="e">
        <f>(C204*(VLOOKUP('Compra cartera'!$C$24,Seguros_Oblig!$A$3:$E$55,5,FALSE)))</f>
        <v>#VALUE!</v>
      </c>
      <c r="I205" s="8" t="e">
        <f>(C204*(VLOOKUP('Compra cartera'!$C$25,Seguros_Oblig!$A$3:$E$55,5,FALSE)))</f>
        <v>#VALUE!</v>
      </c>
      <c r="J205" s="10">
        <f t="shared" si="14"/>
        <v>0</v>
      </c>
      <c r="K205" s="7" t="e">
        <f>IF(C204&lt;1,"0",Seguros_Oblig!$K$2*('Compra cartera'!$C$11*90%))</f>
        <v>#VALUE!</v>
      </c>
      <c r="L205" s="7" t="e">
        <f>IF(B205=" ","0",PMT('Compra cartera'!$E$17,'Compra cartera'!$C$31,-'Compra cartera'!$C$14,,))</f>
        <v>#VALUE!</v>
      </c>
      <c r="M205" s="9" t="e">
        <f t="shared" si="15"/>
        <v>#VALUE!</v>
      </c>
      <c r="N205" s="7" t="e">
        <f>IF(C204&lt;1,"0",'Compra cartera'!$C$44)</f>
        <v>#VALUE!</v>
      </c>
      <c r="O205" s="9" t="e">
        <f t="shared" si="16"/>
        <v>#VALUE!</v>
      </c>
    </row>
    <row r="206" spans="2:15" ht="15.5" x14ac:dyDescent="0.35">
      <c r="B206" s="6" t="e">
        <f t="shared" si="17"/>
        <v>#VALUE!</v>
      </c>
      <c r="C206" s="7" t="e">
        <f t="shared" si="13"/>
        <v>#VALUE!</v>
      </c>
      <c r="D206" s="7" t="e">
        <f t="shared" si="18"/>
        <v>#VALUE!</v>
      </c>
      <c r="E206" s="7" t="e">
        <f>C205*'Compra cartera'!$E$17</f>
        <v>#VALUE!</v>
      </c>
      <c r="F206" s="8" t="e">
        <f>IF(C205&lt;1,"0",IF('Compra cartera'!$D$26="Si",($C$17*(VLOOKUP('Compra cartera'!$C$22,Seguros_Oblig!$A$3:$F$55,6,FALSE))),(C205*(VLOOKUP('Compra cartera'!$C$22,Seguros_Oblig!$A$3:$E$55,5,FALSE)))))</f>
        <v>#VALUE!</v>
      </c>
      <c r="G206" s="8" t="e">
        <f>(C205*(VLOOKUP('Compra cartera'!$C$23,Seguros_Oblig!$A$3:$E$55,5,FALSE)))</f>
        <v>#VALUE!</v>
      </c>
      <c r="H206" s="8" t="e">
        <f>(C205*(VLOOKUP('Compra cartera'!$C$24,Seguros_Oblig!$A$3:$E$55,5,FALSE)))</f>
        <v>#VALUE!</v>
      </c>
      <c r="I206" s="8" t="e">
        <f>(C205*(VLOOKUP('Compra cartera'!$C$25,Seguros_Oblig!$A$3:$E$55,5,FALSE)))</f>
        <v>#VALUE!</v>
      </c>
      <c r="J206" s="10">
        <f t="shared" si="14"/>
        <v>0</v>
      </c>
      <c r="K206" s="7" t="e">
        <f>IF(C205&lt;1,"0",Seguros_Oblig!$K$2*('Compra cartera'!$C$11*90%))</f>
        <v>#VALUE!</v>
      </c>
      <c r="L206" s="7" t="e">
        <f>IF(B206=" ","0",PMT('Compra cartera'!$E$17,'Compra cartera'!$C$31,-'Compra cartera'!$C$14,,))</f>
        <v>#VALUE!</v>
      </c>
      <c r="M206" s="9" t="e">
        <f t="shared" si="15"/>
        <v>#VALUE!</v>
      </c>
      <c r="N206" s="7" t="e">
        <f>IF(C205&lt;1,"0",'Compra cartera'!$C$44)</f>
        <v>#VALUE!</v>
      </c>
      <c r="O206" s="9" t="e">
        <f t="shared" si="16"/>
        <v>#VALUE!</v>
      </c>
    </row>
    <row r="207" spans="2:15" ht="15.5" x14ac:dyDescent="0.35">
      <c r="B207" s="6" t="e">
        <f t="shared" si="17"/>
        <v>#VALUE!</v>
      </c>
      <c r="C207" s="7" t="e">
        <f t="shared" si="13"/>
        <v>#VALUE!</v>
      </c>
      <c r="D207" s="7" t="e">
        <f t="shared" si="18"/>
        <v>#VALUE!</v>
      </c>
      <c r="E207" s="7" t="e">
        <f>C206*'Compra cartera'!$E$17</f>
        <v>#VALUE!</v>
      </c>
      <c r="F207" s="8" t="e">
        <f>IF(C206&lt;1,"0",IF('Compra cartera'!$D$26="Si",($C$17*(VLOOKUP('Compra cartera'!$C$22,Seguros_Oblig!$A$3:$F$55,6,FALSE))),(C206*(VLOOKUP('Compra cartera'!$C$22,Seguros_Oblig!$A$3:$E$55,5,FALSE)))))</f>
        <v>#VALUE!</v>
      </c>
      <c r="G207" s="8" t="e">
        <f>(C206*(VLOOKUP('Compra cartera'!$C$23,Seguros_Oblig!$A$3:$E$55,5,FALSE)))</f>
        <v>#VALUE!</v>
      </c>
      <c r="H207" s="8" t="e">
        <f>(C206*(VLOOKUP('Compra cartera'!$C$24,Seguros_Oblig!$A$3:$E$55,5,FALSE)))</f>
        <v>#VALUE!</v>
      </c>
      <c r="I207" s="8" t="e">
        <f>(C206*(VLOOKUP('Compra cartera'!$C$25,Seguros_Oblig!$A$3:$E$55,5,FALSE)))</f>
        <v>#VALUE!</v>
      </c>
      <c r="J207" s="10">
        <f t="shared" si="14"/>
        <v>0</v>
      </c>
      <c r="K207" s="7" t="e">
        <f>IF(C206&lt;1,"0",Seguros_Oblig!$K$2*('Compra cartera'!$C$11*90%))</f>
        <v>#VALUE!</v>
      </c>
      <c r="L207" s="7" t="e">
        <f>IF(B207=" ","0",PMT('Compra cartera'!$E$17,'Compra cartera'!$C$31,-'Compra cartera'!$C$14,,))</f>
        <v>#VALUE!</v>
      </c>
      <c r="M207" s="9" t="e">
        <f t="shared" si="15"/>
        <v>#VALUE!</v>
      </c>
      <c r="N207" s="7" t="e">
        <f>IF(C206&lt;1,"0",'Compra cartera'!$C$44)</f>
        <v>#VALUE!</v>
      </c>
      <c r="O207" s="9" t="e">
        <f t="shared" si="16"/>
        <v>#VALUE!</v>
      </c>
    </row>
    <row r="208" spans="2:15" ht="15.5" x14ac:dyDescent="0.35">
      <c r="B208" s="6" t="e">
        <f t="shared" si="17"/>
        <v>#VALUE!</v>
      </c>
      <c r="C208" s="7" t="e">
        <f t="shared" si="13"/>
        <v>#VALUE!</v>
      </c>
      <c r="D208" s="7" t="e">
        <f t="shared" si="18"/>
        <v>#VALUE!</v>
      </c>
      <c r="E208" s="7" t="e">
        <f>C207*'Compra cartera'!$E$17</f>
        <v>#VALUE!</v>
      </c>
      <c r="F208" s="8" t="e">
        <f>IF(C207&lt;1,"0",IF('Compra cartera'!$D$26="Si",($C$17*(VLOOKUP('Compra cartera'!$C$22,Seguros_Oblig!$A$3:$F$55,6,FALSE))),(C207*(VLOOKUP('Compra cartera'!$C$22,Seguros_Oblig!$A$3:$E$55,5,FALSE)))))</f>
        <v>#VALUE!</v>
      </c>
      <c r="G208" s="8" t="e">
        <f>(C207*(VLOOKUP('Compra cartera'!$C$23,Seguros_Oblig!$A$3:$E$55,5,FALSE)))</f>
        <v>#VALUE!</v>
      </c>
      <c r="H208" s="8" t="e">
        <f>(C207*(VLOOKUP('Compra cartera'!$C$24,Seguros_Oblig!$A$3:$E$55,5,FALSE)))</f>
        <v>#VALUE!</v>
      </c>
      <c r="I208" s="8" t="e">
        <f>(C207*(VLOOKUP('Compra cartera'!$C$25,Seguros_Oblig!$A$3:$E$55,5,FALSE)))</f>
        <v>#VALUE!</v>
      </c>
      <c r="J208" s="10">
        <f t="shared" si="14"/>
        <v>0</v>
      </c>
      <c r="K208" s="7" t="e">
        <f>IF(C207&lt;1,"0",Seguros_Oblig!$K$2*('Compra cartera'!$C$11*90%))</f>
        <v>#VALUE!</v>
      </c>
      <c r="L208" s="7" t="e">
        <f>IF(B208=" ","0",PMT('Compra cartera'!$E$17,'Compra cartera'!$C$31,-'Compra cartera'!$C$14,,))</f>
        <v>#VALUE!</v>
      </c>
      <c r="M208" s="9" t="e">
        <f t="shared" si="15"/>
        <v>#VALUE!</v>
      </c>
      <c r="N208" s="7" t="e">
        <f>IF(C207&lt;1,"0",'Compra cartera'!$C$44)</f>
        <v>#VALUE!</v>
      </c>
      <c r="O208" s="9" t="e">
        <f t="shared" si="16"/>
        <v>#VALUE!</v>
      </c>
    </row>
    <row r="209" spans="2:15" ht="15.5" x14ac:dyDescent="0.35">
      <c r="B209" s="6" t="e">
        <f t="shared" si="17"/>
        <v>#VALUE!</v>
      </c>
      <c r="C209" s="7" t="e">
        <f t="shared" si="13"/>
        <v>#VALUE!</v>
      </c>
      <c r="D209" s="7" t="e">
        <f t="shared" si="18"/>
        <v>#VALUE!</v>
      </c>
      <c r="E209" s="7" t="e">
        <f>C208*'Compra cartera'!$E$17</f>
        <v>#VALUE!</v>
      </c>
      <c r="F209" s="8" t="e">
        <f>IF(C208&lt;1,"0",IF('Compra cartera'!$D$26="Si",($C$17*(VLOOKUP('Compra cartera'!$C$22,Seguros_Oblig!$A$3:$F$55,6,FALSE))),(C208*(VLOOKUP('Compra cartera'!$C$22,Seguros_Oblig!$A$3:$E$55,5,FALSE)))))</f>
        <v>#VALUE!</v>
      </c>
      <c r="G209" s="8" t="e">
        <f>(C208*(VLOOKUP('Compra cartera'!$C$23,Seguros_Oblig!$A$3:$E$55,5,FALSE)))</f>
        <v>#VALUE!</v>
      </c>
      <c r="H209" s="8" t="e">
        <f>(C208*(VLOOKUP('Compra cartera'!$C$24,Seguros_Oblig!$A$3:$E$55,5,FALSE)))</f>
        <v>#VALUE!</v>
      </c>
      <c r="I209" s="8" t="e">
        <f>(C208*(VLOOKUP('Compra cartera'!$C$25,Seguros_Oblig!$A$3:$E$55,5,FALSE)))</f>
        <v>#VALUE!</v>
      </c>
      <c r="J209" s="10">
        <f t="shared" si="14"/>
        <v>0</v>
      </c>
      <c r="K209" s="7" t="e">
        <f>IF(C208&lt;1,"0",Seguros_Oblig!$K$2*('Compra cartera'!$C$11*90%))</f>
        <v>#VALUE!</v>
      </c>
      <c r="L209" s="7" t="e">
        <f>IF(B209=" ","0",PMT('Compra cartera'!$E$17,'Compra cartera'!$C$31,-'Compra cartera'!$C$14,,))</f>
        <v>#VALUE!</v>
      </c>
      <c r="M209" s="9" t="e">
        <f t="shared" si="15"/>
        <v>#VALUE!</v>
      </c>
      <c r="N209" s="7" t="e">
        <f>IF(C208&lt;1,"0",'Compra cartera'!$C$44)</f>
        <v>#VALUE!</v>
      </c>
      <c r="O209" s="9" t="e">
        <f t="shared" si="16"/>
        <v>#VALUE!</v>
      </c>
    </row>
    <row r="210" spans="2:15" ht="15.5" x14ac:dyDescent="0.35">
      <c r="B210" s="6" t="e">
        <f t="shared" si="17"/>
        <v>#VALUE!</v>
      </c>
      <c r="C210" s="7" t="e">
        <f t="shared" si="13"/>
        <v>#VALUE!</v>
      </c>
      <c r="D210" s="7" t="e">
        <f t="shared" si="18"/>
        <v>#VALUE!</v>
      </c>
      <c r="E210" s="7" t="e">
        <f>C209*'Compra cartera'!$E$17</f>
        <v>#VALUE!</v>
      </c>
      <c r="F210" s="8" t="e">
        <f>IF(C209&lt;1,"0",IF('Compra cartera'!$D$26="Si",($C$17*(VLOOKUP('Compra cartera'!$C$22,Seguros_Oblig!$A$3:$F$55,6,FALSE))),(C209*(VLOOKUP('Compra cartera'!$C$22,Seguros_Oblig!$A$3:$E$55,5,FALSE)))))</f>
        <v>#VALUE!</v>
      </c>
      <c r="G210" s="8" t="e">
        <f>(C209*(VLOOKUP('Compra cartera'!$C$23,Seguros_Oblig!$A$3:$E$55,5,FALSE)))</f>
        <v>#VALUE!</v>
      </c>
      <c r="H210" s="8" t="e">
        <f>(C209*(VLOOKUP('Compra cartera'!$C$24,Seguros_Oblig!$A$3:$E$55,5,FALSE)))</f>
        <v>#VALUE!</v>
      </c>
      <c r="I210" s="8" t="e">
        <f>(C209*(VLOOKUP('Compra cartera'!$C$25,Seguros_Oblig!$A$3:$E$55,5,FALSE)))</f>
        <v>#VALUE!</v>
      </c>
      <c r="J210" s="10">
        <f t="shared" si="14"/>
        <v>0</v>
      </c>
      <c r="K210" s="7" t="e">
        <f>IF(C209&lt;1,"0",Seguros_Oblig!$K$2*('Compra cartera'!$C$11*90%))</f>
        <v>#VALUE!</v>
      </c>
      <c r="L210" s="7" t="e">
        <f>IF(B210=" ","0",PMT('Compra cartera'!$E$17,'Compra cartera'!$C$31,-'Compra cartera'!$C$14,,))</f>
        <v>#VALUE!</v>
      </c>
      <c r="M210" s="9" t="e">
        <f t="shared" si="15"/>
        <v>#VALUE!</v>
      </c>
      <c r="N210" s="7" t="e">
        <f>IF(C209&lt;1,"0",'Compra cartera'!$C$44)</f>
        <v>#VALUE!</v>
      </c>
      <c r="O210" s="9" t="e">
        <f t="shared" si="16"/>
        <v>#VALUE!</v>
      </c>
    </row>
    <row r="211" spans="2:15" ht="15.5" x14ac:dyDescent="0.35">
      <c r="B211" s="6" t="e">
        <f t="shared" si="17"/>
        <v>#VALUE!</v>
      </c>
      <c r="C211" s="7" t="e">
        <f t="shared" ref="C211:C274" si="19">C210-D211</f>
        <v>#VALUE!</v>
      </c>
      <c r="D211" s="7" t="e">
        <f t="shared" si="18"/>
        <v>#VALUE!</v>
      </c>
      <c r="E211" s="7" t="e">
        <f>C210*'Compra cartera'!$E$17</f>
        <v>#VALUE!</v>
      </c>
      <c r="F211" s="8" t="e">
        <f>IF(C210&lt;1,"0",IF('Compra cartera'!$D$26="Si",($C$17*(VLOOKUP('Compra cartera'!$C$22,Seguros_Oblig!$A$3:$F$55,6,FALSE))),(C210*(VLOOKUP('Compra cartera'!$C$22,Seguros_Oblig!$A$3:$E$55,5,FALSE)))))</f>
        <v>#VALUE!</v>
      </c>
      <c r="G211" s="8" t="e">
        <f>(C210*(VLOOKUP('Compra cartera'!$C$23,Seguros_Oblig!$A$3:$E$55,5,FALSE)))</f>
        <v>#VALUE!</v>
      </c>
      <c r="H211" s="8" t="e">
        <f>(C210*(VLOOKUP('Compra cartera'!$C$24,Seguros_Oblig!$A$3:$E$55,5,FALSE)))</f>
        <v>#VALUE!</v>
      </c>
      <c r="I211" s="8" t="e">
        <f>(C210*(VLOOKUP('Compra cartera'!$C$25,Seguros_Oblig!$A$3:$E$55,5,FALSE)))</f>
        <v>#VALUE!</v>
      </c>
      <c r="J211" s="10">
        <f t="shared" ref="J211:J274" si="20">_xlfn.AGGREGATE(9,6,F211:I211)</f>
        <v>0</v>
      </c>
      <c r="K211" s="7" t="e">
        <f>IF(C210&lt;1,"0",Seguros_Oblig!$K$2*('Compra cartera'!$C$11*90%))</f>
        <v>#VALUE!</v>
      </c>
      <c r="L211" s="7" t="e">
        <f>IF(B211=" ","0",PMT('Compra cartera'!$E$17,'Compra cartera'!$C$31,-'Compra cartera'!$C$14,,))</f>
        <v>#VALUE!</v>
      </c>
      <c r="M211" s="9" t="e">
        <f t="shared" ref="M211:M274" si="21">K211+L211+J211</f>
        <v>#VALUE!</v>
      </c>
      <c r="N211" s="7" t="e">
        <f>IF(C210&lt;1,"0",'Compra cartera'!$C$44)</f>
        <v>#VALUE!</v>
      </c>
      <c r="O211" s="9" t="e">
        <f t="shared" ref="O211:O274" si="22">M211+N211</f>
        <v>#VALUE!</v>
      </c>
    </row>
    <row r="212" spans="2:15" ht="15.5" x14ac:dyDescent="0.35">
      <c r="B212" s="6" t="e">
        <f t="shared" si="17"/>
        <v>#VALUE!</v>
      </c>
      <c r="C212" s="7" t="e">
        <f t="shared" si="19"/>
        <v>#VALUE!</v>
      </c>
      <c r="D212" s="7" t="e">
        <f t="shared" si="18"/>
        <v>#VALUE!</v>
      </c>
      <c r="E212" s="7" t="e">
        <f>C211*'Compra cartera'!$E$17</f>
        <v>#VALUE!</v>
      </c>
      <c r="F212" s="8" t="e">
        <f>IF(C211&lt;1,"0",IF('Compra cartera'!$D$26="Si",($C$17*(VLOOKUP('Compra cartera'!$C$22,Seguros_Oblig!$A$3:$F$55,6,FALSE))),(C211*(VLOOKUP('Compra cartera'!$C$22,Seguros_Oblig!$A$3:$E$55,5,FALSE)))))</f>
        <v>#VALUE!</v>
      </c>
      <c r="G212" s="8" t="e">
        <f>(C211*(VLOOKUP('Compra cartera'!$C$23,Seguros_Oblig!$A$3:$E$55,5,FALSE)))</f>
        <v>#VALUE!</v>
      </c>
      <c r="H212" s="8" t="e">
        <f>(C211*(VLOOKUP('Compra cartera'!$C$24,Seguros_Oblig!$A$3:$E$55,5,FALSE)))</f>
        <v>#VALUE!</v>
      </c>
      <c r="I212" s="8" t="e">
        <f>(C211*(VLOOKUP('Compra cartera'!$C$25,Seguros_Oblig!$A$3:$E$55,5,FALSE)))</f>
        <v>#VALUE!</v>
      </c>
      <c r="J212" s="10">
        <f t="shared" si="20"/>
        <v>0</v>
      </c>
      <c r="K212" s="7" t="e">
        <f>IF(C211&lt;1,"0",Seguros_Oblig!$K$2*('Compra cartera'!$C$11*90%))</f>
        <v>#VALUE!</v>
      </c>
      <c r="L212" s="7" t="e">
        <f>IF(B212=" ","0",PMT('Compra cartera'!$E$17,'Compra cartera'!$C$31,-'Compra cartera'!$C$14,,))</f>
        <v>#VALUE!</v>
      </c>
      <c r="M212" s="9" t="e">
        <f t="shared" si="21"/>
        <v>#VALUE!</v>
      </c>
      <c r="N212" s="7" t="e">
        <f>IF(C211&lt;1,"0",'Compra cartera'!$C$44)</f>
        <v>#VALUE!</v>
      </c>
      <c r="O212" s="9" t="e">
        <f t="shared" si="22"/>
        <v>#VALUE!</v>
      </c>
    </row>
    <row r="213" spans="2:15" ht="15.5" x14ac:dyDescent="0.35">
      <c r="B213" s="6" t="e">
        <f t="shared" si="17"/>
        <v>#VALUE!</v>
      </c>
      <c r="C213" s="7" t="e">
        <f t="shared" si="19"/>
        <v>#VALUE!</v>
      </c>
      <c r="D213" s="7" t="e">
        <f t="shared" si="18"/>
        <v>#VALUE!</v>
      </c>
      <c r="E213" s="7" t="e">
        <f>C212*'Compra cartera'!$E$17</f>
        <v>#VALUE!</v>
      </c>
      <c r="F213" s="8" t="e">
        <f>IF(C212&lt;1,"0",IF('Compra cartera'!$D$26="Si",($C$17*(VLOOKUP('Compra cartera'!$C$22,Seguros_Oblig!$A$3:$F$55,6,FALSE))),(C212*(VLOOKUP('Compra cartera'!$C$22,Seguros_Oblig!$A$3:$E$55,5,FALSE)))))</f>
        <v>#VALUE!</v>
      </c>
      <c r="G213" s="8" t="e">
        <f>(C212*(VLOOKUP('Compra cartera'!$C$23,Seguros_Oblig!$A$3:$E$55,5,FALSE)))</f>
        <v>#VALUE!</v>
      </c>
      <c r="H213" s="8" t="e">
        <f>(C212*(VLOOKUP('Compra cartera'!$C$24,Seguros_Oblig!$A$3:$E$55,5,FALSE)))</f>
        <v>#VALUE!</v>
      </c>
      <c r="I213" s="8" t="e">
        <f>(C212*(VLOOKUP('Compra cartera'!$C$25,Seguros_Oblig!$A$3:$E$55,5,FALSE)))</f>
        <v>#VALUE!</v>
      </c>
      <c r="J213" s="10">
        <f t="shared" si="20"/>
        <v>0</v>
      </c>
      <c r="K213" s="7" t="e">
        <f>IF(C212&lt;1,"0",Seguros_Oblig!$K$2*('Compra cartera'!$C$11*90%))</f>
        <v>#VALUE!</v>
      </c>
      <c r="L213" s="7" t="e">
        <f>IF(B213=" ","0",PMT('Compra cartera'!$E$17,'Compra cartera'!$C$31,-'Compra cartera'!$C$14,,))</f>
        <v>#VALUE!</v>
      </c>
      <c r="M213" s="9" t="e">
        <f t="shared" si="21"/>
        <v>#VALUE!</v>
      </c>
      <c r="N213" s="7" t="e">
        <f>IF(C212&lt;1,"0",'Compra cartera'!$C$44)</f>
        <v>#VALUE!</v>
      </c>
      <c r="O213" s="9" t="e">
        <f t="shared" si="22"/>
        <v>#VALUE!</v>
      </c>
    </row>
    <row r="214" spans="2:15" ht="15.5" x14ac:dyDescent="0.35">
      <c r="B214" s="6" t="e">
        <f t="shared" si="17"/>
        <v>#VALUE!</v>
      </c>
      <c r="C214" s="7" t="e">
        <f t="shared" si="19"/>
        <v>#VALUE!</v>
      </c>
      <c r="D214" s="7" t="e">
        <f t="shared" si="18"/>
        <v>#VALUE!</v>
      </c>
      <c r="E214" s="7" t="e">
        <f>C213*'Compra cartera'!$E$17</f>
        <v>#VALUE!</v>
      </c>
      <c r="F214" s="8" t="e">
        <f>IF(C213&lt;1,"0",IF('Compra cartera'!$D$26="Si",($C$17*(VLOOKUP('Compra cartera'!$C$22,Seguros_Oblig!$A$3:$F$55,6,FALSE))),(C213*(VLOOKUP('Compra cartera'!$C$22,Seguros_Oblig!$A$3:$E$55,5,FALSE)))))</f>
        <v>#VALUE!</v>
      </c>
      <c r="G214" s="8" t="e">
        <f>(C213*(VLOOKUP('Compra cartera'!$C$23,Seguros_Oblig!$A$3:$E$55,5,FALSE)))</f>
        <v>#VALUE!</v>
      </c>
      <c r="H214" s="8" t="e">
        <f>(C213*(VLOOKUP('Compra cartera'!$C$24,Seguros_Oblig!$A$3:$E$55,5,FALSE)))</f>
        <v>#VALUE!</v>
      </c>
      <c r="I214" s="8" t="e">
        <f>(C213*(VLOOKUP('Compra cartera'!$C$25,Seguros_Oblig!$A$3:$E$55,5,FALSE)))</f>
        <v>#VALUE!</v>
      </c>
      <c r="J214" s="10">
        <f t="shared" si="20"/>
        <v>0</v>
      </c>
      <c r="K214" s="7" t="e">
        <f>IF(C213&lt;1,"0",Seguros_Oblig!$K$2*('Compra cartera'!$C$11*90%))</f>
        <v>#VALUE!</v>
      </c>
      <c r="L214" s="7" t="e">
        <f>IF(B214=" ","0",PMT('Compra cartera'!$E$17,'Compra cartera'!$C$31,-'Compra cartera'!$C$14,,))</f>
        <v>#VALUE!</v>
      </c>
      <c r="M214" s="9" t="e">
        <f t="shared" si="21"/>
        <v>#VALUE!</v>
      </c>
      <c r="N214" s="7" t="e">
        <f>IF(C213&lt;1,"0",'Compra cartera'!$C$44)</f>
        <v>#VALUE!</v>
      </c>
      <c r="O214" s="9" t="e">
        <f t="shared" si="22"/>
        <v>#VALUE!</v>
      </c>
    </row>
    <row r="215" spans="2:15" ht="15.5" x14ac:dyDescent="0.35">
      <c r="B215" s="6" t="e">
        <f t="shared" si="17"/>
        <v>#VALUE!</v>
      </c>
      <c r="C215" s="7" t="e">
        <f t="shared" si="19"/>
        <v>#VALUE!</v>
      </c>
      <c r="D215" s="7" t="e">
        <f t="shared" si="18"/>
        <v>#VALUE!</v>
      </c>
      <c r="E215" s="7" t="e">
        <f>C214*'Compra cartera'!$E$17</f>
        <v>#VALUE!</v>
      </c>
      <c r="F215" s="8" t="e">
        <f>IF(C214&lt;1,"0",IF('Compra cartera'!$D$26="Si",($C$17*(VLOOKUP('Compra cartera'!$C$22,Seguros_Oblig!$A$3:$F$55,6,FALSE))),(C214*(VLOOKUP('Compra cartera'!$C$22,Seguros_Oblig!$A$3:$E$55,5,FALSE)))))</f>
        <v>#VALUE!</v>
      </c>
      <c r="G215" s="8" t="e">
        <f>(C214*(VLOOKUP('Compra cartera'!$C$23,Seguros_Oblig!$A$3:$E$55,5,FALSE)))</f>
        <v>#VALUE!</v>
      </c>
      <c r="H215" s="8" t="e">
        <f>(C214*(VLOOKUP('Compra cartera'!$C$24,Seguros_Oblig!$A$3:$E$55,5,FALSE)))</f>
        <v>#VALUE!</v>
      </c>
      <c r="I215" s="8" t="e">
        <f>(C214*(VLOOKUP('Compra cartera'!$C$25,Seguros_Oblig!$A$3:$E$55,5,FALSE)))</f>
        <v>#VALUE!</v>
      </c>
      <c r="J215" s="10">
        <f t="shared" si="20"/>
        <v>0</v>
      </c>
      <c r="K215" s="7" t="e">
        <f>IF(C214&lt;1,"0",Seguros_Oblig!$K$2*('Compra cartera'!$C$11*90%))</f>
        <v>#VALUE!</v>
      </c>
      <c r="L215" s="7" t="e">
        <f>IF(B215=" ","0",PMT('Compra cartera'!$E$17,'Compra cartera'!$C$31,-'Compra cartera'!$C$14,,))</f>
        <v>#VALUE!</v>
      </c>
      <c r="M215" s="9" t="e">
        <f t="shared" si="21"/>
        <v>#VALUE!</v>
      </c>
      <c r="N215" s="7" t="e">
        <f>IF(C214&lt;1,"0",'Compra cartera'!$C$44)</f>
        <v>#VALUE!</v>
      </c>
      <c r="O215" s="9" t="e">
        <f t="shared" si="22"/>
        <v>#VALUE!</v>
      </c>
    </row>
    <row r="216" spans="2:15" ht="15.5" x14ac:dyDescent="0.35">
      <c r="B216" s="6" t="e">
        <f t="shared" ref="B216:B279" si="23">IF(C215&gt;1,B215+1," ")</f>
        <v>#VALUE!</v>
      </c>
      <c r="C216" s="7" t="e">
        <f t="shared" si="19"/>
        <v>#VALUE!</v>
      </c>
      <c r="D216" s="7" t="e">
        <f t="shared" si="18"/>
        <v>#VALUE!</v>
      </c>
      <c r="E216" s="7" t="e">
        <f>C215*'Compra cartera'!$E$17</f>
        <v>#VALUE!</v>
      </c>
      <c r="F216" s="8" t="e">
        <f>IF(C215&lt;1,"0",IF('Compra cartera'!$D$26="Si",($C$17*(VLOOKUP('Compra cartera'!$C$22,Seguros_Oblig!$A$3:$F$55,6,FALSE))),(C215*(VLOOKUP('Compra cartera'!$C$22,Seguros_Oblig!$A$3:$E$55,5,FALSE)))))</f>
        <v>#VALUE!</v>
      </c>
      <c r="G216" s="8" t="e">
        <f>(C215*(VLOOKUP('Compra cartera'!$C$23,Seguros_Oblig!$A$3:$E$55,5,FALSE)))</f>
        <v>#VALUE!</v>
      </c>
      <c r="H216" s="8" t="e">
        <f>(C215*(VLOOKUP('Compra cartera'!$C$24,Seguros_Oblig!$A$3:$E$55,5,FALSE)))</f>
        <v>#VALUE!</v>
      </c>
      <c r="I216" s="8" t="e">
        <f>(C215*(VLOOKUP('Compra cartera'!$C$25,Seguros_Oblig!$A$3:$E$55,5,FALSE)))</f>
        <v>#VALUE!</v>
      </c>
      <c r="J216" s="10">
        <f t="shared" si="20"/>
        <v>0</v>
      </c>
      <c r="K216" s="7" t="e">
        <f>IF(C215&lt;1,"0",Seguros_Oblig!$K$2*('Compra cartera'!$C$11*90%))</f>
        <v>#VALUE!</v>
      </c>
      <c r="L216" s="7" t="e">
        <f>IF(B216=" ","0",PMT('Compra cartera'!$E$17,'Compra cartera'!$C$31,-'Compra cartera'!$C$14,,))</f>
        <v>#VALUE!</v>
      </c>
      <c r="M216" s="9" t="e">
        <f t="shared" si="21"/>
        <v>#VALUE!</v>
      </c>
      <c r="N216" s="7" t="e">
        <f>IF(C215&lt;1,"0",'Compra cartera'!$C$44)</f>
        <v>#VALUE!</v>
      </c>
      <c r="O216" s="9" t="e">
        <f t="shared" si="22"/>
        <v>#VALUE!</v>
      </c>
    </row>
    <row r="217" spans="2:15" ht="15.5" x14ac:dyDescent="0.35">
      <c r="B217" s="6" t="e">
        <f t="shared" si="23"/>
        <v>#VALUE!</v>
      </c>
      <c r="C217" s="7" t="e">
        <f t="shared" si="19"/>
        <v>#VALUE!</v>
      </c>
      <c r="D217" s="7" t="e">
        <f t="shared" si="18"/>
        <v>#VALUE!</v>
      </c>
      <c r="E217" s="7" t="e">
        <f>C216*'Compra cartera'!$E$17</f>
        <v>#VALUE!</v>
      </c>
      <c r="F217" s="8" t="e">
        <f>IF(C216&lt;1,"0",IF('Compra cartera'!$D$26="Si",($C$17*(VLOOKUP('Compra cartera'!$C$22,Seguros_Oblig!$A$3:$F$55,6,FALSE))),(C216*(VLOOKUP('Compra cartera'!$C$22,Seguros_Oblig!$A$3:$E$55,5,FALSE)))))</f>
        <v>#VALUE!</v>
      </c>
      <c r="G217" s="8" t="e">
        <f>(C216*(VLOOKUP('Compra cartera'!$C$23,Seguros_Oblig!$A$3:$E$55,5,FALSE)))</f>
        <v>#VALUE!</v>
      </c>
      <c r="H217" s="8" t="e">
        <f>(C216*(VLOOKUP('Compra cartera'!$C$24,Seguros_Oblig!$A$3:$E$55,5,FALSE)))</f>
        <v>#VALUE!</v>
      </c>
      <c r="I217" s="8" t="e">
        <f>(C216*(VLOOKUP('Compra cartera'!$C$25,Seguros_Oblig!$A$3:$E$55,5,FALSE)))</f>
        <v>#VALUE!</v>
      </c>
      <c r="J217" s="10">
        <f t="shared" si="20"/>
        <v>0</v>
      </c>
      <c r="K217" s="7" t="e">
        <f>IF(C216&lt;1,"0",Seguros_Oblig!$K$2*('Compra cartera'!$C$11*90%))</f>
        <v>#VALUE!</v>
      </c>
      <c r="L217" s="7" t="e">
        <f>IF(B217=" ","0",PMT('Compra cartera'!$E$17,'Compra cartera'!$C$31,-'Compra cartera'!$C$14,,))</f>
        <v>#VALUE!</v>
      </c>
      <c r="M217" s="9" t="e">
        <f t="shared" si="21"/>
        <v>#VALUE!</v>
      </c>
      <c r="N217" s="7" t="e">
        <f>IF(C216&lt;1,"0",'Compra cartera'!$C$44)</f>
        <v>#VALUE!</v>
      </c>
      <c r="O217" s="9" t="e">
        <f t="shared" si="22"/>
        <v>#VALUE!</v>
      </c>
    </row>
    <row r="218" spans="2:15" ht="15.5" x14ac:dyDescent="0.35">
      <c r="B218" s="6" t="e">
        <f t="shared" si="23"/>
        <v>#VALUE!</v>
      </c>
      <c r="C218" s="7" t="e">
        <f t="shared" si="19"/>
        <v>#VALUE!</v>
      </c>
      <c r="D218" s="7" t="e">
        <f t="shared" si="18"/>
        <v>#VALUE!</v>
      </c>
      <c r="E218" s="7" t="e">
        <f>C217*'Compra cartera'!$E$17</f>
        <v>#VALUE!</v>
      </c>
      <c r="F218" s="8" t="e">
        <f>IF(C217&lt;1,"0",IF('Compra cartera'!$D$26="Si",($C$17*(VLOOKUP('Compra cartera'!$C$22,Seguros_Oblig!$A$3:$F$55,6,FALSE))),(C217*(VLOOKUP('Compra cartera'!$C$22,Seguros_Oblig!$A$3:$E$55,5,FALSE)))))</f>
        <v>#VALUE!</v>
      </c>
      <c r="G218" s="8" t="e">
        <f>(C217*(VLOOKUP('Compra cartera'!$C$23,Seguros_Oblig!$A$3:$E$55,5,FALSE)))</f>
        <v>#VALUE!</v>
      </c>
      <c r="H218" s="8" t="e">
        <f>(C217*(VLOOKUP('Compra cartera'!$C$24,Seguros_Oblig!$A$3:$E$55,5,FALSE)))</f>
        <v>#VALUE!</v>
      </c>
      <c r="I218" s="8" t="e">
        <f>(C217*(VLOOKUP('Compra cartera'!$C$25,Seguros_Oblig!$A$3:$E$55,5,FALSE)))</f>
        <v>#VALUE!</v>
      </c>
      <c r="J218" s="10">
        <f t="shared" si="20"/>
        <v>0</v>
      </c>
      <c r="K218" s="7" t="e">
        <f>IF(C217&lt;1,"0",Seguros_Oblig!$K$2*('Compra cartera'!$C$11*90%))</f>
        <v>#VALUE!</v>
      </c>
      <c r="L218" s="7" t="e">
        <f>IF(B218=" ","0",PMT('Compra cartera'!$E$17,'Compra cartera'!$C$31,-'Compra cartera'!$C$14,,))</f>
        <v>#VALUE!</v>
      </c>
      <c r="M218" s="9" t="e">
        <f t="shared" si="21"/>
        <v>#VALUE!</v>
      </c>
      <c r="N218" s="7" t="e">
        <f>IF(C217&lt;1,"0",'Compra cartera'!$C$44)</f>
        <v>#VALUE!</v>
      </c>
      <c r="O218" s="9" t="e">
        <f t="shared" si="22"/>
        <v>#VALUE!</v>
      </c>
    </row>
    <row r="219" spans="2:15" ht="15.5" x14ac:dyDescent="0.35">
      <c r="B219" s="6" t="e">
        <f t="shared" si="23"/>
        <v>#VALUE!</v>
      </c>
      <c r="C219" s="7" t="e">
        <f t="shared" si="19"/>
        <v>#VALUE!</v>
      </c>
      <c r="D219" s="7" t="e">
        <f t="shared" si="18"/>
        <v>#VALUE!</v>
      </c>
      <c r="E219" s="7" t="e">
        <f>C218*'Compra cartera'!$E$17</f>
        <v>#VALUE!</v>
      </c>
      <c r="F219" s="8" t="e">
        <f>IF(C218&lt;1,"0",IF('Compra cartera'!$D$26="Si",($C$17*(VLOOKUP('Compra cartera'!$C$22,Seguros_Oblig!$A$3:$F$55,6,FALSE))),(C218*(VLOOKUP('Compra cartera'!$C$22,Seguros_Oblig!$A$3:$E$55,5,FALSE)))))</f>
        <v>#VALUE!</v>
      </c>
      <c r="G219" s="8" t="e">
        <f>(C218*(VLOOKUP('Compra cartera'!$C$23,Seguros_Oblig!$A$3:$E$55,5,FALSE)))</f>
        <v>#VALUE!</v>
      </c>
      <c r="H219" s="8" t="e">
        <f>(C218*(VLOOKUP('Compra cartera'!$C$24,Seguros_Oblig!$A$3:$E$55,5,FALSE)))</f>
        <v>#VALUE!</v>
      </c>
      <c r="I219" s="8" t="e">
        <f>(C218*(VLOOKUP('Compra cartera'!$C$25,Seguros_Oblig!$A$3:$E$55,5,FALSE)))</f>
        <v>#VALUE!</v>
      </c>
      <c r="J219" s="10">
        <f t="shared" si="20"/>
        <v>0</v>
      </c>
      <c r="K219" s="7" t="e">
        <f>IF(C218&lt;1,"0",Seguros_Oblig!$K$2*('Compra cartera'!$C$11*90%))</f>
        <v>#VALUE!</v>
      </c>
      <c r="L219" s="7" t="e">
        <f>IF(B219=" ","0",PMT('Compra cartera'!$E$17,'Compra cartera'!$C$31,-'Compra cartera'!$C$14,,))</f>
        <v>#VALUE!</v>
      </c>
      <c r="M219" s="9" t="e">
        <f t="shared" si="21"/>
        <v>#VALUE!</v>
      </c>
      <c r="N219" s="7" t="e">
        <f>IF(C218&lt;1,"0",'Compra cartera'!$C$44)</f>
        <v>#VALUE!</v>
      </c>
      <c r="O219" s="9" t="e">
        <f t="shared" si="22"/>
        <v>#VALUE!</v>
      </c>
    </row>
    <row r="220" spans="2:15" ht="15.5" x14ac:dyDescent="0.35">
      <c r="B220" s="6" t="e">
        <f t="shared" si="23"/>
        <v>#VALUE!</v>
      </c>
      <c r="C220" s="7" t="e">
        <f t="shared" si="19"/>
        <v>#VALUE!</v>
      </c>
      <c r="D220" s="7" t="e">
        <f t="shared" si="18"/>
        <v>#VALUE!</v>
      </c>
      <c r="E220" s="7" t="e">
        <f>C219*'Compra cartera'!$E$17</f>
        <v>#VALUE!</v>
      </c>
      <c r="F220" s="8" t="e">
        <f>IF(C219&lt;1,"0",IF('Compra cartera'!$D$26="Si",($C$17*(VLOOKUP('Compra cartera'!$C$22,Seguros_Oblig!$A$3:$F$55,6,FALSE))),(C219*(VLOOKUP('Compra cartera'!$C$22,Seguros_Oblig!$A$3:$E$55,5,FALSE)))))</f>
        <v>#VALUE!</v>
      </c>
      <c r="G220" s="8" t="e">
        <f>(C219*(VLOOKUP('Compra cartera'!$C$23,Seguros_Oblig!$A$3:$E$55,5,FALSE)))</f>
        <v>#VALUE!</v>
      </c>
      <c r="H220" s="8" t="e">
        <f>(C219*(VLOOKUP('Compra cartera'!$C$24,Seguros_Oblig!$A$3:$E$55,5,FALSE)))</f>
        <v>#VALUE!</v>
      </c>
      <c r="I220" s="8" t="e">
        <f>(C219*(VLOOKUP('Compra cartera'!$C$25,Seguros_Oblig!$A$3:$E$55,5,FALSE)))</f>
        <v>#VALUE!</v>
      </c>
      <c r="J220" s="10">
        <f t="shared" si="20"/>
        <v>0</v>
      </c>
      <c r="K220" s="7" t="e">
        <f>IF(C219&lt;1,"0",Seguros_Oblig!$K$2*('Compra cartera'!$C$11*90%))</f>
        <v>#VALUE!</v>
      </c>
      <c r="L220" s="7" t="e">
        <f>IF(B220=" ","0",PMT('Compra cartera'!$E$17,'Compra cartera'!$C$31,-'Compra cartera'!$C$14,,))</f>
        <v>#VALUE!</v>
      </c>
      <c r="M220" s="9" t="e">
        <f t="shared" si="21"/>
        <v>#VALUE!</v>
      </c>
      <c r="N220" s="7" t="e">
        <f>IF(C219&lt;1,"0",'Compra cartera'!$C$44)</f>
        <v>#VALUE!</v>
      </c>
      <c r="O220" s="9" t="e">
        <f t="shared" si="22"/>
        <v>#VALUE!</v>
      </c>
    </row>
    <row r="221" spans="2:15" ht="15.5" x14ac:dyDescent="0.35">
      <c r="B221" s="6" t="e">
        <f t="shared" si="23"/>
        <v>#VALUE!</v>
      </c>
      <c r="C221" s="7" t="e">
        <f t="shared" si="19"/>
        <v>#VALUE!</v>
      </c>
      <c r="D221" s="7" t="e">
        <f t="shared" si="18"/>
        <v>#VALUE!</v>
      </c>
      <c r="E221" s="7" t="e">
        <f>C220*'Compra cartera'!$E$17</f>
        <v>#VALUE!</v>
      </c>
      <c r="F221" s="8" t="e">
        <f>IF(C220&lt;1,"0",IF('Compra cartera'!$D$26="Si",($C$17*(VLOOKUP('Compra cartera'!$C$22,Seguros_Oblig!$A$3:$F$55,6,FALSE))),(C220*(VLOOKUP('Compra cartera'!$C$22,Seguros_Oblig!$A$3:$E$55,5,FALSE)))))</f>
        <v>#VALUE!</v>
      </c>
      <c r="G221" s="8" t="e">
        <f>(C220*(VLOOKUP('Compra cartera'!$C$23,Seguros_Oblig!$A$3:$E$55,5,FALSE)))</f>
        <v>#VALUE!</v>
      </c>
      <c r="H221" s="8" t="e">
        <f>(C220*(VLOOKUP('Compra cartera'!$C$24,Seguros_Oblig!$A$3:$E$55,5,FALSE)))</f>
        <v>#VALUE!</v>
      </c>
      <c r="I221" s="8" t="e">
        <f>(C220*(VLOOKUP('Compra cartera'!$C$25,Seguros_Oblig!$A$3:$E$55,5,FALSE)))</f>
        <v>#VALUE!</v>
      </c>
      <c r="J221" s="10">
        <f t="shared" si="20"/>
        <v>0</v>
      </c>
      <c r="K221" s="7" t="e">
        <f>IF(C220&lt;1,"0",Seguros_Oblig!$K$2*('Compra cartera'!$C$11*90%))</f>
        <v>#VALUE!</v>
      </c>
      <c r="L221" s="7" t="e">
        <f>IF(B221=" ","0",PMT('Compra cartera'!$E$17,'Compra cartera'!$C$31,-'Compra cartera'!$C$14,,))</f>
        <v>#VALUE!</v>
      </c>
      <c r="M221" s="9" t="e">
        <f t="shared" si="21"/>
        <v>#VALUE!</v>
      </c>
      <c r="N221" s="7" t="e">
        <f>IF(C220&lt;1,"0",'Compra cartera'!$C$44)</f>
        <v>#VALUE!</v>
      </c>
      <c r="O221" s="9" t="e">
        <f t="shared" si="22"/>
        <v>#VALUE!</v>
      </c>
    </row>
    <row r="222" spans="2:15" ht="15.5" x14ac:dyDescent="0.35">
      <c r="B222" s="6" t="e">
        <f t="shared" si="23"/>
        <v>#VALUE!</v>
      </c>
      <c r="C222" s="7" t="e">
        <f t="shared" si="19"/>
        <v>#VALUE!</v>
      </c>
      <c r="D222" s="7" t="e">
        <f t="shared" si="18"/>
        <v>#VALUE!</v>
      </c>
      <c r="E222" s="7" t="e">
        <f>C221*'Compra cartera'!$E$17</f>
        <v>#VALUE!</v>
      </c>
      <c r="F222" s="8" t="e">
        <f>IF(C221&lt;1,"0",IF('Compra cartera'!$D$26="Si",($C$17*(VLOOKUP('Compra cartera'!$C$22,Seguros_Oblig!$A$3:$F$55,6,FALSE))),(C221*(VLOOKUP('Compra cartera'!$C$22,Seguros_Oblig!$A$3:$E$55,5,FALSE)))))</f>
        <v>#VALUE!</v>
      </c>
      <c r="G222" s="8" t="e">
        <f>(C221*(VLOOKUP('Compra cartera'!$C$23,Seguros_Oblig!$A$3:$E$55,5,FALSE)))</f>
        <v>#VALUE!</v>
      </c>
      <c r="H222" s="8" t="e">
        <f>(C221*(VLOOKUP('Compra cartera'!$C$24,Seguros_Oblig!$A$3:$E$55,5,FALSE)))</f>
        <v>#VALUE!</v>
      </c>
      <c r="I222" s="8" t="e">
        <f>(C221*(VLOOKUP('Compra cartera'!$C$25,Seguros_Oblig!$A$3:$E$55,5,FALSE)))</f>
        <v>#VALUE!</v>
      </c>
      <c r="J222" s="10">
        <f t="shared" si="20"/>
        <v>0</v>
      </c>
      <c r="K222" s="7" t="e">
        <f>IF(C221&lt;1,"0",Seguros_Oblig!$K$2*('Compra cartera'!$C$11*90%))</f>
        <v>#VALUE!</v>
      </c>
      <c r="L222" s="7" t="e">
        <f>IF(B222=" ","0",PMT('Compra cartera'!$E$17,'Compra cartera'!$C$31,-'Compra cartera'!$C$14,,))</f>
        <v>#VALUE!</v>
      </c>
      <c r="M222" s="9" t="e">
        <f t="shared" si="21"/>
        <v>#VALUE!</v>
      </c>
      <c r="N222" s="7" t="e">
        <f>IF(C221&lt;1,"0",'Compra cartera'!$C$44)</f>
        <v>#VALUE!</v>
      </c>
      <c r="O222" s="9" t="e">
        <f t="shared" si="22"/>
        <v>#VALUE!</v>
      </c>
    </row>
    <row r="223" spans="2:15" ht="15.5" x14ac:dyDescent="0.35">
      <c r="B223" s="6" t="e">
        <f t="shared" si="23"/>
        <v>#VALUE!</v>
      </c>
      <c r="C223" s="7" t="e">
        <f t="shared" si="19"/>
        <v>#VALUE!</v>
      </c>
      <c r="D223" s="7" t="e">
        <f t="shared" ref="D223:D286" si="24">IF(C222&lt;1,"0",L223-E223)</f>
        <v>#VALUE!</v>
      </c>
      <c r="E223" s="7" t="e">
        <f>C222*'Compra cartera'!$E$17</f>
        <v>#VALUE!</v>
      </c>
      <c r="F223" s="8" t="e">
        <f>IF(C222&lt;1,"0",IF('Compra cartera'!$D$26="Si",($C$17*(VLOOKUP('Compra cartera'!$C$22,Seguros_Oblig!$A$3:$F$55,6,FALSE))),(C222*(VLOOKUP('Compra cartera'!$C$22,Seguros_Oblig!$A$3:$E$55,5,FALSE)))))</f>
        <v>#VALUE!</v>
      </c>
      <c r="G223" s="8" t="e">
        <f>(C222*(VLOOKUP('Compra cartera'!$C$23,Seguros_Oblig!$A$3:$E$55,5,FALSE)))</f>
        <v>#VALUE!</v>
      </c>
      <c r="H223" s="8" t="e">
        <f>(C222*(VLOOKUP('Compra cartera'!$C$24,Seguros_Oblig!$A$3:$E$55,5,FALSE)))</f>
        <v>#VALUE!</v>
      </c>
      <c r="I223" s="8" t="e">
        <f>(C222*(VLOOKUP('Compra cartera'!$C$25,Seguros_Oblig!$A$3:$E$55,5,FALSE)))</f>
        <v>#VALUE!</v>
      </c>
      <c r="J223" s="10">
        <f t="shared" si="20"/>
        <v>0</v>
      </c>
      <c r="K223" s="7" t="e">
        <f>IF(C222&lt;1,"0",Seguros_Oblig!$K$2*('Compra cartera'!$C$11*90%))</f>
        <v>#VALUE!</v>
      </c>
      <c r="L223" s="7" t="e">
        <f>IF(B223=" ","0",PMT('Compra cartera'!$E$17,'Compra cartera'!$C$31,-'Compra cartera'!$C$14,,))</f>
        <v>#VALUE!</v>
      </c>
      <c r="M223" s="9" t="e">
        <f t="shared" si="21"/>
        <v>#VALUE!</v>
      </c>
      <c r="N223" s="7" t="e">
        <f>IF(C222&lt;1,"0",'Compra cartera'!$C$44)</f>
        <v>#VALUE!</v>
      </c>
      <c r="O223" s="9" t="e">
        <f t="shared" si="22"/>
        <v>#VALUE!</v>
      </c>
    </row>
    <row r="224" spans="2:15" ht="15.5" x14ac:dyDescent="0.35">
      <c r="B224" s="6" t="e">
        <f t="shared" si="23"/>
        <v>#VALUE!</v>
      </c>
      <c r="C224" s="7" t="e">
        <f t="shared" si="19"/>
        <v>#VALUE!</v>
      </c>
      <c r="D224" s="7" t="e">
        <f t="shared" si="24"/>
        <v>#VALUE!</v>
      </c>
      <c r="E224" s="7" t="e">
        <f>C223*'Compra cartera'!$E$17</f>
        <v>#VALUE!</v>
      </c>
      <c r="F224" s="8" t="e">
        <f>IF(C223&lt;1,"0",IF('Compra cartera'!$D$26="Si",($C$17*(VLOOKUP('Compra cartera'!$C$22,Seguros_Oblig!$A$3:$F$55,6,FALSE))),(C223*(VLOOKUP('Compra cartera'!$C$22,Seguros_Oblig!$A$3:$E$55,5,FALSE)))))</f>
        <v>#VALUE!</v>
      </c>
      <c r="G224" s="8" t="e">
        <f>(C223*(VLOOKUP('Compra cartera'!$C$23,Seguros_Oblig!$A$3:$E$55,5,FALSE)))</f>
        <v>#VALUE!</v>
      </c>
      <c r="H224" s="8" t="e">
        <f>(C223*(VLOOKUP('Compra cartera'!$C$24,Seguros_Oblig!$A$3:$E$55,5,FALSE)))</f>
        <v>#VALUE!</v>
      </c>
      <c r="I224" s="8" t="e">
        <f>(C223*(VLOOKUP('Compra cartera'!$C$25,Seguros_Oblig!$A$3:$E$55,5,FALSE)))</f>
        <v>#VALUE!</v>
      </c>
      <c r="J224" s="10">
        <f t="shared" si="20"/>
        <v>0</v>
      </c>
      <c r="K224" s="7" t="e">
        <f>IF(C223&lt;1,"0",Seguros_Oblig!$K$2*('Compra cartera'!$C$11*90%))</f>
        <v>#VALUE!</v>
      </c>
      <c r="L224" s="7" t="e">
        <f>IF(B224=" ","0",PMT('Compra cartera'!$E$17,'Compra cartera'!$C$31,-'Compra cartera'!$C$14,,))</f>
        <v>#VALUE!</v>
      </c>
      <c r="M224" s="9" t="e">
        <f t="shared" si="21"/>
        <v>#VALUE!</v>
      </c>
      <c r="N224" s="7" t="e">
        <f>IF(C223&lt;1,"0",'Compra cartera'!$C$44)</f>
        <v>#VALUE!</v>
      </c>
      <c r="O224" s="9" t="e">
        <f t="shared" si="22"/>
        <v>#VALUE!</v>
      </c>
    </row>
    <row r="225" spans="2:15" ht="15.5" x14ac:dyDescent="0.35">
      <c r="B225" s="6" t="e">
        <f t="shared" si="23"/>
        <v>#VALUE!</v>
      </c>
      <c r="C225" s="7" t="e">
        <f t="shared" si="19"/>
        <v>#VALUE!</v>
      </c>
      <c r="D225" s="7" t="e">
        <f t="shared" si="24"/>
        <v>#VALUE!</v>
      </c>
      <c r="E225" s="7" t="e">
        <f>C224*'Compra cartera'!$E$17</f>
        <v>#VALUE!</v>
      </c>
      <c r="F225" s="8" t="e">
        <f>IF(C224&lt;1,"0",IF('Compra cartera'!$D$26="Si",($C$17*(VLOOKUP('Compra cartera'!$C$22,Seguros_Oblig!$A$3:$F$55,6,FALSE))),(C224*(VLOOKUP('Compra cartera'!$C$22,Seguros_Oblig!$A$3:$E$55,5,FALSE)))))</f>
        <v>#VALUE!</v>
      </c>
      <c r="G225" s="8" t="e">
        <f>(C224*(VLOOKUP('Compra cartera'!$C$23,Seguros_Oblig!$A$3:$E$55,5,FALSE)))</f>
        <v>#VALUE!</v>
      </c>
      <c r="H225" s="8" t="e">
        <f>(C224*(VLOOKUP('Compra cartera'!$C$24,Seguros_Oblig!$A$3:$E$55,5,FALSE)))</f>
        <v>#VALUE!</v>
      </c>
      <c r="I225" s="8" t="e">
        <f>(C224*(VLOOKUP('Compra cartera'!$C$25,Seguros_Oblig!$A$3:$E$55,5,FALSE)))</f>
        <v>#VALUE!</v>
      </c>
      <c r="J225" s="10">
        <f t="shared" si="20"/>
        <v>0</v>
      </c>
      <c r="K225" s="7" t="e">
        <f>IF(C224&lt;1,"0",Seguros_Oblig!$K$2*('Compra cartera'!$C$11*90%))</f>
        <v>#VALUE!</v>
      </c>
      <c r="L225" s="7" t="e">
        <f>IF(B225=" ","0",PMT('Compra cartera'!$E$17,'Compra cartera'!$C$31,-'Compra cartera'!$C$14,,))</f>
        <v>#VALUE!</v>
      </c>
      <c r="M225" s="9" t="e">
        <f t="shared" si="21"/>
        <v>#VALUE!</v>
      </c>
      <c r="N225" s="7" t="e">
        <f>IF(C224&lt;1,"0",'Compra cartera'!$C$44)</f>
        <v>#VALUE!</v>
      </c>
      <c r="O225" s="9" t="e">
        <f t="shared" si="22"/>
        <v>#VALUE!</v>
      </c>
    </row>
    <row r="226" spans="2:15" ht="15.5" x14ac:dyDescent="0.35">
      <c r="B226" s="6" t="e">
        <f t="shared" si="23"/>
        <v>#VALUE!</v>
      </c>
      <c r="C226" s="7" t="e">
        <f t="shared" si="19"/>
        <v>#VALUE!</v>
      </c>
      <c r="D226" s="7" t="e">
        <f t="shared" si="24"/>
        <v>#VALUE!</v>
      </c>
      <c r="E226" s="7" t="e">
        <f>C225*'Compra cartera'!$E$17</f>
        <v>#VALUE!</v>
      </c>
      <c r="F226" s="8" t="e">
        <f>IF(C225&lt;1,"0",IF('Compra cartera'!$D$26="Si",($C$17*(VLOOKUP('Compra cartera'!$C$22,Seguros_Oblig!$A$3:$F$55,6,FALSE))),(C225*(VLOOKUP('Compra cartera'!$C$22,Seguros_Oblig!$A$3:$E$55,5,FALSE)))))</f>
        <v>#VALUE!</v>
      </c>
      <c r="G226" s="8" t="e">
        <f>(C225*(VLOOKUP('Compra cartera'!$C$23,Seguros_Oblig!$A$3:$E$55,5,FALSE)))</f>
        <v>#VALUE!</v>
      </c>
      <c r="H226" s="8" t="e">
        <f>(C225*(VLOOKUP('Compra cartera'!$C$24,Seguros_Oblig!$A$3:$E$55,5,FALSE)))</f>
        <v>#VALUE!</v>
      </c>
      <c r="I226" s="8" t="e">
        <f>(C225*(VLOOKUP('Compra cartera'!$C$25,Seguros_Oblig!$A$3:$E$55,5,FALSE)))</f>
        <v>#VALUE!</v>
      </c>
      <c r="J226" s="10">
        <f t="shared" si="20"/>
        <v>0</v>
      </c>
      <c r="K226" s="7" t="e">
        <f>IF(C225&lt;1,"0",Seguros_Oblig!$K$2*('Compra cartera'!$C$11*90%))</f>
        <v>#VALUE!</v>
      </c>
      <c r="L226" s="7" t="e">
        <f>IF(B226=" ","0",PMT('Compra cartera'!$E$17,'Compra cartera'!$C$31,-'Compra cartera'!$C$14,,))</f>
        <v>#VALUE!</v>
      </c>
      <c r="M226" s="9" t="e">
        <f t="shared" si="21"/>
        <v>#VALUE!</v>
      </c>
      <c r="N226" s="7" t="e">
        <f>IF(C225&lt;1,"0",'Compra cartera'!$C$44)</f>
        <v>#VALUE!</v>
      </c>
      <c r="O226" s="9" t="e">
        <f t="shared" si="22"/>
        <v>#VALUE!</v>
      </c>
    </row>
    <row r="227" spans="2:15" ht="15.5" x14ac:dyDescent="0.35">
      <c r="B227" s="6" t="e">
        <f t="shared" si="23"/>
        <v>#VALUE!</v>
      </c>
      <c r="C227" s="7" t="e">
        <f t="shared" si="19"/>
        <v>#VALUE!</v>
      </c>
      <c r="D227" s="7" t="e">
        <f t="shared" si="24"/>
        <v>#VALUE!</v>
      </c>
      <c r="E227" s="7" t="e">
        <f>C226*'Compra cartera'!$E$17</f>
        <v>#VALUE!</v>
      </c>
      <c r="F227" s="8" t="e">
        <f>IF(C226&lt;1,"0",IF('Compra cartera'!$D$26="Si",($C$17*(VLOOKUP('Compra cartera'!$C$22,Seguros_Oblig!$A$3:$F$55,6,FALSE))),(C226*(VLOOKUP('Compra cartera'!$C$22,Seguros_Oblig!$A$3:$E$55,5,FALSE)))))</f>
        <v>#VALUE!</v>
      </c>
      <c r="G227" s="8" t="e">
        <f>(C226*(VLOOKUP('Compra cartera'!$C$23,Seguros_Oblig!$A$3:$E$55,5,FALSE)))</f>
        <v>#VALUE!</v>
      </c>
      <c r="H227" s="8" t="e">
        <f>(C226*(VLOOKUP('Compra cartera'!$C$24,Seguros_Oblig!$A$3:$E$55,5,FALSE)))</f>
        <v>#VALUE!</v>
      </c>
      <c r="I227" s="8" t="e">
        <f>(C226*(VLOOKUP('Compra cartera'!$C$25,Seguros_Oblig!$A$3:$E$55,5,FALSE)))</f>
        <v>#VALUE!</v>
      </c>
      <c r="J227" s="10">
        <f t="shared" si="20"/>
        <v>0</v>
      </c>
      <c r="K227" s="7" t="e">
        <f>IF(C226&lt;1,"0",Seguros_Oblig!$K$2*('Compra cartera'!$C$11*90%))</f>
        <v>#VALUE!</v>
      </c>
      <c r="L227" s="7" t="e">
        <f>IF(B227=" ","0",PMT('Compra cartera'!$E$17,'Compra cartera'!$C$31,-'Compra cartera'!$C$14,,))</f>
        <v>#VALUE!</v>
      </c>
      <c r="M227" s="9" t="e">
        <f t="shared" si="21"/>
        <v>#VALUE!</v>
      </c>
      <c r="N227" s="7" t="e">
        <f>IF(C226&lt;1,"0",'Compra cartera'!$C$44)</f>
        <v>#VALUE!</v>
      </c>
      <c r="O227" s="9" t="e">
        <f t="shared" si="22"/>
        <v>#VALUE!</v>
      </c>
    </row>
    <row r="228" spans="2:15" ht="15.5" x14ac:dyDescent="0.35">
      <c r="B228" s="6" t="e">
        <f t="shared" si="23"/>
        <v>#VALUE!</v>
      </c>
      <c r="C228" s="7" t="e">
        <f t="shared" si="19"/>
        <v>#VALUE!</v>
      </c>
      <c r="D228" s="7" t="e">
        <f t="shared" si="24"/>
        <v>#VALUE!</v>
      </c>
      <c r="E228" s="7" t="e">
        <f>C227*'Compra cartera'!$E$17</f>
        <v>#VALUE!</v>
      </c>
      <c r="F228" s="8" t="e">
        <f>IF(C227&lt;1,"0",IF('Compra cartera'!$D$26="Si",($C$17*(VLOOKUP('Compra cartera'!$C$22,Seguros_Oblig!$A$3:$F$55,6,FALSE))),(C227*(VLOOKUP('Compra cartera'!$C$22,Seguros_Oblig!$A$3:$E$55,5,FALSE)))))</f>
        <v>#VALUE!</v>
      </c>
      <c r="G228" s="8" t="e">
        <f>(C227*(VLOOKUP('Compra cartera'!$C$23,Seguros_Oblig!$A$3:$E$55,5,FALSE)))</f>
        <v>#VALUE!</v>
      </c>
      <c r="H228" s="8" t="e">
        <f>(C227*(VLOOKUP('Compra cartera'!$C$24,Seguros_Oblig!$A$3:$E$55,5,FALSE)))</f>
        <v>#VALUE!</v>
      </c>
      <c r="I228" s="8" t="e">
        <f>(C227*(VLOOKUP('Compra cartera'!$C$25,Seguros_Oblig!$A$3:$E$55,5,FALSE)))</f>
        <v>#VALUE!</v>
      </c>
      <c r="J228" s="10">
        <f t="shared" si="20"/>
        <v>0</v>
      </c>
      <c r="K228" s="7" t="e">
        <f>IF(C227&lt;1,"0",Seguros_Oblig!$K$2*('Compra cartera'!$C$11*90%))</f>
        <v>#VALUE!</v>
      </c>
      <c r="L228" s="7" t="e">
        <f>IF(B228=" ","0",PMT('Compra cartera'!$E$17,'Compra cartera'!$C$31,-'Compra cartera'!$C$14,,))</f>
        <v>#VALUE!</v>
      </c>
      <c r="M228" s="9" t="e">
        <f t="shared" si="21"/>
        <v>#VALUE!</v>
      </c>
      <c r="N228" s="7" t="e">
        <f>IF(C227&lt;1,"0",'Compra cartera'!$C$44)</f>
        <v>#VALUE!</v>
      </c>
      <c r="O228" s="9" t="e">
        <f t="shared" si="22"/>
        <v>#VALUE!</v>
      </c>
    </row>
    <row r="229" spans="2:15" ht="15.5" x14ac:dyDescent="0.35">
      <c r="B229" s="6" t="e">
        <f t="shared" si="23"/>
        <v>#VALUE!</v>
      </c>
      <c r="C229" s="7" t="e">
        <f t="shared" si="19"/>
        <v>#VALUE!</v>
      </c>
      <c r="D229" s="7" t="e">
        <f t="shared" si="24"/>
        <v>#VALUE!</v>
      </c>
      <c r="E229" s="7" t="e">
        <f>C228*'Compra cartera'!$E$17</f>
        <v>#VALUE!</v>
      </c>
      <c r="F229" s="8" t="e">
        <f>IF(C228&lt;1,"0",IF('Compra cartera'!$D$26="Si",($C$17*(VLOOKUP('Compra cartera'!$C$22,Seguros_Oblig!$A$3:$F$55,6,FALSE))),(C228*(VLOOKUP('Compra cartera'!$C$22,Seguros_Oblig!$A$3:$E$55,5,FALSE)))))</f>
        <v>#VALUE!</v>
      </c>
      <c r="G229" s="8" t="e">
        <f>(C228*(VLOOKUP('Compra cartera'!$C$23,Seguros_Oblig!$A$3:$E$55,5,FALSE)))</f>
        <v>#VALUE!</v>
      </c>
      <c r="H229" s="8" t="e">
        <f>(C228*(VLOOKUP('Compra cartera'!$C$24,Seguros_Oblig!$A$3:$E$55,5,FALSE)))</f>
        <v>#VALUE!</v>
      </c>
      <c r="I229" s="8" t="e">
        <f>(C228*(VLOOKUP('Compra cartera'!$C$25,Seguros_Oblig!$A$3:$E$55,5,FALSE)))</f>
        <v>#VALUE!</v>
      </c>
      <c r="J229" s="10">
        <f t="shared" si="20"/>
        <v>0</v>
      </c>
      <c r="K229" s="7" t="e">
        <f>IF(C228&lt;1,"0",Seguros_Oblig!$K$2*('Compra cartera'!$C$11*90%))</f>
        <v>#VALUE!</v>
      </c>
      <c r="L229" s="7" t="e">
        <f>IF(B229=" ","0",PMT('Compra cartera'!$E$17,'Compra cartera'!$C$31,-'Compra cartera'!$C$14,,))</f>
        <v>#VALUE!</v>
      </c>
      <c r="M229" s="9" t="e">
        <f t="shared" si="21"/>
        <v>#VALUE!</v>
      </c>
      <c r="N229" s="7" t="e">
        <f>IF(C228&lt;1,"0",'Compra cartera'!$C$44)</f>
        <v>#VALUE!</v>
      </c>
      <c r="O229" s="9" t="e">
        <f t="shared" si="22"/>
        <v>#VALUE!</v>
      </c>
    </row>
    <row r="230" spans="2:15" ht="15.5" x14ac:dyDescent="0.35">
      <c r="B230" s="6" t="e">
        <f t="shared" si="23"/>
        <v>#VALUE!</v>
      </c>
      <c r="C230" s="7" t="e">
        <f t="shared" si="19"/>
        <v>#VALUE!</v>
      </c>
      <c r="D230" s="7" t="e">
        <f t="shared" si="24"/>
        <v>#VALUE!</v>
      </c>
      <c r="E230" s="7" t="e">
        <f>C229*'Compra cartera'!$E$17</f>
        <v>#VALUE!</v>
      </c>
      <c r="F230" s="8" t="e">
        <f>IF(C229&lt;1,"0",IF('Compra cartera'!$D$26="Si",($C$17*(VLOOKUP('Compra cartera'!$C$22,Seguros_Oblig!$A$3:$F$55,6,FALSE))),(C229*(VLOOKUP('Compra cartera'!$C$22,Seguros_Oblig!$A$3:$E$55,5,FALSE)))))</f>
        <v>#VALUE!</v>
      </c>
      <c r="G230" s="8" t="e">
        <f>(C229*(VLOOKUP('Compra cartera'!$C$23,Seguros_Oblig!$A$3:$E$55,5,FALSE)))</f>
        <v>#VALUE!</v>
      </c>
      <c r="H230" s="8" t="e">
        <f>(C229*(VLOOKUP('Compra cartera'!$C$24,Seguros_Oblig!$A$3:$E$55,5,FALSE)))</f>
        <v>#VALUE!</v>
      </c>
      <c r="I230" s="8" t="e">
        <f>(C229*(VLOOKUP('Compra cartera'!$C$25,Seguros_Oblig!$A$3:$E$55,5,FALSE)))</f>
        <v>#VALUE!</v>
      </c>
      <c r="J230" s="10">
        <f t="shared" si="20"/>
        <v>0</v>
      </c>
      <c r="K230" s="7" t="e">
        <f>IF(C229&lt;1,"0",Seguros_Oblig!$K$2*('Compra cartera'!$C$11*90%))</f>
        <v>#VALUE!</v>
      </c>
      <c r="L230" s="7" t="e">
        <f>IF(B230=" ","0",PMT('Compra cartera'!$E$17,'Compra cartera'!$C$31,-'Compra cartera'!$C$14,,))</f>
        <v>#VALUE!</v>
      </c>
      <c r="M230" s="9" t="e">
        <f t="shared" si="21"/>
        <v>#VALUE!</v>
      </c>
      <c r="N230" s="7" t="e">
        <f>IF(C229&lt;1,"0",'Compra cartera'!$C$44)</f>
        <v>#VALUE!</v>
      </c>
      <c r="O230" s="9" t="e">
        <f t="shared" si="22"/>
        <v>#VALUE!</v>
      </c>
    </row>
    <row r="231" spans="2:15" ht="15.5" x14ac:dyDescent="0.35">
      <c r="B231" s="6" t="e">
        <f t="shared" si="23"/>
        <v>#VALUE!</v>
      </c>
      <c r="C231" s="7" t="e">
        <f t="shared" si="19"/>
        <v>#VALUE!</v>
      </c>
      <c r="D231" s="7" t="e">
        <f t="shared" si="24"/>
        <v>#VALUE!</v>
      </c>
      <c r="E231" s="7" t="e">
        <f>C230*'Compra cartera'!$E$17</f>
        <v>#VALUE!</v>
      </c>
      <c r="F231" s="8" t="e">
        <f>IF(C230&lt;1,"0",IF('Compra cartera'!$D$26="Si",($C$17*(VLOOKUP('Compra cartera'!$C$22,Seguros_Oblig!$A$3:$F$55,6,FALSE))),(C230*(VLOOKUP('Compra cartera'!$C$22,Seguros_Oblig!$A$3:$E$55,5,FALSE)))))</f>
        <v>#VALUE!</v>
      </c>
      <c r="G231" s="8" t="e">
        <f>(C230*(VLOOKUP('Compra cartera'!$C$23,Seguros_Oblig!$A$3:$E$55,5,FALSE)))</f>
        <v>#VALUE!</v>
      </c>
      <c r="H231" s="8" t="e">
        <f>(C230*(VLOOKUP('Compra cartera'!$C$24,Seguros_Oblig!$A$3:$E$55,5,FALSE)))</f>
        <v>#VALUE!</v>
      </c>
      <c r="I231" s="8" t="e">
        <f>(C230*(VLOOKUP('Compra cartera'!$C$25,Seguros_Oblig!$A$3:$E$55,5,FALSE)))</f>
        <v>#VALUE!</v>
      </c>
      <c r="J231" s="10">
        <f t="shared" si="20"/>
        <v>0</v>
      </c>
      <c r="K231" s="7" t="e">
        <f>IF(C230&lt;1,"0",Seguros_Oblig!$K$2*('Compra cartera'!$C$11*90%))</f>
        <v>#VALUE!</v>
      </c>
      <c r="L231" s="7" t="e">
        <f>IF(B231=" ","0",PMT('Compra cartera'!$E$17,'Compra cartera'!$C$31,-'Compra cartera'!$C$14,,))</f>
        <v>#VALUE!</v>
      </c>
      <c r="M231" s="9" t="e">
        <f t="shared" si="21"/>
        <v>#VALUE!</v>
      </c>
      <c r="N231" s="7" t="e">
        <f>IF(C230&lt;1,"0",'Compra cartera'!$C$44)</f>
        <v>#VALUE!</v>
      </c>
      <c r="O231" s="9" t="e">
        <f t="shared" si="22"/>
        <v>#VALUE!</v>
      </c>
    </row>
    <row r="232" spans="2:15" ht="15.5" x14ac:dyDescent="0.35">
      <c r="B232" s="6" t="e">
        <f t="shared" si="23"/>
        <v>#VALUE!</v>
      </c>
      <c r="C232" s="7" t="e">
        <f t="shared" si="19"/>
        <v>#VALUE!</v>
      </c>
      <c r="D232" s="7" t="e">
        <f t="shared" si="24"/>
        <v>#VALUE!</v>
      </c>
      <c r="E232" s="7" t="e">
        <f>C231*'Compra cartera'!$E$17</f>
        <v>#VALUE!</v>
      </c>
      <c r="F232" s="8" t="e">
        <f>IF(C231&lt;1,"0",IF('Compra cartera'!$D$26="Si",($C$17*(VLOOKUP('Compra cartera'!$C$22,Seguros_Oblig!$A$3:$F$55,6,FALSE))),(C231*(VLOOKUP('Compra cartera'!$C$22,Seguros_Oblig!$A$3:$E$55,5,FALSE)))))</f>
        <v>#VALUE!</v>
      </c>
      <c r="G232" s="8" t="e">
        <f>(C231*(VLOOKUP('Compra cartera'!$C$23,Seguros_Oblig!$A$3:$E$55,5,FALSE)))</f>
        <v>#VALUE!</v>
      </c>
      <c r="H232" s="8" t="e">
        <f>(C231*(VLOOKUP('Compra cartera'!$C$24,Seguros_Oblig!$A$3:$E$55,5,FALSE)))</f>
        <v>#VALUE!</v>
      </c>
      <c r="I232" s="8" t="e">
        <f>(C231*(VLOOKUP('Compra cartera'!$C$25,Seguros_Oblig!$A$3:$E$55,5,FALSE)))</f>
        <v>#VALUE!</v>
      </c>
      <c r="J232" s="10">
        <f t="shared" si="20"/>
        <v>0</v>
      </c>
      <c r="K232" s="7" t="e">
        <f>IF(C231&lt;1,"0",Seguros_Oblig!$K$2*('Compra cartera'!$C$11*90%))</f>
        <v>#VALUE!</v>
      </c>
      <c r="L232" s="7" t="e">
        <f>IF(B232=" ","0",PMT('Compra cartera'!$E$17,'Compra cartera'!$C$31,-'Compra cartera'!$C$14,,))</f>
        <v>#VALUE!</v>
      </c>
      <c r="M232" s="9" t="e">
        <f t="shared" si="21"/>
        <v>#VALUE!</v>
      </c>
      <c r="N232" s="7" t="e">
        <f>IF(C231&lt;1,"0",'Compra cartera'!$C$44)</f>
        <v>#VALUE!</v>
      </c>
      <c r="O232" s="9" t="e">
        <f t="shared" si="22"/>
        <v>#VALUE!</v>
      </c>
    </row>
    <row r="233" spans="2:15" ht="15.5" x14ac:dyDescent="0.35">
      <c r="B233" s="6" t="e">
        <f t="shared" si="23"/>
        <v>#VALUE!</v>
      </c>
      <c r="C233" s="7" t="e">
        <f t="shared" si="19"/>
        <v>#VALUE!</v>
      </c>
      <c r="D233" s="7" t="e">
        <f t="shared" si="24"/>
        <v>#VALUE!</v>
      </c>
      <c r="E233" s="7" t="e">
        <f>C232*'Compra cartera'!$E$17</f>
        <v>#VALUE!</v>
      </c>
      <c r="F233" s="8" t="e">
        <f>IF(C232&lt;1,"0",IF('Compra cartera'!$D$26="Si",($C$17*(VLOOKUP('Compra cartera'!$C$22,Seguros_Oblig!$A$3:$F$55,6,FALSE))),(C232*(VLOOKUP('Compra cartera'!$C$22,Seguros_Oblig!$A$3:$E$55,5,FALSE)))))</f>
        <v>#VALUE!</v>
      </c>
      <c r="G233" s="8" t="e">
        <f>(C232*(VLOOKUP('Compra cartera'!$C$23,Seguros_Oblig!$A$3:$E$55,5,FALSE)))</f>
        <v>#VALUE!</v>
      </c>
      <c r="H233" s="8" t="e">
        <f>(C232*(VLOOKUP('Compra cartera'!$C$24,Seguros_Oblig!$A$3:$E$55,5,FALSE)))</f>
        <v>#VALUE!</v>
      </c>
      <c r="I233" s="8" t="e">
        <f>(C232*(VLOOKUP('Compra cartera'!$C$25,Seguros_Oblig!$A$3:$E$55,5,FALSE)))</f>
        <v>#VALUE!</v>
      </c>
      <c r="J233" s="10">
        <f t="shared" si="20"/>
        <v>0</v>
      </c>
      <c r="K233" s="7" t="e">
        <f>IF(C232&lt;1,"0",Seguros_Oblig!$K$2*('Compra cartera'!$C$11*90%))</f>
        <v>#VALUE!</v>
      </c>
      <c r="L233" s="7" t="e">
        <f>IF(B233=" ","0",PMT('Compra cartera'!$E$17,'Compra cartera'!$C$31,-'Compra cartera'!$C$14,,))</f>
        <v>#VALUE!</v>
      </c>
      <c r="M233" s="9" t="e">
        <f t="shared" si="21"/>
        <v>#VALUE!</v>
      </c>
      <c r="N233" s="7" t="e">
        <f>IF(C232&lt;1,"0",'Compra cartera'!$C$44)</f>
        <v>#VALUE!</v>
      </c>
      <c r="O233" s="9" t="e">
        <f t="shared" si="22"/>
        <v>#VALUE!</v>
      </c>
    </row>
    <row r="234" spans="2:15" ht="15.5" x14ac:dyDescent="0.35">
      <c r="B234" s="6" t="e">
        <f t="shared" si="23"/>
        <v>#VALUE!</v>
      </c>
      <c r="C234" s="7" t="e">
        <f t="shared" si="19"/>
        <v>#VALUE!</v>
      </c>
      <c r="D234" s="7" t="e">
        <f t="shared" si="24"/>
        <v>#VALUE!</v>
      </c>
      <c r="E234" s="7" t="e">
        <f>C233*'Compra cartera'!$E$17</f>
        <v>#VALUE!</v>
      </c>
      <c r="F234" s="8" t="e">
        <f>IF(C233&lt;1,"0",IF('Compra cartera'!$D$26="Si",($C$17*(VLOOKUP('Compra cartera'!$C$22,Seguros_Oblig!$A$3:$F$55,6,FALSE))),(C233*(VLOOKUP('Compra cartera'!$C$22,Seguros_Oblig!$A$3:$E$55,5,FALSE)))))</f>
        <v>#VALUE!</v>
      </c>
      <c r="G234" s="8" t="e">
        <f>(C233*(VLOOKUP('Compra cartera'!$C$23,Seguros_Oblig!$A$3:$E$55,5,FALSE)))</f>
        <v>#VALUE!</v>
      </c>
      <c r="H234" s="8" t="e">
        <f>(C233*(VLOOKUP('Compra cartera'!$C$24,Seguros_Oblig!$A$3:$E$55,5,FALSE)))</f>
        <v>#VALUE!</v>
      </c>
      <c r="I234" s="8" t="e">
        <f>(C233*(VLOOKUP('Compra cartera'!$C$25,Seguros_Oblig!$A$3:$E$55,5,FALSE)))</f>
        <v>#VALUE!</v>
      </c>
      <c r="J234" s="10">
        <f t="shared" si="20"/>
        <v>0</v>
      </c>
      <c r="K234" s="7" t="e">
        <f>IF(C233&lt;1,"0",Seguros_Oblig!$K$2*('Compra cartera'!$C$11*90%))</f>
        <v>#VALUE!</v>
      </c>
      <c r="L234" s="7" t="e">
        <f>IF(B234=" ","0",PMT('Compra cartera'!$E$17,'Compra cartera'!$C$31,-'Compra cartera'!$C$14,,))</f>
        <v>#VALUE!</v>
      </c>
      <c r="M234" s="9" t="e">
        <f t="shared" si="21"/>
        <v>#VALUE!</v>
      </c>
      <c r="N234" s="7" t="e">
        <f>IF(C233&lt;1,"0",'Compra cartera'!$C$44)</f>
        <v>#VALUE!</v>
      </c>
      <c r="O234" s="9" t="e">
        <f t="shared" si="22"/>
        <v>#VALUE!</v>
      </c>
    </row>
    <row r="235" spans="2:15" ht="15.5" x14ac:dyDescent="0.35">
      <c r="B235" s="6" t="e">
        <f t="shared" si="23"/>
        <v>#VALUE!</v>
      </c>
      <c r="C235" s="7" t="e">
        <f t="shared" si="19"/>
        <v>#VALUE!</v>
      </c>
      <c r="D235" s="7" t="e">
        <f t="shared" si="24"/>
        <v>#VALUE!</v>
      </c>
      <c r="E235" s="7" t="e">
        <f>C234*'Compra cartera'!$E$17</f>
        <v>#VALUE!</v>
      </c>
      <c r="F235" s="8" t="e">
        <f>IF(C234&lt;1,"0",IF('Compra cartera'!$D$26="Si",($C$17*(VLOOKUP('Compra cartera'!$C$22,Seguros_Oblig!$A$3:$F$55,6,FALSE))),(C234*(VLOOKUP('Compra cartera'!$C$22,Seguros_Oblig!$A$3:$E$55,5,FALSE)))))</f>
        <v>#VALUE!</v>
      </c>
      <c r="G235" s="8" t="e">
        <f>(C234*(VLOOKUP('Compra cartera'!$C$23,Seguros_Oblig!$A$3:$E$55,5,FALSE)))</f>
        <v>#VALUE!</v>
      </c>
      <c r="H235" s="8" t="e">
        <f>(C234*(VLOOKUP('Compra cartera'!$C$24,Seguros_Oblig!$A$3:$E$55,5,FALSE)))</f>
        <v>#VALUE!</v>
      </c>
      <c r="I235" s="8" t="e">
        <f>(C234*(VLOOKUP('Compra cartera'!$C$25,Seguros_Oblig!$A$3:$E$55,5,FALSE)))</f>
        <v>#VALUE!</v>
      </c>
      <c r="J235" s="10">
        <f t="shared" si="20"/>
        <v>0</v>
      </c>
      <c r="K235" s="7" t="e">
        <f>IF(C234&lt;1,"0",Seguros_Oblig!$K$2*('Compra cartera'!$C$11*90%))</f>
        <v>#VALUE!</v>
      </c>
      <c r="L235" s="7" t="e">
        <f>IF(B235=" ","0",PMT('Compra cartera'!$E$17,'Compra cartera'!$C$31,-'Compra cartera'!$C$14,,))</f>
        <v>#VALUE!</v>
      </c>
      <c r="M235" s="9" t="e">
        <f t="shared" si="21"/>
        <v>#VALUE!</v>
      </c>
      <c r="N235" s="7" t="e">
        <f>IF(C234&lt;1,"0",'Compra cartera'!$C$44)</f>
        <v>#VALUE!</v>
      </c>
      <c r="O235" s="9" t="e">
        <f t="shared" si="22"/>
        <v>#VALUE!</v>
      </c>
    </row>
    <row r="236" spans="2:15" ht="15.5" x14ac:dyDescent="0.35">
      <c r="B236" s="6" t="e">
        <f t="shared" si="23"/>
        <v>#VALUE!</v>
      </c>
      <c r="C236" s="7" t="e">
        <f t="shared" si="19"/>
        <v>#VALUE!</v>
      </c>
      <c r="D236" s="7" t="e">
        <f t="shared" si="24"/>
        <v>#VALUE!</v>
      </c>
      <c r="E236" s="7" t="e">
        <f>C235*'Compra cartera'!$E$17</f>
        <v>#VALUE!</v>
      </c>
      <c r="F236" s="8" t="e">
        <f>IF(C235&lt;1,"0",IF('Compra cartera'!$D$26="Si",($C$17*(VLOOKUP('Compra cartera'!$C$22,Seguros_Oblig!$A$3:$F$55,6,FALSE))),(C235*(VLOOKUP('Compra cartera'!$C$22,Seguros_Oblig!$A$3:$E$55,5,FALSE)))))</f>
        <v>#VALUE!</v>
      </c>
      <c r="G236" s="8" t="e">
        <f>(C235*(VLOOKUP('Compra cartera'!$C$23,Seguros_Oblig!$A$3:$E$55,5,FALSE)))</f>
        <v>#VALUE!</v>
      </c>
      <c r="H236" s="8" t="e">
        <f>(C235*(VLOOKUP('Compra cartera'!$C$24,Seguros_Oblig!$A$3:$E$55,5,FALSE)))</f>
        <v>#VALUE!</v>
      </c>
      <c r="I236" s="8" t="e">
        <f>(C235*(VLOOKUP('Compra cartera'!$C$25,Seguros_Oblig!$A$3:$E$55,5,FALSE)))</f>
        <v>#VALUE!</v>
      </c>
      <c r="J236" s="10">
        <f t="shared" si="20"/>
        <v>0</v>
      </c>
      <c r="K236" s="7" t="e">
        <f>IF(C235&lt;1,"0",Seguros_Oblig!$K$2*('Compra cartera'!$C$11*90%))</f>
        <v>#VALUE!</v>
      </c>
      <c r="L236" s="7" t="e">
        <f>IF(B236=" ","0",PMT('Compra cartera'!$E$17,'Compra cartera'!$C$31,-'Compra cartera'!$C$14,,))</f>
        <v>#VALUE!</v>
      </c>
      <c r="M236" s="9" t="e">
        <f t="shared" si="21"/>
        <v>#VALUE!</v>
      </c>
      <c r="N236" s="7" t="e">
        <f>IF(C235&lt;1,"0",'Compra cartera'!$C$44)</f>
        <v>#VALUE!</v>
      </c>
      <c r="O236" s="9" t="e">
        <f t="shared" si="22"/>
        <v>#VALUE!</v>
      </c>
    </row>
    <row r="237" spans="2:15" ht="15.5" x14ac:dyDescent="0.35">
      <c r="B237" s="6" t="e">
        <f t="shared" si="23"/>
        <v>#VALUE!</v>
      </c>
      <c r="C237" s="7" t="e">
        <f t="shared" si="19"/>
        <v>#VALUE!</v>
      </c>
      <c r="D237" s="7" t="e">
        <f t="shared" si="24"/>
        <v>#VALUE!</v>
      </c>
      <c r="E237" s="7" t="e">
        <f>C236*'Compra cartera'!$E$17</f>
        <v>#VALUE!</v>
      </c>
      <c r="F237" s="8" t="e">
        <f>IF(C236&lt;1,"0",IF('Compra cartera'!$D$26="Si",($C$17*(VLOOKUP('Compra cartera'!$C$22,Seguros_Oblig!$A$3:$F$55,6,FALSE))),(C236*(VLOOKUP('Compra cartera'!$C$22,Seguros_Oblig!$A$3:$E$55,5,FALSE)))))</f>
        <v>#VALUE!</v>
      </c>
      <c r="G237" s="8" t="e">
        <f>(C236*(VLOOKUP('Compra cartera'!$C$23,Seguros_Oblig!$A$3:$E$55,5,FALSE)))</f>
        <v>#VALUE!</v>
      </c>
      <c r="H237" s="8" t="e">
        <f>(C236*(VLOOKUP('Compra cartera'!$C$24,Seguros_Oblig!$A$3:$E$55,5,FALSE)))</f>
        <v>#VALUE!</v>
      </c>
      <c r="I237" s="8" t="e">
        <f>(C236*(VLOOKUP('Compra cartera'!$C$25,Seguros_Oblig!$A$3:$E$55,5,FALSE)))</f>
        <v>#VALUE!</v>
      </c>
      <c r="J237" s="10">
        <f t="shared" si="20"/>
        <v>0</v>
      </c>
      <c r="K237" s="7" t="e">
        <f>IF(C236&lt;1,"0",Seguros_Oblig!$K$2*('Compra cartera'!$C$11*90%))</f>
        <v>#VALUE!</v>
      </c>
      <c r="L237" s="7" t="e">
        <f>IF(B237=" ","0",PMT('Compra cartera'!$E$17,'Compra cartera'!$C$31,-'Compra cartera'!$C$14,,))</f>
        <v>#VALUE!</v>
      </c>
      <c r="M237" s="9" t="e">
        <f t="shared" si="21"/>
        <v>#VALUE!</v>
      </c>
      <c r="N237" s="7" t="e">
        <f>IF(C236&lt;1,"0",'Compra cartera'!$C$44)</f>
        <v>#VALUE!</v>
      </c>
      <c r="O237" s="9" t="e">
        <f t="shared" si="22"/>
        <v>#VALUE!</v>
      </c>
    </row>
    <row r="238" spans="2:15" ht="15.5" x14ac:dyDescent="0.35">
      <c r="B238" s="6" t="e">
        <f t="shared" si="23"/>
        <v>#VALUE!</v>
      </c>
      <c r="C238" s="7" t="e">
        <f t="shared" si="19"/>
        <v>#VALUE!</v>
      </c>
      <c r="D238" s="7" t="e">
        <f t="shared" si="24"/>
        <v>#VALUE!</v>
      </c>
      <c r="E238" s="7" t="e">
        <f>C237*'Compra cartera'!$E$17</f>
        <v>#VALUE!</v>
      </c>
      <c r="F238" s="8" t="e">
        <f>IF(C237&lt;1,"0",IF('Compra cartera'!$D$26="Si",($C$17*(VLOOKUP('Compra cartera'!$C$22,Seguros_Oblig!$A$3:$F$55,6,FALSE))),(C237*(VLOOKUP('Compra cartera'!$C$22,Seguros_Oblig!$A$3:$E$55,5,FALSE)))))</f>
        <v>#VALUE!</v>
      </c>
      <c r="G238" s="8" t="e">
        <f>(C237*(VLOOKUP('Compra cartera'!$C$23,Seguros_Oblig!$A$3:$E$55,5,FALSE)))</f>
        <v>#VALUE!</v>
      </c>
      <c r="H238" s="8" t="e">
        <f>(C237*(VLOOKUP('Compra cartera'!$C$24,Seguros_Oblig!$A$3:$E$55,5,FALSE)))</f>
        <v>#VALUE!</v>
      </c>
      <c r="I238" s="8" t="e">
        <f>(C237*(VLOOKUP('Compra cartera'!$C$25,Seguros_Oblig!$A$3:$E$55,5,FALSE)))</f>
        <v>#VALUE!</v>
      </c>
      <c r="J238" s="10">
        <f t="shared" si="20"/>
        <v>0</v>
      </c>
      <c r="K238" s="7" t="e">
        <f>IF(C237&lt;1,"0",Seguros_Oblig!$K$2*('Compra cartera'!$C$11*90%))</f>
        <v>#VALUE!</v>
      </c>
      <c r="L238" s="7" t="e">
        <f>IF(B238=" ","0",PMT('Compra cartera'!$E$17,'Compra cartera'!$C$31,-'Compra cartera'!$C$14,,))</f>
        <v>#VALUE!</v>
      </c>
      <c r="M238" s="9" t="e">
        <f t="shared" si="21"/>
        <v>#VALUE!</v>
      </c>
      <c r="N238" s="7" t="e">
        <f>IF(C237&lt;1,"0",'Compra cartera'!$C$44)</f>
        <v>#VALUE!</v>
      </c>
      <c r="O238" s="9" t="e">
        <f t="shared" si="22"/>
        <v>#VALUE!</v>
      </c>
    </row>
    <row r="239" spans="2:15" ht="15.5" x14ac:dyDescent="0.35">
      <c r="B239" s="6" t="e">
        <f t="shared" si="23"/>
        <v>#VALUE!</v>
      </c>
      <c r="C239" s="7" t="e">
        <f t="shared" si="19"/>
        <v>#VALUE!</v>
      </c>
      <c r="D239" s="7" t="e">
        <f t="shared" si="24"/>
        <v>#VALUE!</v>
      </c>
      <c r="E239" s="7" t="e">
        <f>C238*'Compra cartera'!$E$17</f>
        <v>#VALUE!</v>
      </c>
      <c r="F239" s="8" t="e">
        <f>IF(C238&lt;1,"0",IF('Compra cartera'!$D$26="Si",($C$17*(VLOOKUP('Compra cartera'!$C$22,Seguros_Oblig!$A$3:$F$55,6,FALSE))),(C238*(VLOOKUP('Compra cartera'!$C$22,Seguros_Oblig!$A$3:$E$55,5,FALSE)))))</f>
        <v>#VALUE!</v>
      </c>
      <c r="G239" s="8" t="e">
        <f>(C238*(VLOOKUP('Compra cartera'!$C$23,Seguros_Oblig!$A$3:$E$55,5,FALSE)))</f>
        <v>#VALUE!</v>
      </c>
      <c r="H239" s="8" t="e">
        <f>(C238*(VLOOKUP('Compra cartera'!$C$24,Seguros_Oblig!$A$3:$E$55,5,FALSE)))</f>
        <v>#VALUE!</v>
      </c>
      <c r="I239" s="8" t="e">
        <f>(C238*(VLOOKUP('Compra cartera'!$C$25,Seguros_Oblig!$A$3:$E$55,5,FALSE)))</f>
        <v>#VALUE!</v>
      </c>
      <c r="J239" s="10">
        <f t="shared" si="20"/>
        <v>0</v>
      </c>
      <c r="K239" s="7" t="e">
        <f>IF(C238&lt;1,"0",Seguros_Oblig!$K$2*('Compra cartera'!$C$11*90%))</f>
        <v>#VALUE!</v>
      </c>
      <c r="L239" s="7" t="e">
        <f>IF(B239=" ","0",PMT('Compra cartera'!$E$17,'Compra cartera'!$C$31,-'Compra cartera'!$C$14,,))</f>
        <v>#VALUE!</v>
      </c>
      <c r="M239" s="9" t="e">
        <f t="shared" si="21"/>
        <v>#VALUE!</v>
      </c>
      <c r="N239" s="7" t="e">
        <f>IF(C238&lt;1,"0",'Compra cartera'!$C$44)</f>
        <v>#VALUE!</v>
      </c>
      <c r="O239" s="9" t="e">
        <f t="shared" si="22"/>
        <v>#VALUE!</v>
      </c>
    </row>
    <row r="240" spans="2:15" ht="15.5" x14ac:dyDescent="0.35">
      <c r="B240" s="6" t="e">
        <f t="shared" si="23"/>
        <v>#VALUE!</v>
      </c>
      <c r="C240" s="7" t="e">
        <f t="shared" si="19"/>
        <v>#VALUE!</v>
      </c>
      <c r="D240" s="7" t="e">
        <f t="shared" si="24"/>
        <v>#VALUE!</v>
      </c>
      <c r="E240" s="7" t="e">
        <f>C239*'Compra cartera'!$E$17</f>
        <v>#VALUE!</v>
      </c>
      <c r="F240" s="8" t="e">
        <f>IF(C239&lt;1,"0",IF('Compra cartera'!$D$26="Si",($C$17*(VLOOKUP('Compra cartera'!$C$22,Seguros_Oblig!$A$3:$F$55,6,FALSE))),(C239*(VLOOKUP('Compra cartera'!$C$22,Seguros_Oblig!$A$3:$E$55,5,FALSE)))))</f>
        <v>#VALUE!</v>
      </c>
      <c r="G240" s="8" t="e">
        <f>(C239*(VLOOKUP('Compra cartera'!$C$23,Seguros_Oblig!$A$3:$E$55,5,FALSE)))</f>
        <v>#VALUE!</v>
      </c>
      <c r="H240" s="8" t="e">
        <f>(C239*(VLOOKUP('Compra cartera'!$C$24,Seguros_Oblig!$A$3:$E$55,5,FALSE)))</f>
        <v>#VALUE!</v>
      </c>
      <c r="I240" s="8" t="e">
        <f>(C239*(VLOOKUP('Compra cartera'!$C$25,Seguros_Oblig!$A$3:$E$55,5,FALSE)))</f>
        <v>#VALUE!</v>
      </c>
      <c r="J240" s="10">
        <f t="shared" si="20"/>
        <v>0</v>
      </c>
      <c r="K240" s="7" t="e">
        <f>IF(C239&lt;1,"0",Seguros_Oblig!$K$2*('Compra cartera'!$C$11*90%))</f>
        <v>#VALUE!</v>
      </c>
      <c r="L240" s="7" t="e">
        <f>IF(B240=" ","0",PMT('Compra cartera'!$E$17,'Compra cartera'!$C$31,-'Compra cartera'!$C$14,,))</f>
        <v>#VALUE!</v>
      </c>
      <c r="M240" s="9" t="e">
        <f t="shared" si="21"/>
        <v>#VALUE!</v>
      </c>
      <c r="N240" s="7" t="e">
        <f>IF(C239&lt;1,"0",'Compra cartera'!$C$44)</f>
        <v>#VALUE!</v>
      </c>
      <c r="O240" s="9" t="e">
        <f t="shared" si="22"/>
        <v>#VALUE!</v>
      </c>
    </row>
    <row r="241" spans="2:15" ht="15.5" x14ac:dyDescent="0.35">
      <c r="B241" s="6" t="e">
        <f t="shared" si="23"/>
        <v>#VALUE!</v>
      </c>
      <c r="C241" s="7" t="e">
        <f t="shared" si="19"/>
        <v>#VALUE!</v>
      </c>
      <c r="D241" s="7" t="e">
        <f t="shared" si="24"/>
        <v>#VALUE!</v>
      </c>
      <c r="E241" s="7" t="e">
        <f>C240*'Compra cartera'!$E$17</f>
        <v>#VALUE!</v>
      </c>
      <c r="F241" s="8" t="e">
        <f>IF(C240&lt;1,"0",IF('Compra cartera'!$D$26="Si",($C$17*(VLOOKUP('Compra cartera'!$C$22,Seguros_Oblig!$A$3:$F$55,6,FALSE))),(C240*(VLOOKUP('Compra cartera'!$C$22,Seguros_Oblig!$A$3:$E$55,5,FALSE)))))</f>
        <v>#VALUE!</v>
      </c>
      <c r="G241" s="8" t="e">
        <f>(C240*(VLOOKUP('Compra cartera'!$C$23,Seguros_Oblig!$A$3:$E$55,5,FALSE)))</f>
        <v>#VALUE!</v>
      </c>
      <c r="H241" s="8" t="e">
        <f>(C240*(VLOOKUP('Compra cartera'!$C$24,Seguros_Oblig!$A$3:$E$55,5,FALSE)))</f>
        <v>#VALUE!</v>
      </c>
      <c r="I241" s="8" t="e">
        <f>(C240*(VLOOKUP('Compra cartera'!$C$25,Seguros_Oblig!$A$3:$E$55,5,FALSE)))</f>
        <v>#VALUE!</v>
      </c>
      <c r="J241" s="10">
        <f t="shared" si="20"/>
        <v>0</v>
      </c>
      <c r="K241" s="7" t="e">
        <f>IF(C240&lt;1,"0",Seguros_Oblig!$K$2*('Compra cartera'!$C$11*90%))</f>
        <v>#VALUE!</v>
      </c>
      <c r="L241" s="7" t="e">
        <f>IF(B241=" ","0",PMT('Compra cartera'!$E$17,'Compra cartera'!$C$31,-'Compra cartera'!$C$14,,))</f>
        <v>#VALUE!</v>
      </c>
      <c r="M241" s="9" t="e">
        <f t="shared" si="21"/>
        <v>#VALUE!</v>
      </c>
      <c r="N241" s="7" t="e">
        <f>IF(C240&lt;1,"0",'Compra cartera'!$C$44)</f>
        <v>#VALUE!</v>
      </c>
      <c r="O241" s="9" t="e">
        <f t="shared" si="22"/>
        <v>#VALUE!</v>
      </c>
    </row>
    <row r="242" spans="2:15" ht="15.5" x14ac:dyDescent="0.35">
      <c r="B242" s="6" t="e">
        <f t="shared" si="23"/>
        <v>#VALUE!</v>
      </c>
      <c r="C242" s="7" t="e">
        <f t="shared" si="19"/>
        <v>#VALUE!</v>
      </c>
      <c r="D242" s="7" t="e">
        <f t="shared" si="24"/>
        <v>#VALUE!</v>
      </c>
      <c r="E242" s="7" t="e">
        <f>C241*'Compra cartera'!$E$17</f>
        <v>#VALUE!</v>
      </c>
      <c r="F242" s="8" t="e">
        <f>IF(C241&lt;1,"0",IF('Compra cartera'!$D$26="Si",($C$17*(VLOOKUP('Compra cartera'!$C$22,Seguros_Oblig!$A$3:$F$55,6,FALSE))),(C241*(VLOOKUP('Compra cartera'!$C$22,Seguros_Oblig!$A$3:$E$55,5,FALSE)))))</f>
        <v>#VALUE!</v>
      </c>
      <c r="G242" s="8" t="e">
        <f>(C241*(VLOOKUP('Compra cartera'!$C$23,Seguros_Oblig!$A$3:$E$55,5,FALSE)))</f>
        <v>#VALUE!</v>
      </c>
      <c r="H242" s="8" t="e">
        <f>(C241*(VLOOKUP('Compra cartera'!$C$24,Seguros_Oblig!$A$3:$E$55,5,FALSE)))</f>
        <v>#VALUE!</v>
      </c>
      <c r="I242" s="8" t="e">
        <f>(C241*(VLOOKUP('Compra cartera'!$C$25,Seguros_Oblig!$A$3:$E$55,5,FALSE)))</f>
        <v>#VALUE!</v>
      </c>
      <c r="J242" s="10">
        <f t="shared" si="20"/>
        <v>0</v>
      </c>
      <c r="K242" s="7" t="e">
        <f>IF(C241&lt;1,"0",Seguros_Oblig!$K$2*('Compra cartera'!$C$11*90%))</f>
        <v>#VALUE!</v>
      </c>
      <c r="L242" s="7" t="e">
        <f>IF(B242=" ","0",PMT('Compra cartera'!$E$17,'Compra cartera'!$C$31,-'Compra cartera'!$C$14,,))</f>
        <v>#VALUE!</v>
      </c>
      <c r="M242" s="9" t="e">
        <f t="shared" si="21"/>
        <v>#VALUE!</v>
      </c>
      <c r="N242" s="7" t="e">
        <f>IF(C241&lt;1,"0",'Compra cartera'!$C$44)</f>
        <v>#VALUE!</v>
      </c>
      <c r="O242" s="9" t="e">
        <f t="shared" si="22"/>
        <v>#VALUE!</v>
      </c>
    </row>
    <row r="243" spans="2:15" ht="15.5" x14ac:dyDescent="0.35">
      <c r="B243" s="6" t="e">
        <f t="shared" si="23"/>
        <v>#VALUE!</v>
      </c>
      <c r="C243" s="7" t="e">
        <f t="shared" si="19"/>
        <v>#VALUE!</v>
      </c>
      <c r="D243" s="7" t="e">
        <f t="shared" si="24"/>
        <v>#VALUE!</v>
      </c>
      <c r="E243" s="7" t="e">
        <f>C242*'Compra cartera'!$E$17</f>
        <v>#VALUE!</v>
      </c>
      <c r="F243" s="8" t="e">
        <f>IF(C242&lt;1,"0",IF('Compra cartera'!$D$26="Si",($C$17*(VLOOKUP('Compra cartera'!$C$22,Seguros_Oblig!$A$3:$F$55,6,FALSE))),(C242*(VLOOKUP('Compra cartera'!$C$22,Seguros_Oblig!$A$3:$E$55,5,FALSE)))))</f>
        <v>#VALUE!</v>
      </c>
      <c r="G243" s="8" t="e">
        <f>(C242*(VLOOKUP('Compra cartera'!$C$23,Seguros_Oblig!$A$3:$E$55,5,FALSE)))</f>
        <v>#VALUE!</v>
      </c>
      <c r="H243" s="8" t="e">
        <f>(C242*(VLOOKUP('Compra cartera'!$C$24,Seguros_Oblig!$A$3:$E$55,5,FALSE)))</f>
        <v>#VALUE!</v>
      </c>
      <c r="I243" s="8" t="e">
        <f>(C242*(VLOOKUP('Compra cartera'!$C$25,Seguros_Oblig!$A$3:$E$55,5,FALSE)))</f>
        <v>#VALUE!</v>
      </c>
      <c r="J243" s="10">
        <f t="shared" si="20"/>
        <v>0</v>
      </c>
      <c r="K243" s="7" t="e">
        <f>IF(C242&lt;1,"0",Seguros_Oblig!$K$2*('Compra cartera'!$C$11*90%))</f>
        <v>#VALUE!</v>
      </c>
      <c r="L243" s="7" t="e">
        <f>IF(B243=" ","0",PMT('Compra cartera'!$E$17,'Compra cartera'!$C$31,-'Compra cartera'!$C$14,,))</f>
        <v>#VALUE!</v>
      </c>
      <c r="M243" s="9" t="e">
        <f t="shared" si="21"/>
        <v>#VALUE!</v>
      </c>
      <c r="N243" s="7" t="e">
        <f>IF(C242&lt;1,"0",'Compra cartera'!$C$44)</f>
        <v>#VALUE!</v>
      </c>
      <c r="O243" s="9" t="e">
        <f t="shared" si="22"/>
        <v>#VALUE!</v>
      </c>
    </row>
    <row r="244" spans="2:15" ht="15.5" x14ac:dyDescent="0.35">
      <c r="B244" s="6" t="e">
        <f t="shared" si="23"/>
        <v>#VALUE!</v>
      </c>
      <c r="C244" s="7" t="e">
        <f t="shared" si="19"/>
        <v>#VALUE!</v>
      </c>
      <c r="D244" s="7" t="e">
        <f t="shared" si="24"/>
        <v>#VALUE!</v>
      </c>
      <c r="E244" s="7" t="e">
        <f>C243*'Compra cartera'!$E$17</f>
        <v>#VALUE!</v>
      </c>
      <c r="F244" s="8" t="e">
        <f>IF(C243&lt;1,"0",IF('Compra cartera'!$D$26="Si",($C$17*(VLOOKUP('Compra cartera'!$C$22,Seguros_Oblig!$A$3:$F$55,6,FALSE))),(C243*(VLOOKUP('Compra cartera'!$C$22,Seguros_Oblig!$A$3:$E$55,5,FALSE)))))</f>
        <v>#VALUE!</v>
      </c>
      <c r="G244" s="8" t="e">
        <f>(C243*(VLOOKUP('Compra cartera'!$C$23,Seguros_Oblig!$A$3:$E$55,5,FALSE)))</f>
        <v>#VALUE!</v>
      </c>
      <c r="H244" s="8" t="e">
        <f>(C243*(VLOOKUP('Compra cartera'!$C$24,Seguros_Oblig!$A$3:$E$55,5,FALSE)))</f>
        <v>#VALUE!</v>
      </c>
      <c r="I244" s="8" t="e">
        <f>(C243*(VLOOKUP('Compra cartera'!$C$25,Seguros_Oblig!$A$3:$E$55,5,FALSE)))</f>
        <v>#VALUE!</v>
      </c>
      <c r="J244" s="10">
        <f t="shared" si="20"/>
        <v>0</v>
      </c>
      <c r="K244" s="7" t="e">
        <f>IF(C243&lt;1,"0",Seguros_Oblig!$K$2*('Compra cartera'!$C$11*90%))</f>
        <v>#VALUE!</v>
      </c>
      <c r="L244" s="7" t="e">
        <f>IF(B244=" ","0",PMT('Compra cartera'!$E$17,'Compra cartera'!$C$31,-'Compra cartera'!$C$14,,))</f>
        <v>#VALUE!</v>
      </c>
      <c r="M244" s="9" t="e">
        <f t="shared" si="21"/>
        <v>#VALUE!</v>
      </c>
      <c r="N244" s="7" t="e">
        <f>IF(C243&lt;1,"0",'Compra cartera'!$C$44)</f>
        <v>#VALUE!</v>
      </c>
      <c r="O244" s="9" t="e">
        <f t="shared" si="22"/>
        <v>#VALUE!</v>
      </c>
    </row>
    <row r="245" spans="2:15" ht="15.5" x14ac:dyDescent="0.35">
      <c r="B245" s="6" t="e">
        <f t="shared" si="23"/>
        <v>#VALUE!</v>
      </c>
      <c r="C245" s="7" t="e">
        <f t="shared" si="19"/>
        <v>#VALUE!</v>
      </c>
      <c r="D245" s="7" t="e">
        <f t="shared" si="24"/>
        <v>#VALUE!</v>
      </c>
      <c r="E245" s="7" t="e">
        <f>C244*'Compra cartera'!$E$17</f>
        <v>#VALUE!</v>
      </c>
      <c r="F245" s="8" t="e">
        <f>IF(C244&lt;1,"0",IF('Compra cartera'!$D$26="Si",($C$17*(VLOOKUP('Compra cartera'!$C$22,Seguros_Oblig!$A$3:$F$55,6,FALSE))),(C244*(VLOOKUP('Compra cartera'!$C$22,Seguros_Oblig!$A$3:$E$55,5,FALSE)))))</f>
        <v>#VALUE!</v>
      </c>
      <c r="G245" s="8" t="e">
        <f>(C244*(VLOOKUP('Compra cartera'!$C$23,Seguros_Oblig!$A$3:$E$55,5,FALSE)))</f>
        <v>#VALUE!</v>
      </c>
      <c r="H245" s="8" t="e">
        <f>(C244*(VLOOKUP('Compra cartera'!$C$24,Seguros_Oblig!$A$3:$E$55,5,FALSE)))</f>
        <v>#VALUE!</v>
      </c>
      <c r="I245" s="8" t="e">
        <f>(C244*(VLOOKUP('Compra cartera'!$C$25,Seguros_Oblig!$A$3:$E$55,5,FALSE)))</f>
        <v>#VALUE!</v>
      </c>
      <c r="J245" s="10">
        <f t="shared" si="20"/>
        <v>0</v>
      </c>
      <c r="K245" s="7" t="e">
        <f>IF(C244&lt;1,"0",Seguros_Oblig!$K$2*('Compra cartera'!$C$11*90%))</f>
        <v>#VALUE!</v>
      </c>
      <c r="L245" s="7" t="e">
        <f>IF(B245=" ","0",PMT('Compra cartera'!$E$17,'Compra cartera'!$C$31,-'Compra cartera'!$C$14,,))</f>
        <v>#VALUE!</v>
      </c>
      <c r="M245" s="9" t="e">
        <f t="shared" si="21"/>
        <v>#VALUE!</v>
      </c>
      <c r="N245" s="7" t="e">
        <f>IF(C244&lt;1,"0",'Compra cartera'!$C$44)</f>
        <v>#VALUE!</v>
      </c>
      <c r="O245" s="9" t="e">
        <f t="shared" si="22"/>
        <v>#VALUE!</v>
      </c>
    </row>
    <row r="246" spans="2:15" ht="15.5" x14ac:dyDescent="0.35">
      <c r="B246" s="6" t="e">
        <f t="shared" si="23"/>
        <v>#VALUE!</v>
      </c>
      <c r="C246" s="7" t="e">
        <f t="shared" si="19"/>
        <v>#VALUE!</v>
      </c>
      <c r="D246" s="7" t="e">
        <f t="shared" si="24"/>
        <v>#VALUE!</v>
      </c>
      <c r="E246" s="7" t="e">
        <f>C245*'Compra cartera'!$E$17</f>
        <v>#VALUE!</v>
      </c>
      <c r="F246" s="8" t="e">
        <f>IF(C245&lt;1,"0",IF('Compra cartera'!$D$26="Si",($C$17*(VLOOKUP('Compra cartera'!$C$22,Seguros_Oblig!$A$3:$F$55,6,FALSE))),(C245*(VLOOKUP('Compra cartera'!$C$22,Seguros_Oblig!$A$3:$E$55,5,FALSE)))))</f>
        <v>#VALUE!</v>
      </c>
      <c r="G246" s="8" t="e">
        <f>(C245*(VLOOKUP('Compra cartera'!$C$23,Seguros_Oblig!$A$3:$E$55,5,FALSE)))</f>
        <v>#VALUE!</v>
      </c>
      <c r="H246" s="8" t="e">
        <f>(C245*(VLOOKUP('Compra cartera'!$C$24,Seguros_Oblig!$A$3:$E$55,5,FALSE)))</f>
        <v>#VALUE!</v>
      </c>
      <c r="I246" s="8" t="e">
        <f>(C245*(VLOOKUP('Compra cartera'!$C$25,Seguros_Oblig!$A$3:$E$55,5,FALSE)))</f>
        <v>#VALUE!</v>
      </c>
      <c r="J246" s="10">
        <f t="shared" si="20"/>
        <v>0</v>
      </c>
      <c r="K246" s="7" t="e">
        <f>IF(C245&lt;1,"0",Seguros_Oblig!$K$2*('Compra cartera'!$C$11*90%))</f>
        <v>#VALUE!</v>
      </c>
      <c r="L246" s="7" t="e">
        <f>IF(B246=" ","0",PMT('Compra cartera'!$E$17,'Compra cartera'!$C$31,-'Compra cartera'!$C$14,,))</f>
        <v>#VALUE!</v>
      </c>
      <c r="M246" s="9" t="e">
        <f t="shared" si="21"/>
        <v>#VALUE!</v>
      </c>
      <c r="N246" s="7" t="e">
        <f>IF(C245&lt;1,"0",'Compra cartera'!$C$44)</f>
        <v>#VALUE!</v>
      </c>
      <c r="O246" s="9" t="e">
        <f t="shared" si="22"/>
        <v>#VALUE!</v>
      </c>
    </row>
    <row r="247" spans="2:15" ht="15.5" x14ac:dyDescent="0.35">
      <c r="B247" s="6" t="e">
        <f t="shared" si="23"/>
        <v>#VALUE!</v>
      </c>
      <c r="C247" s="7" t="e">
        <f t="shared" si="19"/>
        <v>#VALUE!</v>
      </c>
      <c r="D247" s="7" t="e">
        <f t="shared" si="24"/>
        <v>#VALUE!</v>
      </c>
      <c r="E247" s="7" t="e">
        <f>C246*'Compra cartera'!$E$17</f>
        <v>#VALUE!</v>
      </c>
      <c r="F247" s="8" t="e">
        <f>IF(C246&lt;1,"0",IF('Compra cartera'!$D$26="Si",($C$17*(VLOOKUP('Compra cartera'!$C$22,Seguros_Oblig!$A$3:$F$55,6,FALSE))),(C246*(VLOOKUP('Compra cartera'!$C$22,Seguros_Oblig!$A$3:$E$55,5,FALSE)))))</f>
        <v>#VALUE!</v>
      </c>
      <c r="G247" s="8" t="e">
        <f>(C246*(VLOOKUP('Compra cartera'!$C$23,Seguros_Oblig!$A$3:$E$55,5,FALSE)))</f>
        <v>#VALUE!</v>
      </c>
      <c r="H247" s="8" t="e">
        <f>(C246*(VLOOKUP('Compra cartera'!$C$24,Seguros_Oblig!$A$3:$E$55,5,FALSE)))</f>
        <v>#VALUE!</v>
      </c>
      <c r="I247" s="8" t="e">
        <f>(C246*(VLOOKUP('Compra cartera'!$C$25,Seguros_Oblig!$A$3:$E$55,5,FALSE)))</f>
        <v>#VALUE!</v>
      </c>
      <c r="J247" s="10">
        <f t="shared" si="20"/>
        <v>0</v>
      </c>
      <c r="K247" s="7" t="e">
        <f>IF(C246&lt;1,"0",Seguros_Oblig!$K$2*('Compra cartera'!$C$11*90%))</f>
        <v>#VALUE!</v>
      </c>
      <c r="L247" s="7" t="e">
        <f>IF(B247=" ","0",PMT('Compra cartera'!$E$17,'Compra cartera'!$C$31,-'Compra cartera'!$C$14,,))</f>
        <v>#VALUE!</v>
      </c>
      <c r="M247" s="9" t="e">
        <f t="shared" si="21"/>
        <v>#VALUE!</v>
      </c>
      <c r="N247" s="7" t="e">
        <f>IF(C246&lt;1,"0",'Compra cartera'!$C$44)</f>
        <v>#VALUE!</v>
      </c>
      <c r="O247" s="9" t="e">
        <f t="shared" si="22"/>
        <v>#VALUE!</v>
      </c>
    </row>
    <row r="248" spans="2:15" ht="15.5" x14ac:dyDescent="0.35">
      <c r="B248" s="6" t="e">
        <f t="shared" si="23"/>
        <v>#VALUE!</v>
      </c>
      <c r="C248" s="7" t="e">
        <f t="shared" si="19"/>
        <v>#VALUE!</v>
      </c>
      <c r="D248" s="7" t="e">
        <f t="shared" si="24"/>
        <v>#VALUE!</v>
      </c>
      <c r="E248" s="7" t="e">
        <f>C247*'Compra cartera'!$E$17</f>
        <v>#VALUE!</v>
      </c>
      <c r="F248" s="8" t="e">
        <f>IF(C247&lt;1,"0",IF('Compra cartera'!$D$26="Si",($C$17*(VLOOKUP('Compra cartera'!$C$22,Seguros_Oblig!$A$3:$F$55,6,FALSE))),(C247*(VLOOKUP('Compra cartera'!$C$22,Seguros_Oblig!$A$3:$E$55,5,FALSE)))))</f>
        <v>#VALUE!</v>
      </c>
      <c r="G248" s="8" t="e">
        <f>(C247*(VLOOKUP('Compra cartera'!$C$23,Seguros_Oblig!$A$3:$E$55,5,FALSE)))</f>
        <v>#VALUE!</v>
      </c>
      <c r="H248" s="8" t="e">
        <f>(C247*(VLOOKUP('Compra cartera'!$C$24,Seguros_Oblig!$A$3:$E$55,5,FALSE)))</f>
        <v>#VALUE!</v>
      </c>
      <c r="I248" s="8" t="e">
        <f>(C247*(VLOOKUP('Compra cartera'!$C$25,Seguros_Oblig!$A$3:$E$55,5,FALSE)))</f>
        <v>#VALUE!</v>
      </c>
      <c r="J248" s="10">
        <f t="shared" si="20"/>
        <v>0</v>
      </c>
      <c r="K248" s="7" t="e">
        <f>IF(C247&lt;1,"0",Seguros_Oblig!$K$2*('Compra cartera'!$C$11*90%))</f>
        <v>#VALUE!</v>
      </c>
      <c r="L248" s="7" t="e">
        <f>IF(B248=" ","0",PMT('Compra cartera'!$E$17,'Compra cartera'!$C$31,-'Compra cartera'!$C$14,,))</f>
        <v>#VALUE!</v>
      </c>
      <c r="M248" s="9" t="e">
        <f t="shared" si="21"/>
        <v>#VALUE!</v>
      </c>
      <c r="N248" s="7" t="e">
        <f>IF(C247&lt;1,"0",'Compra cartera'!$C$44)</f>
        <v>#VALUE!</v>
      </c>
      <c r="O248" s="9" t="e">
        <f t="shared" si="22"/>
        <v>#VALUE!</v>
      </c>
    </row>
    <row r="249" spans="2:15" ht="15.5" x14ac:dyDescent="0.35">
      <c r="B249" s="6" t="e">
        <f t="shared" si="23"/>
        <v>#VALUE!</v>
      </c>
      <c r="C249" s="7" t="e">
        <f t="shared" si="19"/>
        <v>#VALUE!</v>
      </c>
      <c r="D249" s="7" t="e">
        <f t="shared" si="24"/>
        <v>#VALUE!</v>
      </c>
      <c r="E249" s="7" t="e">
        <f>C248*'Compra cartera'!$E$17</f>
        <v>#VALUE!</v>
      </c>
      <c r="F249" s="8" t="e">
        <f>IF(C248&lt;1,"0",IF('Compra cartera'!$D$26="Si",($C$17*(VLOOKUP('Compra cartera'!$C$22,Seguros_Oblig!$A$3:$F$55,6,FALSE))),(C248*(VLOOKUP('Compra cartera'!$C$22,Seguros_Oblig!$A$3:$E$55,5,FALSE)))))</f>
        <v>#VALUE!</v>
      </c>
      <c r="G249" s="8" t="e">
        <f>(C248*(VLOOKUP('Compra cartera'!$C$23,Seguros_Oblig!$A$3:$E$55,5,FALSE)))</f>
        <v>#VALUE!</v>
      </c>
      <c r="H249" s="8" t="e">
        <f>(C248*(VLOOKUP('Compra cartera'!$C$24,Seguros_Oblig!$A$3:$E$55,5,FALSE)))</f>
        <v>#VALUE!</v>
      </c>
      <c r="I249" s="8" t="e">
        <f>(C248*(VLOOKUP('Compra cartera'!$C$25,Seguros_Oblig!$A$3:$E$55,5,FALSE)))</f>
        <v>#VALUE!</v>
      </c>
      <c r="J249" s="10">
        <f t="shared" si="20"/>
        <v>0</v>
      </c>
      <c r="K249" s="7" t="e">
        <f>IF(C248&lt;1,"0",Seguros_Oblig!$K$2*('Compra cartera'!$C$11*90%))</f>
        <v>#VALUE!</v>
      </c>
      <c r="L249" s="7" t="e">
        <f>IF(B249=" ","0",PMT('Compra cartera'!$E$17,'Compra cartera'!$C$31,-'Compra cartera'!$C$14,,))</f>
        <v>#VALUE!</v>
      </c>
      <c r="M249" s="9" t="e">
        <f t="shared" si="21"/>
        <v>#VALUE!</v>
      </c>
      <c r="N249" s="7" t="e">
        <f>IF(C248&lt;1,"0",'Compra cartera'!$C$44)</f>
        <v>#VALUE!</v>
      </c>
      <c r="O249" s="9" t="e">
        <f t="shared" si="22"/>
        <v>#VALUE!</v>
      </c>
    </row>
    <row r="250" spans="2:15" ht="15.5" x14ac:dyDescent="0.35">
      <c r="B250" s="6" t="e">
        <f t="shared" si="23"/>
        <v>#VALUE!</v>
      </c>
      <c r="C250" s="7" t="e">
        <f t="shared" si="19"/>
        <v>#VALUE!</v>
      </c>
      <c r="D250" s="7" t="e">
        <f t="shared" si="24"/>
        <v>#VALUE!</v>
      </c>
      <c r="E250" s="7" t="e">
        <f>C249*'Compra cartera'!$E$17</f>
        <v>#VALUE!</v>
      </c>
      <c r="F250" s="8" t="e">
        <f>IF(C249&lt;1,"0",IF('Compra cartera'!$D$26="Si",($C$17*(VLOOKUP('Compra cartera'!$C$22,Seguros_Oblig!$A$3:$F$55,6,FALSE))),(C249*(VLOOKUP('Compra cartera'!$C$22,Seguros_Oblig!$A$3:$E$55,5,FALSE)))))</f>
        <v>#VALUE!</v>
      </c>
      <c r="G250" s="8" t="e">
        <f>(C249*(VLOOKUP('Compra cartera'!$C$23,Seguros_Oblig!$A$3:$E$55,5,FALSE)))</f>
        <v>#VALUE!</v>
      </c>
      <c r="H250" s="8" t="e">
        <f>(C249*(VLOOKUP('Compra cartera'!$C$24,Seguros_Oblig!$A$3:$E$55,5,FALSE)))</f>
        <v>#VALUE!</v>
      </c>
      <c r="I250" s="8" t="e">
        <f>(C249*(VLOOKUP('Compra cartera'!$C$25,Seguros_Oblig!$A$3:$E$55,5,FALSE)))</f>
        <v>#VALUE!</v>
      </c>
      <c r="J250" s="10">
        <f t="shared" si="20"/>
        <v>0</v>
      </c>
      <c r="K250" s="7" t="e">
        <f>IF(C249&lt;1,"0",Seguros_Oblig!$K$2*('Compra cartera'!$C$11*90%))</f>
        <v>#VALUE!</v>
      </c>
      <c r="L250" s="7" t="e">
        <f>IF(B250=" ","0",PMT('Compra cartera'!$E$17,'Compra cartera'!$C$31,-'Compra cartera'!$C$14,,))</f>
        <v>#VALUE!</v>
      </c>
      <c r="M250" s="9" t="e">
        <f t="shared" si="21"/>
        <v>#VALUE!</v>
      </c>
      <c r="N250" s="7" t="e">
        <f>IF(C249&lt;1,"0",'Compra cartera'!$C$44)</f>
        <v>#VALUE!</v>
      </c>
      <c r="O250" s="9" t="e">
        <f t="shared" si="22"/>
        <v>#VALUE!</v>
      </c>
    </row>
    <row r="251" spans="2:15" ht="15.5" x14ac:dyDescent="0.35">
      <c r="B251" s="6" t="e">
        <f t="shared" si="23"/>
        <v>#VALUE!</v>
      </c>
      <c r="C251" s="7" t="e">
        <f t="shared" si="19"/>
        <v>#VALUE!</v>
      </c>
      <c r="D251" s="7" t="e">
        <f t="shared" si="24"/>
        <v>#VALUE!</v>
      </c>
      <c r="E251" s="7" t="e">
        <f>C250*'Compra cartera'!$E$17</f>
        <v>#VALUE!</v>
      </c>
      <c r="F251" s="8" t="e">
        <f>IF(C250&lt;1,"0",IF('Compra cartera'!$D$26="Si",($C$17*(VLOOKUP('Compra cartera'!$C$22,Seguros_Oblig!$A$3:$F$55,6,FALSE))),(C250*(VLOOKUP('Compra cartera'!$C$22,Seguros_Oblig!$A$3:$E$55,5,FALSE)))))</f>
        <v>#VALUE!</v>
      </c>
      <c r="G251" s="8" t="e">
        <f>(C250*(VLOOKUP('Compra cartera'!$C$23,Seguros_Oblig!$A$3:$E$55,5,FALSE)))</f>
        <v>#VALUE!</v>
      </c>
      <c r="H251" s="8" t="e">
        <f>(C250*(VLOOKUP('Compra cartera'!$C$24,Seguros_Oblig!$A$3:$E$55,5,FALSE)))</f>
        <v>#VALUE!</v>
      </c>
      <c r="I251" s="8" t="e">
        <f>(C250*(VLOOKUP('Compra cartera'!$C$25,Seguros_Oblig!$A$3:$E$55,5,FALSE)))</f>
        <v>#VALUE!</v>
      </c>
      <c r="J251" s="10">
        <f t="shared" si="20"/>
        <v>0</v>
      </c>
      <c r="K251" s="7" t="e">
        <f>IF(C250&lt;1,"0",Seguros_Oblig!$K$2*('Compra cartera'!$C$11*90%))</f>
        <v>#VALUE!</v>
      </c>
      <c r="L251" s="7" t="e">
        <f>IF(B251=" ","0",PMT('Compra cartera'!$E$17,'Compra cartera'!$C$31,-'Compra cartera'!$C$14,,))</f>
        <v>#VALUE!</v>
      </c>
      <c r="M251" s="9" t="e">
        <f t="shared" si="21"/>
        <v>#VALUE!</v>
      </c>
      <c r="N251" s="7" t="e">
        <f>IF(C250&lt;1,"0",'Compra cartera'!$C$44)</f>
        <v>#VALUE!</v>
      </c>
      <c r="O251" s="9" t="e">
        <f t="shared" si="22"/>
        <v>#VALUE!</v>
      </c>
    </row>
    <row r="252" spans="2:15" ht="15.5" x14ac:dyDescent="0.35">
      <c r="B252" s="6" t="e">
        <f t="shared" si="23"/>
        <v>#VALUE!</v>
      </c>
      <c r="C252" s="7" t="e">
        <f t="shared" si="19"/>
        <v>#VALUE!</v>
      </c>
      <c r="D252" s="7" t="e">
        <f t="shared" si="24"/>
        <v>#VALUE!</v>
      </c>
      <c r="E252" s="7" t="e">
        <f>C251*'Compra cartera'!$E$17</f>
        <v>#VALUE!</v>
      </c>
      <c r="F252" s="8" t="e">
        <f>IF(C251&lt;1,"0",IF('Compra cartera'!$D$26="Si",($C$17*(VLOOKUP('Compra cartera'!$C$22,Seguros_Oblig!$A$3:$F$55,6,FALSE))),(C251*(VLOOKUP('Compra cartera'!$C$22,Seguros_Oblig!$A$3:$E$55,5,FALSE)))))</f>
        <v>#VALUE!</v>
      </c>
      <c r="G252" s="8" t="e">
        <f>(C251*(VLOOKUP('Compra cartera'!$C$23,Seguros_Oblig!$A$3:$E$55,5,FALSE)))</f>
        <v>#VALUE!</v>
      </c>
      <c r="H252" s="8" t="e">
        <f>(C251*(VLOOKUP('Compra cartera'!$C$24,Seguros_Oblig!$A$3:$E$55,5,FALSE)))</f>
        <v>#VALUE!</v>
      </c>
      <c r="I252" s="8" t="e">
        <f>(C251*(VLOOKUP('Compra cartera'!$C$25,Seguros_Oblig!$A$3:$E$55,5,FALSE)))</f>
        <v>#VALUE!</v>
      </c>
      <c r="J252" s="10">
        <f t="shared" si="20"/>
        <v>0</v>
      </c>
      <c r="K252" s="7" t="e">
        <f>IF(C251&lt;1,"0",Seguros_Oblig!$K$2*('Compra cartera'!$C$11*90%))</f>
        <v>#VALUE!</v>
      </c>
      <c r="L252" s="7" t="e">
        <f>IF(B252=" ","0",PMT('Compra cartera'!$E$17,'Compra cartera'!$C$31,-'Compra cartera'!$C$14,,))</f>
        <v>#VALUE!</v>
      </c>
      <c r="M252" s="9" t="e">
        <f t="shared" si="21"/>
        <v>#VALUE!</v>
      </c>
      <c r="N252" s="7" t="e">
        <f>IF(C251&lt;1,"0",'Compra cartera'!$C$44)</f>
        <v>#VALUE!</v>
      </c>
      <c r="O252" s="9" t="e">
        <f t="shared" si="22"/>
        <v>#VALUE!</v>
      </c>
    </row>
    <row r="253" spans="2:15" ht="15.5" x14ac:dyDescent="0.35">
      <c r="B253" s="6" t="e">
        <f t="shared" si="23"/>
        <v>#VALUE!</v>
      </c>
      <c r="C253" s="7" t="e">
        <f t="shared" si="19"/>
        <v>#VALUE!</v>
      </c>
      <c r="D253" s="7" t="e">
        <f t="shared" si="24"/>
        <v>#VALUE!</v>
      </c>
      <c r="E253" s="7" t="e">
        <f>C252*'Compra cartera'!$E$17</f>
        <v>#VALUE!</v>
      </c>
      <c r="F253" s="8" t="e">
        <f>IF(C252&lt;1,"0",IF('Compra cartera'!$D$26="Si",($C$17*(VLOOKUP('Compra cartera'!$C$22,Seguros_Oblig!$A$3:$F$55,6,FALSE))),(C252*(VLOOKUP('Compra cartera'!$C$22,Seguros_Oblig!$A$3:$E$55,5,FALSE)))))</f>
        <v>#VALUE!</v>
      </c>
      <c r="G253" s="8" t="e">
        <f>(C252*(VLOOKUP('Compra cartera'!$C$23,Seguros_Oblig!$A$3:$E$55,5,FALSE)))</f>
        <v>#VALUE!</v>
      </c>
      <c r="H253" s="8" t="e">
        <f>(C252*(VLOOKUP('Compra cartera'!$C$24,Seguros_Oblig!$A$3:$E$55,5,FALSE)))</f>
        <v>#VALUE!</v>
      </c>
      <c r="I253" s="8" t="e">
        <f>(C252*(VLOOKUP('Compra cartera'!$C$25,Seguros_Oblig!$A$3:$E$55,5,FALSE)))</f>
        <v>#VALUE!</v>
      </c>
      <c r="J253" s="10">
        <f t="shared" si="20"/>
        <v>0</v>
      </c>
      <c r="K253" s="7" t="e">
        <f>IF(C252&lt;1,"0",Seguros_Oblig!$K$2*('Compra cartera'!$C$11*90%))</f>
        <v>#VALUE!</v>
      </c>
      <c r="L253" s="7" t="e">
        <f>IF(B253=" ","0",PMT('Compra cartera'!$E$17,'Compra cartera'!$C$31,-'Compra cartera'!$C$14,,))</f>
        <v>#VALUE!</v>
      </c>
      <c r="M253" s="9" t="e">
        <f t="shared" si="21"/>
        <v>#VALUE!</v>
      </c>
      <c r="N253" s="7" t="e">
        <f>IF(C252&lt;1,"0",'Compra cartera'!$C$44)</f>
        <v>#VALUE!</v>
      </c>
      <c r="O253" s="9" t="e">
        <f t="shared" si="22"/>
        <v>#VALUE!</v>
      </c>
    </row>
    <row r="254" spans="2:15" ht="15.5" x14ac:dyDescent="0.35">
      <c r="B254" s="6" t="e">
        <f>IF(C253&gt;1,B253+1," ")</f>
        <v>#VALUE!</v>
      </c>
      <c r="C254" s="7" t="e">
        <f t="shared" si="19"/>
        <v>#VALUE!</v>
      </c>
      <c r="D254" s="7" t="e">
        <f t="shared" si="24"/>
        <v>#VALUE!</v>
      </c>
      <c r="E254" s="7" t="e">
        <f>C253*'Compra cartera'!$E$17</f>
        <v>#VALUE!</v>
      </c>
      <c r="F254" s="8" t="e">
        <f>IF(C253&lt;1,"0",IF('Compra cartera'!$D$26="Si",($C$17*(VLOOKUP('Compra cartera'!$C$22,Seguros_Oblig!$A$3:$F$55,6,FALSE))),(C253*(VLOOKUP('Compra cartera'!$C$22,Seguros_Oblig!$A$3:$E$55,5,FALSE)))))</f>
        <v>#VALUE!</v>
      </c>
      <c r="G254" s="8" t="e">
        <f>(C253*(VLOOKUP('Compra cartera'!$C$23,Seguros_Oblig!$A$3:$E$55,5,FALSE)))</f>
        <v>#VALUE!</v>
      </c>
      <c r="H254" s="8" t="e">
        <f>(C253*(VLOOKUP('Compra cartera'!$C$24,Seguros_Oblig!$A$3:$E$55,5,FALSE)))</f>
        <v>#VALUE!</v>
      </c>
      <c r="I254" s="8" t="e">
        <f>(C253*(VLOOKUP('Compra cartera'!$C$25,Seguros_Oblig!$A$3:$E$55,5,FALSE)))</f>
        <v>#VALUE!</v>
      </c>
      <c r="J254" s="10">
        <f t="shared" si="20"/>
        <v>0</v>
      </c>
      <c r="K254" s="7" t="e">
        <f>IF(C253&lt;1,"0",Seguros_Oblig!$K$2*('Compra cartera'!$C$11*90%))</f>
        <v>#VALUE!</v>
      </c>
      <c r="L254" s="7" t="e">
        <f>IF(B254=" ","0",PMT('Compra cartera'!$E$17,'Compra cartera'!$C$31,-'Compra cartera'!$C$14,,))</f>
        <v>#VALUE!</v>
      </c>
      <c r="M254" s="9" t="e">
        <f t="shared" si="21"/>
        <v>#VALUE!</v>
      </c>
      <c r="N254" s="7" t="e">
        <f>IF(C253&lt;1,"0",'Compra cartera'!$C$44)</f>
        <v>#VALUE!</v>
      </c>
      <c r="O254" s="9" t="e">
        <f t="shared" si="22"/>
        <v>#VALUE!</v>
      </c>
    </row>
    <row r="255" spans="2:15" ht="15.5" x14ac:dyDescent="0.35">
      <c r="B255" s="6" t="e">
        <f t="shared" si="23"/>
        <v>#VALUE!</v>
      </c>
      <c r="C255" s="7" t="e">
        <f t="shared" si="19"/>
        <v>#VALUE!</v>
      </c>
      <c r="D255" s="7" t="e">
        <f t="shared" si="24"/>
        <v>#VALUE!</v>
      </c>
      <c r="E255" s="7" t="e">
        <f>C254*'Compra cartera'!$E$17</f>
        <v>#VALUE!</v>
      </c>
      <c r="F255" s="8" t="e">
        <f>IF(C254&lt;1,"0",IF('Compra cartera'!$D$26="Si",($C$17*(VLOOKUP('Compra cartera'!$C$22,Seguros_Oblig!$A$3:$F$55,6,FALSE))),(C254*(VLOOKUP('Compra cartera'!$C$22,Seguros_Oblig!$A$3:$E$55,5,FALSE)))))</f>
        <v>#VALUE!</v>
      </c>
      <c r="G255" s="8" t="e">
        <f>(C254*(VLOOKUP('Compra cartera'!$C$23,Seguros_Oblig!$A$3:$E$55,5,FALSE)))</f>
        <v>#VALUE!</v>
      </c>
      <c r="H255" s="8" t="e">
        <f>(C254*(VLOOKUP('Compra cartera'!$C$24,Seguros_Oblig!$A$3:$E$55,5,FALSE)))</f>
        <v>#VALUE!</v>
      </c>
      <c r="I255" s="8" t="e">
        <f>(C254*(VLOOKUP('Compra cartera'!$C$25,Seguros_Oblig!$A$3:$E$55,5,FALSE)))</f>
        <v>#VALUE!</v>
      </c>
      <c r="J255" s="10">
        <f t="shared" si="20"/>
        <v>0</v>
      </c>
      <c r="K255" s="7" t="e">
        <f>IF(C254&lt;1,"0",Seguros_Oblig!$K$2*('Compra cartera'!$C$11*90%))</f>
        <v>#VALUE!</v>
      </c>
      <c r="L255" s="7" t="e">
        <f>IF(B255=" ","0",PMT('Compra cartera'!$E$17,'Compra cartera'!$C$31,-'Compra cartera'!$C$14,,))</f>
        <v>#VALUE!</v>
      </c>
      <c r="M255" s="9" t="e">
        <f t="shared" si="21"/>
        <v>#VALUE!</v>
      </c>
      <c r="N255" s="7" t="e">
        <f>IF(C254&lt;1,"0",'Compra cartera'!$C$44)</f>
        <v>#VALUE!</v>
      </c>
      <c r="O255" s="9" t="e">
        <f t="shared" si="22"/>
        <v>#VALUE!</v>
      </c>
    </row>
    <row r="256" spans="2:15" ht="15.5" x14ac:dyDescent="0.35">
      <c r="B256" s="6" t="e">
        <f t="shared" si="23"/>
        <v>#VALUE!</v>
      </c>
      <c r="C256" s="7" t="e">
        <f t="shared" si="19"/>
        <v>#VALUE!</v>
      </c>
      <c r="D256" s="7" t="e">
        <f t="shared" si="24"/>
        <v>#VALUE!</v>
      </c>
      <c r="E256" s="7" t="e">
        <f>C255*'Compra cartera'!$E$17</f>
        <v>#VALUE!</v>
      </c>
      <c r="F256" s="8" t="e">
        <f>IF(C255&lt;1,"0",IF('Compra cartera'!$D$26="Si",($C$17*(VLOOKUP('Compra cartera'!$C$22,Seguros_Oblig!$A$3:$F$55,6,FALSE))),(C255*(VLOOKUP('Compra cartera'!$C$22,Seguros_Oblig!$A$3:$E$55,5,FALSE)))))</f>
        <v>#VALUE!</v>
      </c>
      <c r="G256" s="8" t="e">
        <f>(C255*(VLOOKUP('Compra cartera'!$C$23,Seguros_Oblig!$A$3:$E$55,5,FALSE)))</f>
        <v>#VALUE!</v>
      </c>
      <c r="H256" s="8" t="e">
        <f>(C255*(VLOOKUP('Compra cartera'!$C$24,Seguros_Oblig!$A$3:$E$55,5,FALSE)))</f>
        <v>#VALUE!</v>
      </c>
      <c r="I256" s="8" t="e">
        <f>(C255*(VLOOKUP('Compra cartera'!$C$25,Seguros_Oblig!$A$3:$E$55,5,FALSE)))</f>
        <v>#VALUE!</v>
      </c>
      <c r="J256" s="10">
        <f t="shared" si="20"/>
        <v>0</v>
      </c>
      <c r="K256" s="7" t="e">
        <f>IF(C255&lt;1,"0",Seguros_Oblig!$K$2*('Compra cartera'!$C$11*90%))</f>
        <v>#VALUE!</v>
      </c>
      <c r="L256" s="7" t="e">
        <f>IF(B256=" ","0",PMT('Compra cartera'!$E$17,'Compra cartera'!$C$31,-'Compra cartera'!$C$14,,))</f>
        <v>#VALUE!</v>
      </c>
      <c r="M256" s="9" t="e">
        <f t="shared" si="21"/>
        <v>#VALUE!</v>
      </c>
      <c r="N256" s="7" t="e">
        <f>IF(C255&lt;1,"0",'Compra cartera'!$C$44)</f>
        <v>#VALUE!</v>
      </c>
      <c r="O256" s="9" t="e">
        <f t="shared" si="22"/>
        <v>#VALUE!</v>
      </c>
    </row>
    <row r="257" spans="2:15" ht="15.5" x14ac:dyDescent="0.35">
      <c r="B257" s="6" t="e">
        <f t="shared" si="23"/>
        <v>#VALUE!</v>
      </c>
      <c r="C257" s="7" t="e">
        <f t="shared" si="19"/>
        <v>#VALUE!</v>
      </c>
      <c r="D257" s="7" t="e">
        <f t="shared" si="24"/>
        <v>#VALUE!</v>
      </c>
      <c r="E257" s="7" t="e">
        <f>C256*'Compra cartera'!$E$17</f>
        <v>#VALUE!</v>
      </c>
      <c r="F257" s="8" t="e">
        <f>IF(C256&lt;1,"0",IF('Compra cartera'!$D$26="Si",($C$17*(VLOOKUP('Compra cartera'!$C$22,Seguros_Oblig!$A$3:$F$55,6,FALSE))),(C256*(VLOOKUP('Compra cartera'!$C$22,Seguros_Oblig!$A$3:$E$55,5,FALSE)))))</f>
        <v>#VALUE!</v>
      </c>
      <c r="G257" s="8" t="e">
        <f>(C256*(VLOOKUP('Compra cartera'!$C$23,Seguros_Oblig!$A$3:$E$55,5,FALSE)))</f>
        <v>#VALUE!</v>
      </c>
      <c r="H257" s="8" t="e">
        <f>(C256*(VLOOKUP('Compra cartera'!$C$24,Seguros_Oblig!$A$3:$E$55,5,FALSE)))</f>
        <v>#VALUE!</v>
      </c>
      <c r="I257" s="8" t="e">
        <f>(C256*(VLOOKUP('Compra cartera'!$C$25,Seguros_Oblig!$A$3:$E$55,5,FALSE)))</f>
        <v>#VALUE!</v>
      </c>
      <c r="J257" s="10">
        <f t="shared" si="20"/>
        <v>0</v>
      </c>
      <c r="K257" s="7" t="e">
        <f>IF(C256&lt;1,"0",Seguros_Oblig!$K$2*('Compra cartera'!$C$11*90%))</f>
        <v>#VALUE!</v>
      </c>
      <c r="L257" s="7" t="e">
        <f>IF(B257=" ","0",PMT('Compra cartera'!$E$17,'Compra cartera'!$C$31,-'Compra cartera'!$C$14,,))</f>
        <v>#VALUE!</v>
      </c>
      <c r="M257" s="9" t="e">
        <f t="shared" si="21"/>
        <v>#VALUE!</v>
      </c>
      <c r="N257" s="7" t="e">
        <f>IF(C256&lt;1,"0",'Compra cartera'!$C$44)</f>
        <v>#VALUE!</v>
      </c>
      <c r="O257" s="9" t="e">
        <f t="shared" si="22"/>
        <v>#VALUE!</v>
      </c>
    </row>
    <row r="258" spans="2:15" ht="15.5" x14ac:dyDescent="0.35">
      <c r="B258" s="6" t="e">
        <f t="shared" si="23"/>
        <v>#VALUE!</v>
      </c>
      <c r="C258" s="7" t="e">
        <f t="shared" si="19"/>
        <v>#VALUE!</v>
      </c>
      <c r="D258" s="7" t="e">
        <f t="shared" si="24"/>
        <v>#VALUE!</v>
      </c>
      <c r="E258" s="7" t="e">
        <f>C257*'Compra cartera'!$E$17</f>
        <v>#VALUE!</v>
      </c>
      <c r="F258" s="8" t="e">
        <f>IF(C257&lt;1,"0",IF('Compra cartera'!$D$26="Si",($C$17*(VLOOKUP('Compra cartera'!$C$22,Seguros_Oblig!$A$3:$F$55,6,FALSE))),(C257*(VLOOKUP('Compra cartera'!$C$22,Seguros_Oblig!$A$3:$E$55,5,FALSE)))))</f>
        <v>#VALUE!</v>
      </c>
      <c r="G258" s="8" t="e">
        <f>(C257*(VLOOKUP('Compra cartera'!$C$23,Seguros_Oblig!$A$3:$E$55,5,FALSE)))</f>
        <v>#VALUE!</v>
      </c>
      <c r="H258" s="8" t="e">
        <f>(C257*(VLOOKUP('Compra cartera'!$C$24,Seguros_Oblig!$A$3:$E$55,5,FALSE)))</f>
        <v>#VALUE!</v>
      </c>
      <c r="I258" s="8" t="e">
        <f>(C257*(VLOOKUP('Compra cartera'!$C$25,Seguros_Oblig!$A$3:$E$55,5,FALSE)))</f>
        <v>#VALUE!</v>
      </c>
      <c r="J258" s="10">
        <f t="shared" si="20"/>
        <v>0</v>
      </c>
      <c r="K258" s="7" t="e">
        <f>IF(C257&lt;1,"0",Seguros_Oblig!$K$2*('Compra cartera'!$C$11*90%))</f>
        <v>#VALUE!</v>
      </c>
      <c r="L258" s="7" t="e">
        <f>IF(B258=" ","0",PMT('Compra cartera'!$E$17,'Compra cartera'!$C$31,-'Compra cartera'!$C$14,,))</f>
        <v>#VALUE!</v>
      </c>
      <c r="M258" s="9" t="e">
        <f t="shared" si="21"/>
        <v>#VALUE!</v>
      </c>
      <c r="N258" s="7" t="e">
        <f>IF(C257&lt;1,"0",'Compra cartera'!$C$44)</f>
        <v>#VALUE!</v>
      </c>
      <c r="O258" s="9" t="e">
        <f t="shared" si="22"/>
        <v>#VALUE!</v>
      </c>
    </row>
    <row r="259" spans="2:15" ht="15.5" x14ac:dyDescent="0.35">
      <c r="B259" s="6" t="e">
        <f t="shared" si="23"/>
        <v>#VALUE!</v>
      </c>
      <c r="C259" s="7" t="e">
        <f t="shared" si="19"/>
        <v>#VALUE!</v>
      </c>
      <c r="D259" s="7" t="e">
        <f t="shared" si="24"/>
        <v>#VALUE!</v>
      </c>
      <c r="E259" s="7" t="e">
        <f>C258*'Compra cartera'!$E$17</f>
        <v>#VALUE!</v>
      </c>
      <c r="F259" s="8" t="e">
        <f>IF(C258&lt;1,"0",IF('Compra cartera'!$D$26="Si",($C$17*(VLOOKUP('Compra cartera'!$C$22,Seguros_Oblig!$A$3:$F$55,6,FALSE))),(C258*(VLOOKUP('Compra cartera'!$C$22,Seguros_Oblig!$A$3:$E$55,5,FALSE)))))</f>
        <v>#VALUE!</v>
      </c>
      <c r="G259" s="8" t="e">
        <f>(C258*(VLOOKUP('Compra cartera'!$C$23,Seguros_Oblig!$A$3:$E$55,5,FALSE)))</f>
        <v>#VALUE!</v>
      </c>
      <c r="H259" s="8" t="e">
        <f>(C258*(VLOOKUP('Compra cartera'!$C$24,Seguros_Oblig!$A$3:$E$55,5,FALSE)))</f>
        <v>#VALUE!</v>
      </c>
      <c r="I259" s="8" t="e">
        <f>(C258*(VLOOKUP('Compra cartera'!$C$25,Seguros_Oblig!$A$3:$E$55,5,FALSE)))</f>
        <v>#VALUE!</v>
      </c>
      <c r="J259" s="10">
        <f t="shared" si="20"/>
        <v>0</v>
      </c>
      <c r="K259" s="7" t="e">
        <f>IF(C258&lt;1,"0",Seguros_Oblig!$K$2*('Compra cartera'!$C$11*90%))</f>
        <v>#VALUE!</v>
      </c>
      <c r="L259" s="7" t="e">
        <f>IF(B259=" ","0",PMT('Compra cartera'!$E$17,'Compra cartera'!$C$31,-'Compra cartera'!$C$14,,))</f>
        <v>#VALUE!</v>
      </c>
      <c r="M259" s="9" t="e">
        <f t="shared" si="21"/>
        <v>#VALUE!</v>
      </c>
      <c r="N259" s="7" t="e">
        <f>IF(C258&lt;1,"0",'Compra cartera'!$C$44)</f>
        <v>#VALUE!</v>
      </c>
      <c r="O259" s="9" t="e">
        <f t="shared" si="22"/>
        <v>#VALUE!</v>
      </c>
    </row>
    <row r="260" spans="2:15" ht="15.5" x14ac:dyDescent="0.35">
      <c r="B260" s="6" t="e">
        <f t="shared" si="23"/>
        <v>#VALUE!</v>
      </c>
      <c r="C260" s="7" t="e">
        <f t="shared" si="19"/>
        <v>#VALUE!</v>
      </c>
      <c r="D260" s="7" t="e">
        <f t="shared" si="24"/>
        <v>#VALUE!</v>
      </c>
      <c r="E260" s="7" t="e">
        <f>C259*'Compra cartera'!$E$17</f>
        <v>#VALUE!</v>
      </c>
      <c r="F260" s="8" t="e">
        <f>IF(C259&lt;1,"0",IF('Compra cartera'!$D$26="Si",($C$17*(VLOOKUP('Compra cartera'!$C$22,Seguros_Oblig!$A$3:$F$55,6,FALSE))),(C259*(VLOOKUP('Compra cartera'!$C$22,Seguros_Oblig!$A$3:$E$55,5,FALSE)))))</f>
        <v>#VALUE!</v>
      </c>
      <c r="G260" s="8" t="e">
        <f>(C259*(VLOOKUP('Compra cartera'!$C$23,Seguros_Oblig!$A$3:$E$55,5,FALSE)))</f>
        <v>#VALUE!</v>
      </c>
      <c r="H260" s="8" t="e">
        <f>(C259*(VLOOKUP('Compra cartera'!$C$24,Seguros_Oblig!$A$3:$E$55,5,FALSE)))</f>
        <v>#VALUE!</v>
      </c>
      <c r="I260" s="8" t="e">
        <f>(C259*(VLOOKUP('Compra cartera'!$C$25,Seguros_Oblig!$A$3:$E$55,5,FALSE)))</f>
        <v>#VALUE!</v>
      </c>
      <c r="J260" s="10">
        <f t="shared" si="20"/>
        <v>0</v>
      </c>
      <c r="K260" s="7" t="e">
        <f>IF(C259&lt;1,"0",Seguros_Oblig!$K$2*('Compra cartera'!$C$11*90%))</f>
        <v>#VALUE!</v>
      </c>
      <c r="L260" s="7" t="e">
        <f>IF(B260=" ","0",PMT('Compra cartera'!$E$17,'Compra cartera'!$C$31,-'Compra cartera'!$C$14,,))</f>
        <v>#VALUE!</v>
      </c>
      <c r="M260" s="9" t="e">
        <f t="shared" si="21"/>
        <v>#VALUE!</v>
      </c>
      <c r="N260" s="7" t="e">
        <f>IF(C259&lt;1,"0",'Compra cartera'!$C$44)</f>
        <v>#VALUE!</v>
      </c>
      <c r="O260" s="9" t="e">
        <f t="shared" si="22"/>
        <v>#VALUE!</v>
      </c>
    </row>
    <row r="261" spans="2:15" ht="15.5" x14ac:dyDescent="0.35">
      <c r="B261" s="6" t="e">
        <f t="shared" si="23"/>
        <v>#VALUE!</v>
      </c>
      <c r="C261" s="7" t="e">
        <f t="shared" si="19"/>
        <v>#VALUE!</v>
      </c>
      <c r="D261" s="7" t="e">
        <f t="shared" si="24"/>
        <v>#VALUE!</v>
      </c>
      <c r="E261" s="7" t="e">
        <f>C260*'Compra cartera'!$E$17</f>
        <v>#VALUE!</v>
      </c>
      <c r="F261" s="8" t="e">
        <f>IF(C260&lt;1,"0",IF('Compra cartera'!$D$26="Si",($C$17*(VLOOKUP('Compra cartera'!$C$22,Seguros_Oblig!$A$3:$F$55,6,FALSE))),(C260*(VLOOKUP('Compra cartera'!$C$22,Seguros_Oblig!$A$3:$E$55,5,FALSE)))))</f>
        <v>#VALUE!</v>
      </c>
      <c r="G261" s="8" t="e">
        <f>(C260*(VLOOKUP('Compra cartera'!$C$23,Seguros_Oblig!$A$3:$E$55,5,FALSE)))</f>
        <v>#VALUE!</v>
      </c>
      <c r="H261" s="8" t="e">
        <f>(C260*(VLOOKUP('Compra cartera'!$C$24,Seguros_Oblig!$A$3:$E$55,5,FALSE)))</f>
        <v>#VALUE!</v>
      </c>
      <c r="I261" s="8" t="e">
        <f>(C260*(VLOOKUP('Compra cartera'!$C$25,Seguros_Oblig!$A$3:$E$55,5,FALSE)))</f>
        <v>#VALUE!</v>
      </c>
      <c r="J261" s="10">
        <f t="shared" si="20"/>
        <v>0</v>
      </c>
      <c r="K261" s="7" t="e">
        <f>IF(C260&lt;1,"0",Seguros_Oblig!$K$2*('Compra cartera'!$C$11*90%))</f>
        <v>#VALUE!</v>
      </c>
      <c r="L261" s="7" t="e">
        <f>IF(B261=" ","0",PMT('Compra cartera'!$E$17,'Compra cartera'!$C$31,-'Compra cartera'!$C$14,,))</f>
        <v>#VALUE!</v>
      </c>
      <c r="M261" s="9" t="e">
        <f t="shared" si="21"/>
        <v>#VALUE!</v>
      </c>
      <c r="N261" s="7" t="e">
        <f>IF(C260&lt;1,"0",'Compra cartera'!$C$44)</f>
        <v>#VALUE!</v>
      </c>
      <c r="O261" s="9" t="e">
        <f t="shared" si="22"/>
        <v>#VALUE!</v>
      </c>
    </row>
    <row r="262" spans="2:15" ht="15.5" x14ac:dyDescent="0.35">
      <c r="B262" s="6" t="e">
        <f t="shared" si="23"/>
        <v>#VALUE!</v>
      </c>
      <c r="C262" s="7" t="e">
        <f t="shared" si="19"/>
        <v>#VALUE!</v>
      </c>
      <c r="D262" s="7" t="e">
        <f t="shared" si="24"/>
        <v>#VALUE!</v>
      </c>
      <c r="E262" s="7" t="e">
        <f>C261*'Compra cartera'!$E$17</f>
        <v>#VALUE!</v>
      </c>
      <c r="F262" s="8" t="e">
        <f>IF(C261&lt;1,"0",IF('Compra cartera'!$D$26="Si",($C$17*(VLOOKUP('Compra cartera'!$C$22,Seguros_Oblig!$A$3:$F$55,6,FALSE))),(C261*(VLOOKUP('Compra cartera'!$C$22,Seguros_Oblig!$A$3:$E$55,5,FALSE)))))</f>
        <v>#VALUE!</v>
      </c>
      <c r="G262" s="8" t="e">
        <f>(C261*(VLOOKUP('Compra cartera'!$C$23,Seguros_Oblig!$A$3:$E$55,5,FALSE)))</f>
        <v>#VALUE!</v>
      </c>
      <c r="H262" s="8" t="e">
        <f>(C261*(VLOOKUP('Compra cartera'!$C$24,Seguros_Oblig!$A$3:$E$55,5,FALSE)))</f>
        <v>#VALUE!</v>
      </c>
      <c r="I262" s="8" t="e">
        <f>(C261*(VLOOKUP('Compra cartera'!$C$25,Seguros_Oblig!$A$3:$E$55,5,FALSE)))</f>
        <v>#VALUE!</v>
      </c>
      <c r="J262" s="10">
        <f t="shared" si="20"/>
        <v>0</v>
      </c>
      <c r="K262" s="7" t="e">
        <f>IF(C261&lt;1,"0",Seguros_Oblig!$K$2*('Compra cartera'!$C$11*90%))</f>
        <v>#VALUE!</v>
      </c>
      <c r="L262" s="7" t="e">
        <f>IF(B262=" ","0",PMT('Compra cartera'!$E$17,'Compra cartera'!$C$31,-'Compra cartera'!$C$14,,))</f>
        <v>#VALUE!</v>
      </c>
      <c r="M262" s="9" t="e">
        <f t="shared" si="21"/>
        <v>#VALUE!</v>
      </c>
      <c r="N262" s="7" t="e">
        <f>IF(C261&lt;1,"0",'Compra cartera'!$C$44)</f>
        <v>#VALUE!</v>
      </c>
      <c r="O262" s="9" t="e">
        <f t="shared" si="22"/>
        <v>#VALUE!</v>
      </c>
    </row>
    <row r="263" spans="2:15" ht="15.5" x14ac:dyDescent="0.35">
      <c r="B263" s="6" t="e">
        <f t="shared" si="23"/>
        <v>#VALUE!</v>
      </c>
      <c r="C263" s="7" t="e">
        <f t="shared" si="19"/>
        <v>#VALUE!</v>
      </c>
      <c r="D263" s="7" t="e">
        <f t="shared" si="24"/>
        <v>#VALUE!</v>
      </c>
      <c r="E263" s="7" t="e">
        <f>C262*'Compra cartera'!$E$17</f>
        <v>#VALUE!</v>
      </c>
      <c r="F263" s="8" t="e">
        <f>IF(C262&lt;1,"0",IF('Compra cartera'!$D$26="Si",($C$17*(VLOOKUP('Compra cartera'!$C$22,Seguros_Oblig!$A$3:$F$55,6,FALSE))),(C262*(VLOOKUP('Compra cartera'!$C$22,Seguros_Oblig!$A$3:$E$55,5,FALSE)))))</f>
        <v>#VALUE!</v>
      </c>
      <c r="G263" s="8" t="e">
        <f>(C262*(VLOOKUP('Compra cartera'!$C$23,Seguros_Oblig!$A$3:$E$55,5,FALSE)))</f>
        <v>#VALUE!</v>
      </c>
      <c r="H263" s="8" t="e">
        <f>(C262*(VLOOKUP('Compra cartera'!$C$24,Seguros_Oblig!$A$3:$E$55,5,FALSE)))</f>
        <v>#VALUE!</v>
      </c>
      <c r="I263" s="8" t="e">
        <f>(C262*(VLOOKUP('Compra cartera'!$C$25,Seguros_Oblig!$A$3:$E$55,5,FALSE)))</f>
        <v>#VALUE!</v>
      </c>
      <c r="J263" s="10">
        <f t="shared" si="20"/>
        <v>0</v>
      </c>
      <c r="K263" s="7" t="e">
        <f>IF(C262&lt;1,"0",Seguros_Oblig!$K$2*('Compra cartera'!$C$11*90%))</f>
        <v>#VALUE!</v>
      </c>
      <c r="L263" s="7" t="e">
        <f>IF(B263=" ","0",PMT('Compra cartera'!$E$17,'Compra cartera'!$C$31,-'Compra cartera'!$C$14,,))</f>
        <v>#VALUE!</v>
      </c>
      <c r="M263" s="9" t="e">
        <f t="shared" si="21"/>
        <v>#VALUE!</v>
      </c>
      <c r="N263" s="7" t="e">
        <f>IF(C262&lt;1,"0",'Compra cartera'!$C$44)</f>
        <v>#VALUE!</v>
      </c>
      <c r="O263" s="9" t="e">
        <f t="shared" si="22"/>
        <v>#VALUE!</v>
      </c>
    </row>
    <row r="264" spans="2:15" ht="15.5" x14ac:dyDescent="0.35">
      <c r="B264" s="6" t="e">
        <f t="shared" si="23"/>
        <v>#VALUE!</v>
      </c>
      <c r="C264" s="7" t="e">
        <f t="shared" si="19"/>
        <v>#VALUE!</v>
      </c>
      <c r="D264" s="7" t="e">
        <f t="shared" si="24"/>
        <v>#VALUE!</v>
      </c>
      <c r="E264" s="7" t="e">
        <f>C263*'Compra cartera'!$E$17</f>
        <v>#VALUE!</v>
      </c>
      <c r="F264" s="8" t="e">
        <f>IF(C263&lt;1,"0",IF('Compra cartera'!$D$26="Si",($C$17*(VLOOKUP('Compra cartera'!$C$22,Seguros_Oblig!$A$3:$F$55,6,FALSE))),(C263*(VLOOKUP('Compra cartera'!$C$22,Seguros_Oblig!$A$3:$E$55,5,FALSE)))))</f>
        <v>#VALUE!</v>
      </c>
      <c r="G264" s="8" t="e">
        <f>(C263*(VLOOKUP('Compra cartera'!$C$23,Seguros_Oblig!$A$3:$E$55,5,FALSE)))</f>
        <v>#VALUE!</v>
      </c>
      <c r="H264" s="8" t="e">
        <f>(C263*(VLOOKUP('Compra cartera'!$C$24,Seguros_Oblig!$A$3:$E$55,5,FALSE)))</f>
        <v>#VALUE!</v>
      </c>
      <c r="I264" s="8" t="e">
        <f>(C263*(VLOOKUP('Compra cartera'!$C$25,Seguros_Oblig!$A$3:$E$55,5,FALSE)))</f>
        <v>#VALUE!</v>
      </c>
      <c r="J264" s="10">
        <f t="shared" si="20"/>
        <v>0</v>
      </c>
      <c r="K264" s="7" t="e">
        <f>IF(C263&lt;1,"0",Seguros_Oblig!$K$2*('Compra cartera'!$C$11*90%))</f>
        <v>#VALUE!</v>
      </c>
      <c r="L264" s="7" t="e">
        <f>IF(B264=" ","0",PMT('Compra cartera'!$E$17,'Compra cartera'!$C$31,-'Compra cartera'!$C$14,,))</f>
        <v>#VALUE!</v>
      </c>
      <c r="M264" s="9" t="e">
        <f t="shared" si="21"/>
        <v>#VALUE!</v>
      </c>
      <c r="N264" s="7" t="e">
        <f>IF(C263&lt;1,"0",'Compra cartera'!$C$44)</f>
        <v>#VALUE!</v>
      </c>
      <c r="O264" s="9" t="e">
        <f t="shared" si="22"/>
        <v>#VALUE!</v>
      </c>
    </row>
    <row r="265" spans="2:15" ht="15.5" x14ac:dyDescent="0.35">
      <c r="B265" s="6" t="e">
        <f t="shared" si="23"/>
        <v>#VALUE!</v>
      </c>
      <c r="C265" s="7" t="e">
        <f t="shared" si="19"/>
        <v>#VALUE!</v>
      </c>
      <c r="D265" s="7" t="e">
        <f t="shared" si="24"/>
        <v>#VALUE!</v>
      </c>
      <c r="E265" s="7" t="e">
        <f>C264*'Compra cartera'!$E$17</f>
        <v>#VALUE!</v>
      </c>
      <c r="F265" s="8" t="e">
        <f>IF(C264&lt;1,"0",IF('Compra cartera'!$D$26="Si",($C$17*(VLOOKUP('Compra cartera'!$C$22,Seguros_Oblig!$A$3:$F$55,6,FALSE))),(C264*(VLOOKUP('Compra cartera'!$C$22,Seguros_Oblig!$A$3:$E$55,5,FALSE)))))</f>
        <v>#VALUE!</v>
      </c>
      <c r="G265" s="8" t="e">
        <f>(C264*(VLOOKUP('Compra cartera'!$C$23,Seguros_Oblig!$A$3:$E$55,5,FALSE)))</f>
        <v>#VALUE!</v>
      </c>
      <c r="H265" s="8" t="e">
        <f>(C264*(VLOOKUP('Compra cartera'!$C$24,Seguros_Oblig!$A$3:$E$55,5,FALSE)))</f>
        <v>#VALUE!</v>
      </c>
      <c r="I265" s="8" t="e">
        <f>(C264*(VLOOKUP('Compra cartera'!$C$25,Seguros_Oblig!$A$3:$E$55,5,FALSE)))</f>
        <v>#VALUE!</v>
      </c>
      <c r="J265" s="10">
        <f t="shared" si="20"/>
        <v>0</v>
      </c>
      <c r="K265" s="7" t="e">
        <f>IF(C264&lt;1,"0",Seguros_Oblig!$K$2*('Compra cartera'!$C$11*90%))</f>
        <v>#VALUE!</v>
      </c>
      <c r="L265" s="7" t="e">
        <f>IF(B265=" ","0",PMT('Compra cartera'!$E$17,'Compra cartera'!$C$31,-'Compra cartera'!$C$14,,))</f>
        <v>#VALUE!</v>
      </c>
      <c r="M265" s="9" t="e">
        <f t="shared" si="21"/>
        <v>#VALUE!</v>
      </c>
      <c r="N265" s="7" t="e">
        <f>IF(C264&lt;1,"0",'Compra cartera'!$C$44)</f>
        <v>#VALUE!</v>
      </c>
      <c r="O265" s="9" t="e">
        <f t="shared" si="22"/>
        <v>#VALUE!</v>
      </c>
    </row>
    <row r="266" spans="2:15" ht="15.5" x14ac:dyDescent="0.35">
      <c r="B266" s="6" t="e">
        <f t="shared" si="23"/>
        <v>#VALUE!</v>
      </c>
      <c r="C266" s="7" t="e">
        <f t="shared" si="19"/>
        <v>#VALUE!</v>
      </c>
      <c r="D266" s="7" t="e">
        <f t="shared" si="24"/>
        <v>#VALUE!</v>
      </c>
      <c r="E266" s="7" t="e">
        <f>C265*'Compra cartera'!$E$17</f>
        <v>#VALUE!</v>
      </c>
      <c r="F266" s="8" t="e">
        <f>IF(C265&lt;1,"0",IF('Compra cartera'!$D$26="Si",($C$17*(VLOOKUP('Compra cartera'!$C$22,Seguros_Oblig!$A$3:$F$55,6,FALSE))),(C265*(VLOOKUP('Compra cartera'!$C$22,Seguros_Oblig!$A$3:$E$55,5,FALSE)))))</f>
        <v>#VALUE!</v>
      </c>
      <c r="G266" s="8" t="e">
        <f>(C265*(VLOOKUP('Compra cartera'!$C$23,Seguros_Oblig!$A$3:$E$55,5,FALSE)))</f>
        <v>#VALUE!</v>
      </c>
      <c r="H266" s="8" t="e">
        <f>(C265*(VLOOKUP('Compra cartera'!$C$24,Seguros_Oblig!$A$3:$E$55,5,FALSE)))</f>
        <v>#VALUE!</v>
      </c>
      <c r="I266" s="8" t="e">
        <f>(C265*(VLOOKUP('Compra cartera'!$C$25,Seguros_Oblig!$A$3:$E$55,5,FALSE)))</f>
        <v>#VALUE!</v>
      </c>
      <c r="J266" s="10">
        <f t="shared" si="20"/>
        <v>0</v>
      </c>
      <c r="K266" s="7" t="e">
        <f>IF(C265&lt;1,"0",Seguros_Oblig!$K$2*('Compra cartera'!$C$11*90%))</f>
        <v>#VALUE!</v>
      </c>
      <c r="L266" s="7" t="e">
        <f>IF(B266=" ","0",PMT('Compra cartera'!$E$17,'Compra cartera'!$C$31,-'Compra cartera'!$C$14,,))</f>
        <v>#VALUE!</v>
      </c>
      <c r="M266" s="9" t="e">
        <f t="shared" si="21"/>
        <v>#VALUE!</v>
      </c>
      <c r="N266" s="7" t="e">
        <f>IF(C265&lt;1,"0",'Compra cartera'!$C$44)</f>
        <v>#VALUE!</v>
      </c>
      <c r="O266" s="9" t="e">
        <f t="shared" si="22"/>
        <v>#VALUE!</v>
      </c>
    </row>
    <row r="267" spans="2:15" ht="15.5" x14ac:dyDescent="0.35">
      <c r="B267" s="6" t="e">
        <f t="shared" si="23"/>
        <v>#VALUE!</v>
      </c>
      <c r="C267" s="7" t="e">
        <f t="shared" si="19"/>
        <v>#VALUE!</v>
      </c>
      <c r="D267" s="7" t="e">
        <f t="shared" si="24"/>
        <v>#VALUE!</v>
      </c>
      <c r="E267" s="7" t="e">
        <f>C266*'Compra cartera'!$E$17</f>
        <v>#VALUE!</v>
      </c>
      <c r="F267" s="8" t="e">
        <f>IF(C266&lt;1,"0",IF('Compra cartera'!$D$26="Si",($C$17*(VLOOKUP('Compra cartera'!$C$22,Seguros_Oblig!$A$3:$F$55,6,FALSE))),(C266*(VLOOKUP('Compra cartera'!$C$22,Seguros_Oblig!$A$3:$E$55,5,FALSE)))))</f>
        <v>#VALUE!</v>
      </c>
      <c r="G267" s="8" t="e">
        <f>(C266*(VLOOKUP('Compra cartera'!$C$23,Seguros_Oblig!$A$3:$E$55,5,FALSE)))</f>
        <v>#VALUE!</v>
      </c>
      <c r="H267" s="8" t="e">
        <f>(C266*(VLOOKUP('Compra cartera'!$C$24,Seguros_Oblig!$A$3:$E$55,5,FALSE)))</f>
        <v>#VALUE!</v>
      </c>
      <c r="I267" s="8" t="e">
        <f>(C266*(VLOOKUP('Compra cartera'!$C$25,Seguros_Oblig!$A$3:$E$55,5,FALSE)))</f>
        <v>#VALUE!</v>
      </c>
      <c r="J267" s="10">
        <f t="shared" si="20"/>
        <v>0</v>
      </c>
      <c r="K267" s="7" t="e">
        <f>IF(C266&lt;1,"0",Seguros_Oblig!$K$2*('Compra cartera'!$C$11*90%))</f>
        <v>#VALUE!</v>
      </c>
      <c r="L267" s="7" t="e">
        <f>IF(B267=" ","0",PMT('Compra cartera'!$E$17,'Compra cartera'!$C$31,-'Compra cartera'!$C$14,,))</f>
        <v>#VALUE!</v>
      </c>
      <c r="M267" s="9" t="e">
        <f t="shared" si="21"/>
        <v>#VALUE!</v>
      </c>
      <c r="N267" s="7" t="e">
        <f>IF(C266&lt;1,"0",'Compra cartera'!$C$44)</f>
        <v>#VALUE!</v>
      </c>
      <c r="O267" s="9" t="e">
        <f t="shared" si="22"/>
        <v>#VALUE!</v>
      </c>
    </row>
    <row r="268" spans="2:15" ht="15.5" x14ac:dyDescent="0.35">
      <c r="B268" s="6" t="e">
        <f t="shared" si="23"/>
        <v>#VALUE!</v>
      </c>
      <c r="C268" s="7" t="e">
        <f t="shared" si="19"/>
        <v>#VALUE!</v>
      </c>
      <c r="D268" s="7" t="e">
        <f t="shared" si="24"/>
        <v>#VALUE!</v>
      </c>
      <c r="E268" s="7" t="e">
        <f>C267*'Compra cartera'!$E$17</f>
        <v>#VALUE!</v>
      </c>
      <c r="F268" s="8" t="e">
        <f>IF(C267&lt;1,"0",IF('Compra cartera'!$D$26="Si",($C$17*(VLOOKUP('Compra cartera'!$C$22,Seguros_Oblig!$A$3:$F$55,6,FALSE))),(C267*(VLOOKUP('Compra cartera'!$C$22,Seguros_Oblig!$A$3:$E$55,5,FALSE)))))</f>
        <v>#VALUE!</v>
      </c>
      <c r="G268" s="8" t="e">
        <f>(C267*(VLOOKUP('Compra cartera'!$C$23,Seguros_Oblig!$A$3:$E$55,5,FALSE)))</f>
        <v>#VALUE!</v>
      </c>
      <c r="H268" s="8" t="e">
        <f>(C267*(VLOOKUP('Compra cartera'!$C$24,Seguros_Oblig!$A$3:$E$55,5,FALSE)))</f>
        <v>#VALUE!</v>
      </c>
      <c r="I268" s="8" t="e">
        <f>(C267*(VLOOKUP('Compra cartera'!$C$25,Seguros_Oblig!$A$3:$E$55,5,FALSE)))</f>
        <v>#VALUE!</v>
      </c>
      <c r="J268" s="10">
        <f t="shared" si="20"/>
        <v>0</v>
      </c>
      <c r="K268" s="7" t="e">
        <f>IF(C267&lt;1,"0",Seguros_Oblig!$K$2*('Compra cartera'!$C$11*90%))</f>
        <v>#VALUE!</v>
      </c>
      <c r="L268" s="7" t="e">
        <f>IF(B268=" ","0",PMT('Compra cartera'!$E$17,'Compra cartera'!$C$31,-'Compra cartera'!$C$14,,))</f>
        <v>#VALUE!</v>
      </c>
      <c r="M268" s="9" t="e">
        <f t="shared" si="21"/>
        <v>#VALUE!</v>
      </c>
      <c r="N268" s="7" t="e">
        <f>IF(C267&lt;1,"0",'Compra cartera'!$C$44)</f>
        <v>#VALUE!</v>
      </c>
      <c r="O268" s="9" t="e">
        <f t="shared" si="22"/>
        <v>#VALUE!</v>
      </c>
    </row>
    <row r="269" spans="2:15" ht="15.5" x14ac:dyDescent="0.35">
      <c r="B269" s="6" t="e">
        <f t="shared" si="23"/>
        <v>#VALUE!</v>
      </c>
      <c r="C269" s="7" t="e">
        <f t="shared" si="19"/>
        <v>#VALUE!</v>
      </c>
      <c r="D269" s="7" t="e">
        <f t="shared" si="24"/>
        <v>#VALUE!</v>
      </c>
      <c r="E269" s="7" t="e">
        <f>C268*'Compra cartera'!$E$17</f>
        <v>#VALUE!</v>
      </c>
      <c r="F269" s="8" t="e">
        <f>IF(C268&lt;1,"0",IF('Compra cartera'!$D$26="Si",($C$17*(VLOOKUP('Compra cartera'!$C$22,Seguros_Oblig!$A$3:$F$55,6,FALSE))),(C268*(VLOOKUP('Compra cartera'!$C$22,Seguros_Oblig!$A$3:$E$55,5,FALSE)))))</f>
        <v>#VALUE!</v>
      </c>
      <c r="G269" s="8" t="e">
        <f>(C268*(VLOOKUP('Compra cartera'!$C$23,Seguros_Oblig!$A$3:$E$55,5,FALSE)))</f>
        <v>#VALUE!</v>
      </c>
      <c r="H269" s="8" t="e">
        <f>(C268*(VLOOKUP('Compra cartera'!$C$24,Seguros_Oblig!$A$3:$E$55,5,FALSE)))</f>
        <v>#VALUE!</v>
      </c>
      <c r="I269" s="8" t="e">
        <f>(C268*(VLOOKUP('Compra cartera'!$C$25,Seguros_Oblig!$A$3:$E$55,5,FALSE)))</f>
        <v>#VALUE!</v>
      </c>
      <c r="J269" s="10">
        <f t="shared" si="20"/>
        <v>0</v>
      </c>
      <c r="K269" s="7" t="e">
        <f>IF(C268&lt;1,"0",Seguros_Oblig!$K$2*('Compra cartera'!$C$11*90%))</f>
        <v>#VALUE!</v>
      </c>
      <c r="L269" s="7" t="e">
        <f>IF(B269=" ","0",PMT('Compra cartera'!$E$17,'Compra cartera'!$C$31,-'Compra cartera'!$C$14,,))</f>
        <v>#VALUE!</v>
      </c>
      <c r="M269" s="9" t="e">
        <f t="shared" si="21"/>
        <v>#VALUE!</v>
      </c>
      <c r="N269" s="7" t="e">
        <f>IF(C268&lt;1,"0",'Compra cartera'!$C$44)</f>
        <v>#VALUE!</v>
      </c>
      <c r="O269" s="9" t="e">
        <f t="shared" si="22"/>
        <v>#VALUE!</v>
      </c>
    </row>
    <row r="270" spans="2:15" ht="15.5" x14ac:dyDescent="0.35">
      <c r="B270" s="6" t="e">
        <f t="shared" si="23"/>
        <v>#VALUE!</v>
      </c>
      <c r="C270" s="7" t="e">
        <f t="shared" si="19"/>
        <v>#VALUE!</v>
      </c>
      <c r="D270" s="7" t="e">
        <f t="shared" si="24"/>
        <v>#VALUE!</v>
      </c>
      <c r="E270" s="7" t="e">
        <f>C269*'Compra cartera'!$E$17</f>
        <v>#VALUE!</v>
      </c>
      <c r="F270" s="8" t="e">
        <f>IF(C269&lt;1,"0",IF('Compra cartera'!$D$26="Si",($C$17*(VLOOKUP('Compra cartera'!$C$22,Seguros_Oblig!$A$3:$F$55,6,FALSE))),(C269*(VLOOKUP('Compra cartera'!$C$22,Seguros_Oblig!$A$3:$E$55,5,FALSE)))))</f>
        <v>#VALUE!</v>
      </c>
      <c r="G270" s="8" t="e">
        <f>(C269*(VLOOKUP('Compra cartera'!$C$23,Seguros_Oblig!$A$3:$E$55,5,FALSE)))</f>
        <v>#VALUE!</v>
      </c>
      <c r="H270" s="8" t="e">
        <f>(C269*(VLOOKUP('Compra cartera'!$C$24,Seguros_Oblig!$A$3:$E$55,5,FALSE)))</f>
        <v>#VALUE!</v>
      </c>
      <c r="I270" s="8" t="e">
        <f>(C269*(VLOOKUP('Compra cartera'!$C$25,Seguros_Oblig!$A$3:$E$55,5,FALSE)))</f>
        <v>#VALUE!</v>
      </c>
      <c r="J270" s="10">
        <f t="shared" si="20"/>
        <v>0</v>
      </c>
      <c r="K270" s="7" t="e">
        <f>IF(C269&lt;1,"0",Seguros_Oblig!$K$2*('Compra cartera'!$C$11*90%))</f>
        <v>#VALUE!</v>
      </c>
      <c r="L270" s="7" t="e">
        <f>IF(B270=" ","0",PMT('Compra cartera'!$E$17,'Compra cartera'!$C$31,-'Compra cartera'!$C$14,,))</f>
        <v>#VALUE!</v>
      </c>
      <c r="M270" s="9" t="e">
        <f t="shared" si="21"/>
        <v>#VALUE!</v>
      </c>
      <c r="N270" s="7" t="e">
        <f>IF(C269&lt;1,"0",'Compra cartera'!$C$44)</f>
        <v>#VALUE!</v>
      </c>
      <c r="O270" s="9" t="e">
        <f t="shared" si="22"/>
        <v>#VALUE!</v>
      </c>
    </row>
    <row r="271" spans="2:15" ht="15.5" x14ac:dyDescent="0.35">
      <c r="B271" s="6" t="e">
        <f t="shared" si="23"/>
        <v>#VALUE!</v>
      </c>
      <c r="C271" s="7" t="e">
        <f t="shared" si="19"/>
        <v>#VALUE!</v>
      </c>
      <c r="D271" s="7" t="e">
        <f t="shared" si="24"/>
        <v>#VALUE!</v>
      </c>
      <c r="E271" s="7" t="e">
        <f>C270*'Compra cartera'!$E$17</f>
        <v>#VALUE!</v>
      </c>
      <c r="F271" s="8" t="e">
        <f>IF(C270&lt;1,"0",IF('Compra cartera'!$D$26="Si",($C$17*(VLOOKUP('Compra cartera'!$C$22,Seguros_Oblig!$A$3:$F$55,6,FALSE))),(C270*(VLOOKUP('Compra cartera'!$C$22,Seguros_Oblig!$A$3:$E$55,5,FALSE)))))</f>
        <v>#VALUE!</v>
      </c>
      <c r="G271" s="8" t="e">
        <f>(C270*(VLOOKUP('Compra cartera'!$C$23,Seguros_Oblig!$A$3:$E$55,5,FALSE)))</f>
        <v>#VALUE!</v>
      </c>
      <c r="H271" s="8" t="e">
        <f>(C270*(VLOOKUP('Compra cartera'!$C$24,Seguros_Oblig!$A$3:$E$55,5,FALSE)))</f>
        <v>#VALUE!</v>
      </c>
      <c r="I271" s="8" t="e">
        <f>(C270*(VLOOKUP('Compra cartera'!$C$25,Seguros_Oblig!$A$3:$E$55,5,FALSE)))</f>
        <v>#VALUE!</v>
      </c>
      <c r="J271" s="10">
        <f t="shared" si="20"/>
        <v>0</v>
      </c>
      <c r="K271" s="7" t="e">
        <f>IF(C270&lt;1,"0",Seguros_Oblig!$K$2*('Compra cartera'!$C$11*90%))</f>
        <v>#VALUE!</v>
      </c>
      <c r="L271" s="7" t="e">
        <f>IF(B271=" ","0",PMT('Compra cartera'!$E$17,'Compra cartera'!$C$31,-'Compra cartera'!$C$14,,))</f>
        <v>#VALUE!</v>
      </c>
      <c r="M271" s="9" t="e">
        <f t="shared" si="21"/>
        <v>#VALUE!</v>
      </c>
      <c r="N271" s="7" t="e">
        <f>IF(C270&lt;1,"0",'Compra cartera'!$C$44)</f>
        <v>#VALUE!</v>
      </c>
      <c r="O271" s="9" t="e">
        <f t="shared" si="22"/>
        <v>#VALUE!</v>
      </c>
    </row>
    <row r="272" spans="2:15" ht="15.5" x14ac:dyDescent="0.35">
      <c r="B272" s="6" t="e">
        <f t="shared" si="23"/>
        <v>#VALUE!</v>
      </c>
      <c r="C272" s="7" t="e">
        <f t="shared" si="19"/>
        <v>#VALUE!</v>
      </c>
      <c r="D272" s="7" t="e">
        <f t="shared" si="24"/>
        <v>#VALUE!</v>
      </c>
      <c r="E272" s="7" t="e">
        <f>C271*'Compra cartera'!$E$17</f>
        <v>#VALUE!</v>
      </c>
      <c r="F272" s="8" t="e">
        <f>IF(C271&lt;1,"0",IF('Compra cartera'!$D$26="Si",($C$17*(VLOOKUP('Compra cartera'!$C$22,Seguros_Oblig!$A$3:$F$55,6,FALSE))),(C271*(VLOOKUP('Compra cartera'!$C$22,Seguros_Oblig!$A$3:$E$55,5,FALSE)))))</f>
        <v>#VALUE!</v>
      </c>
      <c r="G272" s="8" t="e">
        <f>(C271*(VLOOKUP('Compra cartera'!$C$23,Seguros_Oblig!$A$3:$E$55,5,FALSE)))</f>
        <v>#VALUE!</v>
      </c>
      <c r="H272" s="8" t="e">
        <f>(C271*(VLOOKUP('Compra cartera'!$C$24,Seguros_Oblig!$A$3:$E$55,5,FALSE)))</f>
        <v>#VALUE!</v>
      </c>
      <c r="I272" s="8" t="e">
        <f>(C271*(VLOOKUP('Compra cartera'!$C$25,Seguros_Oblig!$A$3:$E$55,5,FALSE)))</f>
        <v>#VALUE!</v>
      </c>
      <c r="J272" s="10">
        <f t="shared" si="20"/>
        <v>0</v>
      </c>
      <c r="K272" s="7" t="e">
        <f>IF(C271&lt;1,"0",Seguros_Oblig!$K$2*('Compra cartera'!$C$11*90%))</f>
        <v>#VALUE!</v>
      </c>
      <c r="L272" s="7" t="e">
        <f>IF(B272=" ","0",PMT('Compra cartera'!$E$17,'Compra cartera'!$C$31,-'Compra cartera'!$C$14,,))</f>
        <v>#VALUE!</v>
      </c>
      <c r="M272" s="9" t="e">
        <f t="shared" si="21"/>
        <v>#VALUE!</v>
      </c>
      <c r="N272" s="7" t="e">
        <f>IF(C271&lt;1,"0",'Compra cartera'!$C$44)</f>
        <v>#VALUE!</v>
      </c>
      <c r="O272" s="9" t="e">
        <f t="shared" si="22"/>
        <v>#VALUE!</v>
      </c>
    </row>
    <row r="273" spans="2:15" ht="15.5" x14ac:dyDescent="0.35">
      <c r="B273" s="6" t="e">
        <f t="shared" si="23"/>
        <v>#VALUE!</v>
      </c>
      <c r="C273" s="7" t="e">
        <f t="shared" si="19"/>
        <v>#VALUE!</v>
      </c>
      <c r="D273" s="7" t="e">
        <f t="shared" si="24"/>
        <v>#VALUE!</v>
      </c>
      <c r="E273" s="7" t="e">
        <f>C272*'Compra cartera'!$E$17</f>
        <v>#VALUE!</v>
      </c>
      <c r="F273" s="8" t="e">
        <f>IF(C272&lt;1,"0",IF('Compra cartera'!$D$26="Si",($C$17*(VLOOKUP('Compra cartera'!$C$22,Seguros_Oblig!$A$3:$F$55,6,FALSE))),(C272*(VLOOKUP('Compra cartera'!$C$22,Seguros_Oblig!$A$3:$E$55,5,FALSE)))))</f>
        <v>#VALUE!</v>
      </c>
      <c r="G273" s="8" t="e">
        <f>(C272*(VLOOKUP('Compra cartera'!$C$23,Seguros_Oblig!$A$3:$E$55,5,FALSE)))</f>
        <v>#VALUE!</v>
      </c>
      <c r="H273" s="8" t="e">
        <f>(C272*(VLOOKUP('Compra cartera'!$C$24,Seguros_Oblig!$A$3:$E$55,5,FALSE)))</f>
        <v>#VALUE!</v>
      </c>
      <c r="I273" s="8" t="e">
        <f>(C272*(VLOOKUP('Compra cartera'!$C$25,Seguros_Oblig!$A$3:$E$55,5,FALSE)))</f>
        <v>#VALUE!</v>
      </c>
      <c r="J273" s="10">
        <f t="shared" si="20"/>
        <v>0</v>
      </c>
      <c r="K273" s="7" t="e">
        <f>IF(C272&lt;1,"0",Seguros_Oblig!$K$2*('Compra cartera'!$C$11*90%))</f>
        <v>#VALUE!</v>
      </c>
      <c r="L273" s="7" t="e">
        <f>IF(B273=" ","0",PMT('Compra cartera'!$E$17,'Compra cartera'!$C$31,-'Compra cartera'!$C$14,,))</f>
        <v>#VALUE!</v>
      </c>
      <c r="M273" s="9" t="e">
        <f t="shared" si="21"/>
        <v>#VALUE!</v>
      </c>
      <c r="N273" s="7" t="e">
        <f>IF(C272&lt;1,"0",'Compra cartera'!$C$44)</f>
        <v>#VALUE!</v>
      </c>
      <c r="O273" s="9" t="e">
        <f t="shared" si="22"/>
        <v>#VALUE!</v>
      </c>
    </row>
    <row r="274" spans="2:15" ht="15.5" x14ac:dyDescent="0.35">
      <c r="B274" s="6" t="e">
        <f t="shared" si="23"/>
        <v>#VALUE!</v>
      </c>
      <c r="C274" s="7" t="e">
        <f t="shared" si="19"/>
        <v>#VALUE!</v>
      </c>
      <c r="D274" s="7" t="e">
        <f t="shared" si="24"/>
        <v>#VALUE!</v>
      </c>
      <c r="E274" s="7" t="e">
        <f>C273*'Compra cartera'!$E$17</f>
        <v>#VALUE!</v>
      </c>
      <c r="F274" s="8" t="e">
        <f>IF(C273&lt;1,"0",IF('Compra cartera'!$D$26="Si",($C$17*(VLOOKUP('Compra cartera'!$C$22,Seguros_Oblig!$A$3:$F$55,6,FALSE))),(C273*(VLOOKUP('Compra cartera'!$C$22,Seguros_Oblig!$A$3:$E$55,5,FALSE)))))</f>
        <v>#VALUE!</v>
      </c>
      <c r="G274" s="8" t="e">
        <f>(C273*(VLOOKUP('Compra cartera'!$C$23,Seguros_Oblig!$A$3:$E$55,5,FALSE)))</f>
        <v>#VALUE!</v>
      </c>
      <c r="H274" s="8" t="e">
        <f>(C273*(VLOOKUP('Compra cartera'!$C$24,Seguros_Oblig!$A$3:$E$55,5,FALSE)))</f>
        <v>#VALUE!</v>
      </c>
      <c r="I274" s="8" t="e">
        <f>(C273*(VLOOKUP('Compra cartera'!$C$25,Seguros_Oblig!$A$3:$E$55,5,FALSE)))</f>
        <v>#VALUE!</v>
      </c>
      <c r="J274" s="10">
        <f t="shared" si="20"/>
        <v>0</v>
      </c>
      <c r="K274" s="7" t="e">
        <f>IF(C273&lt;1,"0",Seguros_Oblig!$K$2*('Compra cartera'!$C$11*90%))</f>
        <v>#VALUE!</v>
      </c>
      <c r="L274" s="7" t="e">
        <f>IF(B274=" ","0",PMT('Compra cartera'!$E$17,'Compra cartera'!$C$31,-'Compra cartera'!$C$14,,))</f>
        <v>#VALUE!</v>
      </c>
      <c r="M274" s="9" t="e">
        <f t="shared" si="21"/>
        <v>#VALUE!</v>
      </c>
      <c r="N274" s="7" t="e">
        <f>IF(C273&lt;1,"0",'Compra cartera'!$C$44)</f>
        <v>#VALUE!</v>
      </c>
      <c r="O274" s="9" t="e">
        <f t="shared" si="22"/>
        <v>#VALUE!</v>
      </c>
    </row>
    <row r="275" spans="2:15" ht="15.5" x14ac:dyDescent="0.35">
      <c r="B275" s="6" t="e">
        <f t="shared" si="23"/>
        <v>#VALUE!</v>
      </c>
      <c r="C275" s="7" t="e">
        <f t="shared" ref="C275:C338" si="25">C274-D275</f>
        <v>#VALUE!</v>
      </c>
      <c r="D275" s="7" t="e">
        <f t="shared" si="24"/>
        <v>#VALUE!</v>
      </c>
      <c r="E275" s="7" t="e">
        <f>C274*'Compra cartera'!$E$17</f>
        <v>#VALUE!</v>
      </c>
      <c r="F275" s="8" t="e">
        <f>IF(C274&lt;1,"0",IF('Compra cartera'!$D$26="Si",($C$17*(VLOOKUP('Compra cartera'!$C$22,Seguros_Oblig!$A$3:$F$55,6,FALSE))),(C274*(VLOOKUP('Compra cartera'!$C$22,Seguros_Oblig!$A$3:$E$55,5,FALSE)))))</f>
        <v>#VALUE!</v>
      </c>
      <c r="G275" s="8" t="e">
        <f>(C274*(VLOOKUP('Compra cartera'!$C$23,Seguros_Oblig!$A$3:$E$55,5,FALSE)))</f>
        <v>#VALUE!</v>
      </c>
      <c r="H275" s="8" t="e">
        <f>(C274*(VLOOKUP('Compra cartera'!$C$24,Seguros_Oblig!$A$3:$E$55,5,FALSE)))</f>
        <v>#VALUE!</v>
      </c>
      <c r="I275" s="8" t="e">
        <f>(C274*(VLOOKUP('Compra cartera'!$C$25,Seguros_Oblig!$A$3:$E$55,5,FALSE)))</f>
        <v>#VALUE!</v>
      </c>
      <c r="J275" s="10">
        <f t="shared" ref="J275:J338" si="26">_xlfn.AGGREGATE(9,6,F275:I275)</f>
        <v>0</v>
      </c>
      <c r="K275" s="7" t="e">
        <f>IF(C274&lt;1,"0",Seguros_Oblig!$K$2*('Compra cartera'!$C$11*90%))</f>
        <v>#VALUE!</v>
      </c>
      <c r="L275" s="7" t="e">
        <f>IF(B275=" ","0",PMT('Compra cartera'!$E$17,'Compra cartera'!$C$31,-'Compra cartera'!$C$14,,))</f>
        <v>#VALUE!</v>
      </c>
      <c r="M275" s="9" t="e">
        <f t="shared" ref="M275:M338" si="27">K275+L275+J275</f>
        <v>#VALUE!</v>
      </c>
      <c r="N275" s="7" t="e">
        <f>IF(C274&lt;1,"0",'Compra cartera'!$C$44)</f>
        <v>#VALUE!</v>
      </c>
      <c r="O275" s="9" t="e">
        <f t="shared" ref="O275:O338" si="28">M275+N275</f>
        <v>#VALUE!</v>
      </c>
    </row>
    <row r="276" spans="2:15" ht="15.5" x14ac:dyDescent="0.35">
      <c r="B276" s="6" t="e">
        <f t="shared" si="23"/>
        <v>#VALUE!</v>
      </c>
      <c r="C276" s="7" t="e">
        <f t="shared" si="25"/>
        <v>#VALUE!</v>
      </c>
      <c r="D276" s="7" t="e">
        <f t="shared" si="24"/>
        <v>#VALUE!</v>
      </c>
      <c r="E276" s="7" t="e">
        <f>C275*'Compra cartera'!$E$17</f>
        <v>#VALUE!</v>
      </c>
      <c r="F276" s="8" t="e">
        <f>IF(C275&lt;1,"0",IF('Compra cartera'!$D$26="Si",($C$17*(VLOOKUP('Compra cartera'!$C$22,Seguros_Oblig!$A$3:$F$55,6,FALSE))),(C275*(VLOOKUP('Compra cartera'!$C$22,Seguros_Oblig!$A$3:$E$55,5,FALSE)))))</f>
        <v>#VALUE!</v>
      </c>
      <c r="G276" s="8" t="e">
        <f>(C275*(VLOOKUP('Compra cartera'!$C$23,Seguros_Oblig!$A$3:$E$55,5,FALSE)))</f>
        <v>#VALUE!</v>
      </c>
      <c r="H276" s="8" t="e">
        <f>(C275*(VLOOKUP('Compra cartera'!$C$24,Seguros_Oblig!$A$3:$E$55,5,FALSE)))</f>
        <v>#VALUE!</v>
      </c>
      <c r="I276" s="8" t="e">
        <f>(C275*(VLOOKUP('Compra cartera'!$C$25,Seguros_Oblig!$A$3:$E$55,5,FALSE)))</f>
        <v>#VALUE!</v>
      </c>
      <c r="J276" s="10">
        <f t="shared" si="26"/>
        <v>0</v>
      </c>
      <c r="K276" s="7" t="e">
        <f>IF(C275&lt;1,"0",Seguros_Oblig!$K$2*('Compra cartera'!$C$11*90%))</f>
        <v>#VALUE!</v>
      </c>
      <c r="L276" s="7" t="e">
        <f>IF(B276=" ","0",PMT('Compra cartera'!$E$17,'Compra cartera'!$C$31,-'Compra cartera'!$C$14,,))</f>
        <v>#VALUE!</v>
      </c>
      <c r="M276" s="9" t="e">
        <f t="shared" si="27"/>
        <v>#VALUE!</v>
      </c>
      <c r="N276" s="7" t="e">
        <f>IF(C275&lt;1,"0",'Compra cartera'!$C$44)</f>
        <v>#VALUE!</v>
      </c>
      <c r="O276" s="9" t="e">
        <f t="shared" si="28"/>
        <v>#VALUE!</v>
      </c>
    </row>
    <row r="277" spans="2:15" ht="15.5" x14ac:dyDescent="0.35">
      <c r="B277" s="6" t="e">
        <f t="shared" si="23"/>
        <v>#VALUE!</v>
      </c>
      <c r="C277" s="7" t="e">
        <f t="shared" si="25"/>
        <v>#VALUE!</v>
      </c>
      <c r="D277" s="7" t="e">
        <f t="shared" si="24"/>
        <v>#VALUE!</v>
      </c>
      <c r="E277" s="7" t="e">
        <f>C276*'Compra cartera'!$E$17</f>
        <v>#VALUE!</v>
      </c>
      <c r="F277" s="8" t="e">
        <f>IF(C276&lt;1,"0",IF('Compra cartera'!$D$26="Si",($C$17*(VLOOKUP('Compra cartera'!$C$22,Seguros_Oblig!$A$3:$F$55,6,FALSE))),(C276*(VLOOKUP('Compra cartera'!$C$22,Seguros_Oblig!$A$3:$E$55,5,FALSE)))))</f>
        <v>#VALUE!</v>
      </c>
      <c r="G277" s="8" t="e">
        <f>(C276*(VLOOKUP('Compra cartera'!$C$23,Seguros_Oblig!$A$3:$E$55,5,FALSE)))</f>
        <v>#VALUE!</v>
      </c>
      <c r="H277" s="8" t="e">
        <f>(C276*(VLOOKUP('Compra cartera'!$C$24,Seguros_Oblig!$A$3:$E$55,5,FALSE)))</f>
        <v>#VALUE!</v>
      </c>
      <c r="I277" s="8" t="e">
        <f>(C276*(VLOOKUP('Compra cartera'!$C$25,Seguros_Oblig!$A$3:$E$55,5,FALSE)))</f>
        <v>#VALUE!</v>
      </c>
      <c r="J277" s="10">
        <f t="shared" si="26"/>
        <v>0</v>
      </c>
      <c r="K277" s="7" t="e">
        <f>IF(C276&lt;1,"0",Seguros_Oblig!$K$2*('Compra cartera'!$C$11*90%))</f>
        <v>#VALUE!</v>
      </c>
      <c r="L277" s="7" t="e">
        <f>IF(B277=" ","0",PMT('Compra cartera'!$E$17,'Compra cartera'!$C$31,-'Compra cartera'!$C$14,,))</f>
        <v>#VALUE!</v>
      </c>
      <c r="M277" s="9" t="e">
        <f t="shared" si="27"/>
        <v>#VALUE!</v>
      </c>
      <c r="N277" s="7" t="e">
        <f>IF(C276&lt;1,"0",'Compra cartera'!$C$44)</f>
        <v>#VALUE!</v>
      </c>
      <c r="O277" s="9" t="e">
        <f t="shared" si="28"/>
        <v>#VALUE!</v>
      </c>
    </row>
    <row r="278" spans="2:15" ht="15.5" x14ac:dyDescent="0.35">
      <c r="B278" s="6" t="e">
        <f t="shared" si="23"/>
        <v>#VALUE!</v>
      </c>
      <c r="C278" s="7" t="e">
        <f t="shared" si="25"/>
        <v>#VALUE!</v>
      </c>
      <c r="D278" s="7" t="e">
        <f t="shared" si="24"/>
        <v>#VALUE!</v>
      </c>
      <c r="E278" s="7" t="e">
        <f>C277*'Compra cartera'!$E$17</f>
        <v>#VALUE!</v>
      </c>
      <c r="F278" s="8" t="e">
        <f>IF(C277&lt;1,"0",IF('Compra cartera'!$D$26="Si",($C$17*(VLOOKUP('Compra cartera'!$C$22,Seguros_Oblig!$A$3:$F$55,6,FALSE))),(C277*(VLOOKUP('Compra cartera'!$C$22,Seguros_Oblig!$A$3:$E$55,5,FALSE)))))</f>
        <v>#VALUE!</v>
      </c>
      <c r="G278" s="8" t="e">
        <f>(C277*(VLOOKUP('Compra cartera'!$C$23,Seguros_Oblig!$A$3:$E$55,5,FALSE)))</f>
        <v>#VALUE!</v>
      </c>
      <c r="H278" s="8" t="e">
        <f>(C277*(VLOOKUP('Compra cartera'!$C$24,Seguros_Oblig!$A$3:$E$55,5,FALSE)))</f>
        <v>#VALUE!</v>
      </c>
      <c r="I278" s="8" t="e">
        <f>(C277*(VLOOKUP('Compra cartera'!$C$25,Seguros_Oblig!$A$3:$E$55,5,FALSE)))</f>
        <v>#VALUE!</v>
      </c>
      <c r="J278" s="10">
        <f t="shared" si="26"/>
        <v>0</v>
      </c>
      <c r="K278" s="7" t="e">
        <f>IF(C277&lt;1,"0",Seguros_Oblig!$K$2*('Compra cartera'!$C$11*90%))</f>
        <v>#VALUE!</v>
      </c>
      <c r="L278" s="7" t="e">
        <f>IF(B278=" ","0",PMT('Compra cartera'!$E$17,'Compra cartera'!$C$31,-'Compra cartera'!$C$14,,))</f>
        <v>#VALUE!</v>
      </c>
      <c r="M278" s="9" t="e">
        <f t="shared" si="27"/>
        <v>#VALUE!</v>
      </c>
      <c r="N278" s="7" t="e">
        <f>IF(C277&lt;1,"0",'Compra cartera'!$C$44)</f>
        <v>#VALUE!</v>
      </c>
      <c r="O278" s="9" t="e">
        <f t="shared" si="28"/>
        <v>#VALUE!</v>
      </c>
    </row>
    <row r="279" spans="2:15" ht="15.5" x14ac:dyDescent="0.35">
      <c r="B279" s="6" t="e">
        <f t="shared" si="23"/>
        <v>#VALUE!</v>
      </c>
      <c r="C279" s="7" t="e">
        <f t="shared" si="25"/>
        <v>#VALUE!</v>
      </c>
      <c r="D279" s="7" t="e">
        <f t="shared" si="24"/>
        <v>#VALUE!</v>
      </c>
      <c r="E279" s="7" t="e">
        <f>C278*'Compra cartera'!$E$17</f>
        <v>#VALUE!</v>
      </c>
      <c r="F279" s="8" t="e">
        <f>IF(C278&lt;1,"0",IF('Compra cartera'!$D$26="Si",($C$17*(VLOOKUP('Compra cartera'!$C$22,Seguros_Oblig!$A$3:$F$55,6,FALSE))),(C278*(VLOOKUP('Compra cartera'!$C$22,Seguros_Oblig!$A$3:$E$55,5,FALSE)))))</f>
        <v>#VALUE!</v>
      </c>
      <c r="G279" s="8" t="e">
        <f>(C278*(VLOOKUP('Compra cartera'!$C$23,Seguros_Oblig!$A$3:$E$55,5,FALSE)))</f>
        <v>#VALUE!</v>
      </c>
      <c r="H279" s="8" t="e">
        <f>(C278*(VLOOKUP('Compra cartera'!$C$24,Seguros_Oblig!$A$3:$E$55,5,FALSE)))</f>
        <v>#VALUE!</v>
      </c>
      <c r="I279" s="8" t="e">
        <f>(C278*(VLOOKUP('Compra cartera'!$C$25,Seguros_Oblig!$A$3:$E$55,5,FALSE)))</f>
        <v>#VALUE!</v>
      </c>
      <c r="J279" s="10">
        <f t="shared" si="26"/>
        <v>0</v>
      </c>
      <c r="K279" s="7" t="e">
        <f>IF(C278&lt;1,"0",Seguros_Oblig!$K$2*('Compra cartera'!$C$11*90%))</f>
        <v>#VALUE!</v>
      </c>
      <c r="L279" s="7" t="e">
        <f>IF(B279=" ","0",PMT('Compra cartera'!$E$17,'Compra cartera'!$C$31,-'Compra cartera'!$C$14,,))</f>
        <v>#VALUE!</v>
      </c>
      <c r="M279" s="9" t="e">
        <f t="shared" si="27"/>
        <v>#VALUE!</v>
      </c>
      <c r="N279" s="7" t="e">
        <f>IF(C278&lt;1,"0",'Compra cartera'!$C$44)</f>
        <v>#VALUE!</v>
      </c>
      <c r="O279" s="9" t="e">
        <f t="shared" si="28"/>
        <v>#VALUE!</v>
      </c>
    </row>
    <row r="280" spans="2:15" ht="15.5" x14ac:dyDescent="0.35">
      <c r="B280" s="6" t="e">
        <f t="shared" ref="B280:B343" si="29">IF(C279&gt;1,B279+1," ")</f>
        <v>#VALUE!</v>
      </c>
      <c r="C280" s="7" t="e">
        <f t="shared" si="25"/>
        <v>#VALUE!</v>
      </c>
      <c r="D280" s="7" t="e">
        <f t="shared" si="24"/>
        <v>#VALUE!</v>
      </c>
      <c r="E280" s="7" t="e">
        <f>C279*'Compra cartera'!$E$17</f>
        <v>#VALUE!</v>
      </c>
      <c r="F280" s="8" t="e">
        <f>IF(C279&lt;1,"0",IF('Compra cartera'!$D$26="Si",($C$17*(VLOOKUP('Compra cartera'!$C$22,Seguros_Oblig!$A$3:$F$55,6,FALSE))),(C279*(VLOOKUP('Compra cartera'!$C$22,Seguros_Oblig!$A$3:$E$55,5,FALSE)))))</f>
        <v>#VALUE!</v>
      </c>
      <c r="G280" s="8" t="e">
        <f>(C279*(VLOOKUP('Compra cartera'!$C$23,Seguros_Oblig!$A$3:$E$55,5,FALSE)))</f>
        <v>#VALUE!</v>
      </c>
      <c r="H280" s="8" t="e">
        <f>(C279*(VLOOKUP('Compra cartera'!$C$24,Seguros_Oblig!$A$3:$E$55,5,FALSE)))</f>
        <v>#VALUE!</v>
      </c>
      <c r="I280" s="8" t="e">
        <f>(C279*(VLOOKUP('Compra cartera'!$C$25,Seguros_Oblig!$A$3:$E$55,5,FALSE)))</f>
        <v>#VALUE!</v>
      </c>
      <c r="J280" s="10">
        <f t="shared" si="26"/>
        <v>0</v>
      </c>
      <c r="K280" s="7" t="e">
        <f>IF(C279&lt;1,"0",Seguros_Oblig!$K$2*('Compra cartera'!$C$11*90%))</f>
        <v>#VALUE!</v>
      </c>
      <c r="L280" s="7" t="e">
        <f>IF(B280=" ","0",PMT('Compra cartera'!$E$17,'Compra cartera'!$C$31,-'Compra cartera'!$C$14,,))</f>
        <v>#VALUE!</v>
      </c>
      <c r="M280" s="9" t="e">
        <f t="shared" si="27"/>
        <v>#VALUE!</v>
      </c>
      <c r="N280" s="7" t="e">
        <f>IF(C279&lt;1,"0",'Compra cartera'!$C$44)</f>
        <v>#VALUE!</v>
      </c>
      <c r="O280" s="9" t="e">
        <f t="shared" si="28"/>
        <v>#VALUE!</v>
      </c>
    </row>
    <row r="281" spans="2:15" ht="15.5" x14ac:dyDescent="0.35">
      <c r="B281" s="6" t="e">
        <f t="shared" si="29"/>
        <v>#VALUE!</v>
      </c>
      <c r="C281" s="7" t="e">
        <f t="shared" si="25"/>
        <v>#VALUE!</v>
      </c>
      <c r="D281" s="7" t="e">
        <f t="shared" si="24"/>
        <v>#VALUE!</v>
      </c>
      <c r="E281" s="7" t="e">
        <f>C280*'Compra cartera'!$E$17</f>
        <v>#VALUE!</v>
      </c>
      <c r="F281" s="8" t="e">
        <f>IF(C280&lt;1,"0",IF('Compra cartera'!$D$26="Si",($C$17*(VLOOKUP('Compra cartera'!$C$22,Seguros_Oblig!$A$3:$F$55,6,FALSE))),(C280*(VLOOKUP('Compra cartera'!$C$22,Seguros_Oblig!$A$3:$E$55,5,FALSE)))))</f>
        <v>#VALUE!</v>
      </c>
      <c r="G281" s="8" t="e">
        <f>(C280*(VLOOKUP('Compra cartera'!$C$23,Seguros_Oblig!$A$3:$E$55,5,FALSE)))</f>
        <v>#VALUE!</v>
      </c>
      <c r="H281" s="8" t="e">
        <f>(C280*(VLOOKUP('Compra cartera'!$C$24,Seguros_Oblig!$A$3:$E$55,5,FALSE)))</f>
        <v>#VALUE!</v>
      </c>
      <c r="I281" s="8" t="e">
        <f>(C280*(VLOOKUP('Compra cartera'!$C$25,Seguros_Oblig!$A$3:$E$55,5,FALSE)))</f>
        <v>#VALUE!</v>
      </c>
      <c r="J281" s="10">
        <f t="shared" si="26"/>
        <v>0</v>
      </c>
      <c r="K281" s="7" t="e">
        <f>IF(C280&lt;1,"0",Seguros_Oblig!$K$2*('Compra cartera'!$C$11*90%))</f>
        <v>#VALUE!</v>
      </c>
      <c r="L281" s="7" t="e">
        <f>IF(B281=" ","0",PMT('Compra cartera'!$E$17,'Compra cartera'!$C$31,-'Compra cartera'!$C$14,,))</f>
        <v>#VALUE!</v>
      </c>
      <c r="M281" s="9" t="e">
        <f t="shared" si="27"/>
        <v>#VALUE!</v>
      </c>
      <c r="N281" s="7" t="e">
        <f>IF(C280&lt;1,"0",'Compra cartera'!$C$44)</f>
        <v>#VALUE!</v>
      </c>
      <c r="O281" s="9" t="e">
        <f t="shared" si="28"/>
        <v>#VALUE!</v>
      </c>
    </row>
    <row r="282" spans="2:15" ht="15.5" x14ac:dyDescent="0.35">
      <c r="B282" s="6" t="e">
        <f t="shared" si="29"/>
        <v>#VALUE!</v>
      </c>
      <c r="C282" s="7" t="e">
        <f t="shared" si="25"/>
        <v>#VALUE!</v>
      </c>
      <c r="D282" s="7" t="e">
        <f t="shared" si="24"/>
        <v>#VALUE!</v>
      </c>
      <c r="E282" s="7" t="e">
        <f>C281*'Compra cartera'!$E$17</f>
        <v>#VALUE!</v>
      </c>
      <c r="F282" s="8" t="e">
        <f>IF(C281&lt;1,"0",IF('Compra cartera'!$D$26="Si",($C$17*(VLOOKUP('Compra cartera'!$C$22,Seguros_Oblig!$A$3:$F$55,6,FALSE))),(C281*(VLOOKUP('Compra cartera'!$C$22,Seguros_Oblig!$A$3:$E$55,5,FALSE)))))</f>
        <v>#VALUE!</v>
      </c>
      <c r="G282" s="8" t="e">
        <f>(C281*(VLOOKUP('Compra cartera'!$C$23,Seguros_Oblig!$A$3:$E$55,5,FALSE)))</f>
        <v>#VALUE!</v>
      </c>
      <c r="H282" s="8" t="e">
        <f>(C281*(VLOOKUP('Compra cartera'!$C$24,Seguros_Oblig!$A$3:$E$55,5,FALSE)))</f>
        <v>#VALUE!</v>
      </c>
      <c r="I282" s="8" t="e">
        <f>(C281*(VLOOKUP('Compra cartera'!$C$25,Seguros_Oblig!$A$3:$E$55,5,FALSE)))</f>
        <v>#VALUE!</v>
      </c>
      <c r="J282" s="10">
        <f t="shared" si="26"/>
        <v>0</v>
      </c>
      <c r="K282" s="7" t="e">
        <f>IF(C281&lt;1,"0",Seguros_Oblig!$K$2*('Compra cartera'!$C$11*90%))</f>
        <v>#VALUE!</v>
      </c>
      <c r="L282" s="7" t="e">
        <f>IF(B282=" ","0",PMT('Compra cartera'!$E$17,'Compra cartera'!$C$31,-'Compra cartera'!$C$14,,))</f>
        <v>#VALUE!</v>
      </c>
      <c r="M282" s="9" t="e">
        <f t="shared" si="27"/>
        <v>#VALUE!</v>
      </c>
      <c r="N282" s="7" t="e">
        <f>IF(C281&lt;1,"0",'Compra cartera'!$C$44)</f>
        <v>#VALUE!</v>
      </c>
      <c r="O282" s="9" t="e">
        <f t="shared" si="28"/>
        <v>#VALUE!</v>
      </c>
    </row>
    <row r="283" spans="2:15" ht="15.5" x14ac:dyDescent="0.35">
      <c r="B283" s="6" t="e">
        <f t="shared" si="29"/>
        <v>#VALUE!</v>
      </c>
      <c r="C283" s="7" t="e">
        <f t="shared" si="25"/>
        <v>#VALUE!</v>
      </c>
      <c r="D283" s="7" t="e">
        <f t="shared" si="24"/>
        <v>#VALUE!</v>
      </c>
      <c r="E283" s="7" t="e">
        <f>C282*'Compra cartera'!$E$17</f>
        <v>#VALUE!</v>
      </c>
      <c r="F283" s="8" t="e">
        <f>IF(C282&lt;1,"0",IF('Compra cartera'!$D$26="Si",($C$17*(VLOOKUP('Compra cartera'!$C$22,Seguros_Oblig!$A$3:$F$55,6,FALSE))),(C282*(VLOOKUP('Compra cartera'!$C$22,Seguros_Oblig!$A$3:$E$55,5,FALSE)))))</f>
        <v>#VALUE!</v>
      </c>
      <c r="G283" s="8" t="e">
        <f>(C282*(VLOOKUP('Compra cartera'!$C$23,Seguros_Oblig!$A$3:$E$55,5,FALSE)))</f>
        <v>#VALUE!</v>
      </c>
      <c r="H283" s="8" t="e">
        <f>(C282*(VLOOKUP('Compra cartera'!$C$24,Seguros_Oblig!$A$3:$E$55,5,FALSE)))</f>
        <v>#VALUE!</v>
      </c>
      <c r="I283" s="8" t="e">
        <f>(C282*(VLOOKUP('Compra cartera'!$C$25,Seguros_Oblig!$A$3:$E$55,5,FALSE)))</f>
        <v>#VALUE!</v>
      </c>
      <c r="J283" s="10">
        <f t="shared" si="26"/>
        <v>0</v>
      </c>
      <c r="K283" s="7" t="e">
        <f>IF(C282&lt;1,"0",Seguros_Oblig!$K$2*('Compra cartera'!$C$11*90%))</f>
        <v>#VALUE!</v>
      </c>
      <c r="L283" s="7" t="e">
        <f>IF(B283=" ","0",PMT('Compra cartera'!$E$17,'Compra cartera'!$C$31,-'Compra cartera'!$C$14,,))</f>
        <v>#VALUE!</v>
      </c>
      <c r="M283" s="9" t="e">
        <f t="shared" si="27"/>
        <v>#VALUE!</v>
      </c>
      <c r="N283" s="7" t="e">
        <f>IF(C282&lt;1,"0",'Compra cartera'!$C$44)</f>
        <v>#VALUE!</v>
      </c>
      <c r="O283" s="9" t="e">
        <f t="shared" si="28"/>
        <v>#VALUE!</v>
      </c>
    </row>
    <row r="284" spans="2:15" ht="15.5" x14ac:dyDescent="0.35">
      <c r="B284" s="6" t="e">
        <f t="shared" si="29"/>
        <v>#VALUE!</v>
      </c>
      <c r="C284" s="7" t="e">
        <f t="shared" si="25"/>
        <v>#VALUE!</v>
      </c>
      <c r="D284" s="7" t="e">
        <f t="shared" si="24"/>
        <v>#VALUE!</v>
      </c>
      <c r="E284" s="7" t="e">
        <f>C283*'Compra cartera'!$E$17</f>
        <v>#VALUE!</v>
      </c>
      <c r="F284" s="8" t="e">
        <f>IF(C283&lt;1,"0",IF('Compra cartera'!$D$26="Si",($C$17*(VLOOKUP('Compra cartera'!$C$22,Seguros_Oblig!$A$3:$F$55,6,FALSE))),(C283*(VLOOKUP('Compra cartera'!$C$22,Seguros_Oblig!$A$3:$E$55,5,FALSE)))))</f>
        <v>#VALUE!</v>
      </c>
      <c r="G284" s="8" t="e">
        <f>(C283*(VLOOKUP('Compra cartera'!$C$23,Seguros_Oblig!$A$3:$E$55,5,FALSE)))</f>
        <v>#VALUE!</v>
      </c>
      <c r="H284" s="8" t="e">
        <f>(C283*(VLOOKUP('Compra cartera'!$C$24,Seguros_Oblig!$A$3:$E$55,5,FALSE)))</f>
        <v>#VALUE!</v>
      </c>
      <c r="I284" s="8" t="e">
        <f>(C283*(VLOOKUP('Compra cartera'!$C$25,Seguros_Oblig!$A$3:$E$55,5,FALSE)))</f>
        <v>#VALUE!</v>
      </c>
      <c r="J284" s="10">
        <f t="shared" si="26"/>
        <v>0</v>
      </c>
      <c r="K284" s="7" t="e">
        <f>IF(C283&lt;1,"0",Seguros_Oblig!$K$2*('Compra cartera'!$C$11*90%))</f>
        <v>#VALUE!</v>
      </c>
      <c r="L284" s="7" t="e">
        <f>IF(B284=" ","0",PMT('Compra cartera'!$E$17,'Compra cartera'!$C$31,-'Compra cartera'!$C$14,,))</f>
        <v>#VALUE!</v>
      </c>
      <c r="M284" s="9" t="e">
        <f t="shared" si="27"/>
        <v>#VALUE!</v>
      </c>
      <c r="N284" s="7" t="e">
        <f>IF(C283&lt;1,"0",'Compra cartera'!$C$44)</f>
        <v>#VALUE!</v>
      </c>
      <c r="O284" s="9" t="e">
        <f t="shared" si="28"/>
        <v>#VALUE!</v>
      </c>
    </row>
    <row r="285" spans="2:15" ht="15.5" x14ac:dyDescent="0.35">
      <c r="B285" s="6" t="e">
        <f t="shared" si="29"/>
        <v>#VALUE!</v>
      </c>
      <c r="C285" s="7" t="e">
        <f t="shared" si="25"/>
        <v>#VALUE!</v>
      </c>
      <c r="D285" s="7" t="e">
        <f t="shared" si="24"/>
        <v>#VALUE!</v>
      </c>
      <c r="E285" s="7" t="e">
        <f>C284*'Compra cartera'!$E$17</f>
        <v>#VALUE!</v>
      </c>
      <c r="F285" s="8" t="e">
        <f>IF(C284&lt;1,"0",IF('Compra cartera'!$D$26="Si",($C$17*(VLOOKUP('Compra cartera'!$C$22,Seguros_Oblig!$A$3:$F$55,6,FALSE))),(C284*(VLOOKUP('Compra cartera'!$C$22,Seguros_Oblig!$A$3:$E$55,5,FALSE)))))</f>
        <v>#VALUE!</v>
      </c>
      <c r="G285" s="8" t="e">
        <f>(C284*(VLOOKUP('Compra cartera'!$C$23,Seguros_Oblig!$A$3:$E$55,5,FALSE)))</f>
        <v>#VALUE!</v>
      </c>
      <c r="H285" s="8" t="e">
        <f>(C284*(VLOOKUP('Compra cartera'!$C$24,Seguros_Oblig!$A$3:$E$55,5,FALSE)))</f>
        <v>#VALUE!</v>
      </c>
      <c r="I285" s="8" t="e">
        <f>(C284*(VLOOKUP('Compra cartera'!$C$25,Seguros_Oblig!$A$3:$E$55,5,FALSE)))</f>
        <v>#VALUE!</v>
      </c>
      <c r="J285" s="10">
        <f t="shared" si="26"/>
        <v>0</v>
      </c>
      <c r="K285" s="7" t="e">
        <f>IF(C284&lt;1,"0",Seguros_Oblig!$K$2*('Compra cartera'!$C$11*90%))</f>
        <v>#VALUE!</v>
      </c>
      <c r="L285" s="7" t="e">
        <f>IF(B285=" ","0",PMT('Compra cartera'!$E$17,'Compra cartera'!$C$31,-'Compra cartera'!$C$14,,))</f>
        <v>#VALUE!</v>
      </c>
      <c r="M285" s="9" t="e">
        <f t="shared" si="27"/>
        <v>#VALUE!</v>
      </c>
      <c r="N285" s="7" t="e">
        <f>IF(C284&lt;1,"0",'Compra cartera'!$C$44)</f>
        <v>#VALUE!</v>
      </c>
      <c r="O285" s="9" t="e">
        <f t="shared" si="28"/>
        <v>#VALUE!</v>
      </c>
    </row>
    <row r="286" spans="2:15" ht="15.5" x14ac:dyDescent="0.35">
      <c r="B286" s="6" t="e">
        <f t="shared" si="29"/>
        <v>#VALUE!</v>
      </c>
      <c r="C286" s="7" t="e">
        <f t="shared" si="25"/>
        <v>#VALUE!</v>
      </c>
      <c r="D286" s="7" t="e">
        <f t="shared" si="24"/>
        <v>#VALUE!</v>
      </c>
      <c r="E286" s="7" t="e">
        <f>C285*'Compra cartera'!$E$17</f>
        <v>#VALUE!</v>
      </c>
      <c r="F286" s="8" t="e">
        <f>IF(C285&lt;1,"0",IF('Compra cartera'!$D$26="Si",($C$17*(VLOOKUP('Compra cartera'!$C$22,Seguros_Oblig!$A$3:$F$55,6,FALSE))),(C285*(VLOOKUP('Compra cartera'!$C$22,Seguros_Oblig!$A$3:$E$55,5,FALSE)))))</f>
        <v>#VALUE!</v>
      </c>
      <c r="G286" s="8" t="e">
        <f>(C285*(VLOOKUP('Compra cartera'!$C$23,Seguros_Oblig!$A$3:$E$55,5,FALSE)))</f>
        <v>#VALUE!</v>
      </c>
      <c r="H286" s="8" t="e">
        <f>(C285*(VLOOKUP('Compra cartera'!$C$24,Seguros_Oblig!$A$3:$E$55,5,FALSE)))</f>
        <v>#VALUE!</v>
      </c>
      <c r="I286" s="8" t="e">
        <f>(C285*(VLOOKUP('Compra cartera'!$C$25,Seguros_Oblig!$A$3:$E$55,5,FALSE)))</f>
        <v>#VALUE!</v>
      </c>
      <c r="J286" s="10">
        <f t="shared" si="26"/>
        <v>0</v>
      </c>
      <c r="K286" s="7" t="e">
        <f>IF(C285&lt;1,"0",Seguros_Oblig!$K$2*('Compra cartera'!$C$11*90%))</f>
        <v>#VALUE!</v>
      </c>
      <c r="L286" s="7" t="e">
        <f>IF(B286=" ","0",PMT('Compra cartera'!$E$17,'Compra cartera'!$C$31,-'Compra cartera'!$C$14,,))</f>
        <v>#VALUE!</v>
      </c>
      <c r="M286" s="9" t="e">
        <f t="shared" si="27"/>
        <v>#VALUE!</v>
      </c>
      <c r="N286" s="7" t="e">
        <f>IF(C285&lt;1,"0",'Compra cartera'!$C$44)</f>
        <v>#VALUE!</v>
      </c>
      <c r="O286" s="9" t="e">
        <f t="shared" si="28"/>
        <v>#VALUE!</v>
      </c>
    </row>
    <row r="287" spans="2:15" ht="15.5" x14ac:dyDescent="0.35">
      <c r="B287" s="6" t="e">
        <f t="shared" si="29"/>
        <v>#VALUE!</v>
      </c>
      <c r="C287" s="7" t="e">
        <f t="shared" si="25"/>
        <v>#VALUE!</v>
      </c>
      <c r="D287" s="7" t="e">
        <f t="shared" ref="D287:D350" si="30">IF(C286&lt;1,"0",L287-E287)</f>
        <v>#VALUE!</v>
      </c>
      <c r="E287" s="7" t="e">
        <f>C286*'Compra cartera'!$E$17</f>
        <v>#VALUE!</v>
      </c>
      <c r="F287" s="8" t="e">
        <f>IF(C286&lt;1,"0",IF('Compra cartera'!$D$26="Si",($C$17*(VLOOKUP('Compra cartera'!$C$22,Seguros_Oblig!$A$3:$F$55,6,FALSE))),(C286*(VLOOKUP('Compra cartera'!$C$22,Seguros_Oblig!$A$3:$E$55,5,FALSE)))))</f>
        <v>#VALUE!</v>
      </c>
      <c r="G287" s="8" t="e">
        <f>(C286*(VLOOKUP('Compra cartera'!$C$23,Seguros_Oblig!$A$3:$E$55,5,FALSE)))</f>
        <v>#VALUE!</v>
      </c>
      <c r="H287" s="8" t="e">
        <f>(C286*(VLOOKUP('Compra cartera'!$C$24,Seguros_Oblig!$A$3:$E$55,5,FALSE)))</f>
        <v>#VALUE!</v>
      </c>
      <c r="I287" s="8" t="e">
        <f>(C286*(VLOOKUP('Compra cartera'!$C$25,Seguros_Oblig!$A$3:$E$55,5,FALSE)))</f>
        <v>#VALUE!</v>
      </c>
      <c r="J287" s="10">
        <f t="shared" si="26"/>
        <v>0</v>
      </c>
      <c r="K287" s="7" t="e">
        <f>IF(C286&lt;1,"0",Seguros_Oblig!$K$2*('Compra cartera'!$C$11*90%))</f>
        <v>#VALUE!</v>
      </c>
      <c r="L287" s="7" t="e">
        <f>IF(B287=" ","0",PMT('Compra cartera'!$E$17,'Compra cartera'!$C$31,-'Compra cartera'!$C$14,,))</f>
        <v>#VALUE!</v>
      </c>
      <c r="M287" s="9" t="e">
        <f t="shared" si="27"/>
        <v>#VALUE!</v>
      </c>
      <c r="N287" s="7" t="e">
        <f>IF(C286&lt;1,"0",'Compra cartera'!$C$44)</f>
        <v>#VALUE!</v>
      </c>
      <c r="O287" s="9" t="e">
        <f t="shared" si="28"/>
        <v>#VALUE!</v>
      </c>
    </row>
    <row r="288" spans="2:15" ht="15.5" x14ac:dyDescent="0.35">
      <c r="B288" s="6" t="e">
        <f t="shared" si="29"/>
        <v>#VALUE!</v>
      </c>
      <c r="C288" s="7" t="e">
        <f t="shared" si="25"/>
        <v>#VALUE!</v>
      </c>
      <c r="D288" s="7" t="e">
        <f t="shared" si="30"/>
        <v>#VALUE!</v>
      </c>
      <c r="E288" s="7" t="e">
        <f>C287*'Compra cartera'!$E$17</f>
        <v>#VALUE!</v>
      </c>
      <c r="F288" s="8" t="e">
        <f>IF(C287&lt;1,"0",IF('Compra cartera'!$D$26="Si",($C$17*(VLOOKUP('Compra cartera'!$C$22,Seguros_Oblig!$A$3:$F$55,6,FALSE))),(C287*(VLOOKUP('Compra cartera'!$C$22,Seguros_Oblig!$A$3:$E$55,5,FALSE)))))</f>
        <v>#VALUE!</v>
      </c>
      <c r="G288" s="8" t="e">
        <f>(C287*(VLOOKUP('Compra cartera'!$C$23,Seguros_Oblig!$A$3:$E$55,5,FALSE)))</f>
        <v>#VALUE!</v>
      </c>
      <c r="H288" s="8" t="e">
        <f>(C287*(VLOOKUP('Compra cartera'!$C$24,Seguros_Oblig!$A$3:$E$55,5,FALSE)))</f>
        <v>#VALUE!</v>
      </c>
      <c r="I288" s="8" t="e">
        <f>(C287*(VLOOKUP('Compra cartera'!$C$25,Seguros_Oblig!$A$3:$E$55,5,FALSE)))</f>
        <v>#VALUE!</v>
      </c>
      <c r="J288" s="10">
        <f t="shared" si="26"/>
        <v>0</v>
      </c>
      <c r="K288" s="7" t="e">
        <f>IF(C287&lt;1,"0",Seguros_Oblig!$K$2*('Compra cartera'!$C$11*90%))</f>
        <v>#VALUE!</v>
      </c>
      <c r="L288" s="7" t="e">
        <f>IF(B288=" ","0",PMT('Compra cartera'!$E$17,'Compra cartera'!$C$31,-'Compra cartera'!$C$14,,))</f>
        <v>#VALUE!</v>
      </c>
      <c r="M288" s="9" t="e">
        <f t="shared" si="27"/>
        <v>#VALUE!</v>
      </c>
      <c r="N288" s="7" t="e">
        <f>IF(C287&lt;1,"0",'Compra cartera'!$C$44)</f>
        <v>#VALUE!</v>
      </c>
      <c r="O288" s="9" t="e">
        <f t="shared" si="28"/>
        <v>#VALUE!</v>
      </c>
    </row>
    <row r="289" spans="2:15" ht="15.5" x14ac:dyDescent="0.35">
      <c r="B289" s="6" t="e">
        <f t="shared" si="29"/>
        <v>#VALUE!</v>
      </c>
      <c r="C289" s="7" t="e">
        <f t="shared" si="25"/>
        <v>#VALUE!</v>
      </c>
      <c r="D289" s="7" t="e">
        <f t="shared" si="30"/>
        <v>#VALUE!</v>
      </c>
      <c r="E289" s="7" t="e">
        <f>C288*'Compra cartera'!$E$17</f>
        <v>#VALUE!</v>
      </c>
      <c r="F289" s="8" t="e">
        <f>IF(C288&lt;1,"0",IF('Compra cartera'!$D$26="Si",($C$17*(VLOOKUP('Compra cartera'!$C$22,Seguros_Oblig!$A$3:$F$55,6,FALSE))),(C288*(VLOOKUP('Compra cartera'!$C$22,Seguros_Oblig!$A$3:$E$55,5,FALSE)))))</f>
        <v>#VALUE!</v>
      </c>
      <c r="G289" s="8" t="e">
        <f>(C288*(VLOOKUP('Compra cartera'!$C$23,Seguros_Oblig!$A$3:$E$55,5,FALSE)))</f>
        <v>#VALUE!</v>
      </c>
      <c r="H289" s="8" t="e">
        <f>(C288*(VLOOKUP('Compra cartera'!$C$24,Seguros_Oblig!$A$3:$E$55,5,FALSE)))</f>
        <v>#VALUE!</v>
      </c>
      <c r="I289" s="8" t="e">
        <f>(C288*(VLOOKUP('Compra cartera'!$C$25,Seguros_Oblig!$A$3:$E$55,5,FALSE)))</f>
        <v>#VALUE!</v>
      </c>
      <c r="J289" s="10">
        <f t="shared" si="26"/>
        <v>0</v>
      </c>
      <c r="K289" s="7" t="e">
        <f>IF(C288&lt;1,"0",Seguros_Oblig!$K$2*('Compra cartera'!$C$11*90%))</f>
        <v>#VALUE!</v>
      </c>
      <c r="L289" s="7" t="e">
        <f>IF(B289=" ","0",PMT('Compra cartera'!$E$17,'Compra cartera'!$C$31,-'Compra cartera'!$C$14,,))</f>
        <v>#VALUE!</v>
      </c>
      <c r="M289" s="9" t="e">
        <f t="shared" si="27"/>
        <v>#VALUE!</v>
      </c>
      <c r="N289" s="7" t="e">
        <f>IF(C288&lt;1,"0",'Compra cartera'!$C$44)</f>
        <v>#VALUE!</v>
      </c>
      <c r="O289" s="9" t="e">
        <f t="shared" si="28"/>
        <v>#VALUE!</v>
      </c>
    </row>
    <row r="290" spans="2:15" ht="15.5" x14ac:dyDescent="0.35">
      <c r="B290" s="6" t="e">
        <f t="shared" si="29"/>
        <v>#VALUE!</v>
      </c>
      <c r="C290" s="7" t="e">
        <f t="shared" si="25"/>
        <v>#VALUE!</v>
      </c>
      <c r="D290" s="7" t="e">
        <f t="shared" si="30"/>
        <v>#VALUE!</v>
      </c>
      <c r="E290" s="7" t="e">
        <f>C289*'Compra cartera'!$E$17</f>
        <v>#VALUE!</v>
      </c>
      <c r="F290" s="8" t="e">
        <f>IF(C289&lt;1,"0",IF('Compra cartera'!$D$26="Si",($C$17*(VLOOKUP('Compra cartera'!$C$22,Seguros_Oblig!$A$3:$F$55,6,FALSE))),(C289*(VLOOKUP('Compra cartera'!$C$22,Seguros_Oblig!$A$3:$E$55,5,FALSE)))))</f>
        <v>#VALUE!</v>
      </c>
      <c r="G290" s="8" t="e">
        <f>(C289*(VLOOKUP('Compra cartera'!$C$23,Seguros_Oblig!$A$3:$E$55,5,FALSE)))</f>
        <v>#VALUE!</v>
      </c>
      <c r="H290" s="8" t="e">
        <f>(C289*(VLOOKUP('Compra cartera'!$C$24,Seguros_Oblig!$A$3:$E$55,5,FALSE)))</f>
        <v>#VALUE!</v>
      </c>
      <c r="I290" s="8" t="e">
        <f>(C289*(VLOOKUP('Compra cartera'!$C$25,Seguros_Oblig!$A$3:$E$55,5,FALSE)))</f>
        <v>#VALUE!</v>
      </c>
      <c r="J290" s="10">
        <f t="shared" si="26"/>
        <v>0</v>
      </c>
      <c r="K290" s="7" t="e">
        <f>IF(C289&lt;1,"0",Seguros_Oblig!$K$2*('Compra cartera'!$C$11*90%))</f>
        <v>#VALUE!</v>
      </c>
      <c r="L290" s="7" t="e">
        <f>IF(B290=" ","0",PMT('Compra cartera'!$E$17,'Compra cartera'!$C$31,-'Compra cartera'!$C$14,,))</f>
        <v>#VALUE!</v>
      </c>
      <c r="M290" s="9" t="e">
        <f t="shared" si="27"/>
        <v>#VALUE!</v>
      </c>
      <c r="N290" s="7" t="e">
        <f>IF(C289&lt;1,"0",'Compra cartera'!$C$44)</f>
        <v>#VALUE!</v>
      </c>
      <c r="O290" s="9" t="e">
        <f t="shared" si="28"/>
        <v>#VALUE!</v>
      </c>
    </row>
    <row r="291" spans="2:15" ht="15.5" x14ac:dyDescent="0.35">
      <c r="B291" s="6" t="e">
        <f t="shared" si="29"/>
        <v>#VALUE!</v>
      </c>
      <c r="C291" s="7" t="e">
        <f t="shared" si="25"/>
        <v>#VALUE!</v>
      </c>
      <c r="D291" s="7" t="e">
        <f t="shared" si="30"/>
        <v>#VALUE!</v>
      </c>
      <c r="E291" s="7" t="e">
        <f>C290*'Compra cartera'!$E$17</f>
        <v>#VALUE!</v>
      </c>
      <c r="F291" s="8" t="e">
        <f>IF(C290&lt;1,"0",IF('Compra cartera'!$D$26="Si",($C$17*(VLOOKUP('Compra cartera'!$C$22,Seguros_Oblig!$A$3:$F$55,6,FALSE))),(C290*(VLOOKUP('Compra cartera'!$C$22,Seguros_Oblig!$A$3:$E$55,5,FALSE)))))</f>
        <v>#VALUE!</v>
      </c>
      <c r="G291" s="8" t="e">
        <f>(C290*(VLOOKUP('Compra cartera'!$C$23,Seguros_Oblig!$A$3:$E$55,5,FALSE)))</f>
        <v>#VALUE!</v>
      </c>
      <c r="H291" s="8" t="e">
        <f>(C290*(VLOOKUP('Compra cartera'!$C$24,Seguros_Oblig!$A$3:$E$55,5,FALSE)))</f>
        <v>#VALUE!</v>
      </c>
      <c r="I291" s="8" t="e">
        <f>(C290*(VLOOKUP('Compra cartera'!$C$25,Seguros_Oblig!$A$3:$E$55,5,FALSE)))</f>
        <v>#VALUE!</v>
      </c>
      <c r="J291" s="10">
        <f t="shared" si="26"/>
        <v>0</v>
      </c>
      <c r="K291" s="7" t="e">
        <f>IF(C290&lt;1,"0",Seguros_Oblig!$K$2*('Compra cartera'!$C$11*90%))</f>
        <v>#VALUE!</v>
      </c>
      <c r="L291" s="7" t="e">
        <f>IF(B291=" ","0",PMT('Compra cartera'!$E$17,'Compra cartera'!$C$31,-'Compra cartera'!$C$14,,))</f>
        <v>#VALUE!</v>
      </c>
      <c r="M291" s="9" t="e">
        <f t="shared" si="27"/>
        <v>#VALUE!</v>
      </c>
      <c r="N291" s="7" t="e">
        <f>IF(C290&lt;1,"0",'Compra cartera'!$C$44)</f>
        <v>#VALUE!</v>
      </c>
      <c r="O291" s="9" t="e">
        <f t="shared" si="28"/>
        <v>#VALUE!</v>
      </c>
    </row>
    <row r="292" spans="2:15" ht="15.5" x14ac:dyDescent="0.35">
      <c r="B292" s="6" t="e">
        <f t="shared" si="29"/>
        <v>#VALUE!</v>
      </c>
      <c r="C292" s="7" t="e">
        <f t="shared" si="25"/>
        <v>#VALUE!</v>
      </c>
      <c r="D292" s="7" t="e">
        <f t="shared" si="30"/>
        <v>#VALUE!</v>
      </c>
      <c r="E292" s="7" t="e">
        <f>C291*'Compra cartera'!$E$17</f>
        <v>#VALUE!</v>
      </c>
      <c r="F292" s="8" t="e">
        <f>IF(C291&lt;1,"0",IF('Compra cartera'!$D$26="Si",($C$17*(VLOOKUP('Compra cartera'!$C$22,Seguros_Oblig!$A$3:$F$55,6,FALSE))),(C291*(VLOOKUP('Compra cartera'!$C$22,Seguros_Oblig!$A$3:$E$55,5,FALSE)))))</f>
        <v>#VALUE!</v>
      </c>
      <c r="G292" s="8" t="e">
        <f>(C291*(VLOOKUP('Compra cartera'!$C$23,Seguros_Oblig!$A$3:$E$55,5,FALSE)))</f>
        <v>#VALUE!</v>
      </c>
      <c r="H292" s="8" t="e">
        <f>(C291*(VLOOKUP('Compra cartera'!$C$24,Seguros_Oblig!$A$3:$E$55,5,FALSE)))</f>
        <v>#VALUE!</v>
      </c>
      <c r="I292" s="8" t="e">
        <f>(C291*(VLOOKUP('Compra cartera'!$C$25,Seguros_Oblig!$A$3:$E$55,5,FALSE)))</f>
        <v>#VALUE!</v>
      </c>
      <c r="J292" s="10">
        <f t="shared" si="26"/>
        <v>0</v>
      </c>
      <c r="K292" s="7" t="e">
        <f>IF(C291&lt;1,"0",Seguros_Oblig!$K$2*('Compra cartera'!$C$11*90%))</f>
        <v>#VALUE!</v>
      </c>
      <c r="L292" s="7" t="e">
        <f>IF(B292=" ","0",PMT('Compra cartera'!$E$17,'Compra cartera'!$C$31,-'Compra cartera'!$C$14,,))</f>
        <v>#VALUE!</v>
      </c>
      <c r="M292" s="9" t="e">
        <f t="shared" si="27"/>
        <v>#VALUE!</v>
      </c>
      <c r="N292" s="7" t="e">
        <f>IF(C291&lt;1,"0",'Compra cartera'!$C$44)</f>
        <v>#VALUE!</v>
      </c>
      <c r="O292" s="9" t="e">
        <f t="shared" si="28"/>
        <v>#VALUE!</v>
      </c>
    </row>
    <row r="293" spans="2:15" ht="15.5" x14ac:dyDescent="0.35">
      <c r="B293" s="6" t="e">
        <f t="shared" si="29"/>
        <v>#VALUE!</v>
      </c>
      <c r="C293" s="7" t="e">
        <f t="shared" si="25"/>
        <v>#VALUE!</v>
      </c>
      <c r="D293" s="7" t="e">
        <f t="shared" si="30"/>
        <v>#VALUE!</v>
      </c>
      <c r="E293" s="7" t="e">
        <f>C292*'Compra cartera'!$E$17</f>
        <v>#VALUE!</v>
      </c>
      <c r="F293" s="8" t="e">
        <f>IF(C292&lt;1,"0",IF('Compra cartera'!$D$26="Si",($C$17*(VLOOKUP('Compra cartera'!$C$22,Seguros_Oblig!$A$3:$F$55,6,FALSE))),(C292*(VLOOKUP('Compra cartera'!$C$22,Seguros_Oblig!$A$3:$E$55,5,FALSE)))))</f>
        <v>#VALUE!</v>
      </c>
      <c r="G293" s="8" t="e">
        <f>(C292*(VLOOKUP('Compra cartera'!$C$23,Seguros_Oblig!$A$3:$E$55,5,FALSE)))</f>
        <v>#VALUE!</v>
      </c>
      <c r="H293" s="8" t="e">
        <f>(C292*(VLOOKUP('Compra cartera'!$C$24,Seguros_Oblig!$A$3:$E$55,5,FALSE)))</f>
        <v>#VALUE!</v>
      </c>
      <c r="I293" s="8" t="e">
        <f>(C292*(VLOOKUP('Compra cartera'!$C$25,Seguros_Oblig!$A$3:$E$55,5,FALSE)))</f>
        <v>#VALUE!</v>
      </c>
      <c r="J293" s="10">
        <f t="shared" si="26"/>
        <v>0</v>
      </c>
      <c r="K293" s="7" t="e">
        <f>IF(C292&lt;1,"0",Seguros_Oblig!$K$2*('Compra cartera'!$C$11*90%))</f>
        <v>#VALUE!</v>
      </c>
      <c r="L293" s="7" t="e">
        <f>IF(B293=" ","0",PMT('Compra cartera'!$E$17,'Compra cartera'!$C$31,-'Compra cartera'!$C$14,,))</f>
        <v>#VALUE!</v>
      </c>
      <c r="M293" s="9" t="e">
        <f t="shared" si="27"/>
        <v>#VALUE!</v>
      </c>
      <c r="N293" s="7" t="e">
        <f>IF(C292&lt;1,"0",'Compra cartera'!$C$44)</f>
        <v>#VALUE!</v>
      </c>
      <c r="O293" s="9" t="e">
        <f t="shared" si="28"/>
        <v>#VALUE!</v>
      </c>
    </row>
    <row r="294" spans="2:15" ht="15.5" x14ac:dyDescent="0.35">
      <c r="B294" s="6" t="e">
        <f t="shared" si="29"/>
        <v>#VALUE!</v>
      </c>
      <c r="C294" s="7" t="e">
        <f t="shared" si="25"/>
        <v>#VALUE!</v>
      </c>
      <c r="D294" s="7" t="e">
        <f t="shared" si="30"/>
        <v>#VALUE!</v>
      </c>
      <c r="E294" s="7" t="e">
        <f>C293*'Compra cartera'!$E$17</f>
        <v>#VALUE!</v>
      </c>
      <c r="F294" s="8" t="e">
        <f>IF(C293&lt;1,"0",IF('Compra cartera'!$D$26="Si",($C$17*(VLOOKUP('Compra cartera'!$C$22,Seguros_Oblig!$A$3:$F$55,6,FALSE))),(C293*(VLOOKUP('Compra cartera'!$C$22,Seguros_Oblig!$A$3:$E$55,5,FALSE)))))</f>
        <v>#VALUE!</v>
      </c>
      <c r="G294" s="8" t="e">
        <f>(C293*(VLOOKUP('Compra cartera'!$C$23,Seguros_Oblig!$A$3:$E$55,5,FALSE)))</f>
        <v>#VALUE!</v>
      </c>
      <c r="H294" s="8" t="e">
        <f>(C293*(VLOOKUP('Compra cartera'!$C$24,Seguros_Oblig!$A$3:$E$55,5,FALSE)))</f>
        <v>#VALUE!</v>
      </c>
      <c r="I294" s="8" t="e">
        <f>(C293*(VLOOKUP('Compra cartera'!$C$25,Seguros_Oblig!$A$3:$E$55,5,FALSE)))</f>
        <v>#VALUE!</v>
      </c>
      <c r="J294" s="10">
        <f t="shared" si="26"/>
        <v>0</v>
      </c>
      <c r="K294" s="7" t="e">
        <f>IF(C293&lt;1,"0",Seguros_Oblig!$K$2*('Compra cartera'!$C$11*90%))</f>
        <v>#VALUE!</v>
      </c>
      <c r="L294" s="7" t="e">
        <f>IF(B294=" ","0",PMT('Compra cartera'!$E$17,'Compra cartera'!$C$31,-'Compra cartera'!$C$14,,))</f>
        <v>#VALUE!</v>
      </c>
      <c r="M294" s="9" t="e">
        <f t="shared" si="27"/>
        <v>#VALUE!</v>
      </c>
      <c r="N294" s="7" t="e">
        <f>IF(C293&lt;1,"0",'Compra cartera'!$C$44)</f>
        <v>#VALUE!</v>
      </c>
      <c r="O294" s="9" t="e">
        <f t="shared" si="28"/>
        <v>#VALUE!</v>
      </c>
    </row>
    <row r="295" spans="2:15" ht="15.5" x14ac:dyDescent="0.35">
      <c r="B295" s="6" t="e">
        <f t="shared" si="29"/>
        <v>#VALUE!</v>
      </c>
      <c r="C295" s="7" t="e">
        <f t="shared" si="25"/>
        <v>#VALUE!</v>
      </c>
      <c r="D295" s="7" t="e">
        <f t="shared" si="30"/>
        <v>#VALUE!</v>
      </c>
      <c r="E295" s="7" t="e">
        <f>C294*'Compra cartera'!$E$17</f>
        <v>#VALUE!</v>
      </c>
      <c r="F295" s="8" t="e">
        <f>IF(C294&lt;1,"0",IF('Compra cartera'!$D$26="Si",($C$17*(VLOOKUP('Compra cartera'!$C$22,Seguros_Oblig!$A$3:$F$55,6,FALSE))),(C294*(VLOOKUP('Compra cartera'!$C$22,Seguros_Oblig!$A$3:$E$55,5,FALSE)))))</f>
        <v>#VALUE!</v>
      </c>
      <c r="G295" s="8" t="e">
        <f>(C294*(VLOOKUP('Compra cartera'!$C$23,Seguros_Oblig!$A$3:$E$55,5,FALSE)))</f>
        <v>#VALUE!</v>
      </c>
      <c r="H295" s="8" t="e">
        <f>(C294*(VLOOKUP('Compra cartera'!$C$24,Seguros_Oblig!$A$3:$E$55,5,FALSE)))</f>
        <v>#VALUE!</v>
      </c>
      <c r="I295" s="8" t="e">
        <f>(C294*(VLOOKUP('Compra cartera'!$C$25,Seguros_Oblig!$A$3:$E$55,5,FALSE)))</f>
        <v>#VALUE!</v>
      </c>
      <c r="J295" s="10">
        <f t="shared" si="26"/>
        <v>0</v>
      </c>
      <c r="K295" s="7" t="e">
        <f>IF(C294&lt;1,"0",Seguros_Oblig!$K$2*('Compra cartera'!$C$11*90%))</f>
        <v>#VALUE!</v>
      </c>
      <c r="L295" s="7" t="e">
        <f>IF(B295=" ","0",PMT('Compra cartera'!$E$17,'Compra cartera'!$C$31,-'Compra cartera'!$C$14,,))</f>
        <v>#VALUE!</v>
      </c>
      <c r="M295" s="9" t="e">
        <f t="shared" si="27"/>
        <v>#VALUE!</v>
      </c>
      <c r="N295" s="7" t="e">
        <f>IF(C294&lt;1,"0",'Compra cartera'!$C$44)</f>
        <v>#VALUE!</v>
      </c>
      <c r="O295" s="9" t="e">
        <f t="shared" si="28"/>
        <v>#VALUE!</v>
      </c>
    </row>
    <row r="296" spans="2:15" ht="15.5" x14ac:dyDescent="0.35">
      <c r="B296" s="6" t="e">
        <f t="shared" si="29"/>
        <v>#VALUE!</v>
      </c>
      <c r="C296" s="7" t="e">
        <f t="shared" si="25"/>
        <v>#VALUE!</v>
      </c>
      <c r="D296" s="7" t="e">
        <f t="shared" si="30"/>
        <v>#VALUE!</v>
      </c>
      <c r="E296" s="7" t="e">
        <f>C295*'Compra cartera'!$E$17</f>
        <v>#VALUE!</v>
      </c>
      <c r="F296" s="8" t="e">
        <f>IF(C295&lt;1,"0",IF('Compra cartera'!$D$26="Si",($C$17*(VLOOKUP('Compra cartera'!$C$22,Seguros_Oblig!$A$3:$F$55,6,FALSE))),(C295*(VLOOKUP('Compra cartera'!$C$22,Seguros_Oblig!$A$3:$E$55,5,FALSE)))))</f>
        <v>#VALUE!</v>
      </c>
      <c r="G296" s="8" t="e">
        <f>(C295*(VLOOKUP('Compra cartera'!$C$23,Seguros_Oblig!$A$3:$E$55,5,FALSE)))</f>
        <v>#VALUE!</v>
      </c>
      <c r="H296" s="8" t="e">
        <f>(C295*(VLOOKUP('Compra cartera'!$C$24,Seguros_Oblig!$A$3:$E$55,5,FALSE)))</f>
        <v>#VALUE!</v>
      </c>
      <c r="I296" s="8" t="e">
        <f>(C295*(VLOOKUP('Compra cartera'!$C$25,Seguros_Oblig!$A$3:$E$55,5,FALSE)))</f>
        <v>#VALUE!</v>
      </c>
      <c r="J296" s="10">
        <f t="shared" si="26"/>
        <v>0</v>
      </c>
      <c r="K296" s="7" t="e">
        <f>IF(C295&lt;1,"0",Seguros_Oblig!$K$2*('Compra cartera'!$C$11*90%))</f>
        <v>#VALUE!</v>
      </c>
      <c r="L296" s="7" t="e">
        <f>IF(B296=" ","0",PMT('Compra cartera'!$E$17,'Compra cartera'!$C$31,-'Compra cartera'!$C$14,,))</f>
        <v>#VALUE!</v>
      </c>
      <c r="M296" s="9" t="e">
        <f t="shared" si="27"/>
        <v>#VALUE!</v>
      </c>
      <c r="N296" s="7" t="e">
        <f>IF(C295&lt;1,"0",'Compra cartera'!$C$44)</f>
        <v>#VALUE!</v>
      </c>
      <c r="O296" s="9" t="e">
        <f t="shared" si="28"/>
        <v>#VALUE!</v>
      </c>
    </row>
    <row r="297" spans="2:15" ht="15.5" x14ac:dyDescent="0.35">
      <c r="B297" s="6" t="e">
        <f t="shared" si="29"/>
        <v>#VALUE!</v>
      </c>
      <c r="C297" s="7" t="e">
        <f t="shared" si="25"/>
        <v>#VALUE!</v>
      </c>
      <c r="D297" s="7" t="e">
        <f t="shared" si="30"/>
        <v>#VALUE!</v>
      </c>
      <c r="E297" s="7" t="e">
        <f>C296*'Compra cartera'!$E$17</f>
        <v>#VALUE!</v>
      </c>
      <c r="F297" s="8" t="e">
        <f>IF(C296&lt;1,"0",IF('Compra cartera'!$D$26="Si",($C$17*(VLOOKUP('Compra cartera'!$C$22,Seguros_Oblig!$A$3:$F$55,6,FALSE))),(C296*(VLOOKUP('Compra cartera'!$C$22,Seguros_Oblig!$A$3:$E$55,5,FALSE)))))</f>
        <v>#VALUE!</v>
      </c>
      <c r="G297" s="8" t="e">
        <f>(C296*(VLOOKUP('Compra cartera'!$C$23,Seguros_Oblig!$A$3:$E$55,5,FALSE)))</f>
        <v>#VALUE!</v>
      </c>
      <c r="H297" s="8" t="e">
        <f>(C296*(VLOOKUP('Compra cartera'!$C$24,Seguros_Oblig!$A$3:$E$55,5,FALSE)))</f>
        <v>#VALUE!</v>
      </c>
      <c r="I297" s="8" t="e">
        <f>(C296*(VLOOKUP('Compra cartera'!$C$25,Seguros_Oblig!$A$3:$E$55,5,FALSE)))</f>
        <v>#VALUE!</v>
      </c>
      <c r="J297" s="10">
        <f t="shared" si="26"/>
        <v>0</v>
      </c>
      <c r="K297" s="7" t="e">
        <f>IF(C296&lt;1,"0",Seguros_Oblig!$K$2*('Compra cartera'!$C$11*90%))</f>
        <v>#VALUE!</v>
      </c>
      <c r="L297" s="7" t="e">
        <f>IF(B297=" ","0",PMT('Compra cartera'!$E$17,'Compra cartera'!$C$31,-'Compra cartera'!$C$14,,))</f>
        <v>#VALUE!</v>
      </c>
      <c r="M297" s="9" t="e">
        <f t="shared" si="27"/>
        <v>#VALUE!</v>
      </c>
      <c r="N297" s="7" t="e">
        <f>IF(C296&lt;1,"0",'Compra cartera'!$C$44)</f>
        <v>#VALUE!</v>
      </c>
      <c r="O297" s="9" t="e">
        <f t="shared" si="28"/>
        <v>#VALUE!</v>
      </c>
    </row>
    <row r="298" spans="2:15" ht="15.5" x14ac:dyDescent="0.35">
      <c r="B298" s="6" t="e">
        <f t="shared" si="29"/>
        <v>#VALUE!</v>
      </c>
      <c r="C298" s="7" t="e">
        <f t="shared" si="25"/>
        <v>#VALUE!</v>
      </c>
      <c r="D298" s="7" t="e">
        <f t="shared" si="30"/>
        <v>#VALUE!</v>
      </c>
      <c r="E298" s="7" t="e">
        <f>C297*'Compra cartera'!$E$17</f>
        <v>#VALUE!</v>
      </c>
      <c r="F298" s="8" t="e">
        <f>IF(C297&lt;1,"0",IF('Compra cartera'!$D$26="Si",($C$17*(VLOOKUP('Compra cartera'!$C$22,Seguros_Oblig!$A$3:$F$55,6,FALSE))),(C297*(VLOOKUP('Compra cartera'!$C$22,Seguros_Oblig!$A$3:$E$55,5,FALSE)))))</f>
        <v>#VALUE!</v>
      </c>
      <c r="G298" s="8" t="e">
        <f>(C297*(VLOOKUP('Compra cartera'!$C$23,Seguros_Oblig!$A$3:$E$55,5,FALSE)))</f>
        <v>#VALUE!</v>
      </c>
      <c r="H298" s="8" t="e">
        <f>(C297*(VLOOKUP('Compra cartera'!$C$24,Seguros_Oblig!$A$3:$E$55,5,FALSE)))</f>
        <v>#VALUE!</v>
      </c>
      <c r="I298" s="8" t="e">
        <f>(C297*(VLOOKUP('Compra cartera'!$C$25,Seguros_Oblig!$A$3:$E$55,5,FALSE)))</f>
        <v>#VALUE!</v>
      </c>
      <c r="J298" s="10">
        <f t="shared" si="26"/>
        <v>0</v>
      </c>
      <c r="K298" s="7" t="e">
        <f>IF(C297&lt;1,"0",Seguros_Oblig!$K$2*('Compra cartera'!$C$11*90%))</f>
        <v>#VALUE!</v>
      </c>
      <c r="L298" s="7" t="e">
        <f>IF(B298=" ","0",PMT('Compra cartera'!$E$17,'Compra cartera'!$C$31,-'Compra cartera'!$C$14,,))</f>
        <v>#VALUE!</v>
      </c>
      <c r="M298" s="9" t="e">
        <f t="shared" si="27"/>
        <v>#VALUE!</v>
      </c>
      <c r="N298" s="7" t="e">
        <f>IF(C297&lt;1,"0",'Compra cartera'!$C$44)</f>
        <v>#VALUE!</v>
      </c>
      <c r="O298" s="9" t="e">
        <f t="shared" si="28"/>
        <v>#VALUE!</v>
      </c>
    </row>
    <row r="299" spans="2:15" ht="15.5" x14ac:dyDescent="0.35">
      <c r="B299" s="6" t="e">
        <f t="shared" si="29"/>
        <v>#VALUE!</v>
      </c>
      <c r="C299" s="7" t="e">
        <f t="shared" si="25"/>
        <v>#VALUE!</v>
      </c>
      <c r="D299" s="7" t="e">
        <f t="shared" si="30"/>
        <v>#VALUE!</v>
      </c>
      <c r="E299" s="7" t="e">
        <f>C298*'Compra cartera'!$E$17</f>
        <v>#VALUE!</v>
      </c>
      <c r="F299" s="8" t="e">
        <f>IF(C298&lt;1,"0",IF('Compra cartera'!$D$26="Si",($C$17*(VLOOKUP('Compra cartera'!$C$22,Seguros_Oblig!$A$3:$F$55,6,FALSE))),(C298*(VLOOKUP('Compra cartera'!$C$22,Seguros_Oblig!$A$3:$E$55,5,FALSE)))))</f>
        <v>#VALUE!</v>
      </c>
      <c r="G299" s="8" t="e">
        <f>(C298*(VLOOKUP('Compra cartera'!$C$23,Seguros_Oblig!$A$3:$E$55,5,FALSE)))</f>
        <v>#VALUE!</v>
      </c>
      <c r="H299" s="8" t="e">
        <f>(C298*(VLOOKUP('Compra cartera'!$C$24,Seguros_Oblig!$A$3:$E$55,5,FALSE)))</f>
        <v>#VALUE!</v>
      </c>
      <c r="I299" s="8" t="e">
        <f>(C298*(VLOOKUP('Compra cartera'!$C$25,Seguros_Oblig!$A$3:$E$55,5,FALSE)))</f>
        <v>#VALUE!</v>
      </c>
      <c r="J299" s="10">
        <f t="shared" si="26"/>
        <v>0</v>
      </c>
      <c r="K299" s="7" t="e">
        <f>IF(C298&lt;1,"0",Seguros_Oblig!$K$2*('Compra cartera'!$C$11*90%))</f>
        <v>#VALUE!</v>
      </c>
      <c r="L299" s="7" t="e">
        <f>IF(B299=" ","0",PMT('Compra cartera'!$E$17,'Compra cartera'!$C$31,-'Compra cartera'!$C$14,,))</f>
        <v>#VALUE!</v>
      </c>
      <c r="M299" s="9" t="e">
        <f t="shared" si="27"/>
        <v>#VALUE!</v>
      </c>
      <c r="N299" s="7" t="e">
        <f>IF(C298&lt;1,"0",'Compra cartera'!$C$44)</f>
        <v>#VALUE!</v>
      </c>
      <c r="O299" s="9" t="e">
        <f t="shared" si="28"/>
        <v>#VALUE!</v>
      </c>
    </row>
    <row r="300" spans="2:15" ht="15.5" x14ac:dyDescent="0.35">
      <c r="B300" s="6" t="e">
        <f t="shared" si="29"/>
        <v>#VALUE!</v>
      </c>
      <c r="C300" s="7" t="e">
        <f t="shared" si="25"/>
        <v>#VALUE!</v>
      </c>
      <c r="D300" s="7" t="e">
        <f t="shared" si="30"/>
        <v>#VALUE!</v>
      </c>
      <c r="E300" s="7" t="e">
        <f>C299*'Compra cartera'!$E$17</f>
        <v>#VALUE!</v>
      </c>
      <c r="F300" s="8" t="e">
        <f>IF(C299&lt;1,"0",IF('Compra cartera'!$D$26="Si",($C$17*(VLOOKUP('Compra cartera'!$C$22,Seguros_Oblig!$A$3:$F$55,6,FALSE))),(C299*(VLOOKUP('Compra cartera'!$C$22,Seguros_Oblig!$A$3:$E$55,5,FALSE)))))</f>
        <v>#VALUE!</v>
      </c>
      <c r="G300" s="8" t="e">
        <f>(C299*(VLOOKUP('Compra cartera'!$C$23,Seguros_Oblig!$A$3:$E$55,5,FALSE)))</f>
        <v>#VALUE!</v>
      </c>
      <c r="H300" s="8" t="e">
        <f>(C299*(VLOOKUP('Compra cartera'!$C$24,Seguros_Oblig!$A$3:$E$55,5,FALSE)))</f>
        <v>#VALUE!</v>
      </c>
      <c r="I300" s="8" t="e">
        <f>(C299*(VLOOKUP('Compra cartera'!$C$25,Seguros_Oblig!$A$3:$E$55,5,FALSE)))</f>
        <v>#VALUE!</v>
      </c>
      <c r="J300" s="10">
        <f t="shared" si="26"/>
        <v>0</v>
      </c>
      <c r="K300" s="7" t="e">
        <f>IF(C299&lt;1,"0",Seguros_Oblig!$K$2*('Compra cartera'!$C$11*90%))</f>
        <v>#VALUE!</v>
      </c>
      <c r="L300" s="7" t="e">
        <f>IF(B300=" ","0",PMT('Compra cartera'!$E$17,'Compra cartera'!$C$31,-'Compra cartera'!$C$14,,))</f>
        <v>#VALUE!</v>
      </c>
      <c r="M300" s="9" t="e">
        <f t="shared" si="27"/>
        <v>#VALUE!</v>
      </c>
      <c r="N300" s="7" t="e">
        <f>IF(C299&lt;1,"0",'Compra cartera'!$C$44)</f>
        <v>#VALUE!</v>
      </c>
      <c r="O300" s="9" t="e">
        <f t="shared" si="28"/>
        <v>#VALUE!</v>
      </c>
    </row>
    <row r="301" spans="2:15" ht="15.5" x14ac:dyDescent="0.35">
      <c r="B301" s="6" t="e">
        <f t="shared" si="29"/>
        <v>#VALUE!</v>
      </c>
      <c r="C301" s="7" t="e">
        <f t="shared" si="25"/>
        <v>#VALUE!</v>
      </c>
      <c r="D301" s="7" t="e">
        <f t="shared" si="30"/>
        <v>#VALUE!</v>
      </c>
      <c r="E301" s="7" t="e">
        <f>C300*'Compra cartera'!$E$17</f>
        <v>#VALUE!</v>
      </c>
      <c r="F301" s="8" t="e">
        <f>IF(C300&lt;1,"0",IF('Compra cartera'!$D$26="Si",($C$17*(VLOOKUP('Compra cartera'!$C$22,Seguros_Oblig!$A$3:$F$55,6,FALSE))),(C300*(VLOOKUP('Compra cartera'!$C$22,Seguros_Oblig!$A$3:$E$55,5,FALSE)))))</f>
        <v>#VALUE!</v>
      </c>
      <c r="G301" s="8" t="e">
        <f>(C300*(VLOOKUP('Compra cartera'!$C$23,Seguros_Oblig!$A$3:$E$55,5,FALSE)))</f>
        <v>#VALUE!</v>
      </c>
      <c r="H301" s="8" t="e">
        <f>(C300*(VLOOKUP('Compra cartera'!$C$24,Seguros_Oblig!$A$3:$E$55,5,FALSE)))</f>
        <v>#VALUE!</v>
      </c>
      <c r="I301" s="8" t="e">
        <f>(C300*(VLOOKUP('Compra cartera'!$C$25,Seguros_Oblig!$A$3:$E$55,5,FALSE)))</f>
        <v>#VALUE!</v>
      </c>
      <c r="J301" s="10">
        <f t="shared" si="26"/>
        <v>0</v>
      </c>
      <c r="K301" s="7" t="e">
        <f>IF(C300&lt;1,"0",Seguros_Oblig!$K$2*('Compra cartera'!$C$11*90%))</f>
        <v>#VALUE!</v>
      </c>
      <c r="L301" s="7" t="e">
        <f>IF(B301=" ","0",PMT('Compra cartera'!$E$17,'Compra cartera'!$C$31,-'Compra cartera'!$C$14,,))</f>
        <v>#VALUE!</v>
      </c>
      <c r="M301" s="9" t="e">
        <f t="shared" si="27"/>
        <v>#VALUE!</v>
      </c>
      <c r="N301" s="7" t="e">
        <f>IF(C300&lt;1,"0",'Compra cartera'!$C$44)</f>
        <v>#VALUE!</v>
      </c>
      <c r="O301" s="9" t="e">
        <f t="shared" si="28"/>
        <v>#VALUE!</v>
      </c>
    </row>
    <row r="302" spans="2:15" ht="15.5" x14ac:dyDescent="0.35">
      <c r="B302" s="6" t="e">
        <f t="shared" si="29"/>
        <v>#VALUE!</v>
      </c>
      <c r="C302" s="7" t="e">
        <f t="shared" si="25"/>
        <v>#VALUE!</v>
      </c>
      <c r="D302" s="7" t="e">
        <f t="shared" si="30"/>
        <v>#VALUE!</v>
      </c>
      <c r="E302" s="7" t="e">
        <f>C301*'Compra cartera'!$E$17</f>
        <v>#VALUE!</v>
      </c>
      <c r="F302" s="8" t="e">
        <f>IF(C301&lt;1,"0",IF('Compra cartera'!$D$26="Si",($C$17*(VLOOKUP('Compra cartera'!$C$22,Seguros_Oblig!$A$3:$F$55,6,FALSE))),(C301*(VLOOKUP('Compra cartera'!$C$22,Seguros_Oblig!$A$3:$E$55,5,FALSE)))))</f>
        <v>#VALUE!</v>
      </c>
      <c r="G302" s="8" t="e">
        <f>(C301*(VLOOKUP('Compra cartera'!$C$23,Seguros_Oblig!$A$3:$E$55,5,FALSE)))</f>
        <v>#VALUE!</v>
      </c>
      <c r="H302" s="8" t="e">
        <f>(C301*(VLOOKUP('Compra cartera'!$C$24,Seguros_Oblig!$A$3:$E$55,5,FALSE)))</f>
        <v>#VALUE!</v>
      </c>
      <c r="I302" s="8" t="e">
        <f>(C301*(VLOOKUP('Compra cartera'!$C$25,Seguros_Oblig!$A$3:$E$55,5,FALSE)))</f>
        <v>#VALUE!</v>
      </c>
      <c r="J302" s="10">
        <f t="shared" si="26"/>
        <v>0</v>
      </c>
      <c r="K302" s="7" t="e">
        <f>IF(C301&lt;1,"0",Seguros_Oblig!$K$2*('Compra cartera'!$C$11*90%))</f>
        <v>#VALUE!</v>
      </c>
      <c r="L302" s="7" t="e">
        <f>IF(B302=" ","0",PMT('Compra cartera'!$E$17,'Compra cartera'!$C$31,-'Compra cartera'!$C$14,,))</f>
        <v>#VALUE!</v>
      </c>
      <c r="M302" s="9" t="e">
        <f t="shared" si="27"/>
        <v>#VALUE!</v>
      </c>
      <c r="N302" s="7" t="e">
        <f>IF(C301&lt;1,"0",'Compra cartera'!$C$44)</f>
        <v>#VALUE!</v>
      </c>
      <c r="O302" s="9" t="e">
        <f t="shared" si="28"/>
        <v>#VALUE!</v>
      </c>
    </row>
    <row r="303" spans="2:15" ht="15.5" x14ac:dyDescent="0.35">
      <c r="B303" s="6" t="e">
        <f t="shared" si="29"/>
        <v>#VALUE!</v>
      </c>
      <c r="C303" s="7" t="e">
        <f t="shared" si="25"/>
        <v>#VALUE!</v>
      </c>
      <c r="D303" s="7" t="e">
        <f t="shared" si="30"/>
        <v>#VALUE!</v>
      </c>
      <c r="E303" s="7" t="e">
        <f>C302*'Compra cartera'!$E$17</f>
        <v>#VALUE!</v>
      </c>
      <c r="F303" s="8" t="e">
        <f>IF(C302&lt;1,"0",IF('Compra cartera'!$D$26="Si",($C$17*(VLOOKUP('Compra cartera'!$C$22,Seguros_Oblig!$A$3:$F$55,6,FALSE))),(C302*(VLOOKUP('Compra cartera'!$C$22,Seguros_Oblig!$A$3:$E$55,5,FALSE)))))</f>
        <v>#VALUE!</v>
      </c>
      <c r="G303" s="8" t="e">
        <f>(C302*(VLOOKUP('Compra cartera'!$C$23,Seguros_Oblig!$A$3:$E$55,5,FALSE)))</f>
        <v>#VALUE!</v>
      </c>
      <c r="H303" s="8" t="e">
        <f>(C302*(VLOOKUP('Compra cartera'!$C$24,Seguros_Oblig!$A$3:$E$55,5,FALSE)))</f>
        <v>#VALUE!</v>
      </c>
      <c r="I303" s="8" t="e">
        <f>(C302*(VLOOKUP('Compra cartera'!$C$25,Seguros_Oblig!$A$3:$E$55,5,FALSE)))</f>
        <v>#VALUE!</v>
      </c>
      <c r="J303" s="10">
        <f t="shared" si="26"/>
        <v>0</v>
      </c>
      <c r="K303" s="7" t="e">
        <f>IF(C302&lt;1,"0",Seguros_Oblig!$K$2*('Compra cartera'!$C$11*90%))</f>
        <v>#VALUE!</v>
      </c>
      <c r="L303" s="7" t="e">
        <f>IF(B303=" ","0",PMT('Compra cartera'!$E$17,'Compra cartera'!$C$31,-'Compra cartera'!$C$14,,))</f>
        <v>#VALUE!</v>
      </c>
      <c r="M303" s="9" t="e">
        <f t="shared" si="27"/>
        <v>#VALUE!</v>
      </c>
      <c r="N303" s="7" t="e">
        <f>IF(C302&lt;1,"0",'Compra cartera'!$C$44)</f>
        <v>#VALUE!</v>
      </c>
      <c r="O303" s="9" t="e">
        <f t="shared" si="28"/>
        <v>#VALUE!</v>
      </c>
    </row>
    <row r="304" spans="2:15" ht="15.5" x14ac:dyDescent="0.35">
      <c r="B304" s="6" t="e">
        <f t="shared" si="29"/>
        <v>#VALUE!</v>
      </c>
      <c r="C304" s="7" t="e">
        <f t="shared" si="25"/>
        <v>#VALUE!</v>
      </c>
      <c r="D304" s="7" t="e">
        <f t="shared" si="30"/>
        <v>#VALUE!</v>
      </c>
      <c r="E304" s="7" t="e">
        <f>C303*'Compra cartera'!$E$17</f>
        <v>#VALUE!</v>
      </c>
      <c r="F304" s="8" t="e">
        <f>IF(C303&lt;1,"0",IF('Compra cartera'!$D$26="Si",($C$17*(VLOOKUP('Compra cartera'!$C$22,Seguros_Oblig!$A$3:$F$55,6,FALSE))),(C303*(VLOOKUP('Compra cartera'!$C$22,Seguros_Oblig!$A$3:$E$55,5,FALSE)))))</f>
        <v>#VALUE!</v>
      </c>
      <c r="G304" s="8" t="e">
        <f>(C303*(VLOOKUP('Compra cartera'!$C$23,Seguros_Oblig!$A$3:$E$55,5,FALSE)))</f>
        <v>#VALUE!</v>
      </c>
      <c r="H304" s="8" t="e">
        <f>(C303*(VLOOKUP('Compra cartera'!$C$24,Seguros_Oblig!$A$3:$E$55,5,FALSE)))</f>
        <v>#VALUE!</v>
      </c>
      <c r="I304" s="8" t="e">
        <f>(C303*(VLOOKUP('Compra cartera'!$C$25,Seguros_Oblig!$A$3:$E$55,5,FALSE)))</f>
        <v>#VALUE!</v>
      </c>
      <c r="J304" s="10">
        <f t="shared" si="26"/>
        <v>0</v>
      </c>
      <c r="K304" s="7" t="e">
        <f>IF(C303&lt;1,"0",Seguros_Oblig!$K$2*('Compra cartera'!$C$11*90%))</f>
        <v>#VALUE!</v>
      </c>
      <c r="L304" s="7" t="e">
        <f>IF(B304=" ","0",PMT('Compra cartera'!$E$17,'Compra cartera'!$C$31,-'Compra cartera'!$C$14,,))</f>
        <v>#VALUE!</v>
      </c>
      <c r="M304" s="9" t="e">
        <f t="shared" si="27"/>
        <v>#VALUE!</v>
      </c>
      <c r="N304" s="7" t="e">
        <f>IF(C303&lt;1,"0",'Compra cartera'!$C$44)</f>
        <v>#VALUE!</v>
      </c>
      <c r="O304" s="9" t="e">
        <f t="shared" si="28"/>
        <v>#VALUE!</v>
      </c>
    </row>
    <row r="305" spans="2:15" ht="15.5" x14ac:dyDescent="0.35">
      <c r="B305" s="6" t="e">
        <f t="shared" si="29"/>
        <v>#VALUE!</v>
      </c>
      <c r="C305" s="7" t="e">
        <f t="shared" si="25"/>
        <v>#VALUE!</v>
      </c>
      <c r="D305" s="7" t="e">
        <f t="shared" si="30"/>
        <v>#VALUE!</v>
      </c>
      <c r="E305" s="7" t="e">
        <f>C304*'Compra cartera'!$E$17</f>
        <v>#VALUE!</v>
      </c>
      <c r="F305" s="8" t="e">
        <f>IF(C304&lt;1,"0",IF('Compra cartera'!$D$26="Si",($C$17*(VLOOKUP('Compra cartera'!$C$22,Seguros_Oblig!$A$3:$F$55,6,FALSE))),(C304*(VLOOKUP('Compra cartera'!$C$22,Seguros_Oblig!$A$3:$E$55,5,FALSE)))))</f>
        <v>#VALUE!</v>
      </c>
      <c r="G305" s="8" t="e">
        <f>(C304*(VLOOKUP('Compra cartera'!$C$23,Seguros_Oblig!$A$3:$E$55,5,FALSE)))</f>
        <v>#VALUE!</v>
      </c>
      <c r="H305" s="8" t="e">
        <f>(C304*(VLOOKUP('Compra cartera'!$C$24,Seguros_Oblig!$A$3:$E$55,5,FALSE)))</f>
        <v>#VALUE!</v>
      </c>
      <c r="I305" s="8" t="e">
        <f>(C304*(VLOOKUP('Compra cartera'!$C$25,Seguros_Oblig!$A$3:$E$55,5,FALSE)))</f>
        <v>#VALUE!</v>
      </c>
      <c r="J305" s="10">
        <f t="shared" si="26"/>
        <v>0</v>
      </c>
      <c r="K305" s="7" t="e">
        <f>IF(C304&lt;1,"0",Seguros_Oblig!$K$2*('Compra cartera'!$C$11*90%))</f>
        <v>#VALUE!</v>
      </c>
      <c r="L305" s="7" t="e">
        <f>IF(B305=" ","0",PMT('Compra cartera'!$E$17,'Compra cartera'!$C$31,-'Compra cartera'!$C$14,,))</f>
        <v>#VALUE!</v>
      </c>
      <c r="M305" s="9" t="e">
        <f t="shared" si="27"/>
        <v>#VALUE!</v>
      </c>
      <c r="N305" s="7" t="e">
        <f>IF(C304&lt;1,"0",'Compra cartera'!$C$44)</f>
        <v>#VALUE!</v>
      </c>
      <c r="O305" s="9" t="e">
        <f t="shared" si="28"/>
        <v>#VALUE!</v>
      </c>
    </row>
    <row r="306" spans="2:15" ht="15.5" x14ac:dyDescent="0.35">
      <c r="B306" s="6" t="e">
        <f t="shared" si="29"/>
        <v>#VALUE!</v>
      </c>
      <c r="C306" s="7" t="e">
        <f t="shared" si="25"/>
        <v>#VALUE!</v>
      </c>
      <c r="D306" s="7" t="e">
        <f t="shared" si="30"/>
        <v>#VALUE!</v>
      </c>
      <c r="E306" s="7" t="e">
        <f>C305*'Compra cartera'!$E$17</f>
        <v>#VALUE!</v>
      </c>
      <c r="F306" s="8" t="e">
        <f>IF(C305&lt;1,"0",IF('Compra cartera'!$D$26="Si",($C$17*(VLOOKUP('Compra cartera'!$C$22,Seguros_Oblig!$A$3:$F$55,6,FALSE))),(C305*(VLOOKUP('Compra cartera'!$C$22,Seguros_Oblig!$A$3:$E$55,5,FALSE)))))</f>
        <v>#VALUE!</v>
      </c>
      <c r="G306" s="8" t="e">
        <f>(C305*(VLOOKUP('Compra cartera'!$C$23,Seguros_Oblig!$A$3:$E$55,5,FALSE)))</f>
        <v>#VALUE!</v>
      </c>
      <c r="H306" s="8" t="e">
        <f>(C305*(VLOOKUP('Compra cartera'!$C$24,Seguros_Oblig!$A$3:$E$55,5,FALSE)))</f>
        <v>#VALUE!</v>
      </c>
      <c r="I306" s="8" t="e">
        <f>(C305*(VLOOKUP('Compra cartera'!$C$25,Seguros_Oblig!$A$3:$E$55,5,FALSE)))</f>
        <v>#VALUE!</v>
      </c>
      <c r="J306" s="10">
        <f t="shared" si="26"/>
        <v>0</v>
      </c>
      <c r="K306" s="7" t="e">
        <f>IF(C305&lt;1,"0",Seguros_Oblig!$K$2*('Compra cartera'!$C$11*90%))</f>
        <v>#VALUE!</v>
      </c>
      <c r="L306" s="7" t="e">
        <f>IF(B306=" ","0",PMT('Compra cartera'!$E$17,'Compra cartera'!$C$31,-'Compra cartera'!$C$14,,))</f>
        <v>#VALUE!</v>
      </c>
      <c r="M306" s="9" t="e">
        <f t="shared" si="27"/>
        <v>#VALUE!</v>
      </c>
      <c r="N306" s="7" t="e">
        <f>IF(C305&lt;1,"0",'Compra cartera'!$C$44)</f>
        <v>#VALUE!</v>
      </c>
      <c r="O306" s="9" t="e">
        <f t="shared" si="28"/>
        <v>#VALUE!</v>
      </c>
    </row>
    <row r="307" spans="2:15" ht="15.5" x14ac:dyDescent="0.35">
      <c r="B307" s="6" t="e">
        <f t="shared" si="29"/>
        <v>#VALUE!</v>
      </c>
      <c r="C307" s="7" t="e">
        <f t="shared" si="25"/>
        <v>#VALUE!</v>
      </c>
      <c r="D307" s="7" t="e">
        <f t="shared" si="30"/>
        <v>#VALUE!</v>
      </c>
      <c r="E307" s="7" t="e">
        <f>C306*'Compra cartera'!$E$17</f>
        <v>#VALUE!</v>
      </c>
      <c r="F307" s="8" t="e">
        <f>IF(C306&lt;1,"0",IF('Compra cartera'!$D$26="Si",($C$17*(VLOOKUP('Compra cartera'!$C$22,Seguros_Oblig!$A$3:$F$55,6,FALSE))),(C306*(VLOOKUP('Compra cartera'!$C$22,Seguros_Oblig!$A$3:$E$55,5,FALSE)))))</f>
        <v>#VALUE!</v>
      </c>
      <c r="G307" s="8" t="e">
        <f>(C306*(VLOOKUP('Compra cartera'!$C$23,Seguros_Oblig!$A$3:$E$55,5,FALSE)))</f>
        <v>#VALUE!</v>
      </c>
      <c r="H307" s="8" t="e">
        <f>(C306*(VLOOKUP('Compra cartera'!$C$24,Seguros_Oblig!$A$3:$E$55,5,FALSE)))</f>
        <v>#VALUE!</v>
      </c>
      <c r="I307" s="8" t="e">
        <f>(C306*(VLOOKUP('Compra cartera'!$C$25,Seguros_Oblig!$A$3:$E$55,5,FALSE)))</f>
        <v>#VALUE!</v>
      </c>
      <c r="J307" s="10">
        <f t="shared" si="26"/>
        <v>0</v>
      </c>
      <c r="K307" s="7" t="e">
        <f>IF(C306&lt;1,"0",Seguros_Oblig!$K$2*('Compra cartera'!$C$11*90%))</f>
        <v>#VALUE!</v>
      </c>
      <c r="L307" s="7" t="e">
        <f>IF(B307=" ","0",PMT('Compra cartera'!$E$17,'Compra cartera'!$C$31,-'Compra cartera'!$C$14,,))</f>
        <v>#VALUE!</v>
      </c>
      <c r="M307" s="9" t="e">
        <f t="shared" si="27"/>
        <v>#VALUE!</v>
      </c>
      <c r="N307" s="7" t="e">
        <f>IF(C306&lt;1,"0",'Compra cartera'!$C$44)</f>
        <v>#VALUE!</v>
      </c>
      <c r="O307" s="9" t="e">
        <f t="shared" si="28"/>
        <v>#VALUE!</v>
      </c>
    </row>
    <row r="308" spans="2:15" ht="15.5" x14ac:dyDescent="0.35">
      <c r="B308" s="6" t="e">
        <f t="shared" si="29"/>
        <v>#VALUE!</v>
      </c>
      <c r="C308" s="7" t="e">
        <f t="shared" si="25"/>
        <v>#VALUE!</v>
      </c>
      <c r="D308" s="7" t="e">
        <f t="shared" si="30"/>
        <v>#VALUE!</v>
      </c>
      <c r="E308" s="7" t="e">
        <f>C307*'Compra cartera'!$E$17</f>
        <v>#VALUE!</v>
      </c>
      <c r="F308" s="8" t="e">
        <f>IF(C307&lt;1,"0",IF('Compra cartera'!$D$26="Si",($C$17*(VLOOKUP('Compra cartera'!$C$22,Seguros_Oblig!$A$3:$F$55,6,FALSE))),(C307*(VLOOKUP('Compra cartera'!$C$22,Seguros_Oblig!$A$3:$E$55,5,FALSE)))))</f>
        <v>#VALUE!</v>
      </c>
      <c r="G308" s="8" t="e">
        <f>(C307*(VLOOKUP('Compra cartera'!$C$23,Seguros_Oblig!$A$3:$E$55,5,FALSE)))</f>
        <v>#VALUE!</v>
      </c>
      <c r="H308" s="8" t="e">
        <f>(C307*(VLOOKUP('Compra cartera'!$C$24,Seguros_Oblig!$A$3:$E$55,5,FALSE)))</f>
        <v>#VALUE!</v>
      </c>
      <c r="I308" s="8" t="e">
        <f>(C307*(VLOOKUP('Compra cartera'!$C$25,Seguros_Oblig!$A$3:$E$55,5,FALSE)))</f>
        <v>#VALUE!</v>
      </c>
      <c r="J308" s="10">
        <f t="shared" si="26"/>
        <v>0</v>
      </c>
      <c r="K308" s="7" t="e">
        <f>IF(C307&lt;1,"0",Seguros_Oblig!$K$2*('Compra cartera'!$C$11*90%))</f>
        <v>#VALUE!</v>
      </c>
      <c r="L308" s="7" t="e">
        <f>IF(B308=" ","0",PMT('Compra cartera'!$E$17,'Compra cartera'!$C$31,-'Compra cartera'!$C$14,,))</f>
        <v>#VALUE!</v>
      </c>
      <c r="M308" s="9" t="e">
        <f t="shared" si="27"/>
        <v>#VALUE!</v>
      </c>
      <c r="N308" s="7" t="e">
        <f>IF(C307&lt;1,"0",'Compra cartera'!$C$44)</f>
        <v>#VALUE!</v>
      </c>
      <c r="O308" s="9" t="e">
        <f t="shared" si="28"/>
        <v>#VALUE!</v>
      </c>
    </row>
    <row r="309" spans="2:15" ht="15.5" x14ac:dyDescent="0.35">
      <c r="B309" s="6" t="e">
        <f t="shared" si="29"/>
        <v>#VALUE!</v>
      </c>
      <c r="C309" s="7" t="e">
        <f t="shared" si="25"/>
        <v>#VALUE!</v>
      </c>
      <c r="D309" s="7" t="e">
        <f t="shared" si="30"/>
        <v>#VALUE!</v>
      </c>
      <c r="E309" s="7" t="e">
        <f>C308*'Compra cartera'!$E$17</f>
        <v>#VALUE!</v>
      </c>
      <c r="F309" s="8" t="e">
        <f>IF(C308&lt;1,"0",IF('Compra cartera'!$D$26="Si",($C$17*(VLOOKUP('Compra cartera'!$C$22,Seguros_Oblig!$A$3:$F$55,6,FALSE))),(C308*(VLOOKUP('Compra cartera'!$C$22,Seguros_Oblig!$A$3:$E$55,5,FALSE)))))</f>
        <v>#VALUE!</v>
      </c>
      <c r="G309" s="8" t="e">
        <f>(C308*(VLOOKUP('Compra cartera'!$C$23,Seguros_Oblig!$A$3:$E$55,5,FALSE)))</f>
        <v>#VALUE!</v>
      </c>
      <c r="H309" s="8" t="e">
        <f>(C308*(VLOOKUP('Compra cartera'!$C$24,Seguros_Oblig!$A$3:$E$55,5,FALSE)))</f>
        <v>#VALUE!</v>
      </c>
      <c r="I309" s="8" t="e">
        <f>(C308*(VLOOKUP('Compra cartera'!$C$25,Seguros_Oblig!$A$3:$E$55,5,FALSE)))</f>
        <v>#VALUE!</v>
      </c>
      <c r="J309" s="10">
        <f t="shared" si="26"/>
        <v>0</v>
      </c>
      <c r="K309" s="7" t="e">
        <f>IF(C308&lt;1,"0",Seguros_Oblig!$K$2*('Compra cartera'!$C$11*90%))</f>
        <v>#VALUE!</v>
      </c>
      <c r="L309" s="7" t="e">
        <f>IF(B309=" ","0",PMT('Compra cartera'!$E$17,'Compra cartera'!$C$31,-'Compra cartera'!$C$14,,))</f>
        <v>#VALUE!</v>
      </c>
      <c r="M309" s="9" t="e">
        <f t="shared" si="27"/>
        <v>#VALUE!</v>
      </c>
      <c r="N309" s="7" t="e">
        <f>IF(C308&lt;1,"0",'Compra cartera'!$C$44)</f>
        <v>#VALUE!</v>
      </c>
      <c r="O309" s="9" t="e">
        <f t="shared" si="28"/>
        <v>#VALUE!</v>
      </c>
    </row>
    <row r="310" spans="2:15" ht="15.5" x14ac:dyDescent="0.35">
      <c r="B310" s="6" t="e">
        <f t="shared" si="29"/>
        <v>#VALUE!</v>
      </c>
      <c r="C310" s="7" t="e">
        <f t="shared" si="25"/>
        <v>#VALUE!</v>
      </c>
      <c r="D310" s="7" t="e">
        <f t="shared" si="30"/>
        <v>#VALUE!</v>
      </c>
      <c r="E310" s="7" t="e">
        <f>C309*'Compra cartera'!$E$17</f>
        <v>#VALUE!</v>
      </c>
      <c r="F310" s="8" t="e">
        <f>IF(C309&lt;1,"0",IF('Compra cartera'!$D$26="Si",($C$17*(VLOOKUP('Compra cartera'!$C$22,Seguros_Oblig!$A$3:$F$55,6,FALSE))),(C309*(VLOOKUP('Compra cartera'!$C$22,Seguros_Oblig!$A$3:$E$55,5,FALSE)))))</f>
        <v>#VALUE!</v>
      </c>
      <c r="G310" s="8" t="e">
        <f>(C309*(VLOOKUP('Compra cartera'!$C$23,Seguros_Oblig!$A$3:$E$55,5,FALSE)))</f>
        <v>#VALUE!</v>
      </c>
      <c r="H310" s="8" t="e">
        <f>(C309*(VLOOKUP('Compra cartera'!$C$24,Seguros_Oblig!$A$3:$E$55,5,FALSE)))</f>
        <v>#VALUE!</v>
      </c>
      <c r="I310" s="8" t="e">
        <f>(C309*(VLOOKUP('Compra cartera'!$C$25,Seguros_Oblig!$A$3:$E$55,5,FALSE)))</f>
        <v>#VALUE!</v>
      </c>
      <c r="J310" s="10">
        <f t="shared" si="26"/>
        <v>0</v>
      </c>
      <c r="K310" s="7" t="e">
        <f>IF(C309&lt;1,"0",Seguros_Oblig!$K$2*('Compra cartera'!$C$11*90%))</f>
        <v>#VALUE!</v>
      </c>
      <c r="L310" s="7" t="e">
        <f>IF(B310=" ","0",PMT('Compra cartera'!$E$17,'Compra cartera'!$C$31,-'Compra cartera'!$C$14,,))</f>
        <v>#VALUE!</v>
      </c>
      <c r="M310" s="9" t="e">
        <f t="shared" si="27"/>
        <v>#VALUE!</v>
      </c>
      <c r="N310" s="7" t="e">
        <f>IF(C309&lt;1,"0",'Compra cartera'!$C$44)</f>
        <v>#VALUE!</v>
      </c>
      <c r="O310" s="9" t="e">
        <f t="shared" si="28"/>
        <v>#VALUE!</v>
      </c>
    </row>
    <row r="311" spans="2:15" ht="15.5" x14ac:dyDescent="0.35">
      <c r="B311" s="6" t="e">
        <f t="shared" si="29"/>
        <v>#VALUE!</v>
      </c>
      <c r="C311" s="7" t="e">
        <f t="shared" si="25"/>
        <v>#VALUE!</v>
      </c>
      <c r="D311" s="7" t="e">
        <f t="shared" si="30"/>
        <v>#VALUE!</v>
      </c>
      <c r="E311" s="7" t="e">
        <f>C310*'Compra cartera'!$E$17</f>
        <v>#VALUE!</v>
      </c>
      <c r="F311" s="8" t="e">
        <f>IF(C310&lt;1,"0",IF('Compra cartera'!$D$26="Si",($C$17*(VLOOKUP('Compra cartera'!$C$22,Seguros_Oblig!$A$3:$F$55,6,FALSE))),(C310*(VLOOKUP('Compra cartera'!$C$22,Seguros_Oblig!$A$3:$E$55,5,FALSE)))))</f>
        <v>#VALUE!</v>
      </c>
      <c r="G311" s="8" t="e">
        <f>(C310*(VLOOKUP('Compra cartera'!$C$23,Seguros_Oblig!$A$3:$E$55,5,FALSE)))</f>
        <v>#VALUE!</v>
      </c>
      <c r="H311" s="8" t="e">
        <f>(C310*(VLOOKUP('Compra cartera'!$C$24,Seguros_Oblig!$A$3:$E$55,5,FALSE)))</f>
        <v>#VALUE!</v>
      </c>
      <c r="I311" s="8" t="e">
        <f>(C310*(VLOOKUP('Compra cartera'!$C$25,Seguros_Oblig!$A$3:$E$55,5,FALSE)))</f>
        <v>#VALUE!</v>
      </c>
      <c r="J311" s="10">
        <f t="shared" si="26"/>
        <v>0</v>
      </c>
      <c r="K311" s="7" t="e">
        <f>IF(C310&lt;1,"0",Seguros_Oblig!$K$2*('Compra cartera'!$C$11*90%))</f>
        <v>#VALUE!</v>
      </c>
      <c r="L311" s="7" t="e">
        <f>IF(B311=" ","0",PMT('Compra cartera'!$E$17,'Compra cartera'!$C$31,-'Compra cartera'!$C$14,,))</f>
        <v>#VALUE!</v>
      </c>
      <c r="M311" s="9" t="e">
        <f t="shared" si="27"/>
        <v>#VALUE!</v>
      </c>
      <c r="N311" s="7" t="e">
        <f>IF(C310&lt;1,"0",'Compra cartera'!$C$44)</f>
        <v>#VALUE!</v>
      </c>
      <c r="O311" s="9" t="e">
        <f t="shared" si="28"/>
        <v>#VALUE!</v>
      </c>
    </row>
    <row r="312" spans="2:15" ht="15.5" x14ac:dyDescent="0.35">
      <c r="B312" s="6" t="e">
        <f t="shared" si="29"/>
        <v>#VALUE!</v>
      </c>
      <c r="C312" s="7" t="e">
        <f t="shared" si="25"/>
        <v>#VALUE!</v>
      </c>
      <c r="D312" s="7" t="e">
        <f t="shared" si="30"/>
        <v>#VALUE!</v>
      </c>
      <c r="E312" s="7" t="e">
        <f>C311*'Compra cartera'!$E$17</f>
        <v>#VALUE!</v>
      </c>
      <c r="F312" s="8" t="e">
        <f>IF(C311&lt;1,"0",IF('Compra cartera'!$D$26="Si",($C$17*(VLOOKUP('Compra cartera'!$C$22,Seguros_Oblig!$A$3:$F$55,6,FALSE))),(C311*(VLOOKUP('Compra cartera'!$C$22,Seguros_Oblig!$A$3:$E$55,5,FALSE)))))</f>
        <v>#VALUE!</v>
      </c>
      <c r="G312" s="8" t="e">
        <f>(C311*(VLOOKUP('Compra cartera'!$C$23,Seguros_Oblig!$A$3:$E$55,5,FALSE)))</f>
        <v>#VALUE!</v>
      </c>
      <c r="H312" s="8" t="e">
        <f>(C311*(VLOOKUP('Compra cartera'!$C$24,Seguros_Oblig!$A$3:$E$55,5,FALSE)))</f>
        <v>#VALUE!</v>
      </c>
      <c r="I312" s="8" t="e">
        <f>(C311*(VLOOKUP('Compra cartera'!$C$25,Seguros_Oblig!$A$3:$E$55,5,FALSE)))</f>
        <v>#VALUE!</v>
      </c>
      <c r="J312" s="10">
        <f t="shared" si="26"/>
        <v>0</v>
      </c>
      <c r="K312" s="7" t="e">
        <f>IF(C311&lt;1,"0",Seguros_Oblig!$K$2*('Compra cartera'!$C$11*90%))</f>
        <v>#VALUE!</v>
      </c>
      <c r="L312" s="7" t="e">
        <f>IF(B312=" ","0",PMT('Compra cartera'!$E$17,'Compra cartera'!$C$31,-'Compra cartera'!$C$14,,))</f>
        <v>#VALUE!</v>
      </c>
      <c r="M312" s="9" t="e">
        <f t="shared" si="27"/>
        <v>#VALUE!</v>
      </c>
      <c r="N312" s="7" t="e">
        <f>IF(C311&lt;1,"0",'Compra cartera'!$C$44)</f>
        <v>#VALUE!</v>
      </c>
      <c r="O312" s="9" t="e">
        <f t="shared" si="28"/>
        <v>#VALUE!</v>
      </c>
    </row>
    <row r="313" spans="2:15" ht="15.5" x14ac:dyDescent="0.35">
      <c r="B313" s="6" t="e">
        <f t="shared" si="29"/>
        <v>#VALUE!</v>
      </c>
      <c r="C313" s="7" t="e">
        <f t="shared" si="25"/>
        <v>#VALUE!</v>
      </c>
      <c r="D313" s="7" t="e">
        <f t="shared" si="30"/>
        <v>#VALUE!</v>
      </c>
      <c r="E313" s="7" t="e">
        <f>C312*'Compra cartera'!$E$17</f>
        <v>#VALUE!</v>
      </c>
      <c r="F313" s="8" t="e">
        <f>IF(C312&lt;1,"0",IF('Compra cartera'!$D$26="Si",($C$17*(VLOOKUP('Compra cartera'!$C$22,Seguros_Oblig!$A$3:$F$55,6,FALSE))),(C312*(VLOOKUP('Compra cartera'!$C$22,Seguros_Oblig!$A$3:$E$55,5,FALSE)))))</f>
        <v>#VALUE!</v>
      </c>
      <c r="G313" s="8" t="e">
        <f>(C312*(VLOOKUP('Compra cartera'!$C$23,Seguros_Oblig!$A$3:$E$55,5,FALSE)))</f>
        <v>#VALUE!</v>
      </c>
      <c r="H313" s="8" t="e">
        <f>(C312*(VLOOKUP('Compra cartera'!$C$24,Seguros_Oblig!$A$3:$E$55,5,FALSE)))</f>
        <v>#VALUE!</v>
      </c>
      <c r="I313" s="8" t="e">
        <f>(C312*(VLOOKUP('Compra cartera'!$C$25,Seguros_Oblig!$A$3:$E$55,5,FALSE)))</f>
        <v>#VALUE!</v>
      </c>
      <c r="J313" s="10">
        <f t="shared" si="26"/>
        <v>0</v>
      </c>
      <c r="K313" s="7" t="e">
        <f>IF(C312&lt;1,"0",Seguros_Oblig!$K$2*('Compra cartera'!$C$11*90%))</f>
        <v>#VALUE!</v>
      </c>
      <c r="L313" s="7" t="e">
        <f>IF(B313=" ","0",PMT('Compra cartera'!$E$17,'Compra cartera'!$C$31,-'Compra cartera'!$C$14,,))</f>
        <v>#VALUE!</v>
      </c>
      <c r="M313" s="9" t="e">
        <f t="shared" si="27"/>
        <v>#VALUE!</v>
      </c>
      <c r="N313" s="7" t="e">
        <f>IF(C312&lt;1,"0",'Compra cartera'!$C$44)</f>
        <v>#VALUE!</v>
      </c>
      <c r="O313" s="9" t="e">
        <f t="shared" si="28"/>
        <v>#VALUE!</v>
      </c>
    </row>
    <row r="314" spans="2:15" ht="15.5" x14ac:dyDescent="0.35">
      <c r="B314" s="6" t="e">
        <f t="shared" si="29"/>
        <v>#VALUE!</v>
      </c>
      <c r="C314" s="7" t="e">
        <f t="shared" si="25"/>
        <v>#VALUE!</v>
      </c>
      <c r="D314" s="7" t="e">
        <f t="shared" si="30"/>
        <v>#VALUE!</v>
      </c>
      <c r="E314" s="7" t="e">
        <f>C313*'Compra cartera'!$E$17</f>
        <v>#VALUE!</v>
      </c>
      <c r="F314" s="8" t="e">
        <f>IF(C313&lt;1,"0",IF('Compra cartera'!$D$26="Si",($C$17*(VLOOKUP('Compra cartera'!$C$22,Seguros_Oblig!$A$3:$F$55,6,FALSE))),(C313*(VLOOKUP('Compra cartera'!$C$22,Seguros_Oblig!$A$3:$E$55,5,FALSE)))))</f>
        <v>#VALUE!</v>
      </c>
      <c r="G314" s="8" t="e">
        <f>(C313*(VLOOKUP('Compra cartera'!$C$23,Seguros_Oblig!$A$3:$E$55,5,FALSE)))</f>
        <v>#VALUE!</v>
      </c>
      <c r="H314" s="8" t="e">
        <f>(C313*(VLOOKUP('Compra cartera'!$C$24,Seguros_Oblig!$A$3:$E$55,5,FALSE)))</f>
        <v>#VALUE!</v>
      </c>
      <c r="I314" s="8" t="e">
        <f>(C313*(VLOOKUP('Compra cartera'!$C$25,Seguros_Oblig!$A$3:$E$55,5,FALSE)))</f>
        <v>#VALUE!</v>
      </c>
      <c r="J314" s="10">
        <f t="shared" si="26"/>
        <v>0</v>
      </c>
      <c r="K314" s="7" t="e">
        <f>IF(C313&lt;1,"0",Seguros_Oblig!$K$2*('Compra cartera'!$C$11*90%))</f>
        <v>#VALUE!</v>
      </c>
      <c r="L314" s="7" t="e">
        <f>IF(B314=" ","0",PMT('Compra cartera'!$E$17,'Compra cartera'!$C$31,-'Compra cartera'!$C$14,,))</f>
        <v>#VALUE!</v>
      </c>
      <c r="M314" s="9" t="e">
        <f t="shared" si="27"/>
        <v>#VALUE!</v>
      </c>
      <c r="N314" s="7" t="e">
        <f>IF(C313&lt;1,"0",'Compra cartera'!$C$44)</f>
        <v>#VALUE!</v>
      </c>
      <c r="O314" s="9" t="e">
        <f t="shared" si="28"/>
        <v>#VALUE!</v>
      </c>
    </row>
    <row r="315" spans="2:15" ht="15.5" x14ac:dyDescent="0.35">
      <c r="B315" s="6" t="e">
        <f t="shared" si="29"/>
        <v>#VALUE!</v>
      </c>
      <c r="C315" s="7" t="e">
        <f t="shared" si="25"/>
        <v>#VALUE!</v>
      </c>
      <c r="D315" s="7" t="e">
        <f t="shared" si="30"/>
        <v>#VALUE!</v>
      </c>
      <c r="E315" s="7" t="e">
        <f>C314*'Compra cartera'!$E$17</f>
        <v>#VALUE!</v>
      </c>
      <c r="F315" s="8" t="e">
        <f>IF(C314&lt;1,"0",IF('Compra cartera'!$D$26="Si",($C$17*(VLOOKUP('Compra cartera'!$C$22,Seguros_Oblig!$A$3:$F$55,6,FALSE))),(C314*(VLOOKUP('Compra cartera'!$C$22,Seguros_Oblig!$A$3:$E$55,5,FALSE)))))</f>
        <v>#VALUE!</v>
      </c>
      <c r="G315" s="8" t="e">
        <f>(C314*(VLOOKUP('Compra cartera'!$C$23,Seguros_Oblig!$A$3:$E$55,5,FALSE)))</f>
        <v>#VALUE!</v>
      </c>
      <c r="H315" s="8" t="e">
        <f>(C314*(VLOOKUP('Compra cartera'!$C$24,Seguros_Oblig!$A$3:$E$55,5,FALSE)))</f>
        <v>#VALUE!</v>
      </c>
      <c r="I315" s="8" t="e">
        <f>(C314*(VLOOKUP('Compra cartera'!$C$25,Seguros_Oblig!$A$3:$E$55,5,FALSE)))</f>
        <v>#VALUE!</v>
      </c>
      <c r="J315" s="10">
        <f t="shared" si="26"/>
        <v>0</v>
      </c>
      <c r="K315" s="7" t="e">
        <f>IF(C314&lt;1,"0",Seguros_Oblig!$K$2*('Compra cartera'!$C$11*90%))</f>
        <v>#VALUE!</v>
      </c>
      <c r="L315" s="7" t="e">
        <f>IF(B315=" ","0",PMT('Compra cartera'!$E$17,'Compra cartera'!$C$31,-'Compra cartera'!$C$14,,))</f>
        <v>#VALUE!</v>
      </c>
      <c r="M315" s="9" t="e">
        <f t="shared" si="27"/>
        <v>#VALUE!</v>
      </c>
      <c r="N315" s="7" t="e">
        <f>IF(C314&lt;1,"0",'Compra cartera'!$C$44)</f>
        <v>#VALUE!</v>
      </c>
      <c r="O315" s="9" t="e">
        <f t="shared" si="28"/>
        <v>#VALUE!</v>
      </c>
    </row>
    <row r="316" spans="2:15" ht="15.5" x14ac:dyDescent="0.35">
      <c r="B316" s="6" t="e">
        <f t="shared" si="29"/>
        <v>#VALUE!</v>
      </c>
      <c r="C316" s="7" t="e">
        <f t="shared" si="25"/>
        <v>#VALUE!</v>
      </c>
      <c r="D316" s="7" t="e">
        <f t="shared" si="30"/>
        <v>#VALUE!</v>
      </c>
      <c r="E316" s="7" t="e">
        <f>C315*'Compra cartera'!$E$17</f>
        <v>#VALUE!</v>
      </c>
      <c r="F316" s="8" t="e">
        <f>IF(C315&lt;1,"0",IF('Compra cartera'!$D$26="Si",($C$17*(VLOOKUP('Compra cartera'!$C$22,Seguros_Oblig!$A$3:$F$55,6,FALSE))),(C315*(VLOOKUP('Compra cartera'!$C$22,Seguros_Oblig!$A$3:$E$55,5,FALSE)))))</f>
        <v>#VALUE!</v>
      </c>
      <c r="G316" s="8" t="e">
        <f>(C315*(VLOOKUP('Compra cartera'!$C$23,Seguros_Oblig!$A$3:$E$55,5,FALSE)))</f>
        <v>#VALUE!</v>
      </c>
      <c r="H316" s="8" t="e">
        <f>(C315*(VLOOKUP('Compra cartera'!$C$24,Seguros_Oblig!$A$3:$E$55,5,FALSE)))</f>
        <v>#VALUE!</v>
      </c>
      <c r="I316" s="8" t="e">
        <f>(C315*(VLOOKUP('Compra cartera'!$C$25,Seguros_Oblig!$A$3:$E$55,5,FALSE)))</f>
        <v>#VALUE!</v>
      </c>
      <c r="J316" s="10">
        <f t="shared" si="26"/>
        <v>0</v>
      </c>
      <c r="K316" s="7" t="e">
        <f>IF(C315&lt;1,"0",Seguros_Oblig!$K$2*('Compra cartera'!$C$11*90%))</f>
        <v>#VALUE!</v>
      </c>
      <c r="L316" s="7" t="e">
        <f>IF(B316=" ","0",PMT('Compra cartera'!$E$17,'Compra cartera'!$C$31,-'Compra cartera'!$C$14,,))</f>
        <v>#VALUE!</v>
      </c>
      <c r="M316" s="9" t="e">
        <f t="shared" si="27"/>
        <v>#VALUE!</v>
      </c>
      <c r="N316" s="7" t="e">
        <f>IF(C315&lt;1,"0",'Compra cartera'!$C$44)</f>
        <v>#VALUE!</v>
      </c>
      <c r="O316" s="9" t="e">
        <f t="shared" si="28"/>
        <v>#VALUE!</v>
      </c>
    </row>
    <row r="317" spans="2:15" ht="15.5" x14ac:dyDescent="0.35">
      <c r="B317" s="6" t="e">
        <f t="shared" si="29"/>
        <v>#VALUE!</v>
      </c>
      <c r="C317" s="7" t="e">
        <f t="shared" si="25"/>
        <v>#VALUE!</v>
      </c>
      <c r="D317" s="7" t="e">
        <f t="shared" si="30"/>
        <v>#VALUE!</v>
      </c>
      <c r="E317" s="7" t="e">
        <f>C316*'Compra cartera'!$E$17</f>
        <v>#VALUE!</v>
      </c>
      <c r="F317" s="8" t="e">
        <f>IF(C316&lt;1,"0",IF('Compra cartera'!$D$26="Si",($C$17*(VLOOKUP('Compra cartera'!$C$22,Seguros_Oblig!$A$3:$F$55,6,FALSE))),(C316*(VLOOKUP('Compra cartera'!$C$22,Seguros_Oblig!$A$3:$E$55,5,FALSE)))))</f>
        <v>#VALUE!</v>
      </c>
      <c r="G317" s="8" t="e">
        <f>(C316*(VLOOKUP('Compra cartera'!$C$23,Seguros_Oblig!$A$3:$E$55,5,FALSE)))</f>
        <v>#VALUE!</v>
      </c>
      <c r="H317" s="8" t="e">
        <f>(C316*(VLOOKUP('Compra cartera'!$C$24,Seguros_Oblig!$A$3:$E$55,5,FALSE)))</f>
        <v>#VALUE!</v>
      </c>
      <c r="I317" s="8" t="e">
        <f>(C316*(VLOOKUP('Compra cartera'!$C$25,Seguros_Oblig!$A$3:$E$55,5,FALSE)))</f>
        <v>#VALUE!</v>
      </c>
      <c r="J317" s="10">
        <f t="shared" si="26"/>
        <v>0</v>
      </c>
      <c r="K317" s="7" t="e">
        <f>IF(C316&lt;1,"0",Seguros_Oblig!$K$2*('Compra cartera'!$C$11*90%))</f>
        <v>#VALUE!</v>
      </c>
      <c r="L317" s="7" t="e">
        <f>IF(B317=" ","0",PMT('Compra cartera'!$E$17,'Compra cartera'!$C$31,-'Compra cartera'!$C$14,,))</f>
        <v>#VALUE!</v>
      </c>
      <c r="M317" s="9" t="e">
        <f t="shared" si="27"/>
        <v>#VALUE!</v>
      </c>
      <c r="N317" s="7" t="e">
        <f>IF(C316&lt;1,"0",'Compra cartera'!$C$44)</f>
        <v>#VALUE!</v>
      </c>
      <c r="O317" s="9" t="e">
        <f t="shared" si="28"/>
        <v>#VALUE!</v>
      </c>
    </row>
    <row r="318" spans="2:15" ht="15.5" x14ac:dyDescent="0.35">
      <c r="B318" s="6" t="e">
        <f t="shared" si="29"/>
        <v>#VALUE!</v>
      </c>
      <c r="C318" s="7" t="e">
        <f t="shared" si="25"/>
        <v>#VALUE!</v>
      </c>
      <c r="D318" s="7" t="e">
        <f t="shared" si="30"/>
        <v>#VALUE!</v>
      </c>
      <c r="E318" s="7" t="e">
        <f>C317*'Compra cartera'!$E$17</f>
        <v>#VALUE!</v>
      </c>
      <c r="F318" s="8" t="e">
        <f>IF(C317&lt;1,"0",IF('Compra cartera'!$D$26="Si",($C$17*(VLOOKUP('Compra cartera'!$C$22,Seguros_Oblig!$A$3:$F$55,6,FALSE))),(C317*(VLOOKUP('Compra cartera'!$C$22,Seguros_Oblig!$A$3:$E$55,5,FALSE)))))</f>
        <v>#VALUE!</v>
      </c>
      <c r="G318" s="8" t="e">
        <f>(C317*(VLOOKUP('Compra cartera'!$C$23,Seguros_Oblig!$A$3:$E$55,5,FALSE)))</f>
        <v>#VALUE!</v>
      </c>
      <c r="H318" s="8" t="e">
        <f>(C317*(VLOOKUP('Compra cartera'!$C$24,Seguros_Oblig!$A$3:$E$55,5,FALSE)))</f>
        <v>#VALUE!</v>
      </c>
      <c r="I318" s="8" t="e">
        <f>(C317*(VLOOKUP('Compra cartera'!$C$25,Seguros_Oblig!$A$3:$E$55,5,FALSE)))</f>
        <v>#VALUE!</v>
      </c>
      <c r="J318" s="10">
        <f t="shared" si="26"/>
        <v>0</v>
      </c>
      <c r="K318" s="7" t="e">
        <f>IF(C317&lt;1,"0",Seguros_Oblig!$K$2*('Compra cartera'!$C$11*90%))</f>
        <v>#VALUE!</v>
      </c>
      <c r="L318" s="7" t="e">
        <f>IF(B318=" ","0",PMT('Compra cartera'!$E$17,'Compra cartera'!$C$31,-'Compra cartera'!$C$14,,))</f>
        <v>#VALUE!</v>
      </c>
      <c r="M318" s="9" t="e">
        <f t="shared" si="27"/>
        <v>#VALUE!</v>
      </c>
      <c r="N318" s="7" t="e">
        <f>IF(C317&lt;1,"0",'Compra cartera'!$C$44)</f>
        <v>#VALUE!</v>
      </c>
      <c r="O318" s="9" t="e">
        <f t="shared" si="28"/>
        <v>#VALUE!</v>
      </c>
    </row>
    <row r="319" spans="2:15" ht="15.5" x14ac:dyDescent="0.35">
      <c r="B319" s="6" t="e">
        <f t="shared" si="29"/>
        <v>#VALUE!</v>
      </c>
      <c r="C319" s="7" t="e">
        <f t="shared" si="25"/>
        <v>#VALUE!</v>
      </c>
      <c r="D319" s="7" t="e">
        <f t="shared" si="30"/>
        <v>#VALUE!</v>
      </c>
      <c r="E319" s="7" t="e">
        <f>C318*'Compra cartera'!$E$17</f>
        <v>#VALUE!</v>
      </c>
      <c r="F319" s="8" t="e">
        <f>IF(C318&lt;1,"0",IF('Compra cartera'!$D$26="Si",($C$17*(VLOOKUP('Compra cartera'!$C$22,Seguros_Oblig!$A$3:$F$55,6,FALSE))),(C318*(VLOOKUP('Compra cartera'!$C$22,Seguros_Oblig!$A$3:$E$55,5,FALSE)))))</f>
        <v>#VALUE!</v>
      </c>
      <c r="G319" s="8" t="e">
        <f>(C318*(VLOOKUP('Compra cartera'!$C$23,Seguros_Oblig!$A$3:$E$55,5,FALSE)))</f>
        <v>#VALUE!</v>
      </c>
      <c r="H319" s="8" t="e">
        <f>(C318*(VLOOKUP('Compra cartera'!$C$24,Seguros_Oblig!$A$3:$E$55,5,FALSE)))</f>
        <v>#VALUE!</v>
      </c>
      <c r="I319" s="8" t="e">
        <f>(C318*(VLOOKUP('Compra cartera'!$C$25,Seguros_Oblig!$A$3:$E$55,5,FALSE)))</f>
        <v>#VALUE!</v>
      </c>
      <c r="J319" s="10">
        <f t="shared" si="26"/>
        <v>0</v>
      </c>
      <c r="K319" s="7" t="e">
        <f>IF(C318&lt;1,"0",Seguros_Oblig!$K$2*('Compra cartera'!$C$11*90%))</f>
        <v>#VALUE!</v>
      </c>
      <c r="L319" s="7" t="e">
        <f>IF(B319=" ","0",PMT('Compra cartera'!$E$17,'Compra cartera'!$C$31,-'Compra cartera'!$C$14,,))</f>
        <v>#VALUE!</v>
      </c>
      <c r="M319" s="9" t="e">
        <f t="shared" si="27"/>
        <v>#VALUE!</v>
      </c>
      <c r="N319" s="7" t="e">
        <f>IF(C318&lt;1,"0",'Compra cartera'!$C$44)</f>
        <v>#VALUE!</v>
      </c>
      <c r="O319" s="9" t="e">
        <f t="shared" si="28"/>
        <v>#VALUE!</v>
      </c>
    </row>
    <row r="320" spans="2:15" ht="15.5" x14ac:dyDescent="0.35">
      <c r="B320" s="6" t="e">
        <f t="shared" si="29"/>
        <v>#VALUE!</v>
      </c>
      <c r="C320" s="7" t="e">
        <f t="shared" si="25"/>
        <v>#VALUE!</v>
      </c>
      <c r="D320" s="7" t="e">
        <f t="shared" si="30"/>
        <v>#VALUE!</v>
      </c>
      <c r="E320" s="7" t="e">
        <f>C319*'Compra cartera'!$E$17</f>
        <v>#VALUE!</v>
      </c>
      <c r="F320" s="8" t="e">
        <f>IF(C319&lt;1,"0",IF('Compra cartera'!$D$26="Si",($C$17*(VLOOKUP('Compra cartera'!$C$22,Seguros_Oblig!$A$3:$F$55,6,FALSE))),(C319*(VLOOKUP('Compra cartera'!$C$22,Seguros_Oblig!$A$3:$E$55,5,FALSE)))))</f>
        <v>#VALUE!</v>
      </c>
      <c r="G320" s="8" t="e">
        <f>(C319*(VLOOKUP('Compra cartera'!$C$23,Seguros_Oblig!$A$3:$E$55,5,FALSE)))</f>
        <v>#VALUE!</v>
      </c>
      <c r="H320" s="8" t="e">
        <f>(C319*(VLOOKUP('Compra cartera'!$C$24,Seguros_Oblig!$A$3:$E$55,5,FALSE)))</f>
        <v>#VALUE!</v>
      </c>
      <c r="I320" s="8" t="e">
        <f>(C319*(VLOOKUP('Compra cartera'!$C$25,Seguros_Oblig!$A$3:$E$55,5,FALSE)))</f>
        <v>#VALUE!</v>
      </c>
      <c r="J320" s="10">
        <f t="shared" si="26"/>
        <v>0</v>
      </c>
      <c r="K320" s="7" t="e">
        <f>IF(C319&lt;1,"0",Seguros_Oblig!$K$2*('Compra cartera'!$C$11*90%))</f>
        <v>#VALUE!</v>
      </c>
      <c r="L320" s="7" t="e">
        <f>IF(B320=" ","0",PMT('Compra cartera'!$E$17,'Compra cartera'!$C$31,-'Compra cartera'!$C$14,,))</f>
        <v>#VALUE!</v>
      </c>
      <c r="M320" s="9" t="e">
        <f t="shared" si="27"/>
        <v>#VALUE!</v>
      </c>
      <c r="N320" s="7" t="e">
        <f>IF(C319&lt;1,"0",'Compra cartera'!$C$44)</f>
        <v>#VALUE!</v>
      </c>
      <c r="O320" s="9" t="e">
        <f t="shared" si="28"/>
        <v>#VALUE!</v>
      </c>
    </row>
    <row r="321" spans="2:15" ht="15.5" x14ac:dyDescent="0.35">
      <c r="B321" s="6" t="e">
        <f t="shared" si="29"/>
        <v>#VALUE!</v>
      </c>
      <c r="C321" s="7" t="e">
        <f t="shared" si="25"/>
        <v>#VALUE!</v>
      </c>
      <c r="D321" s="7" t="e">
        <f t="shared" si="30"/>
        <v>#VALUE!</v>
      </c>
      <c r="E321" s="7" t="e">
        <f>C320*'Compra cartera'!$E$17</f>
        <v>#VALUE!</v>
      </c>
      <c r="F321" s="8" t="e">
        <f>IF(C320&lt;1,"0",IF('Compra cartera'!$D$26="Si",($C$17*(VLOOKUP('Compra cartera'!$C$22,Seguros_Oblig!$A$3:$F$55,6,FALSE))),(C320*(VLOOKUP('Compra cartera'!$C$22,Seguros_Oblig!$A$3:$E$55,5,FALSE)))))</f>
        <v>#VALUE!</v>
      </c>
      <c r="G321" s="8" t="e">
        <f>(C320*(VLOOKUP('Compra cartera'!$C$23,Seguros_Oblig!$A$3:$E$55,5,FALSE)))</f>
        <v>#VALUE!</v>
      </c>
      <c r="H321" s="8" t="e">
        <f>(C320*(VLOOKUP('Compra cartera'!$C$24,Seguros_Oblig!$A$3:$E$55,5,FALSE)))</f>
        <v>#VALUE!</v>
      </c>
      <c r="I321" s="8" t="e">
        <f>(C320*(VLOOKUP('Compra cartera'!$C$25,Seguros_Oblig!$A$3:$E$55,5,FALSE)))</f>
        <v>#VALUE!</v>
      </c>
      <c r="J321" s="10">
        <f t="shared" si="26"/>
        <v>0</v>
      </c>
      <c r="K321" s="7" t="e">
        <f>IF(C320&lt;1,"0",Seguros_Oblig!$K$2*('Compra cartera'!$C$11*90%))</f>
        <v>#VALUE!</v>
      </c>
      <c r="L321" s="7" t="e">
        <f>IF(B321=" ","0",PMT('Compra cartera'!$E$17,'Compra cartera'!$C$31,-'Compra cartera'!$C$14,,))</f>
        <v>#VALUE!</v>
      </c>
      <c r="M321" s="9" t="e">
        <f t="shared" si="27"/>
        <v>#VALUE!</v>
      </c>
      <c r="N321" s="7" t="e">
        <f>IF(C320&lt;1,"0",'Compra cartera'!$C$44)</f>
        <v>#VALUE!</v>
      </c>
      <c r="O321" s="9" t="e">
        <f t="shared" si="28"/>
        <v>#VALUE!</v>
      </c>
    </row>
    <row r="322" spans="2:15" ht="15.5" x14ac:dyDescent="0.35">
      <c r="B322" s="6" t="e">
        <f t="shared" si="29"/>
        <v>#VALUE!</v>
      </c>
      <c r="C322" s="7" t="e">
        <f t="shared" si="25"/>
        <v>#VALUE!</v>
      </c>
      <c r="D322" s="7" t="e">
        <f t="shared" si="30"/>
        <v>#VALUE!</v>
      </c>
      <c r="E322" s="7" t="e">
        <f>C321*'Compra cartera'!$E$17</f>
        <v>#VALUE!</v>
      </c>
      <c r="F322" s="8" t="e">
        <f>IF(C321&lt;1,"0",IF('Compra cartera'!$D$26="Si",($C$17*(VLOOKUP('Compra cartera'!$C$22,Seguros_Oblig!$A$3:$F$55,6,FALSE))),(C321*(VLOOKUP('Compra cartera'!$C$22,Seguros_Oblig!$A$3:$E$55,5,FALSE)))))</f>
        <v>#VALUE!</v>
      </c>
      <c r="G322" s="8" t="e">
        <f>(C321*(VLOOKUP('Compra cartera'!$C$23,Seguros_Oblig!$A$3:$E$55,5,FALSE)))</f>
        <v>#VALUE!</v>
      </c>
      <c r="H322" s="8" t="e">
        <f>(C321*(VLOOKUP('Compra cartera'!$C$24,Seguros_Oblig!$A$3:$E$55,5,FALSE)))</f>
        <v>#VALUE!</v>
      </c>
      <c r="I322" s="8" t="e">
        <f>(C321*(VLOOKUP('Compra cartera'!$C$25,Seguros_Oblig!$A$3:$E$55,5,FALSE)))</f>
        <v>#VALUE!</v>
      </c>
      <c r="J322" s="10">
        <f t="shared" si="26"/>
        <v>0</v>
      </c>
      <c r="K322" s="7" t="e">
        <f>IF(C321&lt;1,"0",Seguros_Oblig!$K$2*('Compra cartera'!$C$11*90%))</f>
        <v>#VALUE!</v>
      </c>
      <c r="L322" s="7" t="e">
        <f>IF(B322=" ","0",PMT('Compra cartera'!$E$17,'Compra cartera'!$C$31,-'Compra cartera'!$C$14,,))</f>
        <v>#VALUE!</v>
      </c>
      <c r="M322" s="9" t="e">
        <f t="shared" si="27"/>
        <v>#VALUE!</v>
      </c>
      <c r="N322" s="7" t="e">
        <f>IF(C321&lt;1,"0",'Compra cartera'!$C$44)</f>
        <v>#VALUE!</v>
      </c>
      <c r="O322" s="9" t="e">
        <f t="shared" si="28"/>
        <v>#VALUE!</v>
      </c>
    </row>
    <row r="323" spans="2:15" ht="15.5" x14ac:dyDescent="0.35">
      <c r="B323" s="6" t="e">
        <f t="shared" si="29"/>
        <v>#VALUE!</v>
      </c>
      <c r="C323" s="7" t="e">
        <f t="shared" si="25"/>
        <v>#VALUE!</v>
      </c>
      <c r="D323" s="7" t="e">
        <f t="shared" si="30"/>
        <v>#VALUE!</v>
      </c>
      <c r="E323" s="7" t="e">
        <f>C322*'Compra cartera'!$E$17</f>
        <v>#VALUE!</v>
      </c>
      <c r="F323" s="8" t="e">
        <f>IF(C322&lt;1,"0",IF('Compra cartera'!$D$26="Si",($C$17*(VLOOKUP('Compra cartera'!$C$22,Seguros_Oblig!$A$3:$F$55,6,FALSE))),(C322*(VLOOKUP('Compra cartera'!$C$22,Seguros_Oblig!$A$3:$E$55,5,FALSE)))))</f>
        <v>#VALUE!</v>
      </c>
      <c r="G323" s="8" t="e">
        <f>(C322*(VLOOKUP('Compra cartera'!$C$23,Seguros_Oblig!$A$3:$E$55,5,FALSE)))</f>
        <v>#VALUE!</v>
      </c>
      <c r="H323" s="8" t="e">
        <f>(C322*(VLOOKUP('Compra cartera'!$C$24,Seguros_Oblig!$A$3:$E$55,5,FALSE)))</f>
        <v>#VALUE!</v>
      </c>
      <c r="I323" s="8" t="e">
        <f>(C322*(VLOOKUP('Compra cartera'!$C$25,Seguros_Oblig!$A$3:$E$55,5,FALSE)))</f>
        <v>#VALUE!</v>
      </c>
      <c r="J323" s="10">
        <f t="shared" si="26"/>
        <v>0</v>
      </c>
      <c r="K323" s="7" t="e">
        <f>IF(C322&lt;1,"0",Seguros_Oblig!$K$2*('Compra cartera'!$C$11*90%))</f>
        <v>#VALUE!</v>
      </c>
      <c r="L323" s="7" t="e">
        <f>IF(B323=" ","0",PMT('Compra cartera'!$E$17,'Compra cartera'!$C$31,-'Compra cartera'!$C$14,,))</f>
        <v>#VALUE!</v>
      </c>
      <c r="M323" s="9" t="e">
        <f t="shared" si="27"/>
        <v>#VALUE!</v>
      </c>
      <c r="N323" s="7" t="e">
        <f>IF(C322&lt;1,"0",'Compra cartera'!$C$44)</f>
        <v>#VALUE!</v>
      </c>
      <c r="O323" s="9" t="e">
        <f t="shared" si="28"/>
        <v>#VALUE!</v>
      </c>
    </row>
    <row r="324" spans="2:15" ht="15.5" x14ac:dyDescent="0.35">
      <c r="B324" s="6" t="e">
        <f t="shared" si="29"/>
        <v>#VALUE!</v>
      </c>
      <c r="C324" s="7" t="e">
        <f t="shared" si="25"/>
        <v>#VALUE!</v>
      </c>
      <c r="D324" s="7" t="e">
        <f t="shared" si="30"/>
        <v>#VALUE!</v>
      </c>
      <c r="E324" s="7" t="e">
        <f>C323*'Compra cartera'!$E$17</f>
        <v>#VALUE!</v>
      </c>
      <c r="F324" s="8" t="e">
        <f>IF(C323&lt;1,"0",IF('Compra cartera'!$D$26="Si",($C$17*(VLOOKUP('Compra cartera'!$C$22,Seguros_Oblig!$A$3:$F$55,6,FALSE))),(C323*(VLOOKUP('Compra cartera'!$C$22,Seguros_Oblig!$A$3:$E$55,5,FALSE)))))</f>
        <v>#VALUE!</v>
      </c>
      <c r="G324" s="8" t="e">
        <f>(C323*(VLOOKUP('Compra cartera'!$C$23,Seguros_Oblig!$A$3:$E$55,5,FALSE)))</f>
        <v>#VALUE!</v>
      </c>
      <c r="H324" s="8" t="e">
        <f>(C323*(VLOOKUP('Compra cartera'!$C$24,Seguros_Oblig!$A$3:$E$55,5,FALSE)))</f>
        <v>#VALUE!</v>
      </c>
      <c r="I324" s="8" t="e">
        <f>(C323*(VLOOKUP('Compra cartera'!$C$25,Seguros_Oblig!$A$3:$E$55,5,FALSE)))</f>
        <v>#VALUE!</v>
      </c>
      <c r="J324" s="10">
        <f t="shared" si="26"/>
        <v>0</v>
      </c>
      <c r="K324" s="7" t="e">
        <f>IF(C323&lt;1,"0",Seguros_Oblig!$K$2*('Compra cartera'!$C$11*90%))</f>
        <v>#VALUE!</v>
      </c>
      <c r="L324" s="7" t="e">
        <f>IF(B324=" ","0",PMT('Compra cartera'!$E$17,'Compra cartera'!$C$31,-'Compra cartera'!$C$14,,))</f>
        <v>#VALUE!</v>
      </c>
      <c r="M324" s="9" t="e">
        <f t="shared" si="27"/>
        <v>#VALUE!</v>
      </c>
      <c r="N324" s="7" t="e">
        <f>IF(C323&lt;1,"0",'Compra cartera'!$C$44)</f>
        <v>#VALUE!</v>
      </c>
      <c r="O324" s="9" t="e">
        <f t="shared" si="28"/>
        <v>#VALUE!</v>
      </c>
    </row>
    <row r="325" spans="2:15" ht="15.5" x14ac:dyDescent="0.35">
      <c r="B325" s="6" t="e">
        <f t="shared" si="29"/>
        <v>#VALUE!</v>
      </c>
      <c r="C325" s="7" t="e">
        <f t="shared" si="25"/>
        <v>#VALUE!</v>
      </c>
      <c r="D325" s="7" t="e">
        <f t="shared" si="30"/>
        <v>#VALUE!</v>
      </c>
      <c r="E325" s="7" t="e">
        <f>C324*'Compra cartera'!$E$17</f>
        <v>#VALUE!</v>
      </c>
      <c r="F325" s="8" t="e">
        <f>IF(C324&lt;1,"0",IF('Compra cartera'!$D$26="Si",($C$17*(VLOOKUP('Compra cartera'!$C$22,Seguros_Oblig!$A$3:$F$55,6,FALSE))),(C324*(VLOOKUP('Compra cartera'!$C$22,Seguros_Oblig!$A$3:$E$55,5,FALSE)))))</f>
        <v>#VALUE!</v>
      </c>
      <c r="G325" s="8" t="e">
        <f>(C324*(VLOOKUP('Compra cartera'!$C$23,Seguros_Oblig!$A$3:$E$55,5,FALSE)))</f>
        <v>#VALUE!</v>
      </c>
      <c r="H325" s="8" t="e">
        <f>(C324*(VLOOKUP('Compra cartera'!$C$24,Seguros_Oblig!$A$3:$E$55,5,FALSE)))</f>
        <v>#VALUE!</v>
      </c>
      <c r="I325" s="8" t="e">
        <f>(C324*(VLOOKUP('Compra cartera'!$C$25,Seguros_Oblig!$A$3:$E$55,5,FALSE)))</f>
        <v>#VALUE!</v>
      </c>
      <c r="J325" s="10">
        <f t="shared" si="26"/>
        <v>0</v>
      </c>
      <c r="K325" s="7" t="e">
        <f>IF(C324&lt;1,"0",Seguros_Oblig!$K$2*('Compra cartera'!$C$11*90%))</f>
        <v>#VALUE!</v>
      </c>
      <c r="L325" s="7" t="e">
        <f>IF(B325=" ","0",PMT('Compra cartera'!$E$17,'Compra cartera'!$C$31,-'Compra cartera'!$C$14,,))</f>
        <v>#VALUE!</v>
      </c>
      <c r="M325" s="9" t="e">
        <f t="shared" si="27"/>
        <v>#VALUE!</v>
      </c>
      <c r="N325" s="7" t="e">
        <f>IF(C324&lt;1,"0",'Compra cartera'!$C$44)</f>
        <v>#VALUE!</v>
      </c>
      <c r="O325" s="9" t="e">
        <f t="shared" si="28"/>
        <v>#VALUE!</v>
      </c>
    </row>
    <row r="326" spans="2:15" ht="15.5" x14ac:dyDescent="0.35">
      <c r="B326" s="6" t="e">
        <f t="shared" si="29"/>
        <v>#VALUE!</v>
      </c>
      <c r="C326" s="7" t="e">
        <f t="shared" si="25"/>
        <v>#VALUE!</v>
      </c>
      <c r="D326" s="7" t="e">
        <f t="shared" si="30"/>
        <v>#VALUE!</v>
      </c>
      <c r="E326" s="7" t="e">
        <f>C325*'Compra cartera'!$E$17</f>
        <v>#VALUE!</v>
      </c>
      <c r="F326" s="8" t="e">
        <f>IF(C325&lt;1,"0",IF('Compra cartera'!$D$26="Si",($C$17*(VLOOKUP('Compra cartera'!$C$22,Seguros_Oblig!$A$3:$F$55,6,FALSE))),(C325*(VLOOKUP('Compra cartera'!$C$22,Seguros_Oblig!$A$3:$E$55,5,FALSE)))))</f>
        <v>#VALUE!</v>
      </c>
      <c r="G326" s="8" t="e">
        <f>(C325*(VLOOKUP('Compra cartera'!$C$23,Seguros_Oblig!$A$3:$E$55,5,FALSE)))</f>
        <v>#VALUE!</v>
      </c>
      <c r="H326" s="8" t="e">
        <f>(C325*(VLOOKUP('Compra cartera'!$C$24,Seguros_Oblig!$A$3:$E$55,5,FALSE)))</f>
        <v>#VALUE!</v>
      </c>
      <c r="I326" s="8" t="e">
        <f>(C325*(VLOOKUP('Compra cartera'!$C$25,Seguros_Oblig!$A$3:$E$55,5,FALSE)))</f>
        <v>#VALUE!</v>
      </c>
      <c r="J326" s="10">
        <f t="shared" si="26"/>
        <v>0</v>
      </c>
      <c r="K326" s="7" t="e">
        <f>IF(C325&lt;1,"0",Seguros_Oblig!$K$2*('Compra cartera'!$C$11*90%))</f>
        <v>#VALUE!</v>
      </c>
      <c r="L326" s="7" t="e">
        <f>IF(B326=" ","0",PMT('Compra cartera'!$E$17,'Compra cartera'!$C$31,-'Compra cartera'!$C$14,,))</f>
        <v>#VALUE!</v>
      </c>
      <c r="M326" s="9" t="e">
        <f t="shared" si="27"/>
        <v>#VALUE!</v>
      </c>
      <c r="N326" s="7" t="e">
        <f>IF(C325&lt;1,"0",'Compra cartera'!$C$44)</f>
        <v>#VALUE!</v>
      </c>
      <c r="O326" s="9" t="e">
        <f t="shared" si="28"/>
        <v>#VALUE!</v>
      </c>
    </row>
    <row r="327" spans="2:15" ht="15.5" x14ac:dyDescent="0.35">
      <c r="B327" s="6" t="e">
        <f t="shared" si="29"/>
        <v>#VALUE!</v>
      </c>
      <c r="C327" s="7" t="e">
        <f t="shared" si="25"/>
        <v>#VALUE!</v>
      </c>
      <c r="D327" s="7" t="e">
        <f t="shared" si="30"/>
        <v>#VALUE!</v>
      </c>
      <c r="E327" s="7" t="e">
        <f>C326*'Compra cartera'!$E$17</f>
        <v>#VALUE!</v>
      </c>
      <c r="F327" s="8" t="e">
        <f>IF(C326&lt;1,"0",IF('Compra cartera'!$D$26="Si",($C$17*(VLOOKUP('Compra cartera'!$C$22,Seguros_Oblig!$A$3:$F$55,6,FALSE))),(C326*(VLOOKUP('Compra cartera'!$C$22,Seguros_Oblig!$A$3:$E$55,5,FALSE)))))</f>
        <v>#VALUE!</v>
      </c>
      <c r="G327" s="8" t="e">
        <f>(C326*(VLOOKUP('Compra cartera'!$C$23,Seguros_Oblig!$A$3:$E$55,5,FALSE)))</f>
        <v>#VALUE!</v>
      </c>
      <c r="H327" s="8" t="e">
        <f>(C326*(VLOOKUP('Compra cartera'!$C$24,Seguros_Oblig!$A$3:$E$55,5,FALSE)))</f>
        <v>#VALUE!</v>
      </c>
      <c r="I327" s="8" t="e">
        <f>(C326*(VLOOKUP('Compra cartera'!$C$25,Seguros_Oblig!$A$3:$E$55,5,FALSE)))</f>
        <v>#VALUE!</v>
      </c>
      <c r="J327" s="10">
        <f t="shared" si="26"/>
        <v>0</v>
      </c>
      <c r="K327" s="7" t="e">
        <f>IF(C326&lt;1,"0",Seguros_Oblig!$K$2*('Compra cartera'!$C$11*90%))</f>
        <v>#VALUE!</v>
      </c>
      <c r="L327" s="7" t="e">
        <f>IF(B327=" ","0",PMT('Compra cartera'!$E$17,'Compra cartera'!$C$31,-'Compra cartera'!$C$14,,))</f>
        <v>#VALUE!</v>
      </c>
      <c r="M327" s="9" t="e">
        <f t="shared" si="27"/>
        <v>#VALUE!</v>
      </c>
      <c r="N327" s="7" t="e">
        <f>IF(C326&lt;1,"0",'Compra cartera'!$C$44)</f>
        <v>#VALUE!</v>
      </c>
      <c r="O327" s="9" t="e">
        <f t="shared" si="28"/>
        <v>#VALUE!</v>
      </c>
    </row>
    <row r="328" spans="2:15" ht="15.5" x14ac:dyDescent="0.35">
      <c r="B328" s="6" t="e">
        <f t="shared" si="29"/>
        <v>#VALUE!</v>
      </c>
      <c r="C328" s="7" t="e">
        <f t="shared" si="25"/>
        <v>#VALUE!</v>
      </c>
      <c r="D328" s="7" t="e">
        <f t="shared" si="30"/>
        <v>#VALUE!</v>
      </c>
      <c r="E328" s="7" t="e">
        <f>C327*'Compra cartera'!$E$17</f>
        <v>#VALUE!</v>
      </c>
      <c r="F328" s="8" t="e">
        <f>IF(C327&lt;1,"0",IF('Compra cartera'!$D$26="Si",($C$17*(VLOOKUP('Compra cartera'!$C$22,Seguros_Oblig!$A$3:$F$55,6,FALSE))),(C327*(VLOOKUP('Compra cartera'!$C$22,Seguros_Oblig!$A$3:$E$55,5,FALSE)))))</f>
        <v>#VALUE!</v>
      </c>
      <c r="G328" s="8" t="e">
        <f>(C327*(VLOOKUP('Compra cartera'!$C$23,Seguros_Oblig!$A$3:$E$55,5,FALSE)))</f>
        <v>#VALUE!</v>
      </c>
      <c r="H328" s="8" t="e">
        <f>(C327*(VLOOKUP('Compra cartera'!$C$24,Seguros_Oblig!$A$3:$E$55,5,FALSE)))</f>
        <v>#VALUE!</v>
      </c>
      <c r="I328" s="8" t="e">
        <f>(C327*(VLOOKUP('Compra cartera'!$C$25,Seguros_Oblig!$A$3:$E$55,5,FALSE)))</f>
        <v>#VALUE!</v>
      </c>
      <c r="J328" s="10">
        <f t="shared" si="26"/>
        <v>0</v>
      </c>
      <c r="K328" s="7" t="e">
        <f>IF(C327&lt;1,"0",Seguros_Oblig!$K$2*('Compra cartera'!$C$11*90%))</f>
        <v>#VALUE!</v>
      </c>
      <c r="L328" s="7" t="e">
        <f>IF(B328=" ","0",PMT('Compra cartera'!$E$17,'Compra cartera'!$C$31,-'Compra cartera'!$C$14,,))</f>
        <v>#VALUE!</v>
      </c>
      <c r="M328" s="9" t="e">
        <f t="shared" si="27"/>
        <v>#VALUE!</v>
      </c>
      <c r="N328" s="7" t="e">
        <f>IF(C327&lt;1,"0",'Compra cartera'!$C$44)</f>
        <v>#VALUE!</v>
      </c>
      <c r="O328" s="9" t="e">
        <f t="shared" si="28"/>
        <v>#VALUE!</v>
      </c>
    </row>
    <row r="329" spans="2:15" ht="15.5" x14ac:dyDescent="0.35">
      <c r="B329" s="6" t="e">
        <f t="shared" si="29"/>
        <v>#VALUE!</v>
      </c>
      <c r="C329" s="7" t="e">
        <f t="shared" si="25"/>
        <v>#VALUE!</v>
      </c>
      <c r="D329" s="7" t="e">
        <f t="shared" si="30"/>
        <v>#VALUE!</v>
      </c>
      <c r="E329" s="7" t="e">
        <f>C328*'Compra cartera'!$E$17</f>
        <v>#VALUE!</v>
      </c>
      <c r="F329" s="8" t="e">
        <f>IF(C328&lt;1,"0",IF('Compra cartera'!$D$26="Si",($C$17*(VLOOKUP('Compra cartera'!$C$22,Seguros_Oblig!$A$3:$F$55,6,FALSE))),(C328*(VLOOKUP('Compra cartera'!$C$22,Seguros_Oblig!$A$3:$E$55,5,FALSE)))))</f>
        <v>#VALUE!</v>
      </c>
      <c r="G329" s="8" t="e">
        <f>(C328*(VLOOKUP('Compra cartera'!$C$23,Seguros_Oblig!$A$3:$E$55,5,FALSE)))</f>
        <v>#VALUE!</v>
      </c>
      <c r="H329" s="8" t="e">
        <f>(C328*(VLOOKUP('Compra cartera'!$C$24,Seguros_Oblig!$A$3:$E$55,5,FALSE)))</f>
        <v>#VALUE!</v>
      </c>
      <c r="I329" s="8" t="e">
        <f>(C328*(VLOOKUP('Compra cartera'!$C$25,Seguros_Oblig!$A$3:$E$55,5,FALSE)))</f>
        <v>#VALUE!</v>
      </c>
      <c r="J329" s="10">
        <f t="shared" si="26"/>
        <v>0</v>
      </c>
      <c r="K329" s="7" t="e">
        <f>IF(C328&lt;1,"0",Seguros_Oblig!$K$2*('Compra cartera'!$C$11*90%))</f>
        <v>#VALUE!</v>
      </c>
      <c r="L329" s="7" t="e">
        <f>IF(B329=" ","0",PMT('Compra cartera'!$E$17,'Compra cartera'!$C$31,-'Compra cartera'!$C$14,,))</f>
        <v>#VALUE!</v>
      </c>
      <c r="M329" s="9" t="e">
        <f t="shared" si="27"/>
        <v>#VALUE!</v>
      </c>
      <c r="N329" s="7" t="e">
        <f>IF(C328&lt;1,"0",'Compra cartera'!$C$44)</f>
        <v>#VALUE!</v>
      </c>
      <c r="O329" s="9" t="e">
        <f t="shared" si="28"/>
        <v>#VALUE!</v>
      </c>
    </row>
    <row r="330" spans="2:15" ht="15.5" x14ac:dyDescent="0.35">
      <c r="B330" s="6" t="e">
        <f t="shared" si="29"/>
        <v>#VALUE!</v>
      </c>
      <c r="C330" s="7" t="e">
        <f t="shared" si="25"/>
        <v>#VALUE!</v>
      </c>
      <c r="D330" s="7" t="e">
        <f t="shared" si="30"/>
        <v>#VALUE!</v>
      </c>
      <c r="E330" s="7" t="e">
        <f>C329*'Compra cartera'!$E$17</f>
        <v>#VALUE!</v>
      </c>
      <c r="F330" s="8" t="e">
        <f>IF(C329&lt;1,"0",IF('Compra cartera'!$D$26="Si",($C$17*(VLOOKUP('Compra cartera'!$C$22,Seguros_Oblig!$A$3:$F$55,6,FALSE))),(C329*(VLOOKUP('Compra cartera'!$C$22,Seguros_Oblig!$A$3:$E$55,5,FALSE)))))</f>
        <v>#VALUE!</v>
      </c>
      <c r="G330" s="8" t="e">
        <f>(C329*(VLOOKUP('Compra cartera'!$C$23,Seguros_Oblig!$A$3:$E$55,5,FALSE)))</f>
        <v>#VALUE!</v>
      </c>
      <c r="H330" s="8" t="e">
        <f>(C329*(VLOOKUP('Compra cartera'!$C$24,Seguros_Oblig!$A$3:$E$55,5,FALSE)))</f>
        <v>#VALUE!</v>
      </c>
      <c r="I330" s="8" t="e">
        <f>(C329*(VLOOKUP('Compra cartera'!$C$25,Seguros_Oblig!$A$3:$E$55,5,FALSE)))</f>
        <v>#VALUE!</v>
      </c>
      <c r="J330" s="10">
        <f t="shared" si="26"/>
        <v>0</v>
      </c>
      <c r="K330" s="7" t="e">
        <f>IF(C329&lt;1,"0",Seguros_Oblig!$K$2*('Compra cartera'!$C$11*90%))</f>
        <v>#VALUE!</v>
      </c>
      <c r="L330" s="7" t="e">
        <f>IF(B330=" ","0",PMT('Compra cartera'!$E$17,'Compra cartera'!$C$31,-'Compra cartera'!$C$14,,))</f>
        <v>#VALUE!</v>
      </c>
      <c r="M330" s="9" t="e">
        <f t="shared" si="27"/>
        <v>#VALUE!</v>
      </c>
      <c r="N330" s="7" t="e">
        <f>IF(C329&lt;1,"0",'Compra cartera'!$C$44)</f>
        <v>#VALUE!</v>
      </c>
      <c r="O330" s="9" t="e">
        <f t="shared" si="28"/>
        <v>#VALUE!</v>
      </c>
    </row>
    <row r="331" spans="2:15" ht="15.5" x14ac:dyDescent="0.35">
      <c r="B331" s="6" t="e">
        <f t="shared" si="29"/>
        <v>#VALUE!</v>
      </c>
      <c r="C331" s="7" t="e">
        <f t="shared" si="25"/>
        <v>#VALUE!</v>
      </c>
      <c r="D331" s="7" t="e">
        <f t="shared" si="30"/>
        <v>#VALUE!</v>
      </c>
      <c r="E331" s="7" t="e">
        <f>C330*'Compra cartera'!$E$17</f>
        <v>#VALUE!</v>
      </c>
      <c r="F331" s="8" t="e">
        <f>IF(C330&lt;1,"0",IF('Compra cartera'!$D$26="Si",($C$17*(VLOOKUP('Compra cartera'!$C$22,Seguros_Oblig!$A$3:$F$55,6,FALSE))),(C330*(VLOOKUP('Compra cartera'!$C$22,Seguros_Oblig!$A$3:$E$55,5,FALSE)))))</f>
        <v>#VALUE!</v>
      </c>
      <c r="G331" s="8" t="e">
        <f>(C330*(VLOOKUP('Compra cartera'!$C$23,Seguros_Oblig!$A$3:$E$55,5,FALSE)))</f>
        <v>#VALUE!</v>
      </c>
      <c r="H331" s="8" t="e">
        <f>(C330*(VLOOKUP('Compra cartera'!$C$24,Seguros_Oblig!$A$3:$E$55,5,FALSE)))</f>
        <v>#VALUE!</v>
      </c>
      <c r="I331" s="8" t="e">
        <f>(C330*(VLOOKUP('Compra cartera'!$C$25,Seguros_Oblig!$A$3:$E$55,5,FALSE)))</f>
        <v>#VALUE!</v>
      </c>
      <c r="J331" s="10">
        <f t="shared" si="26"/>
        <v>0</v>
      </c>
      <c r="K331" s="7" t="e">
        <f>IF(C330&lt;1,"0",Seguros_Oblig!$K$2*('Compra cartera'!$C$11*90%))</f>
        <v>#VALUE!</v>
      </c>
      <c r="L331" s="7" t="e">
        <f>IF(B331=" ","0",PMT('Compra cartera'!$E$17,'Compra cartera'!$C$31,-'Compra cartera'!$C$14,,))</f>
        <v>#VALUE!</v>
      </c>
      <c r="M331" s="9" t="e">
        <f t="shared" si="27"/>
        <v>#VALUE!</v>
      </c>
      <c r="N331" s="7" t="e">
        <f>IF(C330&lt;1,"0",'Compra cartera'!$C$44)</f>
        <v>#VALUE!</v>
      </c>
      <c r="O331" s="9" t="e">
        <f t="shared" si="28"/>
        <v>#VALUE!</v>
      </c>
    </row>
    <row r="332" spans="2:15" ht="15.5" x14ac:dyDescent="0.35">
      <c r="B332" s="6" t="e">
        <f t="shared" si="29"/>
        <v>#VALUE!</v>
      </c>
      <c r="C332" s="7" t="e">
        <f t="shared" si="25"/>
        <v>#VALUE!</v>
      </c>
      <c r="D332" s="7" t="e">
        <f t="shared" si="30"/>
        <v>#VALUE!</v>
      </c>
      <c r="E332" s="7" t="e">
        <f>C331*'Compra cartera'!$E$17</f>
        <v>#VALUE!</v>
      </c>
      <c r="F332" s="8" t="e">
        <f>IF(C331&lt;1,"0",IF('Compra cartera'!$D$26="Si",($C$17*(VLOOKUP('Compra cartera'!$C$22,Seguros_Oblig!$A$3:$F$55,6,FALSE))),(C331*(VLOOKUP('Compra cartera'!$C$22,Seguros_Oblig!$A$3:$E$55,5,FALSE)))))</f>
        <v>#VALUE!</v>
      </c>
      <c r="G332" s="8" t="e">
        <f>(C331*(VLOOKUP('Compra cartera'!$C$23,Seguros_Oblig!$A$3:$E$55,5,FALSE)))</f>
        <v>#VALUE!</v>
      </c>
      <c r="H332" s="8" t="e">
        <f>(C331*(VLOOKUP('Compra cartera'!$C$24,Seguros_Oblig!$A$3:$E$55,5,FALSE)))</f>
        <v>#VALUE!</v>
      </c>
      <c r="I332" s="8" t="e">
        <f>(C331*(VLOOKUP('Compra cartera'!$C$25,Seguros_Oblig!$A$3:$E$55,5,FALSE)))</f>
        <v>#VALUE!</v>
      </c>
      <c r="J332" s="10">
        <f t="shared" si="26"/>
        <v>0</v>
      </c>
      <c r="K332" s="7" t="e">
        <f>IF(C331&lt;1,"0",Seguros_Oblig!$K$2*('Compra cartera'!$C$11*90%))</f>
        <v>#VALUE!</v>
      </c>
      <c r="L332" s="7" t="e">
        <f>IF(B332=" ","0",PMT('Compra cartera'!$E$17,'Compra cartera'!$C$31,-'Compra cartera'!$C$14,,))</f>
        <v>#VALUE!</v>
      </c>
      <c r="M332" s="9" t="e">
        <f t="shared" si="27"/>
        <v>#VALUE!</v>
      </c>
      <c r="N332" s="7" t="e">
        <f>IF(C331&lt;1,"0",'Compra cartera'!$C$44)</f>
        <v>#VALUE!</v>
      </c>
      <c r="O332" s="9" t="e">
        <f t="shared" si="28"/>
        <v>#VALUE!</v>
      </c>
    </row>
    <row r="333" spans="2:15" ht="15.5" x14ac:dyDescent="0.35">
      <c r="B333" s="6" t="e">
        <f t="shared" si="29"/>
        <v>#VALUE!</v>
      </c>
      <c r="C333" s="7" t="e">
        <f t="shared" si="25"/>
        <v>#VALUE!</v>
      </c>
      <c r="D333" s="7" t="e">
        <f t="shared" si="30"/>
        <v>#VALUE!</v>
      </c>
      <c r="E333" s="7" t="e">
        <f>C332*'Compra cartera'!$E$17</f>
        <v>#VALUE!</v>
      </c>
      <c r="F333" s="8" t="e">
        <f>IF(C332&lt;1,"0",IF('Compra cartera'!$D$26="Si",($C$17*(VLOOKUP('Compra cartera'!$C$22,Seguros_Oblig!$A$3:$F$55,6,FALSE))),(C332*(VLOOKUP('Compra cartera'!$C$22,Seguros_Oblig!$A$3:$E$55,5,FALSE)))))</f>
        <v>#VALUE!</v>
      </c>
      <c r="G333" s="8" t="e">
        <f>(C332*(VLOOKUP('Compra cartera'!$C$23,Seguros_Oblig!$A$3:$E$55,5,FALSE)))</f>
        <v>#VALUE!</v>
      </c>
      <c r="H333" s="8" t="e">
        <f>(C332*(VLOOKUP('Compra cartera'!$C$24,Seguros_Oblig!$A$3:$E$55,5,FALSE)))</f>
        <v>#VALUE!</v>
      </c>
      <c r="I333" s="8" t="e">
        <f>(C332*(VLOOKUP('Compra cartera'!$C$25,Seguros_Oblig!$A$3:$E$55,5,FALSE)))</f>
        <v>#VALUE!</v>
      </c>
      <c r="J333" s="10">
        <f t="shared" si="26"/>
        <v>0</v>
      </c>
      <c r="K333" s="7" t="e">
        <f>IF(C332&lt;1,"0",Seguros_Oblig!$K$2*('Compra cartera'!$C$11*90%))</f>
        <v>#VALUE!</v>
      </c>
      <c r="L333" s="7" t="e">
        <f>IF(B333=" ","0",PMT('Compra cartera'!$E$17,'Compra cartera'!$C$31,-'Compra cartera'!$C$14,,))</f>
        <v>#VALUE!</v>
      </c>
      <c r="M333" s="9" t="e">
        <f t="shared" si="27"/>
        <v>#VALUE!</v>
      </c>
      <c r="N333" s="7" t="e">
        <f>IF(C332&lt;1,"0",'Compra cartera'!$C$44)</f>
        <v>#VALUE!</v>
      </c>
      <c r="O333" s="9" t="e">
        <f t="shared" si="28"/>
        <v>#VALUE!</v>
      </c>
    </row>
    <row r="334" spans="2:15" ht="15.5" x14ac:dyDescent="0.35">
      <c r="B334" s="6" t="e">
        <f t="shared" si="29"/>
        <v>#VALUE!</v>
      </c>
      <c r="C334" s="7" t="e">
        <f t="shared" si="25"/>
        <v>#VALUE!</v>
      </c>
      <c r="D334" s="7" t="e">
        <f t="shared" si="30"/>
        <v>#VALUE!</v>
      </c>
      <c r="E334" s="7" t="e">
        <f>C333*'Compra cartera'!$E$17</f>
        <v>#VALUE!</v>
      </c>
      <c r="F334" s="8" t="e">
        <f>IF(C333&lt;1,"0",IF('Compra cartera'!$D$26="Si",($C$17*(VLOOKUP('Compra cartera'!$C$22,Seguros_Oblig!$A$3:$F$55,6,FALSE))),(C333*(VLOOKUP('Compra cartera'!$C$22,Seguros_Oblig!$A$3:$E$55,5,FALSE)))))</f>
        <v>#VALUE!</v>
      </c>
      <c r="G334" s="8" t="e">
        <f>(C333*(VLOOKUP('Compra cartera'!$C$23,Seguros_Oblig!$A$3:$E$55,5,FALSE)))</f>
        <v>#VALUE!</v>
      </c>
      <c r="H334" s="8" t="e">
        <f>(C333*(VLOOKUP('Compra cartera'!$C$24,Seguros_Oblig!$A$3:$E$55,5,FALSE)))</f>
        <v>#VALUE!</v>
      </c>
      <c r="I334" s="8" t="e">
        <f>(C333*(VLOOKUP('Compra cartera'!$C$25,Seguros_Oblig!$A$3:$E$55,5,FALSE)))</f>
        <v>#VALUE!</v>
      </c>
      <c r="J334" s="10">
        <f t="shared" si="26"/>
        <v>0</v>
      </c>
      <c r="K334" s="7" t="e">
        <f>IF(C333&lt;1,"0",Seguros_Oblig!$K$2*('Compra cartera'!$C$11*90%))</f>
        <v>#VALUE!</v>
      </c>
      <c r="L334" s="7" t="e">
        <f>IF(B334=" ","0",PMT('Compra cartera'!$E$17,'Compra cartera'!$C$31,-'Compra cartera'!$C$14,,))</f>
        <v>#VALUE!</v>
      </c>
      <c r="M334" s="9" t="e">
        <f t="shared" si="27"/>
        <v>#VALUE!</v>
      </c>
      <c r="N334" s="7" t="e">
        <f>IF(C333&lt;1,"0",'Compra cartera'!$C$44)</f>
        <v>#VALUE!</v>
      </c>
      <c r="O334" s="9" t="e">
        <f t="shared" si="28"/>
        <v>#VALUE!</v>
      </c>
    </row>
    <row r="335" spans="2:15" ht="15.5" x14ac:dyDescent="0.35">
      <c r="B335" s="6" t="e">
        <f t="shared" si="29"/>
        <v>#VALUE!</v>
      </c>
      <c r="C335" s="7" t="e">
        <f t="shared" si="25"/>
        <v>#VALUE!</v>
      </c>
      <c r="D335" s="7" t="e">
        <f t="shared" si="30"/>
        <v>#VALUE!</v>
      </c>
      <c r="E335" s="7" t="e">
        <f>C334*'Compra cartera'!$E$17</f>
        <v>#VALUE!</v>
      </c>
      <c r="F335" s="8" t="e">
        <f>IF(C334&lt;1,"0",IF('Compra cartera'!$D$26="Si",($C$17*(VLOOKUP('Compra cartera'!$C$22,Seguros_Oblig!$A$3:$F$55,6,FALSE))),(C334*(VLOOKUP('Compra cartera'!$C$22,Seguros_Oblig!$A$3:$E$55,5,FALSE)))))</f>
        <v>#VALUE!</v>
      </c>
      <c r="G335" s="8" t="e">
        <f>(C334*(VLOOKUP('Compra cartera'!$C$23,Seguros_Oblig!$A$3:$E$55,5,FALSE)))</f>
        <v>#VALUE!</v>
      </c>
      <c r="H335" s="8" t="e">
        <f>(C334*(VLOOKUP('Compra cartera'!$C$24,Seguros_Oblig!$A$3:$E$55,5,FALSE)))</f>
        <v>#VALUE!</v>
      </c>
      <c r="I335" s="8" t="e">
        <f>(C334*(VLOOKUP('Compra cartera'!$C$25,Seguros_Oblig!$A$3:$E$55,5,FALSE)))</f>
        <v>#VALUE!</v>
      </c>
      <c r="J335" s="10">
        <f t="shared" si="26"/>
        <v>0</v>
      </c>
      <c r="K335" s="7" t="e">
        <f>IF(C334&lt;1,"0",Seguros_Oblig!$K$2*('Compra cartera'!$C$11*90%))</f>
        <v>#VALUE!</v>
      </c>
      <c r="L335" s="7" t="e">
        <f>IF(B335=" ","0",PMT('Compra cartera'!$E$17,'Compra cartera'!$C$31,-'Compra cartera'!$C$14,,))</f>
        <v>#VALUE!</v>
      </c>
      <c r="M335" s="9" t="e">
        <f t="shared" si="27"/>
        <v>#VALUE!</v>
      </c>
      <c r="N335" s="7" t="e">
        <f>IF(C334&lt;1,"0",'Compra cartera'!$C$44)</f>
        <v>#VALUE!</v>
      </c>
      <c r="O335" s="9" t="e">
        <f t="shared" si="28"/>
        <v>#VALUE!</v>
      </c>
    </row>
    <row r="336" spans="2:15" ht="15.5" x14ac:dyDescent="0.35">
      <c r="B336" s="6" t="e">
        <f t="shared" si="29"/>
        <v>#VALUE!</v>
      </c>
      <c r="C336" s="7" t="e">
        <f t="shared" si="25"/>
        <v>#VALUE!</v>
      </c>
      <c r="D336" s="7" t="e">
        <f t="shared" si="30"/>
        <v>#VALUE!</v>
      </c>
      <c r="E336" s="7" t="e">
        <f>C335*'Compra cartera'!$E$17</f>
        <v>#VALUE!</v>
      </c>
      <c r="F336" s="8" t="e">
        <f>IF(C335&lt;1,"0",IF('Compra cartera'!$D$26="Si",($C$17*(VLOOKUP('Compra cartera'!$C$22,Seguros_Oblig!$A$3:$F$55,6,FALSE))),(C335*(VLOOKUP('Compra cartera'!$C$22,Seguros_Oblig!$A$3:$E$55,5,FALSE)))))</f>
        <v>#VALUE!</v>
      </c>
      <c r="G336" s="8" t="e">
        <f>(C335*(VLOOKUP('Compra cartera'!$C$23,Seguros_Oblig!$A$3:$E$55,5,FALSE)))</f>
        <v>#VALUE!</v>
      </c>
      <c r="H336" s="8" t="e">
        <f>(C335*(VLOOKUP('Compra cartera'!$C$24,Seguros_Oblig!$A$3:$E$55,5,FALSE)))</f>
        <v>#VALUE!</v>
      </c>
      <c r="I336" s="8" t="e">
        <f>(C335*(VLOOKUP('Compra cartera'!$C$25,Seguros_Oblig!$A$3:$E$55,5,FALSE)))</f>
        <v>#VALUE!</v>
      </c>
      <c r="J336" s="10">
        <f t="shared" si="26"/>
        <v>0</v>
      </c>
      <c r="K336" s="7" t="e">
        <f>IF(C335&lt;1,"0",Seguros_Oblig!$K$2*('Compra cartera'!$C$11*90%))</f>
        <v>#VALUE!</v>
      </c>
      <c r="L336" s="7" t="e">
        <f>IF(B336=" ","0",PMT('Compra cartera'!$E$17,'Compra cartera'!$C$31,-'Compra cartera'!$C$14,,))</f>
        <v>#VALUE!</v>
      </c>
      <c r="M336" s="9" t="e">
        <f t="shared" si="27"/>
        <v>#VALUE!</v>
      </c>
      <c r="N336" s="7" t="e">
        <f>IF(C335&lt;1,"0",'Compra cartera'!$C$44)</f>
        <v>#VALUE!</v>
      </c>
      <c r="O336" s="9" t="e">
        <f t="shared" si="28"/>
        <v>#VALUE!</v>
      </c>
    </row>
    <row r="337" spans="2:15" ht="15.5" x14ac:dyDescent="0.35">
      <c r="B337" s="6" t="e">
        <f t="shared" si="29"/>
        <v>#VALUE!</v>
      </c>
      <c r="C337" s="7" t="e">
        <f t="shared" si="25"/>
        <v>#VALUE!</v>
      </c>
      <c r="D337" s="7" t="e">
        <f t="shared" si="30"/>
        <v>#VALUE!</v>
      </c>
      <c r="E337" s="7" t="e">
        <f>C336*'Compra cartera'!$E$17</f>
        <v>#VALUE!</v>
      </c>
      <c r="F337" s="8" t="e">
        <f>IF(C336&lt;1,"0",IF('Compra cartera'!$D$26="Si",($C$17*(VLOOKUP('Compra cartera'!$C$22,Seguros_Oblig!$A$3:$F$55,6,FALSE))),(C336*(VLOOKUP('Compra cartera'!$C$22,Seguros_Oblig!$A$3:$E$55,5,FALSE)))))</f>
        <v>#VALUE!</v>
      </c>
      <c r="G337" s="8" t="e">
        <f>(C336*(VLOOKUP('Compra cartera'!$C$23,Seguros_Oblig!$A$3:$E$55,5,FALSE)))</f>
        <v>#VALUE!</v>
      </c>
      <c r="H337" s="8" t="e">
        <f>(C336*(VLOOKUP('Compra cartera'!$C$24,Seguros_Oblig!$A$3:$E$55,5,FALSE)))</f>
        <v>#VALUE!</v>
      </c>
      <c r="I337" s="8" t="e">
        <f>(C336*(VLOOKUP('Compra cartera'!$C$25,Seguros_Oblig!$A$3:$E$55,5,FALSE)))</f>
        <v>#VALUE!</v>
      </c>
      <c r="J337" s="10">
        <f t="shared" si="26"/>
        <v>0</v>
      </c>
      <c r="K337" s="7" t="e">
        <f>IF(C336&lt;1,"0",Seguros_Oblig!$K$2*('Compra cartera'!$C$11*90%))</f>
        <v>#VALUE!</v>
      </c>
      <c r="L337" s="7" t="e">
        <f>IF(B337=" ","0",PMT('Compra cartera'!$E$17,'Compra cartera'!$C$31,-'Compra cartera'!$C$14,,))</f>
        <v>#VALUE!</v>
      </c>
      <c r="M337" s="9" t="e">
        <f t="shared" si="27"/>
        <v>#VALUE!</v>
      </c>
      <c r="N337" s="7" t="e">
        <f>IF(C336&lt;1,"0",'Compra cartera'!$C$44)</f>
        <v>#VALUE!</v>
      </c>
      <c r="O337" s="9" t="e">
        <f t="shared" si="28"/>
        <v>#VALUE!</v>
      </c>
    </row>
    <row r="338" spans="2:15" ht="15.5" x14ac:dyDescent="0.35">
      <c r="B338" s="6" t="e">
        <f t="shared" si="29"/>
        <v>#VALUE!</v>
      </c>
      <c r="C338" s="7" t="e">
        <f t="shared" si="25"/>
        <v>#VALUE!</v>
      </c>
      <c r="D338" s="7" t="e">
        <f t="shared" si="30"/>
        <v>#VALUE!</v>
      </c>
      <c r="E338" s="7" t="e">
        <f>C337*'Compra cartera'!$E$17</f>
        <v>#VALUE!</v>
      </c>
      <c r="F338" s="8" t="e">
        <f>IF(C337&lt;1,"0",IF('Compra cartera'!$D$26="Si",($C$17*(VLOOKUP('Compra cartera'!$C$22,Seguros_Oblig!$A$3:$F$55,6,FALSE))),(C337*(VLOOKUP('Compra cartera'!$C$22,Seguros_Oblig!$A$3:$E$55,5,FALSE)))))</f>
        <v>#VALUE!</v>
      </c>
      <c r="G338" s="8" t="e">
        <f>(C337*(VLOOKUP('Compra cartera'!$C$23,Seguros_Oblig!$A$3:$E$55,5,FALSE)))</f>
        <v>#VALUE!</v>
      </c>
      <c r="H338" s="8" t="e">
        <f>(C337*(VLOOKUP('Compra cartera'!$C$24,Seguros_Oblig!$A$3:$E$55,5,FALSE)))</f>
        <v>#VALUE!</v>
      </c>
      <c r="I338" s="8" t="e">
        <f>(C337*(VLOOKUP('Compra cartera'!$C$25,Seguros_Oblig!$A$3:$E$55,5,FALSE)))</f>
        <v>#VALUE!</v>
      </c>
      <c r="J338" s="10">
        <f t="shared" si="26"/>
        <v>0</v>
      </c>
      <c r="K338" s="7" t="e">
        <f>IF(C337&lt;1,"0",Seguros_Oblig!$K$2*('Compra cartera'!$C$11*90%))</f>
        <v>#VALUE!</v>
      </c>
      <c r="L338" s="7" t="e">
        <f>IF(B338=" ","0",PMT('Compra cartera'!$E$17,'Compra cartera'!$C$31,-'Compra cartera'!$C$14,,))</f>
        <v>#VALUE!</v>
      </c>
      <c r="M338" s="9" t="e">
        <f t="shared" si="27"/>
        <v>#VALUE!</v>
      </c>
      <c r="N338" s="7" t="e">
        <f>IF(C337&lt;1,"0",'Compra cartera'!$C$44)</f>
        <v>#VALUE!</v>
      </c>
      <c r="O338" s="9" t="e">
        <f t="shared" si="28"/>
        <v>#VALUE!</v>
      </c>
    </row>
    <row r="339" spans="2:15" ht="15.5" x14ac:dyDescent="0.35">
      <c r="B339" s="6" t="e">
        <f t="shared" si="29"/>
        <v>#VALUE!</v>
      </c>
      <c r="C339" s="7" t="e">
        <f t="shared" ref="C339:C377" si="31">C338-D339</f>
        <v>#VALUE!</v>
      </c>
      <c r="D339" s="7" t="e">
        <f t="shared" si="30"/>
        <v>#VALUE!</v>
      </c>
      <c r="E339" s="7" t="e">
        <f>C338*'Compra cartera'!$E$17</f>
        <v>#VALUE!</v>
      </c>
      <c r="F339" s="8" t="e">
        <f>IF(C338&lt;1,"0",IF('Compra cartera'!$D$26="Si",($C$17*(VLOOKUP('Compra cartera'!$C$22,Seguros_Oblig!$A$3:$F$55,6,FALSE))),(C338*(VLOOKUP('Compra cartera'!$C$22,Seguros_Oblig!$A$3:$E$55,5,FALSE)))))</f>
        <v>#VALUE!</v>
      </c>
      <c r="G339" s="8" t="e">
        <f>(C338*(VLOOKUP('Compra cartera'!$C$23,Seguros_Oblig!$A$3:$E$55,5,FALSE)))</f>
        <v>#VALUE!</v>
      </c>
      <c r="H339" s="8" t="e">
        <f>(C338*(VLOOKUP('Compra cartera'!$C$24,Seguros_Oblig!$A$3:$E$55,5,FALSE)))</f>
        <v>#VALUE!</v>
      </c>
      <c r="I339" s="8" t="e">
        <f>(C338*(VLOOKUP('Compra cartera'!$C$25,Seguros_Oblig!$A$3:$E$55,5,FALSE)))</f>
        <v>#VALUE!</v>
      </c>
      <c r="J339" s="10">
        <f t="shared" ref="J339:J377" si="32">_xlfn.AGGREGATE(9,6,F339:I339)</f>
        <v>0</v>
      </c>
      <c r="K339" s="7" t="e">
        <f>IF(C338&lt;1,"0",Seguros_Oblig!$K$2*('Compra cartera'!$C$11*90%))</f>
        <v>#VALUE!</v>
      </c>
      <c r="L339" s="7" t="e">
        <f>IF(B339=" ","0",PMT('Compra cartera'!$E$17,'Compra cartera'!$C$31,-'Compra cartera'!$C$14,,))</f>
        <v>#VALUE!</v>
      </c>
      <c r="M339" s="9" t="e">
        <f t="shared" ref="M339:M377" si="33">K339+L339+J339</f>
        <v>#VALUE!</v>
      </c>
      <c r="N339" s="7" t="e">
        <f>IF(C338&lt;1,"0",'Compra cartera'!$C$44)</f>
        <v>#VALUE!</v>
      </c>
      <c r="O339" s="9" t="e">
        <f t="shared" ref="O339:O377" si="34">M339+N339</f>
        <v>#VALUE!</v>
      </c>
    </row>
    <row r="340" spans="2:15" ht="15.5" x14ac:dyDescent="0.35">
      <c r="B340" s="6" t="e">
        <f t="shared" si="29"/>
        <v>#VALUE!</v>
      </c>
      <c r="C340" s="7" t="e">
        <f t="shared" si="31"/>
        <v>#VALUE!</v>
      </c>
      <c r="D340" s="7" t="e">
        <f t="shared" si="30"/>
        <v>#VALUE!</v>
      </c>
      <c r="E340" s="7" t="e">
        <f>C339*'Compra cartera'!$E$17</f>
        <v>#VALUE!</v>
      </c>
      <c r="F340" s="8" t="e">
        <f>IF(C339&lt;1,"0",IF('Compra cartera'!$D$26="Si",($C$17*(VLOOKUP('Compra cartera'!$C$22,Seguros_Oblig!$A$3:$F$55,6,FALSE))),(C339*(VLOOKUP('Compra cartera'!$C$22,Seguros_Oblig!$A$3:$E$55,5,FALSE)))))</f>
        <v>#VALUE!</v>
      </c>
      <c r="G340" s="8" t="e">
        <f>(C339*(VLOOKUP('Compra cartera'!$C$23,Seguros_Oblig!$A$3:$E$55,5,FALSE)))</f>
        <v>#VALUE!</v>
      </c>
      <c r="H340" s="8" t="e">
        <f>(C339*(VLOOKUP('Compra cartera'!$C$24,Seguros_Oblig!$A$3:$E$55,5,FALSE)))</f>
        <v>#VALUE!</v>
      </c>
      <c r="I340" s="8" t="e">
        <f>(C339*(VLOOKUP('Compra cartera'!$C$25,Seguros_Oblig!$A$3:$E$55,5,FALSE)))</f>
        <v>#VALUE!</v>
      </c>
      <c r="J340" s="10">
        <f t="shared" si="32"/>
        <v>0</v>
      </c>
      <c r="K340" s="7" t="e">
        <f>IF(C339&lt;1,"0",Seguros_Oblig!$K$2*('Compra cartera'!$C$11*90%))</f>
        <v>#VALUE!</v>
      </c>
      <c r="L340" s="7" t="e">
        <f>IF(B340=" ","0",PMT('Compra cartera'!$E$17,'Compra cartera'!$C$31,-'Compra cartera'!$C$14,,))</f>
        <v>#VALUE!</v>
      </c>
      <c r="M340" s="9" t="e">
        <f t="shared" si="33"/>
        <v>#VALUE!</v>
      </c>
      <c r="N340" s="7" t="e">
        <f>IF(C339&lt;1,"0",'Compra cartera'!$C$44)</f>
        <v>#VALUE!</v>
      </c>
      <c r="O340" s="9" t="e">
        <f t="shared" si="34"/>
        <v>#VALUE!</v>
      </c>
    </row>
    <row r="341" spans="2:15" ht="15.5" x14ac:dyDescent="0.35">
      <c r="B341" s="6" t="e">
        <f t="shared" si="29"/>
        <v>#VALUE!</v>
      </c>
      <c r="C341" s="7" t="e">
        <f t="shared" si="31"/>
        <v>#VALUE!</v>
      </c>
      <c r="D341" s="7" t="e">
        <f t="shared" si="30"/>
        <v>#VALUE!</v>
      </c>
      <c r="E341" s="7" t="e">
        <f>C340*'Compra cartera'!$E$17</f>
        <v>#VALUE!</v>
      </c>
      <c r="F341" s="8" t="e">
        <f>IF(C340&lt;1,"0",IF('Compra cartera'!$D$26="Si",($C$17*(VLOOKUP('Compra cartera'!$C$22,Seguros_Oblig!$A$3:$F$55,6,FALSE))),(C340*(VLOOKUP('Compra cartera'!$C$22,Seguros_Oblig!$A$3:$E$55,5,FALSE)))))</f>
        <v>#VALUE!</v>
      </c>
      <c r="G341" s="8" t="e">
        <f>(C340*(VLOOKUP('Compra cartera'!$C$23,Seguros_Oblig!$A$3:$E$55,5,FALSE)))</f>
        <v>#VALUE!</v>
      </c>
      <c r="H341" s="8" t="e">
        <f>(C340*(VLOOKUP('Compra cartera'!$C$24,Seguros_Oblig!$A$3:$E$55,5,FALSE)))</f>
        <v>#VALUE!</v>
      </c>
      <c r="I341" s="8" t="e">
        <f>(C340*(VLOOKUP('Compra cartera'!$C$25,Seguros_Oblig!$A$3:$E$55,5,FALSE)))</f>
        <v>#VALUE!</v>
      </c>
      <c r="J341" s="10">
        <f t="shared" si="32"/>
        <v>0</v>
      </c>
      <c r="K341" s="7" t="e">
        <f>IF(C340&lt;1,"0",Seguros_Oblig!$K$2*('Compra cartera'!$C$11*90%))</f>
        <v>#VALUE!</v>
      </c>
      <c r="L341" s="7" t="e">
        <f>IF(B341=" ","0",PMT('Compra cartera'!$E$17,'Compra cartera'!$C$31,-'Compra cartera'!$C$14,,))</f>
        <v>#VALUE!</v>
      </c>
      <c r="M341" s="9" t="e">
        <f t="shared" si="33"/>
        <v>#VALUE!</v>
      </c>
      <c r="N341" s="7" t="e">
        <f>IF(C340&lt;1,"0",'Compra cartera'!$C$44)</f>
        <v>#VALUE!</v>
      </c>
      <c r="O341" s="9" t="e">
        <f t="shared" si="34"/>
        <v>#VALUE!</v>
      </c>
    </row>
    <row r="342" spans="2:15" ht="15.5" x14ac:dyDescent="0.35">
      <c r="B342" s="6" t="e">
        <f t="shared" si="29"/>
        <v>#VALUE!</v>
      </c>
      <c r="C342" s="7" t="e">
        <f t="shared" si="31"/>
        <v>#VALUE!</v>
      </c>
      <c r="D342" s="7" t="e">
        <f t="shared" si="30"/>
        <v>#VALUE!</v>
      </c>
      <c r="E342" s="7" t="e">
        <f>C341*'Compra cartera'!$E$17</f>
        <v>#VALUE!</v>
      </c>
      <c r="F342" s="8" t="e">
        <f>IF(C341&lt;1,"0",IF('Compra cartera'!$D$26="Si",($C$17*(VLOOKUP('Compra cartera'!$C$22,Seguros_Oblig!$A$3:$F$55,6,FALSE))),(C341*(VLOOKUP('Compra cartera'!$C$22,Seguros_Oblig!$A$3:$E$55,5,FALSE)))))</f>
        <v>#VALUE!</v>
      </c>
      <c r="G342" s="8" t="e">
        <f>(C341*(VLOOKUP('Compra cartera'!$C$23,Seguros_Oblig!$A$3:$E$55,5,FALSE)))</f>
        <v>#VALUE!</v>
      </c>
      <c r="H342" s="8" t="e">
        <f>(C341*(VLOOKUP('Compra cartera'!$C$24,Seguros_Oblig!$A$3:$E$55,5,FALSE)))</f>
        <v>#VALUE!</v>
      </c>
      <c r="I342" s="8" t="e">
        <f>(C341*(VLOOKUP('Compra cartera'!$C$25,Seguros_Oblig!$A$3:$E$55,5,FALSE)))</f>
        <v>#VALUE!</v>
      </c>
      <c r="J342" s="10">
        <f t="shared" si="32"/>
        <v>0</v>
      </c>
      <c r="K342" s="7" t="e">
        <f>IF(C341&lt;1,"0",Seguros_Oblig!$K$2*('Compra cartera'!$C$11*90%))</f>
        <v>#VALUE!</v>
      </c>
      <c r="L342" s="7" t="e">
        <f>IF(B342=" ","0",PMT('Compra cartera'!$E$17,'Compra cartera'!$C$31,-'Compra cartera'!$C$14,,))</f>
        <v>#VALUE!</v>
      </c>
      <c r="M342" s="9" t="e">
        <f t="shared" si="33"/>
        <v>#VALUE!</v>
      </c>
      <c r="N342" s="7" t="e">
        <f>IF(C341&lt;1,"0",'Compra cartera'!$C$44)</f>
        <v>#VALUE!</v>
      </c>
      <c r="O342" s="9" t="e">
        <f t="shared" si="34"/>
        <v>#VALUE!</v>
      </c>
    </row>
    <row r="343" spans="2:15" ht="15.5" x14ac:dyDescent="0.35">
      <c r="B343" s="6" t="e">
        <f t="shared" si="29"/>
        <v>#VALUE!</v>
      </c>
      <c r="C343" s="7" t="e">
        <f t="shared" si="31"/>
        <v>#VALUE!</v>
      </c>
      <c r="D343" s="7" t="e">
        <f t="shared" si="30"/>
        <v>#VALUE!</v>
      </c>
      <c r="E343" s="7" t="e">
        <f>C342*'Compra cartera'!$E$17</f>
        <v>#VALUE!</v>
      </c>
      <c r="F343" s="8" t="e">
        <f>IF(C342&lt;1,"0",IF('Compra cartera'!$D$26="Si",($C$17*(VLOOKUP('Compra cartera'!$C$22,Seguros_Oblig!$A$3:$F$55,6,FALSE))),(C342*(VLOOKUP('Compra cartera'!$C$22,Seguros_Oblig!$A$3:$E$55,5,FALSE)))))</f>
        <v>#VALUE!</v>
      </c>
      <c r="G343" s="8" t="e">
        <f>(C342*(VLOOKUP('Compra cartera'!$C$23,Seguros_Oblig!$A$3:$E$55,5,FALSE)))</f>
        <v>#VALUE!</v>
      </c>
      <c r="H343" s="8" t="e">
        <f>(C342*(VLOOKUP('Compra cartera'!$C$24,Seguros_Oblig!$A$3:$E$55,5,FALSE)))</f>
        <v>#VALUE!</v>
      </c>
      <c r="I343" s="8" t="e">
        <f>(C342*(VLOOKUP('Compra cartera'!$C$25,Seguros_Oblig!$A$3:$E$55,5,FALSE)))</f>
        <v>#VALUE!</v>
      </c>
      <c r="J343" s="10">
        <f t="shared" si="32"/>
        <v>0</v>
      </c>
      <c r="K343" s="7" t="e">
        <f>IF(C342&lt;1,"0",Seguros_Oblig!$K$2*('Compra cartera'!$C$11*90%))</f>
        <v>#VALUE!</v>
      </c>
      <c r="L343" s="7" t="e">
        <f>IF(B343=" ","0",PMT('Compra cartera'!$E$17,'Compra cartera'!$C$31,-'Compra cartera'!$C$14,,))</f>
        <v>#VALUE!</v>
      </c>
      <c r="M343" s="9" t="e">
        <f t="shared" si="33"/>
        <v>#VALUE!</v>
      </c>
      <c r="N343" s="7" t="e">
        <f>IF(C342&lt;1,"0",'Compra cartera'!$C$44)</f>
        <v>#VALUE!</v>
      </c>
      <c r="O343" s="9" t="e">
        <f t="shared" si="34"/>
        <v>#VALUE!</v>
      </c>
    </row>
    <row r="344" spans="2:15" ht="15.5" x14ac:dyDescent="0.35">
      <c r="B344" s="6" t="e">
        <f t="shared" ref="B344:B377" si="35">IF(C343&gt;1,B343+1," ")</f>
        <v>#VALUE!</v>
      </c>
      <c r="C344" s="7" t="e">
        <f t="shared" si="31"/>
        <v>#VALUE!</v>
      </c>
      <c r="D344" s="7" t="e">
        <f t="shared" si="30"/>
        <v>#VALUE!</v>
      </c>
      <c r="E344" s="7" t="e">
        <f>C343*'Compra cartera'!$E$17</f>
        <v>#VALUE!</v>
      </c>
      <c r="F344" s="8" t="e">
        <f>IF(C343&lt;1,"0",IF('Compra cartera'!$D$26="Si",($C$17*(VLOOKUP('Compra cartera'!$C$22,Seguros_Oblig!$A$3:$F$55,6,FALSE))),(C343*(VLOOKUP('Compra cartera'!$C$22,Seguros_Oblig!$A$3:$E$55,5,FALSE)))))</f>
        <v>#VALUE!</v>
      </c>
      <c r="G344" s="8" t="e">
        <f>(C343*(VLOOKUP('Compra cartera'!$C$23,Seguros_Oblig!$A$3:$E$55,5,FALSE)))</f>
        <v>#VALUE!</v>
      </c>
      <c r="H344" s="8" t="e">
        <f>(C343*(VLOOKUP('Compra cartera'!$C$24,Seguros_Oblig!$A$3:$E$55,5,FALSE)))</f>
        <v>#VALUE!</v>
      </c>
      <c r="I344" s="8" t="e">
        <f>(C343*(VLOOKUP('Compra cartera'!$C$25,Seguros_Oblig!$A$3:$E$55,5,FALSE)))</f>
        <v>#VALUE!</v>
      </c>
      <c r="J344" s="10">
        <f t="shared" si="32"/>
        <v>0</v>
      </c>
      <c r="K344" s="7" t="e">
        <f>IF(C343&lt;1,"0",Seguros_Oblig!$K$2*('Compra cartera'!$C$11*90%))</f>
        <v>#VALUE!</v>
      </c>
      <c r="L344" s="7" t="e">
        <f>IF(B344=" ","0",PMT('Compra cartera'!$E$17,'Compra cartera'!$C$31,-'Compra cartera'!$C$14,,))</f>
        <v>#VALUE!</v>
      </c>
      <c r="M344" s="9" t="e">
        <f t="shared" si="33"/>
        <v>#VALUE!</v>
      </c>
      <c r="N344" s="7" t="e">
        <f>IF(C343&lt;1,"0",'Compra cartera'!$C$44)</f>
        <v>#VALUE!</v>
      </c>
      <c r="O344" s="9" t="e">
        <f t="shared" si="34"/>
        <v>#VALUE!</v>
      </c>
    </row>
    <row r="345" spans="2:15" ht="15.5" x14ac:dyDescent="0.35">
      <c r="B345" s="6" t="e">
        <f t="shared" si="35"/>
        <v>#VALUE!</v>
      </c>
      <c r="C345" s="7" t="e">
        <f t="shared" si="31"/>
        <v>#VALUE!</v>
      </c>
      <c r="D345" s="7" t="e">
        <f t="shared" si="30"/>
        <v>#VALUE!</v>
      </c>
      <c r="E345" s="7" t="e">
        <f>C344*'Compra cartera'!$E$17</f>
        <v>#VALUE!</v>
      </c>
      <c r="F345" s="8" t="e">
        <f>IF(C344&lt;1,"0",IF('Compra cartera'!$D$26="Si",($C$17*(VLOOKUP('Compra cartera'!$C$22,Seguros_Oblig!$A$3:$F$55,6,FALSE))),(C344*(VLOOKUP('Compra cartera'!$C$22,Seguros_Oblig!$A$3:$E$55,5,FALSE)))))</f>
        <v>#VALUE!</v>
      </c>
      <c r="G345" s="8" t="e">
        <f>(C344*(VLOOKUP('Compra cartera'!$C$23,Seguros_Oblig!$A$3:$E$55,5,FALSE)))</f>
        <v>#VALUE!</v>
      </c>
      <c r="H345" s="8" t="e">
        <f>(C344*(VLOOKUP('Compra cartera'!$C$24,Seguros_Oblig!$A$3:$E$55,5,FALSE)))</f>
        <v>#VALUE!</v>
      </c>
      <c r="I345" s="8" t="e">
        <f>(C344*(VLOOKUP('Compra cartera'!$C$25,Seguros_Oblig!$A$3:$E$55,5,FALSE)))</f>
        <v>#VALUE!</v>
      </c>
      <c r="J345" s="10">
        <f t="shared" si="32"/>
        <v>0</v>
      </c>
      <c r="K345" s="7" t="e">
        <f>IF(C344&lt;1,"0",Seguros_Oblig!$K$2*('Compra cartera'!$C$11*90%))</f>
        <v>#VALUE!</v>
      </c>
      <c r="L345" s="7" t="e">
        <f>IF(B345=" ","0",PMT('Compra cartera'!$E$17,'Compra cartera'!$C$31,-'Compra cartera'!$C$14,,))</f>
        <v>#VALUE!</v>
      </c>
      <c r="M345" s="9" t="e">
        <f t="shared" si="33"/>
        <v>#VALUE!</v>
      </c>
      <c r="N345" s="7" t="e">
        <f>IF(C344&lt;1,"0",'Compra cartera'!$C$44)</f>
        <v>#VALUE!</v>
      </c>
      <c r="O345" s="9" t="e">
        <f t="shared" si="34"/>
        <v>#VALUE!</v>
      </c>
    </row>
    <row r="346" spans="2:15" ht="15.5" x14ac:dyDescent="0.35">
      <c r="B346" s="6" t="e">
        <f t="shared" si="35"/>
        <v>#VALUE!</v>
      </c>
      <c r="C346" s="7" t="e">
        <f t="shared" si="31"/>
        <v>#VALUE!</v>
      </c>
      <c r="D346" s="7" t="e">
        <f t="shared" si="30"/>
        <v>#VALUE!</v>
      </c>
      <c r="E346" s="7" t="e">
        <f>C345*'Compra cartera'!$E$17</f>
        <v>#VALUE!</v>
      </c>
      <c r="F346" s="8" t="e">
        <f>IF(C345&lt;1,"0",IF('Compra cartera'!$D$26="Si",($C$17*(VLOOKUP('Compra cartera'!$C$22,Seguros_Oblig!$A$3:$F$55,6,FALSE))),(C345*(VLOOKUP('Compra cartera'!$C$22,Seguros_Oblig!$A$3:$E$55,5,FALSE)))))</f>
        <v>#VALUE!</v>
      </c>
      <c r="G346" s="8" t="e">
        <f>(C345*(VLOOKUP('Compra cartera'!$C$23,Seguros_Oblig!$A$3:$E$55,5,FALSE)))</f>
        <v>#VALUE!</v>
      </c>
      <c r="H346" s="8" t="e">
        <f>(C345*(VLOOKUP('Compra cartera'!$C$24,Seguros_Oblig!$A$3:$E$55,5,FALSE)))</f>
        <v>#VALUE!</v>
      </c>
      <c r="I346" s="8" t="e">
        <f>(C345*(VLOOKUP('Compra cartera'!$C$25,Seguros_Oblig!$A$3:$E$55,5,FALSE)))</f>
        <v>#VALUE!</v>
      </c>
      <c r="J346" s="10">
        <f t="shared" si="32"/>
        <v>0</v>
      </c>
      <c r="K346" s="7" t="e">
        <f>IF(C345&lt;1,"0",Seguros_Oblig!$K$2*('Compra cartera'!$C$11*90%))</f>
        <v>#VALUE!</v>
      </c>
      <c r="L346" s="7" t="e">
        <f>IF(B346=" ","0",PMT('Compra cartera'!$E$17,'Compra cartera'!$C$31,-'Compra cartera'!$C$14,,))</f>
        <v>#VALUE!</v>
      </c>
      <c r="M346" s="9" t="e">
        <f t="shared" si="33"/>
        <v>#VALUE!</v>
      </c>
      <c r="N346" s="7" t="e">
        <f>IF(C345&lt;1,"0",'Compra cartera'!$C$44)</f>
        <v>#VALUE!</v>
      </c>
      <c r="O346" s="9" t="e">
        <f t="shared" si="34"/>
        <v>#VALUE!</v>
      </c>
    </row>
    <row r="347" spans="2:15" ht="15.5" x14ac:dyDescent="0.35">
      <c r="B347" s="6" t="e">
        <f t="shared" si="35"/>
        <v>#VALUE!</v>
      </c>
      <c r="C347" s="7" t="e">
        <f t="shared" si="31"/>
        <v>#VALUE!</v>
      </c>
      <c r="D347" s="7" t="e">
        <f t="shared" si="30"/>
        <v>#VALUE!</v>
      </c>
      <c r="E347" s="7" t="e">
        <f>C346*'Compra cartera'!$E$17</f>
        <v>#VALUE!</v>
      </c>
      <c r="F347" s="8" t="e">
        <f>IF(C346&lt;1,"0",IF('Compra cartera'!$D$26="Si",($C$17*(VLOOKUP('Compra cartera'!$C$22,Seguros_Oblig!$A$3:$F$55,6,FALSE))),(C346*(VLOOKUP('Compra cartera'!$C$22,Seguros_Oblig!$A$3:$E$55,5,FALSE)))))</f>
        <v>#VALUE!</v>
      </c>
      <c r="G347" s="8" t="e">
        <f>(C346*(VLOOKUP('Compra cartera'!$C$23,Seguros_Oblig!$A$3:$E$55,5,FALSE)))</f>
        <v>#VALUE!</v>
      </c>
      <c r="H347" s="8" t="e">
        <f>(C346*(VLOOKUP('Compra cartera'!$C$24,Seguros_Oblig!$A$3:$E$55,5,FALSE)))</f>
        <v>#VALUE!</v>
      </c>
      <c r="I347" s="8" t="e">
        <f>(C346*(VLOOKUP('Compra cartera'!$C$25,Seguros_Oblig!$A$3:$E$55,5,FALSE)))</f>
        <v>#VALUE!</v>
      </c>
      <c r="J347" s="10">
        <f t="shared" si="32"/>
        <v>0</v>
      </c>
      <c r="K347" s="7" t="e">
        <f>IF(C346&lt;1,"0",Seguros_Oblig!$K$2*('Compra cartera'!$C$11*90%))</f>
        <v>#VALUE!</v>
      </c>
      <c r="L347" s="7" t="e">
        <f>IF(B347=" ","0",PMT('Compra cartera'!$E$17,'Compra cartera'!$C$31,-'Compra cartera'!$C$14,,))</f>
        <v>#VALUE!</v>
      </c>
      <c r="M347" s="9" t="e">
        <f t="shared" si="33"/>
        <v>#VALUE!</v>
      </c>
      <c r="N347" s="7" t="e">
        <f>IF(C346&lt;1,"0",'Compra cartera'!$C$44)</f>
        <v>#VALUE!</v>
      </c>
      <c r="O347" s="9" t="e">
        <f t="shared" si="34"/>
        <v>#VALUE!</v>
      </c>
    </row>
    <row r="348" spans="2:15" ht="15.5" x14ac:dyDescent="0.35">
      <c r="B348" s="6" t="e">
        <f t="shared" si="35"/>
        <v>#VALUE!</v>
      </c>
      <c r="C348" s="7" t="e">
        <f t="shared" si="31"/>
        <v>#VALUE!</v>
      </c>
      <c r="D348" s="7" t="e">
        <f t="shared" si="30"/>
        <v>#VALUE!</v>
      </c>
      <c r="E348" s="7" t="e">
        <f>C347*'Compra cartera'!$E$17</f>
        <v>#VALUE!</v>
      </c>
      <c r="F348" s="8" t="e">
        <f>IF(C347&lt;1,"0",IF('Compra cartera'!$D$26="Si",($C$17*(VLOOKUP('Compra cartera'!$C$22,Seguros_Oblig!$A$3:$F$55,6,FALSE))),(C347*(VLOOKUP('Compra cartera'!$C$22,Seguros_Oblig!$A$3:$E$55,5,FALSE)))))</f>
        <v>#VALUE!</v>
      </c>
      <c r="G348" s="8" t="e">
        <f>(C347*(VLOOKUP('Compra cartera'!$C$23,Seguros_Oblig!$A$3:$E$55,5,FALSE)))</f>
        <v>#VALUE!</v>
      </c>
      <c r="H348" s="8" t="e">
        <f>(C347*(VLOOKUP('Compra cartera'!$C$24,Seguros_Oblig!$A$3:$E$55,5,FALSE)))</f>
        <v>#VALUE!</v>
      </c>
      <c r="I348" s="8" t="e">
        <f>(C347*(VLOOKUP('Compra cartera'!$C$25,Seguros_Oblig!$A$3:$E$55,5,FALSE)))</f>
        <v>#VALUE!</v>
      </c>
      <c r="J348" s="10">
        <f t="shared" si="32"/>
        <v>0</v>
      </c>
      <c r="K348" s="7" t="e">
        <f>IF(C347&lt;1,"0",Seguros_Oblig!$K$2*('Compra cartera'!$C$11*90%))</f>
        <v>#VALUE!</v>
      </c>
      <c r="L348" s="7" t="e">
        <f>IF(B348=" ","0",PMT('Compra cartera'!$E$17,'Compra cartera'!$C$31,-'Compra cartera'!$C$14,,))</f>
        <v>#VALUE!</v>
      </c>
      <c r="M348" s="9" t="e">
        <f t="shared" si="33"/>
        <v>#VALUE!</v>
      </c>
      <c r="N348" s="7" t="e">
        <f>IF(C347&lt;1,"0",'Compra cartera'!$C$44)</f>
        <v>#VALUE!</v>
      </c>
      <c r="O348" s="9" t="e">
        <f t="shared" si="34"/>
        <v>#VALUE!</v>
      </c>
    </row>
    <row r="349" spans="2:15" ht="15.5" x14ac:dyDescent="0.35">
      <c r="B349" s="6" t="e">
        <f t="shared" si="35"/>
        <v>#VALUE!</v>
      </c>
      <c r="C349" s="7" t="e">
        <f t="shared" si="31"/>
        <v>#VALUE!</v>
      </c>
      <c r="D349" s="7" t="e">
        <f t="shared" si="30"/>
        <v>#VALUE!</v>
      </c>
      <c r="E349" s="7" t="e">
        <f>C348*'Compra cartera'!$E$17</f>
        <v>#VALUE!</v>
      </c>
      <c r="F349" s="8" t="e">
        <f>IF(C348&lt;1,"0",IF('Compra cartera'!$D$26="Si",($C$17*(VLOOKUP('Compra cartera'!$C$22,Seguros_Oblig!$A$3:$F$55,6,FALSE))),(C348*(VLOOKUP('Compra cartera'!$C$22,Seguros_Oblig!$A$3:$E$55,5,FALSE)))))</f>
        <v>#VALUE!</v>
      </c>
      <c r="G349" s="8" t="e">
        <f>(C348*(VLOOKUP('Compra cartera'!$C$23,Seguros_Oblig!$A$3:$E$55,5,FALSE)))</f>
        <v>#VALUE!</v>
      </c>
      <c r="H349" s="8" t="e">
        <f>(C348*(VLOOKUP('Compra cartera'!$C$24,Seguros_Oblig!$A$3:$E$55,5,FALSE)))</f>
        <v>#VALUE!</v>
      </c>
      <c r="I349" s="8" t="e">
        <f>(C348*(VLOOKUP('Compra cartera'!$C$25,Seguros_Oblig!$A$3:$E$55,5,FALSE)))</f>
        <v>#VALUE!</v>
      </c>
      <c r="J349" s="10">
        <f t="shared" si="32"/>
        <v>0</v>
      </c>
      <c r="K349" s="7" t="e">
        <f>IF(C348&lt;1,"0",Seguros_Oblig!$K$2*('Compra cartera'!$C$11*90%))</f>
        <v>#VALUE!</v>
      </c>
      <c r="L349" s="7" t="e">
        <f>IF(B349=" ","0",PMT('Compra cartera'!$E$17,'Compra cartera'!$C$31,-'Compra cartera'!$C$14,,))</f>
        <v>#VALUE!</v>
      </c>
      <c r="M349" s="9" t="e">
        <f t="shared" si="33"/>
        <v>#VALUE!</v>
      </c>
      <c r="N349" s="7" t="e">
        <f>IF(C348&lt;1,"0",'Compra cartera'!$C$44)</f>
        <v>#VALUE!</v>
      </c>
      <c r="O349" s="9" t="e">
        <f t="shared" si="34"/>
        <v>#VALUE!</v>
      </c>
    </row>
    <row r="350" spans="2:15" ht="15.5" x14ac:dyDescent="0.35">
      <c r="B350" s="6" t="e">
        <f t="shared" si="35"/>
        <v>#VALUE!</v>
      </c>
      <c r="C350" s="7" t="e">
        <f t="shared" si="31"/>
        <v>#VALUE!</v>
      </c>
      <c r="D350" s="7" t="e">
        <f t="shared" si="30"/>
        <v>#VALUE!</v>
      </c>
      <c r="E350" s="7" t="e">
        <f>C349*'Compra cartera'!$E$17</f>
        <v>#VALUE!</v>
      </c>
      <c r="F350" s="8" t="e">
        <f>IF(C349&lt;1,"0",IF('Compra cartera'!$D$26="Si",($C$17*(VLOOKUP('Compra cartera'!$C$22,Seguros_Oblig!$A$3:$F$55,6,FALSE))),(C349*(VLOOKUP('Compra cartera'!$C$22,Seguros_Oblig!$A$3:$E$55,5,FALSE)))))</f>
        <v>#VALUE!</v>
      </c>
      <c r="G350" s="8" t="e">
        <f>(C349*(VLOOKUP('Compra cartera'!$C$23,Seguros_Oblig!$A$3:$E$55,5,FALSE)))</f>
        <v>#VALUE!</v>
      </c>
      <c r="H350" s="8" t="e">
        <f>(C349*(VLOOKUP('Compra cartera'!$C$24,Seguros_Oblig!$A$3:$E$55,5,FALSE)))</f>
        <v>#VALUE!</v>
      </c>
      <c r="I350" s="8" t="e">
        <f>(C349*(VLOOKUP('Compra cartera'!$C$25,Seguros_Oblig!$A$3:$E$55,5,FALSE)))</f>
        <v>#VALUE!</v>
      </c>
      <c r="J350" s="10">
        <f t="shared" si="32"/>
        <v>0</v>
      </c>
      <c r="K350" s="7" t="e">
        <f>IF(C349&lt;1,"0",Seguros_Oblig!$K$2*('Compra cartera'!$C$11*90%))</f>
        <v>#VALUE!</v>
      </c>
      <c r="L350" s="7" t="e">
        <f>IF(B350=" ","0",PMT('Compra cartera'!$E$17,'Compra cartera'!$C$31,-'Compra cartera'!$C$14,,))</f>
        <v>#VALUE!</v>
      </c>
      <c r="M350" s="9" t="e">
        <f t="shared" si="33"/>
        <v>#VALUE!</v>
      </c>
      <c r="N350" s="7" t="e">
        <f>IF(C349&lt;1,"0",'Compra cartera'!$C$44)</f>
        <v>#VALUE!</v>
      </c>
      <c r="O350" s="9" t="e">
        <f t="shared" si="34"/>
        <v>#VALUE!</v>
      </c>
    </row>
    <row r="351" spans="2:15" ht="15.5" x14ac:dyDescent="0.35">
      <c r="B351" s="6" t="e">
        <f t="shared" si="35"/>
        <v>#VALUE!</v>
      </c>
      <c r="C351" s="7" t="e">
        <f t="shared" si="31"/>
        <v>#VALUE!</v>
      </c>
      <c r="D351" s="7" t="e">
        <f t="shared" ref="D351:D377" si="36">IF(C350&lt;1,"0",L351-E351)</f>
        <v>#VALUE!</v>
      </c>
      <c r="E351" s="7" t="e">
        <f>C350*'Compra cartera'!$E$17</f>
        <v>#VALUE!</v>
      </c>
      <c r="F351" s="8" t="e">
        <f>IF(C350&lt;1,"0",IF('Compra cartera'!$D$26="Si",($C$17*(VLOOKUP('Compra cartera'!$C$22,Seguros_Oblig!$A$3:$F$55,6,FALSE))),(C350*(VLOOKUP('Compra cartera'!$C$22,Seguros_Oblig!$A$3:$E$55,5,FALSE)))))</f>
        <v>#VALUE!</v>
      </c>
      <c r="G351" s="8" t="e">
        <f>(C350*(VLOOKUP('Compra cartera'!$C$23,Seguros_Oblig!$A$3:$E$55,5,FALSE)))</f>
        <v>#VALUE!</v>
      </c>
      <c r="H351" s="8" t="e">
        <f>(C350*(VLOOKUP('Compra cartera'!$C$24,Seguros_Oblig!$A$3:$E$55,5,FALSE)))</f>
        <v>#VALUE!</v>
      </c>
      <c r="I351" s="8" t="e">
        <f>(C350*(VLOOKUP('Compra cartera'!$C$25,Seguros_Oblig!$A$3:$E$55,5,FALSE)))</f>
        <v>#VALUE!</v>
      </c>
      <c r="J351" s="10">
        <f t="shared" si="32"/>
        <v>0</v>
      </c>
      <c r="K351" s="7" t="e">
        <f>IF(C350&lt;1,"0",Seguros_Oblig!$K$2*('Compra cartera'!$C$11*90%))</f>
        <v>#VALUE!</v>
      </c>
      <c r="L351" s="7" t="e">
        <f>IF(B351=" ","0",PMT('Compra cartera'!$E$17,'Compra cartera'!$C$31,-'Compra cartera'!$C$14,,))</f>
        <v>#VALUE!</v>
      </c>
      <c r="M351" s="9" t="e">
        <f t="shared" si="33"/>
        <v>#VALUE!</v>
      </c>
      <c r="N351" s="7" t="e">
        <f>IF(C350&lt;1,"0",'Compra cartera'!$C$44)</f>
        <v>#VALUE!</v>
      </c>
      <c r="O351" s="9" t="e">
        <f t="shared" si="34"/>
        <v>#VALUE!</v>
      </c>
    </row>
    <row r="352" spans="2:15" ht="15.5" x14ac:dyDescent="0.35">
      <c r="B352" s="6" t="e">
        <f t="shared" si="35"/>
        <v>#VALUE!</v>
      </c>
      <c r="C352" s="7" t="e">
        <f t="shared" si="31"/>
        <v>#VALUE!</v>
      </c>
      <c r="D352" s="7" t="e">
        <f t="shared" si="36"/>
        <v>#VALUE!</v>
      </c>
      <c r="E352" s="7" t="e">
        <f>C351*'Compra cartera'!$E$17</f>
        <v>#VALUE!</v>
      </c>
      <c r="F352" s="8" t="e">
        <f>IF(C351&lt;1,"0",IF('Compra cartera'!$D$26="Si",($C$17*(VLOOKUP('Compra cartera'!$C$22,Seguros_Oblig!$A$3:$F$55,6,FALSE))),(C351*(VLOOKUP('Compra cartera'!$C$22,Seguros_Oblig!$A$3:$E$55,5,FALSE)))))</f>
        <v>#VALUE!</v>
      </c>
      <c r="G352" s="8" t="e">
        <f>(C351*(VLOOKUP('Compra cartera'!$C$23,Seguros_Oblig!$A$3:$E$55,5,FALSE)))</f>
        <v>#VALUE!</v>
      </c>
      <c r="H352" s="8" t="e">
        <f>(C351*(VLOOKUP('Compra cartera'!$C$24,Seguros_Oblig!$A$3:$E$55,5,FALSE)))</f>
        <v>#VALUE!</v>
      </c>
      <c r="I352" s="8" t="e">
        <f>(C351*(VLOOKUP('Compra cartera'!$C$25,Seguros_Oblig!$A$3:$E$55,5,FALSE)))</f>
        <v>#VALUE!</v>
      </c>
      <c r="J352" s="10">
        <f t="shared" si="32"/>
        <v>0</v>
      </c>
      <c r="K352" s="7" t="e">
        <f>IF(C351&lt;1,"0",Seguros_Oblig!$K$2*('Compra cartera'!$C$11*90%))</f>
        <v>#VALUE!</v>
      </c>
      <c r="L352" s="7" t="e">
        <f>IF(B352=" ","0",PMT('Compra cartera'!$E$17,'Compra cartera'!$C$31,-'Compra cartera'!$C$14,,))</f>
        <v>#VALUE!</v>
      </c>
      <c r="M352" s="9" t="e">
        <f t="shared" si="33"/>
        <v>#VALUE!</v>
      </c>
      <c r="N352" s="7" t="e">
        <f>IF(C351&lt;1,"0",'Compra cartera'!$C$44)</f>
        <v>#VALUE!</v>
      </c>
      <c r="O352" s="9" t="e">
        <f t="shared" si="34"/>
        <v>#VALUE!</v>
      </c>
    </row>
    <row r="353" spans="2:15" ht="15.5" x14ac:dyDescent="0.35">
      <c r="B353" s="6" t="e">
        <f t="shared" si="35"/>
        <v>#VALUE!</v>
      </c>
      <c r="C353" s="7" t="e">
        <f t="shared" si="31"/>
        <v>#VALUE!</v>
      </c>
      <c r="D353" s="7" t="e">
        <f t="shared" si="36"/>
        <v>#VALUE!</v>
      </c>
      <c r="E353" s="7" t="e">
        <f>C352*'Compra cartera'!$E$17</f>
        <v>#VALUE!</v>
      </c>
      <c r="F353" s="8" t="e">
        <f>IF(C352&lt;1,"0",IF('Compra cartera'!$D$26="Si",($C$17*(VLOOKUP('Compra cartera'!$C$22,Seguros_Oblig!$A$3:$F$55,6,FALSE))),(C352*(VLOOKUP('Compra cartera'!$C$22,Seguros_Oblig!$A$3:$E$55,5,FALSE)))))</f>
        <v>#VALUE!</v>
      </c>
      <c r="G353" s="8" t="e">
        <f>(C352*(VLOOKUP('Compra cartera'!$C$23,Seguros_Oblig!$A$3:$E$55,5,FALSE)))</f>
        <v>#VALUE!</v>
      </c>
      <c r="H353" s="8" t="e">
        <f>(C352*(VLOOKUP('Compra cartera'!$C$24,Seguros_Oblig!$A$3:$E$55,5,FALSE)))</f>
        <v>#VALUE!</v>
      </c>
      <c r="I353" s="8" t="e">
        <f>(C352*(VLOOKUP('Compra cartera'!$C$25,Seguros_Oblig!$A$3:$E$55,5,FALSE)))</f>
        <v>#VALUE!</v>
      </c>
      <c r="J353" s="10">
        <f t="shared" si="32"/>
        <v>0</v>
      </c>
      <c r="K353" s="7" t="e">
        <f>IF(C352&lt;1,"0",Seguros_Oblig!$K$2*('Compra cartera'!$C$11*90%))</f>
        <v>#VALUE!</v>
      </c>
      <c r="L353" s="7" t="e">
        <f>IF(B353=" ","0",PMT('Compra cartera'!$E$17,'Compra cartera'!$C$31,-'Compra cartera'!$C$14,,))</f>
        <v>#VALUE!</v>
      </c>
      <c r="M353" s="9" t="e">
        <f t="shared" si="33"/>
        <v>#VALUE!</v>
      </c>
      <c r="N353" s="7" t="e">
        <f>IF(C352&lt;1,"0",'Compra cartera'!$C$44)</f>
        <v>#VALUE!</v>
      </c>
      <c r="O353" s="9" t="e">
        <f t="shared" si="34"/>
        <v>#VALUE!</v>
      </c>
    </row>
    <row r="354" spans="2:15" ht="15.5" x14ac:dyDescent="0.35">
      <c r="B354" s="6" t="e">
        <f t="shared" si="35"/>
        <v>#VALUE!</v>
      </c>
      <c r="C354" s="7" t="e">
        <f t="shared" si="31"/>
        <v>#VALUE!</v>
      </c>
      <c r="D354" s="7" t="e">
        <f t="shared" si="36"/>
        <v>#VALUE!</v>
      </c>
      <c r="E354" s="7" t="e">
        <f>C353*'Compra cartera'!$E$17</f>
        <v>#VALUE!</v>
      </c>
      <c r="F354" s="8" t="e">
        <f>IF(C353&lt;1,"0",IF('Compra cartera'!$D$26="Si",($C$17*(VLOOKUP('Compra cartera'!$C$22,Seguros_Oblig!$A$3:$F$55,6,FALSE))),(C353*(VLOOKUP('Compra cartera'!$C$22,Seguros_Oblig!$A$3:$E$55,5,FALSE)))))</f>
        <v>#VALUE!</v>
      </c>
      <c r="G354" s="8" t="e">
        <f>(C353*(VLOOKUP('Compra cartera'!$C$23,Seguros_Oblig!$A$3:$E$55,5,FALSE)))</f>
        <v>#VALUE!</v>
      </c>
      <c r="H354" s="8" t="e">
        <f>(C353*(VLOOKUP('Compra cartera'!$C$24,Seguros_Oblig!$A$3:$E$55,5,FALSE)))</f>
        <v>#VALUE!</v>
      </c>
      <c r="I354" s="8" t="e">
        <f>(C353*(VLOOKUP('Compra cartera'!$C$25,Seguros_Oblig!$A$3:$E$55,5,FALSE)))</f>
        <v>#VALUE!</v>
      </c>
      <c r="J354" s="10">
        <f t="shared" si="32"/>
        <v>0</v>
      </c>
      <c r="K354" s="7" t="e">
        <f>IF(C353&lt;1,"0",Seguros_Oblig!$K$2*('Compra cartera'!$C$11*90%))</f>
        <v>#VALUE!</v>
      </c>
      <c r="L354" s="7" t="e">
        <f>IF(B354=" ","0",PMT('Compra cartera'!$E$17,'Compra cartera'!$C$31,-'Compra cartera'!$C$14,,))</f>
        <v>#VALUE!</v>
      </c>
      <c r="M354" s="9" t="e">
        <f t="shared" si="33"/>
        <v>#VALUE!</v>
      </c>
      <c r="N354" s="7" t="e">
        <f>IF(C353&lt;1,"0",'Compra cartera'!$C$44)</f>
        <v>#VALUE!</v>
      </c>
      <c r="O354" s="9" t="e">
        <f t="shared" si="34"/>
        <v>#VALUE!</v>
      </c>
    </row>
    <row r="355" spans="2:15" ht="15.5" x14ac:dyDescent="0.35">
      <c r="B355" s="6" t="e">
        <f t="shared" si="35"/>
        <v>#VALUE!</v>
      </c>
      <c r="C355" s="7" t="e">
        <f t="shared" si="31"/>
        <v>#VALUE!</v>
      </c>
      <c r="D355" s="7" t="e">
        <f t="shared" si="36"/>
        <v>#VALUE!</v>
      </c>
      <c r="E355" s="7" t="e">
        <f>C354*'Compra cartera'!$E$17</f>
        <v>#VALUE!</v>
      </c>
      <c r="F355" s="8" t="e">
        <f>IF(C354&lt;1,"0",IF('Compra cartera'!$D$26="Si",($C$17*(VLOOKUP('Compra cartera'!$C$22,Seguros_Oblig!$A$3:$F$55,6,FALSE))),(C354*(VLOOKUP('Compra cartera'!$C$22,Seguros_Oblig!$A$3:$E$55,5,FALSE)))))</f>
        <v>#VALUE!</v>
      </c>
      <c r="G355" s="8" t="e">
        <f>(C354*(VLOOKUP('Compra cartera'!$C$23,Seguros_Oblig!$A$3:$E$55,5,FALSE)))</f>
        <v>#VALUE!</v>
      </c>
      <c r="H355" s="8" t="e">
        <f>(C354*(VLOOKUP('Compra cartera'!$C$24,Seguros_Oblig!$A$3:$E$55,5,FALSE)))</f>
        <v>#VALUE!</v>
      </c>
      <c r="I355" s="8" t="e">
        <f>(C354*(VLOOKUP('Compra cartera'!$C$25,Seguros_Oblig!$A$3:$E$55,5,FALSE)))</f>
        <v>#VALUE!</v>
      </c>
      <c r="J355" s="10">
        <f t="shared" si="32"/>
        <v>0</v>
      </c>
      <c r="K355" s="7" t="e">
        <f>IF(C354&lt;1,"0",Seguros_Oblig!$K$2*('Compra cartera'!$C$11*90%))</f>
        <v>#VALUE!</v>
      </c>
      <c r="L355" s="7" t="e">
        <f>IF(B355=" ","0",PMT('Compra cartera'!$E$17,'Compra cartera'!$C$31,-'Compra cartera'!$C$14,,))</f>
        <v>#VALUE!</v>
      </c>
      <c r="M355" s="9" t="e">
        <f t="shared" si="33"/>
        <v>#VALUE!</v>
      </c>
      <c r="N355" s="7" t="e">
        <f>IF(C354&lt;1,"0",'Compra cartera'!$C$44)</f>
        <v>#VALUE!</v>
      </c>
      <c r="O355" s="9" t="e">
        <f t="shared" si="34"/>
        <v>#VALUE!</v>
      </c>
    </row>
    <row r="356" spans="2:15" ht="15.5" x14ac:dyDescent="0.35">
      <c r="B356" s="6" t="e">
        <f t="shared" si="35"/>
        <v>#VALUE!</v>
      </c>
      <c r="C356" s="7" t="e">
        <f t="shared" si="31"/>
        <v>#VALUE!</v>
      </c>
      <c r="D356" s="7" t="e">
        <f t="shared" si="36"/>
        <v>#VALUE!</v>
      </c>
      <c r="E356" s="7" t="e">
        <f>C355*'Compra cartera'!$E$17</f>
        <v>#VALUE!</v>
      </c>
      <c r="F356" s="8" t="e">
        <f>IF(C355&lt;1,"0",IF('Compra cartera'!$D$26="Si",($C$17*(VLOOKUP('Compra cartera'!$C$22,Seguros_Oblig!$A$3:$F$55,6,FALSE))),(C355*(VLOOKUP('Compra cartera'!$C$22,Seguros_Oblig!$A$3:$E$55,5,FALSE)))))</f>
        <v>#VALUE!</v>
      </c>
      <c r="G356" s="8" t="e">
        <f>(C355*(VLOOKUP('Compra cartera'!$C$23,Seguros_Oblig!$A$3:$E$55,5,FALSE)))</f>
        <v>#VALUE!</v>
      </c>
      <c r="H356" s="8" t="e">
        <f>(C355*(VLOOKUP('Compra cartera'!$C$24,Seguros_Oblig!$A$3:$E$55,5,FALSE)))</f>
        <v>#VALUE!</v>
      </c>
      <c r="I356" s="8" t="e">
        <f>(C355*(VLOOKUP('Compra cartera'!$C$25,Seguros_Oblig!$A$3:$E$55,5,FALSE)))</f>
        <v>#VALUE!</v>
      </c>
      <c r="J356" s="10">
        <f t="shared" si="32"/>
        <v>0</v>
      </c>
      <c r="K356" s="7" t="e">
        <f>IF(C355&lt;1,"0",Seguros_Oblig!$K$2*('Compra cartera'!$C$11*90%))</f>
        <v>#VALUE!</v>
      </c>
      <c r="L356" s="7" t="e">
        <f>IF(B356=" ","0",PMT('Compra cartera'!$E$17,'Compra cartera'!$C$31,-'Compra cartera'!$C$14,,))</f>
        <v>#VALUE!</v>
      </c>
      <c r="M356" s="9" t="e">
        <f t="shared" si="33"/>
        <v>#VALUE!</v>
      </c>
      <c r="N356" s="7" t="e">
        <f>IF(C355&lt;1,"0",'Compra cartera'!$C$44)</f>
        <v>#VALUE!</v>
      </c>
      <c r="O356" s="9" t="e">
        <f t="shared" si="34"/>
        <v>#VALUE!</v>
      </c>
    </row>
    <row r="357" spans="2:15" ht="15.5" x14ac:dyDescent="0.35">
      <c r="B357" s="6" t="e">
        <f t="shared" si="35"/>
        <v>#VALUE!</v>
      </c>
      <c r="C357" s="7" t="e">
        <f t="shared" si="31"/>
        <v>#VALUE!</v>
      </c>
      <c r="D357" s="7" t="e">
        <f t="shared" si="36"/>
        <v>#VALUE!</v>
      </c>
      <c r="E357" s="7" t="e">
        <f>C356*'Compra cartera'!$E$17</f>
        <v>#VALUE!</v>
      </c>
      <c r="F357" s="8" t="e">
        <f>IF(C356&lt;1,"0",IF('Compra cartera'!$D$26="Si",($C$17*(VLOOKUP('Compra cartera'!$C$22,Seguros_Oblig!$A$3:$F$55,6,FALSE))),(C356*(VLOOKUP('Compra cartera'!$C$22,Seguros_Oblig!$A$3:$E$55,5,FALSE)))))</f>
        <v>#VALUE!</v>
      </c>
      <c r="G357" s="8" t="e">
        <f>(C356*(VLOOKUP('Compra cartera'!$C$23,Seguros_Oblig!$A$3:$E$55,5,FALSE)))</f>
        <v>#VALUE!</v>
      </c>
      <c r="H357" s="8" t="e">
        <f>(C356*(VLOOKUP('Compra cartera'!$C$24,Seguros_Oblig!$A$3:$E$55,5,FALSE)))</f>
        <v>#VALUE!</v>
      </c>
      <c r="I357" s="8" t="e">
        <f>(C356*(VLOOKUP('Compra cartera'!$C$25,Seguros_Oblig!$A$3:$E$55,5,FALSE)))</f>
        <v>#VALUE!</v>
      </c>
      <c r="J357" s="10">
        <f t="shared" si="32"/>
        <v>0</v>
      </c>
      <c r="K357" s="7" t="e">
        <f>IF(C356&lt;1,"0",Seguros_Oblig!$K$2*('Compra cartera'!$C$11*90%))</f>
        <v>#VALUE!</v>
      </c>
      <c r="L357" s="7" t="e">
        <f>IF(B357=" ","0",PMT('Compra cartera'!$E$17,'Compra cartera'!$C$31,-'Compra cartera'!$C$14,,))</f>
        <v>#VALUE!</v>
      </c>
      <c r="M357" s="9" t="e">
        <f t="shared" si="33"/>
        <v>#VALUE!</v>
      </c>
      <c r="N357" s="7" t="e">
        <f>IF(C356&lt;1,"0",'Compra cartera'!$C$44)</f>
        <v>#VALUE!</v>
      </c>
      <c r="O357" s="9" t="e">
        <f t="shared" si="34"/>
        <v>#VALUE!</v>
      </c>
    </row>
    <row r="358" spans="2:15" ht="15.5" x14ac:dyDescent="0.35">
      <c r="B358" s="6" t="e">
        <f t="shared" si="35"/>
        <v>#VALUE!</v>
      </c>
      <c r="C358" s="7" t="e">
        <f t="shared" si="31"/>
        <v>#VALUE!</v>
      </c>
      <c r="D358" s="7" t="e">
        <f t="shared" si="36"/>
        <v>#VALUE!</v>
      </c>
      <c r="E358" s="7" t="e">
        <f>C357*'Compra cartera'!$E$17</f>
        <v>#VALUE!</v>
      </c>
      <c r="F358" s="8" t="e">
        <f>IF(C357&lt;1,"0",IF('Compra cartera'!$D$26="Si",($C$17*(VLOOKUP('Compra cartera'!$C$22,Seguros_Oblig!$A$3:$F$55,6,FALSE))),(C357*(VLOOKUP('Compra cartera'!$C$22,Seguros_Oblig!$A$3:$E$55,5,FALSE)))))</f>
        <v>#VALUE!</v>
      </c>
      <c r="G358" s="8" t="e">
        <f>(C357*(VLOOKUP('Compra cartera'!$C$23,Seguros_Oblig!$A$3:$E$55,5,FALSE)))</f>
        <v>#VALUE!</v>
      </c>
      <c r="H358" s="8" t="e">
        <f>(C357*(VLOOKUP('Compra cartera'!$C$24,Seguros_Oblig!$A$3:$E$55,5,FALSE)))</f>
        <v>#VALUE!</v>
      </c>
      <c r="I358" s="8" t="e">
        <f>(C357*(VLOOKUP('Compra cartera'!$C$25,Seguros_Oblig!$A$3:$E$55,5,FALSE)))</f>
        <v>#VALUE!</v>
      </c>
      <c r="J358" s="10">
        <f t="shared" si="32"/>
        <v>0</v>
      </c>
      <c r="K358" s="7" t="e">
        <f>IF(C357&lt;1,"0",Seguros_Oblig!$K$2*('Compra cartera'!$C$11*90%))</f>
        <v>#VALUE!</v>
      </c>
      <c r="L358" s="7" t="e">
        <f>IF(B358=" ","0",PMT('Compra cartera'!$E$17,'Compra cartera'!$C$31,-'Compra cartera'!$C$14,,))</f>
        <v>#VALUE!</v>
      </c>
      <c r="M358" s="9" t="e">
        <f t="shared" si="33"/>
        <v>#VALUE!</v>
      </c>
      <c r="N358" s="7" t="e">
        <f>IF(C357&lt;1,"0",'Compra cartera'!$C$44)</f>
        <v>#VALUE!</v>
      </c>
      <c r="O358" s="9" t="e">
        <f t="shared" si="34"/>
        <v>#VALUE!</v>
      </c>
    </row>
    <row r="359" spans="2:15" ht="15.5" x14ac:dyDescent="0.35">
      <c r="B359" s="6" t="e">
        <f t="shared" si="35"/>
        <v>#VALUE!</v>
      </c>
      <c r="C359" s="7" t="e">
        <f t="shared" si="31"/>
        <v>#VALUE!</v>
      </c>
      <c r="D359" s="7" t="e">
        <f t="shared" si="36"/>
        <v>#VALUE!</v>
      </c>
      <c r="E359" s="7" t="e">
        <f>C358*'Compra cartera'!$E$17</f>
        <v>#VALUE!</v>
      </c>
      <c r="F359" s="8" t="e">
        <f>IF(C358&lt;1,"0",IF('Compra cartera'!$D$26="Si",($C$17*(VLOOKUP('Compra cartera'!$C$22,Seguros_Oblig!$A$3:$F$55,6,FALSE))),(C358*(VLOOKUP('Compra cartera'!$C$22,Seguros_Oblig!$A$3:$E$55,5,FALSE)))))</f>
        <v>#VALUE!</v>
      </c>
      <c r="G359" s="8" t="e">
        <f>(C358*(VLOOKUP('Compra cartera'!$C$23,Seguros_Oblig!$A$3:$E$55,5,FALSE)))</f>
        <v>#VALUE!</v>
      </c>
      <c r="H359" s="8" t="e">
        <f>(C358*(VLOOKUP('Compra cartera'!$C$24,Seguros_Oblig!$A$3:$E$55,5,FALSE)))</f>
        <v>#VALUE!</v>
      </c>
      <c r="I359" s="8" t="e">
        <f>(C358*(VLOOKUP('Compra cartera'!$C$25,Seguros_Oblig!$A$3:$E$55,5,FALSE)))</f>
        <v>#VALUE!</v>
      </c>
      <c r="J359" s="10">
        <f t="shared" si="32"/>
        <v>0</v>
      </c>
      <c r="K359" s="7" t="e">
        <f>IF(C358&lt;1,"0",Seguros_Oblig!$K$2*('Compra cartera'!$C$11*90%))</f>
        <v>#VALUE!</v>
      </c>
      <c r="L359" s="7" t="e">
        <f>IF(B359=" ","0",PMT('Compra cartera'!$E$17,'Compra cartera'!$C$31,-'Compra cartera'!$C$14,,))</f>
        <v>#VALUE!</v>
      </c>
      <c r="M359" s="9" t="e">
        <f t="shared" si="33"/>
        <v>#VALUE!</v>
      </c>
      <c r="N359" s="7" t="e">
        <f>IF(C358&lt;1,"0",'Compra cartera'!$C$44)</f>
        <v>#VALUE!</v>
      </c>
      <c r="O359" s="9" t="e">
        <f t="shared" si="34"/>
        <v>#VALUE!</v>
      </c>
    </row>
    <row r="360" spans="2:15" ht="15.5" x14ac:dyDescent="0.35">
      <c r="B360" s="6" t="e">
        <f t="shared" si="35"/>
        <v>#VALUE!</v>
      </c>
      <c r="C360" s="7" t="e">
        <f t="shared" si="31"/>
        <v>#VALUE!</v>
      </c>
      <c r="D360" s="7" t="e">
        <f t="shared" si="36"/>
        <v>#VALUE!</v>
      </c>
      <c r="E360" s="7" t="e">
        <f>C359*'Compra cartera'!$E$17</f>
        <v>#VALUE!</v>
      </c>
      <c r="F360" s="8" t="e">
        <f>IF(C359&lt;1,"0",IF('Compra cartera'!$D$26="Si",($C$17*(VLOOKUP('Compra cartera'!$C$22,Seguros_Oblig!$A$3:$F$55,6,FALSE))),(C359*(VLOOKUP('Compra cartera'!$C$22,Seguros_Oblig!$A$3:$E$55,5,FALSE)))))</f>
        <v>#VALUE!</v>
      </c>
      <c r="G360" s="8" t="e">
        <f>(C359*(VLOOKUP('Compra cartera'!$C$23,Seguros_Oblig!$A$3:$E$55,5,FALSE)))</f>
        <v>#VALUE!</v>
      </c>
      <c r="H360" s="8" t="e">
        <f>(C359*(VLOOKUP('Compra cartera'!$C$24,Seguros_Oblig!$A$3:$E$55,5,FALSE)))</f>
        <v>#VALUE!</v>
      </c>
      <c r="I360" s="8" t="e">
        <f>(C359*(VLOOKUP('Compra cartera'!$C$25,Seguros_Oblig!$A$3:$E$55,5,FALSE)))</f>
        <v>#VALUE!</v>
      </c>
      <c r="J360" s="10">
        <f t="shared" si="32"/>
        <v>0</v>
      </c>
      <c r="K360" s="7" t="e">
        <f>IF(C359&lt;1,"0",Seguros_Oblig!$K$2*('Compra cartera'!$C$11*90%))</f>
        <v>#VALUE!</v>
      </c>
      <c r="L360" s="7" t="e">
        <f>IF(B360=" ","0",PMT('Compra cartera'!$E$17,'Compra cartera'!$C$31,-'Compra cartera'!$C$14,,))</f>
        <v>#VALUE!</v>
      </c>
      <c r="M360" s="9" t="e">
        <f t="shared" si="33"/>
        <v>#VALUE!</v>
      </c>
      <c r="N360" s="7" t="e">
        <f>IF(C359&lt;1,"0",'Compra cartera'!$C$44)</f>
        <v>#VALUE!</v>
      </c>
      <c r="O360" s="9" t="e">
        <f t="shared" si="34"/>
        <v>#VALUE!</v>
      </c>
    </row>
    <row r="361" spans="2:15" ht="15.5" x14ac:dyDescent="0.35">
      <c r="B361" s="6" t="e">
        <f t="shared" si="35"/>
        <v>#VALUE!</v>
      </c>
      <c r="C361" s="7" t="e">
        <f t="shared" si="31"/>
        <v>#VALUE!</v>
      </c>
      <c r="D361" s="7" t="e">
        <f t="shared" si="36"/>
        <v>#VALUE!</v>
      </c>
      <c r="E361" s="7" t="e">
        <f>C360*'Compra cartera'!$E$17</f>
        <v>#VALUE!</v>
      </c>
      <c r="F361" s="8" t="e">
        <f>IF(C360&lt;1,"0",IF('Compra cartera'!$D$26="Si",($C$17*(VLOOKUP('Compra cartera'!$C$22,Seguros_Oblig!$A$3:$F$55,6,FALSE))),(C360*(VLOOKUP('Compra cartera'!$C$22,Seguros_Oblig!$A$3:$E$55,5,FALSE)))))</f>
        <v>#VALUE!</v>
      </c>
      <c r="G361" s="8" t="e">
        <f>(C360*(VLOOKUP('Compra cartera'!$C$23,Seguros_Oblig!$A$3:$E$55,5,FALSE)))</f>
        <v>#VALUE!</v>
      </c>
      <c r="H361" s="8" t="e">
        <f>(C360*(VLOOKUP('Compra cartera'!$C$24,Seguros_Oblig!$A$3:$E$55,5,FALSE)))</f>
        <v>#VALUE!</v>
      </c>
      <c r="I361" s="8" t="e">
        <f>(C360*(VLOOKUP('Compra cartera'!$C$25,Seguros_Oblig!$A$3:$E$55,5,FALSE)))</f>
        <v>#VALUE!</v>
      </c>
      <c r="J361" s="10">
        <f t="shared" si="32"/>
        <v>0</v>
      </c>
      <c r="K361" s="7" t="e">
        <f>IF(C360&lt;1,"0",Seguros_Oblig!$K$2*('Compra cartera'!$C$11*90%))</f>
        <v>#VALUE!</v>
      </c>
      <c r="L361" s="7" t="e">
        <f>IF(B361=" ","0",PMT('Compra cartera'!$E$17,'Compra cartera'!$C$31,-'Compra cartera'!$C$14,,))</f>
        <v>#VALUE!</v>
      </c>
      <c r="M361" s="9" t="e">
        <f t="shared" si="33"/>
        <v>#VALUE!</v>
      </c>
      <c r="N361" s="7" t="e">
        <f>IF(C360&lt;1,"0",'Compra cartera'!$C$44)</f>
        <v>#VALUE!</v>
      </c>
      <c r="O361" s="9" t="e">
        <f t="shared" si="34"/>
        <v>#VALUE!</v>
      </c>
    </row>
    <row r="362" spans="2:15" ht="15.5" x14ac:dyDescent="0.35">
      <c r="B362" s="6" t="e">
        <f t="shared" si="35"/>
        <v>#VALUE!</v>
      </c>
      <c r="C362" s="7" t="e">
        <f t="shared" si="31"/>
        <v>#VALUE!</v>
      </c>
      <c r="D362" s="7" t="e">
        <f t="shared" si="36"/>
        <v>#VALUE!</v>
      </c>
      <c r="E362" s="7" t="e">
        <f>C361*'Compra cartera'!$E$17</f>
        <v>#VALUE!</v>
      </c>
      <c r="F362" s="8" t="e">
        <f>IF(C361&lt;1,"0",IF('Compra cartera'!$D$26="Si",($C$17*(VLOOKUP('Compra cartera'!$C$22,Seguros_Oblig!$A$3:$F$55,6,FALSE))),(C361*(VLOOKUP('Compra cartera'!$C$22,Seguros_Oblig!$A$3:$E$55,5,FALSE)))))</f>
        <v>#VALUE!</v>
      </c>
      <c r="G362" s="8" t="e">
        <f>(C361*(VLOOKUP('Compra cartera'!$C$23,Seguros_Oblig!$A$3:$E$55,5,FALSE)))</f>
        <v>#VALUE!</v>
      </c>
      <c r="H362" s="8" t="e">
        <f>(C361*(VLOOKUP('Compra cartera'!$C$24,Seguros_Oblig!$A$3:$E$55,5,FALSE)))</f>
        <v>#VALUE!</v>
      </c>
      <c r="I362" s="8" t="e">
        <f>(C361*(VLOOKUP('Compra cartera'!$C$25,Seguros_Oblig!$A$3:$E$55,5,FALSE)))</f>
        <v>#VALUE!</v>
      </c>
      <c r="J362" s="10">
        <f t="shared" si="32"/>
        <v>0</v>
      </c>
      <c r="K362" s="7" t="e">
        <f>IF(C361&lt;1,"0",Seguros_Oblig!$K$2*('Compra cartera'!$C$11*90%))</f>
        <v>#VALUE!</v>
      </c>
      <c r="L362" s="7" t="e">
        <f>IF(B362=" ","0",PMT('Compra cartera'!$E$17,'Compra cartera'!$C$31,-'Compra cartera'!$C$14,,))</f>
        <v>#VALUE!</v>
      </c>
      <c r="M362" s="9" t="e">
        <f t="shared" si="33"/>
        <v>#VALUE!</v>
      </c>
      <c r="N362" s="7" t="e">
        <f>IF(C361&lt;1,"0",'Compra cartera'!$C$44)</f>
        <v>#VALUE!</v>
      </c>
      <c r="O362" s="9" t="e">
        <f t="shared" si="34"/>
        <v>#VALUE!</v>
      </c>
    </row>
    <row r="363" spans="2:15" ht="15.5" x14ac:dyDescent="0.35">
      <c r="B363" s="6" t="e">
        <f t="shared" si="35"/>
        <v>#VALUE!</v>
      </c>
      <c r="C363" s="7" t="e">
        <f t="shared" si="31"/>
        <v>#VALUE!</v>
      </c>
      <c r="D363" s="7" t="e">
        <f t="shared" si="36"/>
        <v>#VALUE!</v>
      </c>
      <c r="E363" s="7" t="e">
        <f>C362*'Compra cartera'!$E$17</f>
        <v>#VALUE!</v>
      </c>
      <c r="F363" s="8" t="e">
        <f>IF(C362&lt;1,"0",IF('Compra cartera'!$D$26="Si",($C$17*(VLOOKUP('Compra cartera'!$C$22,Seguros_Oblig!$A$3:$F$55,6,FALSE))),(C362*(VLOOKUP('Compra cartera'!$C$22,Seguros_Oblig!$A$3:$E$55,5,FALSE)))))</f>
        <v>#VALUE!</v>
      </c>
      <c r="G363" s="8" t="e">
        <f>(C362*(VLOOKUP('Compra cartera'!$C$23,Seguros_Oblig!$A$3:$E$55,5,FALSE)))</f>
        <v>#VALUE!</v>
      </c>
      <c r="H363" s="8" t="e">
        <f>(C362*(VLOOKUP('Compra cartera'!$C$24,Seguros_Oblig!$A$3:$E$55,5,FALSE)))</f>
        <v>#VALUE!</v>
      </c>
      <c r="I363" s="8" t="e">
        <f>(C362*(VLOOKUP('Compra cartera'!$C$25,Seguros_Oblig!$A$3:$E$55,5,FALSE)))</f>
        <v>#VALUE!</v>
      </c>
      <c r="J363" s="10">
        <f t="shared" si="32"/>
        <v>0</v>
      </c>
      <c r="K363" s="7" t="e">
        <f>IF(C362&lt;1,"0",Seguros_Oblig!$K$2*('Compra cartera'!$C$11*90%))</f>
        <v>#VALUE!</v>
      </c>
      <c r="L363" s="7" t="e">
        <f>IF(B363=" ","0",PMT('Compra cartera'!$E$17,'Compra cartera'!$C$31,-'Compra cartera'!$C$14,,))</f>
        <v>#VALUE!</v>
      </c>
      <c r="M363" s="9" t="e">
        <f t="shared" si="33"/>
        <v>#VALUE!</v>
      </c>
      <c r="N363" s="7" t="e">
        <f>IF(C362&lt;1,"0",'Compra cartera'!$C$44)</f>
        <v>#VALUE!</v>
      </c>
      <c r="O363" s="9" t="e">
        <f t="shared" si="34"/>
        <v>#VALUE!</v>
      </c>
    </row>
    <row r="364" spans="2:15" ht="15.5" x14ac:dyDescent="0.35">
      <c r="B364" s="6" t="e">
        <f t="shared" si="35"/>
        <v>#VALUE!</v>
      </c>
      <c r="C364" s="7" t="e">
        <f t="shared" si="31"/>
        <v>#VALUE!</v>
      </c>
      <c r="D364" s="7" t="e">
        <f t="shared" si="36"/>
        <v>#VALUE!</v>
      </c>
      <c r="E364" s="7" t="e">
        <f>C363*'Compra cartera'!$E$17</f>
        <v>#VALUE!</v>
      </c>
      <c r="F364" s="8" t="e">
        <f>IF(C363&lt;1,"0",IF('Compra cartera'!$D$26="Si",($C$17*(VLOOKUP('Compra cartera'!$C$22,Seguros_Oblig!$A$3:$F$55,6,FALSE))),(C363*(VLOOKUP('Compra cartera'!$C$22,Seguros_Oblig!$A$3:$E$55,5,FALSE)))))</f>
        <v>#VALUE!</v>
      </c>
      <c r="G364" s="8" t="e">
        <f>(C363*(VLOOKUP('Compra cartera'!$C$23,Seguros_Oblig!$A$3:$E$55,5,FALSE)))</f>
        <v>#VALUE!</v>
      </c>
      <c r="H364" s="8" t="e">
        <f>(C363*(VLOOKUP('Compra cartera'!$C$24,Seguros_Oblig!$A$3:$E$55,5,FALSE)))</f>
        <v>#VALUE!</v>
      </c>
      <c r="I364" s="8" t="e">
        <f>(C363*(VLOOKUP('Compra cartera'!$C$25,Seguros_Oblig!$A$3:$E$55,5,FALSE)))</f>
        <v>#VALUE!</v>
      </c>
      <c r="J364" s="10">
        <f t="shared" si="32"/>
        <v>0</v>
      </c>
      <c r="K364" s="7" t="e">
        <f>IF(C363&lt;1,"0",Seguros_Oblig!$K$2*('Compra cartera'!$C$11*90%))</f>
        <v>#VALUE!</v>
      </c>
      <c r="L364" s="7" t="e">
        <f>IF(B364=" ","0",PMT('Compra cartera'!$E$17,'Compra cartera'!$C$31,-'Compra cartera'!$C$14,,))</f>
        <v>#VALUE!</v>
      </c>
      <c r="M364" s="9" t="e">
        <f t="shared" si="33"/>
        <v>#VALUE!</v>
      </c>
      <c r="N364" s="7" t="e">
        <f>IF(C363&lt;1,"0",'Compra cartera'!$C$44)</f>
        <v>#VALUE!</v>
      </c>
      <c r="O364" s="9" t="e">
        <f t="shared" si="34"/>
        <v>#VALUE!</v>
      </c>
    </row>
    <row r="365" spans="2:15" ht="15.5" x14ac:dyDescent="0.35">
      <c r="B365" s="6" t="e">
        <f t="shared" si="35"/>
        <v>#VALUE!</v>
      </c>
      <c r="C365" s="7" t="e">
        <f t="shared" si="31"/>
        <v>#VALUE!</v>
      </c>
      <c r="D365" s="7" t="e">
        <f t="shared" si="36"/>
        <v>#VALUE!</v>
      </c>
      <c r="E365" s="7" t="e">
        <f>C364*'Compra cartera'!$E$17</f>
        <v>#VALUE!</v>
      </c>
      <c r="F365" s="8" t="e">
        <f>IF(C364&lt;1,"0",IF('Compra cartera'!$D$26="Si",($C$17*(VLOOKUP('Compra cartera'!$C$22,Seguros_Oblig!$A$3:$F$55,6,FALSE))),(C364*(VLOOKUP('Compra cartera'!$C$22,Seguros_Oblig!$A$3:$E$55,5,FALSE)))))</f>
        <v>#VALUE!</v>
      </c>
      <c r="G365" s="8" t="e">
        <f>(C364*(VLOOKUP('Compra cartera'!$C$23,Seguros_Oblig!$A$3:$E$55,5,FALSE)))</f>
        <v>#VALUE!</v>
      </c>
      <c r="H365" s="8" t="e">
        <f>(C364*(VLOOKUP('Compra cartera'!$C$24,Seguros_Oblig!$A$3:$E$55,5,FALSE)))</f>
        <v>#VALUE!</v>
      </c>
      <c r="I365" s="8" t="e">
        <f>(C364*(VLOOKUP('Compra cartera'!$C$25,Seguros_Oblig!$A$3:$E$55,5,FALSE)))</f>
        <v>#VALUE!</v>
      </c>
      <c r="J365" s="10">
        <f t="shared" si="32"/>
        <v>0</v>
      </c>
      <c r="K365" s="7" t="e">
        <f>IF(C364&lt;1,"0",Seguros_Oblig!$K$2*('Compra cartera'!$C$11*90%))</f>
        <v>#VALUE!</v>
      </c>
      <c r="L365" s="7" t="e">
        <f>IF(B365=" ","0",PMT('Compra cartera'!$E$17,'Compra cartera'!$C$31,-'Compra cartera'!$C$14,,))</f>
        <v>#VALUE!</v>
      </c>
      <c r="M365" s="9" t="e">
        <f t="shared" si="33"/>
        <v>#VALUE!</v>
      </c>
      <c r="N365" s="7" t="e">
        <f>IF(C364&lt;1,"0",'Compra cartera'!$C$44)</f>
        <v>#VALUE!</v>
      </c>
      <c r="O365" s="9" t="e">
        <f t="shared" si="34"/>
        <v>#VALUE!</v>
      </c>
    </row>
    <row r="366" spans="2:15" ht="15.5" x14ac:dyDescent="0.35">
      <c r="B366" s="6" t="e">
        <f t="shared" si="35"/>
        <v>#VALUE!</v>
      </c>
      <c r="C366" s="7" t="e">
        <f t="shared" si="31"/>
        <v>#VALUE!</v>
      </c>
      <c r="D366" s="7" t="e">
        <f t="shared" si="36"/>
        <v>#VALUE!</v>
      </c>
      <c r="E366" s="7" t="e">
        <f>C365*'Compra cartera'!$E$17</f>
        <v>#VALUE!</v>
      </c>
      <c r="F366" s="8" t="e">
        <f>IF(C365&lt;1,"0",IF('Compra cartera'!$D$26="Si",($C$17*(VLOOKUP('Compra cartera'!$C$22,Seguros_Oblig!$A$3:$F$55,6,FALSE))),(C365*(VLOOKUP('Compra cartera'!$C$22,Seguros_Oblig!$A$3:$E$55,5,FALSE)))))</f>
        <v>#VALUE!</v>
      </c>
      <c r="G366" s="8" t="e">
        <f>(C365*(VLOOKUP('Compra cartera'!$C$23,Seguros_Oblig!$A$3:$E$55,5,FALSE)))</f>
        <v>#VALUE!</v>
      </c>
      <c r="H366" s="8" t="e">
        <f>(C365*(VLOOKUP('Compra cartera'!$C$24,Seguros_Oblig!$A$3:$E$55,5,FALSE)))</f>
        <v>#VALUE!</v>
      </c>
      <c r="I366" s="8" t="e">
        <f>(C365*(VLOOKUP('Compra cartera'!$C$25,Seguros_Oblig!$A$3:$E$55,5,FALSE)))</f>
        <v>#VALUE!</v>
      </c>
      <c r="J366" s="10">
        <f t="shared" si="32"/>
        <v>0</v>
      </c>
      <c r="K366" s="7" t="e">
        <f>IF(C365&lt;1,"0",Seguros_Oblig!$K$2*('Compra cartera'!$C$11*90%))</f>
        <v>#VALUE!</v>
      </c>
      <c r="L366" s="7" t="e">
        <f>IF(B366=" ","0",PMT('Compra cartera'!$E$17,'Compra cartera'!$C$31,-'Compra cartera'!$C$14,,))</f>
        <v>#VALUE!</v>
      </c>
      <c r="M366" s="9" t="e">
        <f t="shared" si="33"/>
        <v>#VALUE!</v>
      </c>
      <c r="N366" s="7" t="e">
        <f>IF(C365&lt;1,"0",'Compra cartera'!$C$44)</f>
        <v>#VALUE!</v>
      </c>
      <c r="O366" s="9" t="e">
        <f t="shared" si="34"/>
        <v>#VALUE!</v>
      </c>
    </row>
    <row r="367" spans="2:15" ht="15.5" x14ac:dyDescent="0.35">
      <c r="B367" s="6" t="e">
        <f t="shared" si="35"/>
        <v>#VALUE!</v>
      </c>
      <c r="C367" s="7" t="e">
        <f t="shared" si="31"/>
        <v>#VALUE!</v>
      </c>
      <c r="D367" s="7" t="e">
        <f t="shared" si="36"/>
        <v>#VALUE!</v>
      </c>
      <c r="E367" s="7" t="e">
        <f>C366*'Compra cartera'!$E$17</f>
        <v>#VALUE!</v>
      </c>
      <c r="F367" s="8" t="e">
        <f>IF(C366&lt;1,"0",IF('Compra cartera'!$D$26="Si",($C$17*(VLOOKUP('Compra cartera'!$C$22,Seguros_Oblig!$A$3:$F$55,6,FALSE))),(C366*(VLOOKUP('Compra cartera'!$C$22,Seguros_Oblig!$A$3:$E$55,5,FALSE)))))</f>
        <v>#VALUE!</v>
      </c>
      <c r="G367" s="8" t="e">
        <f>(C366*(VLOOKUP('Compra cartera'!$C$23,Seguros_Oblig!$A$3:$E$55,5,FALSE)))</f>
        <v>#VALUE!</v>
      </c>
      <c r="H367" s="8" t="e">
        <f>(C366*(VLOOKUP('Compra cartera'!$C$24,Seguros_Oblig!$A$3:$E$55,5,FALSE)))</f>
        <v>#VALUE!</v>
      </c>
      <c r="I367" s="8" t="e">
        <f>(C366*(VLOOKUP('Compra cartera'!$C$25,Seguros_Oblig!$A$3:$E$55,5,FALSE)))</f>
        <v>#VALUE!</v>
      </c>
      <c r="J367" s="10">
        <f t="shared" si="32"/>
        <v>0</v>
      </c>
      <c r="K367" s="7" t="e">
        <f>IF(C366&lt;1,"0",Seguros_Oblig!$K$2*('Compra cartera'!$C$11*90%))</f>
        <v>#VALUE!</v>
      </c>
      <c r="L367" s="7" t="e">
        <f>IF(B367=" ","0",PMT('Compra cartera'!$E$17,'Compra cartera'!$C$31,-'Compra cartera'!$C$14,,))</f>
        <v>#VALUE!</v>
      </c>
      <c r="M367" s="9" t="e">
        <f t="shared" si="33"/>
        <v>#VALUE!</v>
      </c>
      <c r="N367" s="7" t="e">
        <f>IF(C366&lt;1,"0",'Compra cartera'!$C$44)</f>
        <v>#VALUE!</v>
      </c>
      <c r="O367" s="9" t="e">
        <f t="shared" si="34"/>
        <v>#VALUE!</v>
      </c>
    </row>
    <row r="368" spans="2:15" ht="15.5" x14ac:dyDescent="0.35">
      <c r="B368" s="6" t="e">
        <f t="shared" si="35"/>
        <v>#VALUE!</v>
      </c>
      <c r="C368" s="7" t="e">
        <f t="shared" si="31"/>
        <v>#VALUE!</v>
      </c>
      <c r="D368" s="7" t="e">
        <f t="shared" si="36"/>
        <v>#VALUE!</v>
      </c>
      <c r="E368" s="7" t="e">
        <f>C367*'Compra cartera'!$E$17</f>
        <v>#VALUE!</v>
      </c>
      <c r="F368" s="8" t="e">
        <f>IF(C367&lt;1,"0",IF('Compra cartera'!$D$26="Si",($C$17*(VLOOKUP('Compra cartera'!$C$22,Seguros_Oblig!$A$3:$F$55,6,FALSE))),(C367*(VLOOKUP('Compra cartera'!$C$22,Seguros_Oblig!$A$3:$E$55,5,FALSE)))))</f>
        <v>#VALUE!</v>
      </c>
      <c r="G368" s="8" t="e">
        <f>(C367*(VLOOKUP('Compra cartera'!$C$23,Seguros_Oblig!$A$3:$E$55,5,FALSE)))</f>
        <v>#VALUE!</v>
      </c>
      <c r="H368" s="8" t="e">
        <f>(C367*(VLOOKUP('Compra cartera'!$C$24,Seguros_Oblig!$A$3:$E$55,5,FALSE)))</f>
        <v>#VALUE!</v>
      </c>
      <c r="I368" s="8" t="e">
        <f>(C367*(VLOOKUP('Compra cartera'!$C$25,Seguros_Oblig!$A$3:$E$55,5,FALSE)))</f>
        <v>#VALUE!</v>
      </c>
      <c r="J368" s="10">
        <f t="shared" si="32"/>
        <v>0</v>
      </c>
      <c r="K368" s="7" t="e">
        <f>IF(C367&lt;1,"0",Seguros_Oblig!$K$2*('Compra cartera'!$C$11*90%))</f>
        <v>#VALUE!</v>
      </c>
      <c r="L368" s="7" t="e">
        <f>IF(B368=" ","0",PMT('Compra cartera'!$E$17,'Compra cartera'!$C$31,-'Compra cartera'!$C$14,,))</f>
        <v>#VALUE!</v>
      </c>
      <c r="M368" s="9" t="e">
        <f t="shared" si="33"/>
        <v>#VALUE!</v>
      </c>
      <c r="N368" s="7" t="e">
        <f>IF(C367&lt;1,"0",'Compra cartera'!$C$44)</f>
        <v>#VALUE!</v>
      </c>
      <c r="O368" s="9" t="e">
        <f t="shared" si="34"/>
        <v>#VALUE!</v>
      </c>
    </row>
    <row r="369" spans="2:15" ht="15.5" x14ac:dyDescent="0.35">
      <c r="B369" s="6" t="e">
        <f t="shared" si="35"/>
        <v>#VALUE!</v>
      </c>
      <c r="C369" s="7" t="e">
        <f t="shared" si="31"/>
        <v>#VALUE!</v>
      </c>
      <c r="D369" s="7" t="e">
        <f t="shared" si="36"/>
        <v>#VALUE!</v>
      </c>
      <c r="E369" s="7" t="e">
        <f>C368*'Compra cartera'!$E$17</f>
        <v>#VALUE!</v>
      </c>
      <c r="F369" s="8" t="e">
        <f>IF(C368&lt;1,"0",IF('Compra cartera'!$D$26="Si",($C$17*(VLOOKUP('Compra cartera'!$C$22,Seguros_Oblig!$A$3:$F$55,6,FALSE))),(C368*(VLOOKUP('Compra cartera'!$C$22,Seguros_Oblig!$A$3:$E$55,5,FALSE)))))</f>
        <v>#VALUE!</v>
      </c>
      <c r="G369" s="8" t="e">
        <f>(C368*(VLOOKUP('Compra cartera'!$C$23,Seguros_Oblig!$A$3:$E$55,5,FALSE)))</f>
        <v>#VALUE!</v>
      </c>
      <c r="H369" s="8" t="e">
        <f>(C368*(VLOOKUP('Compra cartera'!$C$24,Seguros_Oblig!$A$3:$E$55,5,FALSE)))</f>
        <v>#VALUE!</v>
      </c>
      <c r="I369" s="8" t="e">
        <f>(C368*(VLOOKUP('Compra cartera'!$C$25,Seguros_Oblig!$A$3:$E$55,5,FALSE)))</f>
        <v>#VALUE!</v>
      </c>
      <c r="J369" s="10">
        <f t="shared" si="32"/>
        <v>0</v>
      </c>
      <c r="K369" s="7" t="e">
        <f>IF(C368&lt;1,"0",Seguros_Oblig!$K$2*('Compra cartera'!$C$11*90%))</f>
        <v>#VALUE!</v>
      </c>
      <c r="L369" s="7" t="e">
        <f>IF(B369=" ","0",PMT('Compra cartera'!$E$17,'Compra cartera'!$C$31,-'Compra cartera'!$C$14,,))</f>
        <v>#VALUE!</v>
      </c>
      <c r="M369" s="9" t="e">
        <f t="shared" si="33"/>
        <v>#VALUE!</v>
      </c>
      <c r="N369" s="7" t="e">
        <f>IF(C368&lt;1,"0",'Compra cartera'!$C$44)</f>
        <v>#VALUE!</v>
      </c>
      <c r="O369" s="9" t="e">
        <f t="shared" si="34"/>
        <v>#VALUE!</v>
      </c>
    </row>
    <row r="370" spans="2:15" ht="15.5" x14ac:dyDescent="0.35">
      <c r="B370" s="6" t="e">
        <f t="shared" si="35"/>
        <v>#VALUE!</v>
      </c>
      <c r="C370" s="7" t="e">
        <f t="shared" si="31"/>
        <v>#VALUE!</v>
      </c>
      <c r="D370" s="7" t="e">
        <f t="shared" si="36"/>
        <v>#VALUE!</v>
      </c>
      <c r="E370" s="7" t="e">
        <f>C369*'Compra cartera'!$E$17</f>
        <v>#VALUE!</v>
      </c>
      <c r="F370" s="8" t="e">
        <f>IF(C369&lt;1,"0",IF('Compra cartera'!$D$26="Si",($C$17*(VLOOKUP('Compra cartera'!$C$22,Seguros_Oblig!$A$3:$F$55,6,FALSE))),(C369*(VLOOKUP('Compra cartera'!$C$22,Seguros_Oblig!$A$3:$E$55,5,FALSE)))))</f>
        <v>#VALUE!</v>
      </c>
      <c r="G370" s="8" t="e">
        <f>(C369*(VLOOKUP('Compra cartera'!$C$23,Seguros_Oblig!$A$3:$E$55,5,FALSE)))</f>
        <v>#VALUE!</v>
      </c>
      <c r="H370" s="8" t="e">
        <f>(C369*(VLOOKUP('Compra cartera'!$C$24,Seguros_Oblig!$A$3:$E$55,5,FALSE)))</f>
        <v>#VALUE!</v>
      </c>
      <c r="I370" s="8" t="e">
        <f>(C369*(VLOOKUP('Compra cartera'!$C$25,Seguros_Oblig!$A$3:$E$55,5,FALSE)))</f>
        <v>#VALUE!</v>
      </c>
      <c r="J370" s="10">
        <f t="shared" si="32"/>
        <v>0</v>
      </c>
      <c r="K370" s="7" t="e">
        <f>IF(C369&lt;1,"0",Seguros_Oblig!$K$2*('Compra cartera'!$C$11*90%))</f>
        <v>#VALUE!</v>
      </c>
      <c r="L370" s="7" t="e">
        <f>IF(B370=" ","0",PMT('Compra cartera'!$E$17,'Compra cartera'!$C$31,-'Compra cartera'!$C$14,,))</f>
        <v>#VALUE!</v>
      </c>
      <c r="M370" s="9" t="e">
        <f t="shared" si="33"/>
        <v>#VALUE!</v>
      </c>
      <c r="N370" s="7" t="e">
        <f>IF(C369&lt;1,"0",'Compra cartera'!$C$44)</f>
        <v>#VALUE!</v>
      </c>
      <c r="O370" s="9" t="e">
        <f t="shared" si="34"/>
        <v>#VALUE!</v>
      </c>
    </row>
    <row r="371" spans="2:15" ht="15.5" x14ac:dyDescent="0.35">
      <c r="B371" s="6" t="e">
        <f t="shared" si="35"/>
        <v>#VALUE!</v>
      </c>
      <c r="C371" s="7" t="e">
        <f t="shared" si="31"/>
        <v>#VALUE!</v>
      </c>
      <c r="D371" s="7" t="e">
        <f t="shared" si="36"/>
        <v>#VALUE!</v>
      </c>
      <c r="E371" s="7" t="e">
        <f>C370*'Compra cartera'!$E$17</f>
        <v>#VALUE!</v>
      </c>
      <c r="F371" s="8" t="e">
        <f>IF(C370&lt;1,"0",IF('Compra cartera'!$D$26="Si",($C$17*(VLOOKUP('Compra cartera'!$C$22,Seguros_Oblig!$A$3:$F$55,6,FALSE))),(C370*(VLOOKUP('Compra cartera'!$C$22,Seguros_Oblig!$A$3:$E$55,5,FALSE)))))</f>
        <v>#VALUE!</v>
      </c>
      <c r="G371" s="8" t="e">
        <f>(C370*(VLOOKUP('Compra cartera'!$C$23,Seguros_Oblig!$A$3:$E$55,5,FALSE)))</f>
        <v>#VALUE!</v>
      </c>
      <c r="H371" s="8" t="e">
        <f>(C370*(VLOOKUP('Compra cartera'!$C$24,Seguros_Oblig!$A$3:$E$55,5,FALSE)))</f>
        <v>#VALUE!</v>
      </c>
      <c r="I371" s="8" t="e">
        <f>(C370*(VLOOKUP('Compra cartera'!$C$25,Seguros_Oblig!$A$3:$E$55,5,FALSE)))</f>
        <v>#VALUE!</v>
      </c>
      <c r="J371" s="10">
        <f t="shared" si="32"/>
        <v>0</v>
      </c>
      <c r="K371" s="7" t="e">
        <f>IF(C370&lt;1,"0",Seguros_Oblig!$K$2*('Compra cartera'!$C$11*90%))</f>
        <v>#VALUE!</v>
      </c>
      <c r="L371" s="7" t="e">
        <f>IF(B371=" ","0",PMT('Compra cartera'!$E$17,'Compra cartera'!$C$31,-'Compra cartera'!$C$14,,))</f>
        <v>#VALUE!</v>
      </c>
      <c r="M371" s="9" t="e">
        <f t="shared" si="33"/>
        <v>#VALUE!</v>
      </c>
      <c r="N371" s="7" t="e">
        <f>IF(C370&lt;1,"0",'Compra cartera'!$C$44)</f>
        <v>#VALUE!</v>
      </c>
      <c r="O371" s="9" t="e">
        <f t="shared" si="34"/>
        <v>#VALUE!</v>
      </c>
    </row>
    <row r="372" spans="2:15" ht="15.5" x14ac:dyDescent="0.35">
      <c r="B372" s="6" t="e">
        <f t="shared" si="35"/>
        <v>#VALUE!</v>
      </c>
      <c r="C372" s="7" t="e">
        <f t="shared" si="31"/>
        <v>#VALUE!</v>
      </c>
      <c r="D372" s="7" t="e">
        <f t="shared" si="36"/>
        <v>#VALUE!</v>
      </c>
      <c r="E372" s="7" t="e">
        <f>C371*'Compra cartera'!$E$17</f>
        <v>#VALUE!</v>
      </c>
      <c r="F372" s="8" t="e">
        <f>IF(C371&lt;1,"0",IF('Compra cartera'!$D$26="Si",($C$17*(VLOOKUP('Compra cartera'!$C$22,Seguros_Oblig!$A$3:$F$55,6,FALSE))),(C371*(VLOOKUP('Compra cartera'!$C$22,Seguros_Oblig!$A$3:$E$55,5,FALSE)))))</f>
        <v>#VALUE!</v>
      </c>
      <c r="G372" s="8" t="e">
        <f>(C371*(VLOOKUP('Compra cartera'!$C$23,Seguros_Oblig!$A$3:$E$55,5,FALSE)))</f>
        <v>#VALUE!</v>
      </c>
      <c r="H372" s="8" t="e">
        <f>(C371*(VLOOKUP('Compra cartera'!$C$24,Seguros_Oblig!$A$3:$E$55,5,FALSE)))</f>
        <v>#VALUE!</v>
      </c>
      <c r="I372" s="8" t="e">
        <f>(C371*(VLOOKUP('Compra cartera'!$C$25,Seguros_Oblig!$A$3:$E$55,5,FALSE)))</f>
        <v>#VALUE!</v>
      </c>
      <c r="J372" s="10">
        <f t="shared" si="32"/>
        <v>0</v>
      </c>
      <c r="K372" s="7" t="e">
        <f>IF(C371&lt;1,"0",Seguros_Oblig!$K$2*('Compra cartera'!$C$11*90%))</f>
        <v>#VALUE!</v>
      </c>
      <c r="L372" s="7" t="e">
        <f>IF(B372=" ","0",PMT('Compra cartera'!$E$17,'Compra cartera'!$C$31,-'Compra cartera'!$C$14,,))</f>
        <v>#VALUE!</v>
      </c>
      <c r="M372" s="9" t="e">
        <f t="shared" si="33"/>
        <v>#VALUE!</v>
      </c>
      <c r="N372" s="7" t="e">
        <f>IF(C371&lt;1,"0",'Compra cartera'!$C$44)</f>
        <v>#VALUE!</v>
      </c>
      <c r="O372" s="9" t="e">
        <f t="shared" si="34"/>
        <v>#VALUE!</v>
      </c>
    </row>
    <row r="373" spans="2:15" ht="15.5" x14ac:dyDescent="0.35">
      <c r="B373" s="6" t="e">
        <f t="shared" si="35"/>
        <v>#VALUE!</v>
      </c>
      <c r="C373" s="7" t="e">
        <f t="shared" si="31"/>
        <v>#VALUE!</v>
      </c>
      <c r="D373" s="7" t="e">
        <f t="shared" si="36"/>
        <v>#VALUE!</v>
      </c>
      <c r="E373" s="7" t="e">
        <f>C372*'Compra cartera'!$E$17</f>
        <v>#VALUE!</v>
      </c>
      <c r="F373" s="8" t="e">
        <f>IF(C372&lt;1,"0",IF('Compra cartera'!$D$26="Si",($C$17*(VLOOKUP('Compra cartera'!$C$22,Seguros_Oblig!$A$3:$F$55,6,FALSE))),(C372*(VLOOKUP('Compra cartera'!$C$22,Seguros_Oblig!$A$3:$E$55,5,FALSE)))))</f>
        <v>#VALUE!</v>
      </c>
      <c r="G373" s="8" t="e">
        <f>(C372*(VLOOKUP('Compra cartera'!$C$23,Seguros_Oblig!$A$3:$E$55,5,FALSE)))</f>
        <v>#VALUE!</v>
      </c>
      <c r="H373" s="8" t="e">
        <f>(C372*(VLOOKUP('Compra cartera'!$C$24,Seguros_Oblig!$A$3:$E$55,5,FALSE)))</f>
        <v>#VALUE!</v>
      </c>
      <c r="I373" s="8" t="e">
        <f>(C372*(VLOOKUP('Compra cartera'!$C$25,Seguros_Oblig!$A$3:$E$55,5,FALSE)))</f>
        <v>#VALUE!</v>
      </c>
      <c r="J373" s="10">
        <f t="shared" si="32"/>
        <v>0</v>
      </c>
      <c r="K373" s="7" t="e">
        <f>IF(C372&lt;1,"0",Seguros_Oblig!$K$2*('Compra cartera'!$C$11*90%))</f>
        <v>#VALUE!</v>
      </c>
      <c r="L373" s="7" t="e">
        <f>IF(B373=" ","0",PMT('Compra cartera'!$E$17,'Compra cartera'!$C$31,-'Compra cartera'!$C$14,,))</f>
        <v>#VALUE!</v>
      </c>
      <c r="M373" s="9" t="e">
        <f t="shared" si="33"/>
        <v>#VALUE!</v>
      </c>
      <c r="N373" s="7" t="e">
        <f>IF(C372&lt;1,"0",'Compra cartera'!$C$44)</f>
        <v>#VALUE!</v>
      </c>
      <c r="O373" s="9" t="e">
        <f t="shared" si="34"/>
        <v>#VALUE!</v>
      </c>
    </row>
    <row r="374" spans="2:15" ht="15.5" x14ac:dyDescent="0.35">
      <c r="B374" s="6" t="e">
        <f t="shared" si="35"/>
        <v>#VALUE!</v>
      </c>
      <c r="C374" s="7" t="e">
        <f t="shared" si="31"/>
        <v>#VALUE!</v>
      </c>
      <c r="D374" s="7" t="e">
        <f t="shared" si="36"/>
        <v>#VALUE!</v>
      </c>
      <c r="E374" s="7" t="e">
        <f>C373*'Compra cartera'!$E$17</f>
        <v>#VALUE!</v>
      </c>
      <c r="F374" s="8" t="e">
        <f>IF(C373&lt;1,"0",IF('Compra cartera'!$D$26="Si",($C$17*(VLOOKUP('Compra cartera'!$C$22,Seguros_Oblig!$A$3:$F$55,6,FALSE))),(C373*(VLOOKUP('Compra cartera'!$C$22,Seguros_Oblig!$A$3:$E$55,5,FALSE)))))</f>
        <v>#VALUE!</v>
      </c>
      <c r="G374" s="8" t="e">
        <f>(C373*(VLOOKUP('Compra cartera'!$C$23,Seguros_Oblig!$A$3:$E$55,5,FALSE)))</f>
        <v>#VALUE!</v>
      </c>
      <c r="H374" s="8" t="e">
        <f>(C373*(VLOOKUP('Compra cartera'!$C$24,Seguros_Oblig!$A$3:$E$55,5,FALSE)))</f>
        <v>#VALUE!</v>
      </c>
      <c r="I374" s="8" t="e">
        <f>(C373*(VLOOKUP('Compra cartera'!$C$25,Seguros_Oblig!$A$3:$E$55,5,FALSE)))</f>
        <v>#VALUE!</v>
      </c>
      <c r="J374" s="10">
        <f t="shared" si="32"/>
        <v>0</v>
      </c>
      <c r="K374" s="7" t="e">
        <f>IF(C373&lt;1,"0",Seguros_Oblig!$K$2*('Compra cartera'!$C$11*90%))</f>
        <v>#VALUE!</v>
      </c>
      <c r="L374" s="7" t="e">
        <f>IF(B374=" ","0",PMT('Compra cartera'!$E$17,'Compra cartera'!$C$31,-'Compra cartera'!$C$14,,))</f>
        <v>#VALUE!</v>
      </c>
      <c r="M374" s="9" t="e">
        <f t="shared" si="33"/>
        <v>#VALUE!</v>
      </c>
      <c r="N374" s="7" t="e">
        <f>IF(C373&lt;1,"0",'Compra cartera'!$C$44)</f>
        <v>#VALUE!</v>
      </c>
      <c r="O374" s="9" t="e">
        <f t="shared" si="34"/>
        <v>#VALUE!</v>
      </c>
    </row>
    <row r="375" spans="2:15" ht="15.5" x14ac:dyDescent="0.35">
      <c r="B375" s="6" t="e">
        <f t="shared" si="35"/>
        <v>#VALUE!</v>
      </c>
      <c r="C375" s="7" t="e">
        <f t="shared" si="31"/>
        <v>#VALUE!</v>
      </c>
      <c r="D375" s="7" t="e">
        <f t="shared" si="36"/>
        <v>#VALUE!</v>
      </c>
      <c r="E375" s="7" t="e">
        <f>C374*'Compra cartera'!$E$17</f>
        <v>#VALUE!</v>
      </c>
      <c r="F375" s="8" t="e">
        <f>IF(C374&lt;1,"0",IF('Compra cartera'!$D$26="Si",($C$17*(VLOOKUP('Compra cartera'!$C$22,Seguros_Oblig!$A$3:$F$55,6,FALSE))),(C374*(VLOOKUP('Compra cartera'!$C$22,Seguros_Oblig!$A$3:$E$55,5,FALSE)))))</f>
        <v>#VALUE!</v>
      </c>
      <c r="G375" s="8" t="e">
        <f>(C374*(VLOOKUP('Compra cartera'!$C$23,Seguros_Oblig!$A$3:$E$55,5,FALSE)))</f>
        <v>#VALUE!</v>
      </c>
      <c r="H375" s="8" t="e">
        <f>(C374*(VLOOKUP('Compra cartera'!$C$24,Seguros_Oblig!$A$3:$E$55,5,FALSE)))</f>
        <v>#VALUE!</v>
      </c>
      <c r="I375" s="8" t="e">
        <f>(C374*(VLOOKUP('Compra cartera'!$C$25,Seguros_Oblig!$A$3:$E$55,5,FALSE)))</f>
        <v>#VALUE!</v>
      </c>
      <c r="J375" s="10">
        <f t="shared" si="32"/>
        <v>0</v>
      </c>
      <c r="K375" s="7" t="e">
        <f>IF(C374&lt;1,"0",Seguros_Oblig!$K$2*('Compra cartera'!$C$11*90%))</f>
        <v>#VALUE!</v>
      </c>
      <c r="L375" s="7" t="e">
        <f>IF(B375=" ","0",PMT('Compra cartera'!$E$17,'Compra cartera'!$C$31,-'Compra cartera'!$C$14,,))</f>
        <v>#VALUE!</v>
      </c>
      <c r="M375" s="9" t="e">
        <f t="shared" si="33"/>
        <v>#VALUE!</v>
      </c>
      <c r="N375" s="7" t="e">
        <f>IF(C374&lt;1,"0",'Compra cartera'!$C$44)</f>
        <v>#VALUE!</v>
      </c>
      <c r="O375" s="9" t="e">
        <f t="shared" si="34"/>
        <v>#VALUE!</v>
      </c>
    </row>
    <row r="376" spans="2:15" ht="15.5" x14ac:dyDescent="0.35">
      <c r="B376" s="6" t="e">
        <f t="shared" si="35"/>
        <v>#VALUE!</v>
      </c>
      <c r="C376" s="7" t="e">
        <f t="shared" si="31"/>
        <v>#VALUE!</v>
      </c>
      <c r="D376" s="7" t="e">
        <f t="shared" si="36"/>
        <v>#VALUE!</v>
      </c>
      <c r="E376" s="7" t="e">
        <f>C375*'Compra cartera'!$E$17</f>
        <v>#VALUE!</v>
      </c>
      <c r="F376" s="8" t="e">
        <f>IF(C375&lt;1,"0",IF('Compra cartera'!$D$26="Si",($C$17*(VLOOKUP('Compra cartera'!$C$22,Seguros_Oblig!$A$3:$F$55,6,FALSE))),(C375*(VLOOKUP('Compra cartera'!$C$22,Seguros_Oblig!$A$3:$E$55,5,FALSE)))))</f>
        <v>#VALUE!</v>
      </c>
      <c r="G376" s="8" t="e">
        <f>(C375*(VLOOKUP('Compra cartera'!$C$23,Seguros_Oblig!$A$3:$E$55,5,FALSE)))</f>
        <v>#VALUE!</v>
      </c>
      <c r="H376" s="8" t="e">
        <f>(C375*(VLOOKUP('Compra cartera'!$C$24,Seguros_Oblig!$A$3:$E$55,5,FALSE)))</f>
        <v>#VALUE!</v>
      </c>
      <c r="I376" s="8" t="e">
        <f>(C375*(VLOOKUP('Compra cartera'!$C$25,Seguros_Oblig!$A$3:$E$55,5,FALSE)))</f>
        <v>#VALUE!</v>
      </c>
      <c r="J376" s="10">
        <f t="shared" si="32"/>
        <v>0</v>
      </c>
      <c r="K376" s="7" t="e">
        <f>IF(C375&lt;1,"0",Seguros_Oblig!$K$2*('Compra cartera'!$C$11*90%))</f>
        <v>#VALUE!</v>
      </c>
      <c r="L376" s="7" t="e">
        <f>IF(B376=" ","0",PMT('Compra cartera'!$E$17,'Compra cartera'!$C$31,-'Compra cartera'!$C$14,,))</f>
        <v>#VALUE!</v>
      </c>
      <c r="M376" s="9" t="e">
        <f t="shared" si="33"/>
        <v>#VALUE!</v>
      </c>
      <c r="N376" s="7" t="e">
        <f>IF(C375&lt;1,"0",'Compra cartera'!$C$44)</f>
        <v>#VALUE!</v>
      </c>
      <c r="O376" s="9" t="e">
        <f t="shared" si="34"/>
        <v>#VALUE!</v>
      </c>
    </row>
    <row r="377" spans="2:15" ht="15.5" x14ac:dyDescent="0.35">
      <c r="B377" s="6" t="e">
        <f t="shared" si="35"/>
        <v>#VALUE!</v>
      </c>
      <c r="C377" s="7" t="e">
        <f t="shared" si="31"/>
        <v>#VALUE!</v>
      </c>
      <c r="D377" s="7" t="e">
        <f t="shared" si="36"/>
        <v>#VALUE!</v>
      </c>
      <c r="E377" s="7" t="e">
        <f>C376*'Compra cartera'!$E$17</f>
        <v>#VALUE!</v>
      </c>
      <c r="F377" s="8" t="e">
        <f>IF(C376&lt;1,"0",IF('Compra cartera'!$D$26="Si",($C$17*(VLOOKUP('Compra cartera'!$C$22,Seguros_Oblig!$A$3:$F$55,6,FALSE))),(C376*(VLOOKUP('Compra cartera'!$C$22,Seguros_Oblig!$A$3:$E$55,5,FALSE)))))</f>
        <v>#VALUE!</v>
      </c>
      <c r="G377" s="8" t="e">
        <f>(C376*(VLOOKUP('Compra cartera'!$C$23,Seguros_Oblig!$A$3:$E$55,5,FALSE)))</f>
        <v>#VALUE!</v>
      </c>
      <c r="H377" s="8" t="e">
        <f>(C376*(VLOOKUP('Compra cartera'!$C$24,Seguros_Oblig!$A$3:$E$55,5,FALSE)))</f>
        <v>#VALUE!</v>
      </c>
      <c r="I377" s="8" t="e">
        <f>(C376*(VLOOKUP('Compra cartera'!$C$25,Seguros_Oblig!$A$3:$E$55,5,FALSE)))</f>
        <v>#VALUE!</v>
      </c>
      <c r="J377" s="10">
        <f t="shared" si="32"/>
        <v>0</v>
      </c>
      <c r="K377" s="7" t="e">
        <f>IF(C376&lt;1,"0",Seguros_Oblig!$K$2*('Compra cartera'!$C$11*90%))</f>
        <v>#VALUE!</v>
      </c>
      <c r="L377" s="7" t="e">
        <f>IF(B377=" ","0",PMT('Compra cartera'!$E$17,'Compra cartera'!$C$31,-'Compra cartera'!$C$14,,))</f>
        <v>#VALUE!</v>
      </c>
      <c r="M377" s="9" t="e">
        <f t="shared" si="33"/>
        <v>#VALUE!</v>
      </c>
      <c r="N377" s="7" t="e">
        <f>IF(C376&lt;1,"0",'Compra cartera'!$C$44)</f>
        <v>#VALUE!</v>
      </c>
      <c r="O377" s="9" t="e">
        <f t="shared" si="34"/>
        <v>#VALUE!</v>
      </c>
    </row>
  </sheetData>
  <sheetProtection algorithmName="SHA-512" hashValue="sn6k2843pT6SOkTO958bQZBJy2kKnaw8Pm/ZDoeTc/A9PL6ODsSiR1iefIHh83d9s+IwDPphUA+y/r/DEqx43A==" saltValue="XKoU50o/xPF35OVpE7dmyQ==" spinCount="100000" sheet="1" objects="1" scenarios="1"/>
  <mergeCells count="5">
    <mergeCell ref="N1:O4"/>
    <mergeCell ref="E2:L3"/>
    <mergeCell ref="B5:O11"/>
    <mergeCell ref="B12:O13"/>
    <mergeCell ref="B14:D14"/>
  </mergeCells>
  <conditionalFormatting sqref="B17:B377">
    <cfRule type="cellIs" dxfId="6" priority="6" stopIfTrue="1" operator="greaterThan">
      <formula>$E$23</formula>
    </cfRule>
  </conditionalFormatting>
  <conditionalFormatting sqref="C17:C377">
    <cfRule type="cellIs" dxfId="5" priority="3" operator="lessThan">
      <formula>0</formula>
    </cfRule>
  </conditionalFormatting>
  <conditionalFormatting sqref="C258">
    <cfRule type="cellIs" dxfId="4" priority="4" operator="lessThan">
      <formula>0</formula>
    </cfRule>
    <cfRule type="cellIs" dxfId="3" priority="5" operator="lessThan">
      <formula>0</formula>
    </cfRule>
  </conditionalFormatting>
  <conditionalFormatting sqref="E17:E377 J138:J377">
    <cfRule type="cellIs" dxfId="2" priority="1" operator="lessThan">
      <formula>0</formula>
    </cfRule>
  </conditionalFormatting>
  <pageMargins left="0.7" right="0.7" top="0.75" bottom="0.75" header="0.3" footer="0.3"/>
  <pageSetup paperSize="9" scale="58" fitToHeight="0"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29226-4B38-41E1-9F3F-ED38FB07C477}">
  <sheetPr codeName="Hoja4"/>
  <dimension ref="B1:O20"/>
  <sheetViews>
    <sheetView showGridLines="0" zoomScale="91" zoomScaleNormal="130" workbookViewId="0">
      <selection activeCell="B24" sqref="B24"/>
    </sheetView>
  </sheetViews>
  <sheetFormatPr baseColWidth="10" defaultColWidth="11.453125" defaultRowHeight="14.5" x14ac:dyDescent="0.35"/>
  <cols>
    <col min="1" max="1" width="1.453125" style="2" customWidth="1"/>
    <col min="2" max="2" width="15.1796875" style="2" customWidth="1"/>
    <col min="3" max="3" width="12.54296875" style="2" customWidth="1"/>
    <col min="4" max="4" width="15.1796875" style="2" customWidth="1"/>
    <col min="5" max="5" width="5" style="2" customWidth="1"/>
    <col min="6" max="6" width="20.1796875" style="2" bestFit="1" customWidth="1"/>
    <col min="7" max="7" width="4.7265625" style="2" customWidth="1"/>
    <col min="8" max="8" width="12.26953125" style="2" customWidth="1"/>
    <col min="9" max="9" width="12.54296875" style="2" customWidth="1"/>
    <col min="10" max="11" width="11.453125" style="2"/>
    <col min="12" max="12" width="10.453125" style="2" customWidth="1"/>
    <col min="13" max="13" width="7.7265625" style="2" hidden="1" customWidth="1"/>
    <col min="14" max="14" width="11.453125" style="2"/>
    <col min="15" max="15" width="11.81640625" style="2" bestFit="1" customWidth="1"/>
    <col min="16" max="16384" width="11.453125" style="2"/>
  </cols>
  <sheetData>
    <row r="1" spans="2:15" ht="23.25" customHeight="1" x14ac:dyDescent="0.35">
      <c r="B1" s="60"/>
      <c r="C1" s="61"/>
      <c r="D1" s="61"/>
      <c r="E1" s="61"/>
      <c r="F1" s="61"/>
      <c r="G1" s="61"/>
      <c r="H1" s="62"/>
      <c r="I1" s="641" t="str">
        <f>Pantalla_Inicio!J1</f>
        <v>Código: PCV_FOR_006
Versión: V02
Fecha de actualización: 04/05/2026</v>
      </c>
      <c r="J1" s="642"/>
    </row>
    <row r="2" spans="2:15" ht="24.75" customHeight="1" x14ac:dyDescent="0.35">
      <c r="B2" s="64"/>
      <c r="C2" s="65"/>
      <c r="D2" s="65"/>
      <c r="E2" s="65"/>
      <c r="F2" s="65"/>
      <c r="G2" s="65"/>
      <c r="H2" s="67"/>
      <c r="I2" s="643"/>
      <c r="J2" s="644"/>
    </row>
    <row r="3" spans="2:15" ht="4.5" customHeight="1" thickBot="1" x14ac:dyDescent="0.4">
      <c r="I3" s="117"/>
      <c r="J3" s="117"/>
    </row>
    <row r="4" spans="2:15" ht="15.65" customHeight="1" x14ac:dyDescent="0.35">
      <c r="B4" s="645" t="s">
        <v>2739</v>
      </c>
      <c r="C4" s="646"/>
      <c r="D4" s="647"/>
      <c r="F4" s="655"/>
      <c r="G4" s="70">
        <f>F4*40%</f>
        <v>0</v>
      </c>
      <c r="H4" s="112"/>
      <c r="I4" s="112"/>
      <c r="K4" s="96" t="s">
        <v>2346</v>
      </c>
    </row>
    <row r="5" spans="2:15" ht="16" customHeight="1" thickBot="1" x14ac:dyDescent="0.4">
      <c r="B5" s="648"/>
      <c r="C5" s="649"/>
      <c r="D5" s="650"/>
      <c r="F5" s="656"/>
      <c r="G5" s="70"/>
      <c r="H5" s="112"/>
      <c r="I5" s="112"/>
    </row>
    <row r="6" spans="2:15" ht="15" thickBot="1" x14ac:dyDescent="0.4"/>
    <row r="7" spans="2:15" ht="16" thickBot="1" x14ac:dyDescent="0.4">
      <c r="B7" s="48" t="s">
        <v>2740</v>
      </c>
      <c r="C7" s="3">
        <f>(((1+(F7+1.5%))^(1/12))-1)</f>
        <v>1.2517842325310058E-2</v>
      </c>
      <c r="D7" s="292" t="s">
        <v>2690</v>
      </c>
      <c r="E7" s="45"/>
      <c r="F7" s="288">
        <v>0.14599999999999999</v>
      </c>
      <c r="H7" s="48" t="s">
        <v>2740</v>
      </c>
      <c r="I7" s="3">
        <f>(((1+L7)^(1/12))-1)</f>
        <v>6.0994943229826237E-3</v>
      </c>
      <c r="J7" s="292" t="s">
        <v>2690</v>
      </c>
      <c r="K7" s="334" t="s">
        <v>2555</v>
      </c>
      <c r="L7" s="288">
        <v>7.5700000000000003E-2</v>
      </c>
    </row>
    <row r="8" spans="2:15" x14ac:dyDescent="0.35">
      <c r="B8" s="45"/>
    </row>
    <row r="9" spans="2:15" ht="15" customHeight="1" x14ac:dyDescent="0.5">
      <c r="B9" s="657" t="s">
        <v>2741</v>
      </c>
      <c r="C9" s="657"/>
      <c r="D9" s="657"/>
      <c r="E9" s="657"/>
      <c r="F9" s="657"/>
      <c r="G9" s="286"/>
      <c r="H9" s="657" t="s">
        <v>2742</v>
      </c>
      <c r="I9" s="657"/>
      <c r="J9" s="657"/>
      <c r="K9" s="657"/>
      <c r="L9" s="657"/>
    </row>
    <row r="10" spans="2:15" ht="15.75" customHeight="1" x14ac:dyDescent="0.35">
      <c r="B10" s="651"/>
      <c r="C10" s="652"/>
      <c r="D10" s="290" t="s">
        <v>2743</v>
      </c>
      <c r="E10" s="653" t="s">
        <v>2744</v>
      </c>
      <c r="F10" s="654"/>
      <c r="G10" s="291"/>
      <c r="H10" s="658"/>
      <c r="I10" s="659"/>
      <c r="J10" s="290" t="s">
        <v>2743</v>
      </c>
      <c r="K10" s="653" t="s">
        <v>2744</v>
      </c>
      <c r="L10" s="654"/>
    </row>
    <row r="11" spans="2:15" ht="15.65" customHeight="1" x14ac:dyDescent="0.35">
      <c r="B11" s="629" t="s">
        <v>2745</v>
      </c>
      <c r="C11" s="629"/>
      <c r="D11" s="418">
        <v>60</v>
      </c>
      <c r="E11" s="631">
        <f>PV($C$7,D11,-$G$4,,0)</f>
        <v>0</v>
      </c>
      <c r="F11" s="631"/>
      <c r="H11" s="635" t="s">
        <v>2745</v>
      </c>
      <c r="I11" s="636"/>
      <c r="J11" s="4">
        <v>60</v>
      </c>
      <c r="K11" s="633">
        <f>PV($I$7,J11,-$G$4,,0)</f>
        <v>0</v>
      </c>
      <c r="L11" s="634"/>
      <c r="M11" s="357" t="e">
        <f>(K11/E11)-1</f>
        <v>#DIV/0!</v>
      </c>
    </row>
    <row r="12" spans="2:15" ht="15.65" customHeight="1" x14ac:dyDescent="0.35">
      <c r="B12" s="629"/>
      <c r="C12" s="629"/>
      <c r="D12" s="418">
        <v>120</v>
      </c>
      <c r="E12" s="631">
        <f t="shared" ref="E12:E14" si="0">PV($C$7,D12,-$G$4,,0)</f>
        <v>0</v>
      </c>
      <c r="F12" s="631"/>
      <c r="H12" s="637"/>
      <c r="I12" s="638"/>
      <c r="J12" s="4">
        <v>120</v>
      </c>
      <c r="K12" s="633">
        <f t="shared" ref="K12:K16" si="1">PV($I$7,J12,-$G$4,,0)</f>
        <v>0</v>
      </c>
      <c r="L12" s="634"/>
      <c r="M12" s="357" t="e">
        <f t="shared" ref="M12:M16" si="2">(K12/E12)-1</f>
        <v>#DIV/0!</v>
      </c>
    </row>
    <row r="13" spans="2:15" ht="15.65" customHeight="1" x14ac:dyDescent="0.35">
      <c r="B13" s="629"/>
      <c r="C13" s="629"/>
      <c r="D13" s="418">
        <v>180</v>
      </c>
      <c r="E13" s="631">
        <f t="shared" si="0"/>
        <v>0</v>
      </c>
      <c r="F13" s="631"/>
      <c r="H13" s="637"/>
      <c r="I13" s="638"/>
      <c r="J13" s="4">
        <v>180</v>
      </c>
      <c r="K13" s="633">
        <f t="shared" si="1"/>
        <v>0</v>
      </c>
      <c r="L13" s="634"/>
      <c r="M13" s="357" t="e">
        <f t="shared" si="2"/>
        <v>#DIV/0!</v>
      </c>
    </row>
    <row r="14" spans="2:15" ht="15.65" customHeight="1" x14ac:dyDescent="0.35">
      <c r="B14" s="629"/>
      <c r="C14" s="629"/>
      <c r="D14" s="418">
        <v>240</v>
      </c>
      <c r="E14" s="631">
        <f t="shared" si="0"/>
        <v>0</v>
      </c>
      <c r="F14" s="631"/>
      <c r="H14" s="637"/>
      <c r="I14" s="638"/>
      <c r="J14" s="4">
        <v>240</v>
      </c>
      <c r="K14" s="633">
        <f t="shared" si="1"/>
        <v>0</v>
      </c>
      <c r="L14" s="634"/>
      <c r="M14" s="357" t="e">
        <f t="shared" si="2"/>
        <v>#DIV/0!</v>
      </c>
    </row>
    <row r="15" spans="2:15" ht="15.65" customHeight="1" x14ac:dyDescent="0.35">
      <c r="B15" s="630"/>
      <c r="C15" s="630"/>
      <c r="D15" s="417"/>
      <c r="E15" s="632"/>
      <c r="F15" s="632"/>
      <c r="H15" s="637"/>
      <c r="I15" s="638"/>
      <c r="J15" s="4">
        <v>300</v>
      </c>
      <c r="K15" s="633">
        <f t="shared" si="1"/>
        <v>0</v>
      </c>
      <c r="L15" s="634"/>
      <c r="M15" s="357" t="e">
        <f t="shared" si="2"/>
        <v>#DIV/0!</v>
      </c>
    </row>
    <row r="16" spans="2:15" ht="15.65" customHeight="1" x14ac:dyDescent="0.35">
      <c r="B16" s="630"/>
      <c r="C16" s="630"/>
      <c r="D16" s="417"/>
      <c r="E16" s="632"/>
      <c r="F16" s="632"/>
      <c r="H16" s="639"/>
      <c r="I16" s="640"/>
      <c r="J16" s="4">
        <v>360</v>
      </c>
      <c r="K16" s="633">
        <f t="shared" si="1"/>
        <v>0</v>
      </c>
      <c r="L16" s="634"/>
      <c r="M16" s="357" t="e">
        <f t="shared" si="2"/>
        <v>#DIV/0!</v>
      </c>
      <c r="N16" s="356"/>
      <c r="O16" s="356"/>
    </row>
    <row r="17" spans="2:11" ht="14.5" customHeight="1" x14ac:dyDescent="0.35">
      <c r="B17" s="46"/>
      <c r="C17" s="46"/>
      <c r="D17" s="47"/>
      <c r="E17" s="47"/>
      <c r="F17" s="45"/>
    </row>
    <row r="18" spans="2:11" ht="16.5" customHeight="1" x14ac:dyDescent="0.35">
      <c r="C18" s="628" t="s">
        <v>2746</v>
      </c>
      <c r="D18" s="628"/>
      <c r="E18" s="628"/>
      <c r="F18" s="628"/>
      <c r="G18" s="628"/>
      <c r="H18" s="628"/>
      <c r="I18" s="628"/>
      <c r="J18" s="628"/>
      <c r="K18" s="628"/>
    </row>
    <row r="19" spans="2:11" x14ac:dyDescent="0.35">
      <c r="C19" s="628"/>
      <c r="D19" s="628"/>
      <c r="E19" s="628"/>
      <c r="F19" s="628"/>
      <c r="G19" s="628"/>
      <c r="H19" s="628"/>
      <c r="I19" s="628"/>
      <c r="J19" s="628"/>
      <c r="K19" s="628"/>
    </row>
    <row r="20" spans="2:11" x14ac:dyDescent="0.35">
      <c r="C20" s="628"/>
      <c r="D20" s="628"/>
      <c r="E20" s="628"/>
      <c r="F20" s="628"/>
      <c r="G20" s="628"/>
      <c r="H20" s="628"/>
      <c r="I20" s="628"/>
      <c r="J20" s="628"/>
      <c r="K20" s="628"/>
    </row>
  </sheetData>
  <sheetProtection algorithmName="SHA-512" hashValue="u5/sikyqE12qr4WTLvPCe9KyDE1V/Dj69Sl/l/ImyxTlVNCkSswIfWV20xealPx0JRHb5eO0sUYgXD8mOipnog==" saltValue="kz7/MVixkTEBairgKsW59w==" spinCount="100000" sheet="1" objects="1" scenarios="1"/>
  <mergeCells count="25">
    <mergeCell ref="I1:J2"/>
    <mergeCell ref="B4:D5"/>
    <mergeCell ref="B10:C10"/>
    <mergeCell ref="E10:F10"/>
    <mergeCell ref="F4:F5"/>
    <mergeCell ref="B9:F9"/>
    <mergeCell ref="H9:L9"/>
    <mergeCell ref="H10:I10"/>
    <mergeCell ref="K10:L10"/>
    <mergeCell ref="C18:K20"/>
    <mergeCell ref="B11:C14"/>
    <mergeCell ref="B15:C16"/>
    <mergeCell ref="E11:F11"/>
    <mergeCell ref="E12:F12"/>
    <mergeCell ref="E13:F13"/>
    <mergeCell ref="E14:F14"/>
    <mergeCell ref="E15:F15"/>
    <mergeCell ref="E16:F16"/>
    <mergeCell ref="K11:L11"/>
    <mergeCell ref="K12:L12"/>
    <mergeCell ref="K13:L13"/>
    <mergeCell ref="K14:L14"/>
    <mergeCell ref="K15:L15"/>
    <mergeCell ref="H11:I16"/>
    <mergeCell ref="K16:L16"/>
  </mergeCells>
  <conditionalFormatting sqref="C18">
    <cfRule type="containsText" dxfId="1" priority="1" operator="containsText" text="Estos valores son  infomativos, no incluyen los descuentos otorgados por los beneficios de programas del Gobierno Nacional ">
      <formula>NOT(ISERROR(SEARCH("Estos valores son  infomativos, no incluyen los descuentos otorgados por los beneficios de programas del Gobierno Nacional ",C18)))</formula>
    </cfRule>
    <cfRule type="containsText" dxfId="0" priority="2" operator="containsText" text="Los valores son  infomativos, no incluyen los descuentos otorgados por los beneficios de programas del Gobierno Nacional ">
      <formula>NOT(ISERROR(SEARCH("Los valores son  infomativos, no incluyen los descuentos otorgados por los beneficios de programas del Gobierno Nacional ",C18)))</formula>
    </cfRule>
  </conditionalFormatting>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D5C39-09E7-4016-ABBC-EC9977AF40DB}">
  <sheetPr codeName="Hoja9"/>
  <dimension ref="A1:T1185"/>
  <sheetViews>
    <sheetView workbookViewId="0">
      <selection activeCell="G1128" sqref="G1128"/>
    </sheetView>
  </sheetViews>
  <sheetFormatPr baseColWidth="10" defaultColWidth="0" defaultRowHeight="15.5" x14ac:dyDescent="0.35"/>
  <cols>
    <col min="1" max="1" width="40.453125" style="388" customWidth="1"/>
    <col min="2" max="2" width="7.7265625" style="388" bestFit="1" customWidth="1"/>
    <col min="3" max="5" width="18.81640625" style="388" customWidth="1"/>
    <col min="6" max="6" width="19.1796875" style="388" customWidth="1"/>
    <col min="7" max="8" width="19.54296875" style="388" customWidth="1"/>
    <col min="9" max="9" width="21.54296875" style="388" bestFit="1" customWidth="1"/>
    <col min="10" max="11" width="11.453125" style="388" customWidth="1"/>
    <col min="12" max="12" width="4.81640625" style="388" customWidth="1"/>
    <col min="13" max="17" width="13" style="388" hidden="1" customWidth="1"/>
    <col min="18" max="19" width="15.54296875" style="388" customWidth="1"/>
    <col min="20" max="20" width="19.26953125" style="388" customWidth="1"/>
    <col min="21" max="21" width="11.453125" style="388" customWidth="1"/>
    <col min="22" max="16384" width="0" style="388" hidden="1"/>
  </cols>
  <sheetData>
    <row r="1" spans="1:20" x14ac:dyDescent="0.35">
      <c r="A1" s="393" t="s">
        <v>135</v>
      </c>
      <c r="B1" s="393" t="s">
        <v>136</v>
      </c>
      <c r="C1" s="394" t="s">
        <v>66</v>
      </c>
      <c r="D1" s="394" t="s">
        <v>137</v>
      </c>
      <c r="E1" s="394" t="s">
        <v>138</v>
      </c>
      <c r="F1" s="393" t="s">
        <v>139</v>
      </c>
      <c r="G1" s="394" t="s">
        <v>140</v>
      </c>
      <c r="H1" s="394" t="s">
        <v>141</v>
      </c>
      <c r="I1" s="394" t="s">
        <v>142</v>
      </c>
      <c r="K1" s="387" t="s">
        <v>143</v>
      </c>
      <c r="M1" s="388">
        <v>2020</v>
      </c>
      <c r="N1" s="388">
        <v>2021</v>
      </c>
      <c r="O1" s="388">
        <v>2022</v>
      </c>
      <c r="P1" s="388">
        <v>2023</v>
      </c>
      <c r="Q1" s="388">
        <v>2024</v>
      </c>
      <c r="R1" s="388">
        <v>2025</v>
      </c>
      <c r="S1" s="388">
        <v>2026</v>
      </c>
      <c r="T1" s="388" t="s">
        <v>144</v>
      </c>
    </row>
    <row r="2" spans="1:20" x14ac:dyDescent="0.35">
      <c r="A2" s="395" t="s">
        <v>145</v>
      </c>
      <c r="B2" s="396" t="s">
        <v>146</v>
      </c>
      <c r="C2" s="395" t="s">
        <v>147</v>
      </c>
      <c r="D2" s="395">
        <v>135</v>
      </c>
      <c r="E2" s="397">
        <f>D2*$S$2</f>
        <v>236372175</v>
      </c>
      <c r="F2" s="398" t="s">
        <v>148</v>
      </c>
      <c r="G2" s="398" t="s">
        <v>149</v>
      </c>
      <c r="H2" s="398" t="s">
        <v>150</v>
      </c>
      <c r="I2" s="398" t="s">
        <v>151</v>
      </c>
      <c r="L2" s="388" t="s">
        <v>152</v>
      </c>
      <c r="M2" s="389">
        <v>877803</v>
      </c>
      <c r="N2" s="389">
        <v>908526</v>
      </c>
      <c r="O2" s="389">
        <v>1000000</v>
      </c>
      <c r="P2" s="389">
        <v>1160000</v>
      </c>
      <c r="Q2" s="389">
        <v>1300000</v>
      </c>
      <c r="R2" s="389">
        <v>1423500</v>
      </c>
      <c r="S2" s="389">
        <v>1750905</v>
      </c>
      <c r="T2" s="390">
        <f>S2-R2</f>
        <v>327405</v>
      </c>
    </row>
    <row r="3" spans="1:20" x14ac:dyDescent="0.35">
      <c r="A3" s="395" t="s">
        <v>153</v>
      </c>
      <c r="B3" s="396" t="s">
        <v>146</v>
      </c>
      <c r="C3" s="395" t="s">
        <v>147</v>
      </c>
      <c r="D3" s="395">
        <v>135</v>
      </c>
      <c r="E3" s="397">
        <f t="shared" ref="E3:E66" si="0">D3*$S$2</f>
        <v>236372175</v>
      </c>
      <c r="F3" s="398" t="s">
        <v>154</v>
      </c>
      <c r="G3" s="398" t="s">
        <v>155</v>
      </c>
      <c r="H3" s="398" t="s">
        <v>156</v>
      </c>
      <c r="I3" s="398" t="s">
        <v>156</v>
      </c>
      <c r="L3" s="391">
        <v>135</v>
      </c>
      <c r="M3" s="390">
        <f>M2*L3</f>
        <v>118503405</v>
      </c>
      <c r="N3" s="390">
        <f>N2*L3</f>
        <v>122651010</v>
      </c>
      <c r="O3" s="390">
        <f>O2*L3</f>
        <v>135000000</v>
      </c>
      <c r="P3" s="390">
        <f>P2*L3</f>
        <v>156600000</v>
      </c>
      <c r="Q3" s="390">
        <f>Q2*L3</f>
        <v>175500000</v>
      </c>
      <c r="R3" s="390">
        <f>R2*L3</f>
        <v>192172500</v>
      </c>
      <c r="S3" s="390">
        <f>S2*L3</f>
        <v>236372175</v>
      </c>
      <c r="T3" s="390">
        <f t="shared" ref="T3:T4" si="1">S3-R3</f>
        <v>44199675</v>
      </c>
    </row>
    <row r="4" spans="1:20" x14ac:dyDescent="0.35">
      <c r="A4" s="395" t="s">
        <v>157</v>
      </c>
      <c r="B4" s="396" t="s">
        <v>146</v>
      </c>
      <c r="C4" s="395" t="s">
        <v>147</v>
      </c>
      <c r="D4" s="395">
        <v>135</v>
      </c>
      <c r="E4" s="397">
        <f t="shared" si="0"/>
        <v>236372175</v>
      </c>
      <c r="F4" s="398" t="s">
        <v>158</v>
      </c>
      <c r="G4" s="398" t="s">
        <v>149</v>
      </c>
      <c r="H4" s="398" t="s">
        <v>156</v>
      </c>
      <c r="I4" s="398" t="s">
        <v>156</v>
      </c>
      <c r="L4" s="391">
        <v>150</v>
      </c>
      <c r="M4" s="390">
        <f>M2*L4</f>
        <v>131670450</v>
      </c>
      <c r="N4" s="390">
        <f>N2*L4</f>
        <v>136278900</v>
      </c>
      <c r="O4" s="390">
        <f>O2*L4</f>
        <v>150000000</v>
      </c>
      <c r="P4" s="390">
        <f>P2*L4</f>
        <v>174000000</v>
      </c>
      <c r="Q4" s="390">
        <f>Q2*L4</f>
        <v>195000000</v>
      </c>
      <c r="R4" s="390">
        <f>R2*L4</f>
        <v>213525000</v>
      </c>
      <c r="S4" s="390">
        <f>S2*L4</f>
        <v>262635750</v>
      </c>
      <c r="T4" s="390">
        <f t="shared" si="1"/>
        <v>49110750</v>
      </c>
    </row>
    <row r="5" spans="1:20" x14ac:dyDescent="0.35">
      <c r="A5" s="395" t="s">
        <v>159</v>
      </c>
      <c r="B5" s="396" t="s">
        <v>160</v>
      </c>
      <c r="C5" s="395" t="s">
        <v>147</v>
      </c>
      <c r="D5" s="395">
        <v>135</v>
      </c>
      <c r="E5" s="397">
        <f t="shared" si="0"/>
        <v>236372175</v>
      </c>
      <c r="F5" s="398" t="s">
        <v>161</v>
      </c>
      <c r="G5" s="398" t="s">
        <v>162</v>
      </c>
      <c r="H5" s="398" t="s">
        <v>163</v>
      </c>
      <c r="I5" s="398" t="s">
        <v>164</v>
      </c>
    </row>
    <row r="6" spans="1:20" x14ac:dyDescent="0.35">
      <c r="A6" s="395" t="s">
        <v>165</v>
      </c>
      <c r="B6" s="396" t="s">
        <v>146</v>
      </c>
      <c r="C6" s="395" t="s">
        <v>147</v>
      </c>
      <c r="D6" s="395">
        <v>135</v>
      </c>
      <c r="E6" s="397">
        <f t="shared" si="0"/>
        <v>236372175</v>
      </c>
      <c r="F6" s="398" t="s">
        <v>166</v>
      </c>
      <c r="G6" s="398" t="s">
        <v>167</v>
      </c>
      <c r="H6" s="398" t="s">
        <v>156</v>
      </c>
      <c r="I6" s="398" t="s">
        <v>156</v>
      </c>
      <c r="L6" s="388">
        <v>45</v>
      </c>
      <c r="M6" s="388">
        <v>1073</v>
      </c>
    </row>
    <row r="7" spans="1:20" x14ac:dyDescent="0.35">
      <c r="A7" s="395" t="s">
        <v>168</v>
      </c>
      <c r="B7" s="396" t="s">
        <v>146</v>
      </c>
      <c r="C7" s="395" t="s">
        <v>147</v>
      </c>
      <c r="D7" s="395">
        <v>135</v>
      </c>
      <c r="E7" s="397">
        <f t="shared" si="0"/>
        <v>236372175</v>
      </c>
      <c r="F7" s="398" t="s">
        <v>169</v>
      </c>
      <c r="G7" s="398" t="s">
        <v>170</v>
      </c>
      <c r="H7" s="398" t="s">
        <v>156</v>
      </c>
      <c r="I7" s="398" t="s">
        <v>156</v>
      </c>
      <c r="L7" s="388">
        <v>150</v>
      </c>
      <c r="M7" s="388">
        <v>135</v>
      </c>
    </row>
    <row r="8" spans="1:20" x14ac:dyDescent="0.35">
      <c r="A8" s="395" t="s">
        <v>171</v>
      </c>
      <c r="B8" s="396" t="s">
        <v>146</v>
      </c>
      <c r="C8" s="395" t="s">
        <v>147</v>
      </c>
      <c r="D8" s="395">
        <v>135</v>
      </c>
      <c r="E8" s="397">
        <f t="shared" si="0"/>
        <v>236372175</v>
      </c>
      <c r="F8" s="398" t="s">
        <v>172</v>
      </c>
      <c r="G8" s="398" t="s">
        <v>173</v>
      </c>
      <c r="H8" s="398" t="s">
        <v>156</v>
      </c>
      <c r="I8" s="398" t="s">
        <v>156</v>
      </c>
    </row>
    <row r="9" spans="1:20" x14ac:dyDescent="0.35">
      <c r="A9" s="395" t="s">
        <v>174</v>
      </c>
      <c r="B9" s="396" t="s">
        <v>146</v>
      </c>
      <c r="C9" s="395" t="s">
        <v>147</v>
      </c>
      <c r="D9" s="395">
        <v>135</v>
      </c>
      <c r="E9" s="397">
        <f t="shared" si="0"/>
        <v>236372175</v>
      </c>
      <c r="F9" s="398" t="s">
        <v>175</v>
      </c>
      <c r="G9" s="398" t="s">
        <v>170</v>
      </c>
      <c r="H9" s="398" t="s">
        <v>156</v>
      </c>
      <c r="I9" s="398" t="s">
        <v>156</v>
      </c>
    </row>
    <row r="10" spans="1:20" x14ac:dyDescent="0.35">
      <c r="A10" s="395" t="s">
        <v>176</v>
      </c>
      <c r="B10" s="396" t="s">
        <v>146</v>
      </c>
      <c r="C10" s="395" t="s">
        <v>147</v>
      </c>
      <c r="D10" s="395">
        <v>135</v>
      </c>
      <c r="E10" s="397">
        <f t="shared" si="0"/>
        <v>236372175</v>
      </c>
      <c r="F10" s="398" t="s">
        <v>177</v>
      </c>
      <c r="G10" s="398" t="s">
        <v>178</v>
      </c>
      <c r="H10" s="398" t="s">
        <v>156</v>
      </c>
      <c r="I10" s="398" t="s">
        <v>156</v>
      </c>
    </row>
    <row r="11" spans="1:20" x14ac:dyDescent="0.35">
      <c r="A11" s="395" t="s">
        <v>179</v>
      </c>
      <c r="B11" s="396" t="s">
        <v>146</v>
      </c>
      <c r="C11" s="395" t="s">
        <v>147</v>
      </c>
      <c r="D11" s="395">
        <v>135</v>
      </c>
      <c r="E11" s="397">
        <f t="shared" si="0"/>
        <v>236372175</v>
      </c>
      <c r="F11" s="398" t="s">
        <v>180</v>
      </c>
      <c r="G11" s="398" t="s">
        <v>181</v>
      </c>
      <c r="H11" s="398" t="s">
        <v>163</v>
      </c>
      <c r="I11" s="398" t="s">
        <v>182</v>
      </c>
    </row>
    <row r="12" spans="1:20" x14ac:dyDescent="0.35">
      <c r="A12" s="395" t="s">
        <v>183</v>
      </c>
      <c r="B12" s="396" t="s">
        <v>146</v>
      </c>
      <c r="C12" s="395" t="s">
        <v>147</v>
      </c>
      <c r="D12" s="395">
        <v>135</v>
      </c>
      <c r="E12" s="397">
        <f t="shared" si="0"/>
        <v>236372175</v>
      </c>
      <c r="F12" s="398" t="s">
        <v>184</v>
      </c>
      <c r="G12" s="398" t="s">
        <v>185</v>
      </c>
      <c r="H12" s="398" t="s">
        <v>156</v>
      </c>
      <c r="I12" s="398" t="s">
        <v>156</v>
      </c>
    </row>
    <row r="13" spans="1:20" x14ac:dyDescent="0.35">
      <c r="A13" s="395" t="s">
        <v>186</v>
      </c>
      <c r="B13" s="396" t="s">
        <v>146</v>
      </c>
      <c r="C13" s="395" t="s">
        <v>147</v>
      </c>
      <c r="D13" s="395">
        <v>135</v>
      </c>
      <c r="E13" s="397">
        <f t="shared" si="0"/>
        <v>236372175</v>
      </c>
      <c r="F13" s="398" t="s">
        <v>187</v>
      </c>
      <c r="G13" s="398" t="s">
        <v>188</v>
      </c>
      <c r="H13" s="398" t="s">
        <v>156</v>
      </c>
      <c r="I13" s="398" t="s">
        <v>156</v>
      </c>
    </row>
    <row r="14" spans="1:20" x14ac:dyDescent="0.35">
      <c r="A14" s="395" t="s">
        <v>189</v>
      </c>
      <c r="B14" s="396" t="s">
        <v>146</v>
      </c>
      <c r="C14" s="395" t="s">
        <v>147</v>
      </c>
      <c r="D14" s="395">
        <v>135</v>
      </c>
      <c r="E14" s="397">
        <f t="shared" si="0"/>
        <v>236372175</v>
      </c>
      <c r="F14" s="398" t="s">
        <v>190</v>
      </c>
      <c r="G14" s="398" t="s">
        <v>191</v>
      </c>
      <c r="H14" s="398" t="s">
        <v>163</v>
      </c>
      <c r="I14" s="398" t="s">
        <v>192</v>
      </c>
    </row>
    <row r="15" spans="1:20" x14ac:dyDescent="0.35">
      <c r="A15" s="395" t="s">
        <v>193</v>
      </c>
      <c r="B15" s="396" t="s">
        <v>146</v>
      </c>
      <c r="C15" s="395" t="s">
        <v>147</v>
      </c>
      <c r="D15" s="395">
        <v>135</v>
      </c>
      <c r="E15" s="397">
        <f t="shared" si="0"/>
        <v>236372175</v>
      </c>
      <c r="F15" s="398" t="s">
        <v>194</v>
      </c>
      <c r="G15" s="398" t="s">
        <v>181</v>
      </c>
      <c r="H15" s="398" t="s">
        <v>150</v>
      </c>
      <c r="I15" s="398" t="s">
        <v>182</v>
      </c>
    </row>
    <row r="16" spans="1:20" x14ac:dyDescent="0.35">
      <c r="A16" s="395" t="s">
        <v>195</v>
      </c>
      <c r="B16" s="396" t="s">
        <v>146</v>
      </c>
      <c r="C16" s="395" t="s">
        <v>147</v>
      </c>
      <c r="D16" s="395">
        <v>135</v>
      </c>
      <c r="E16" s="397">
        <f t="shared" si="0"/>
        <v>236372175</v>
      </c>
      <c r="F16" s="398" t="s">
        <v>196</v>
      </c>
      <c r="G16" s="398" t="s">
        <v>170</v>
      </c>
      <c r="H16" s="398" t="s">
        <v>156</v>
      </c>
      <c r="I16" s="398" t="s">
        <v>156</v>
      </c>
    </row>
    <row r="17" spans="1:9" x14ac:dyDescent="0.35">
      <c r="A17" s="395" t="s">
        <v>197</v>
      </c>
      <c r="B17" s="396" t="s">
        <v>146</v>
      </c>
      <c r="C17" s="395" t="s">
        <v>147</v>
      </c>
      <c r="D17" s="395">
        <v>135</v>
      </c>
      <c r="E17" s="397">
        <f t="shared" si="0"/>
        <v>236372175</v>
      </c>
      <c r="F17" s="398" t="s">
        <v>198</v>
      </c>
      <c r="G17" s="398" t="s">
        <v>178</v>
      </c>
      <c r="H17" s="398" t="s">
        <v>156</v>
      </c>
      <c r="I17" s="398" t="s">
        <v>156</v>
      </c>
    </row>
    <row r="18" spans="1:9" x14ac:dyDescent="0.35">
      <c r="A18" s="395" t="s">
        <v>199</v>
      </c>
      <c r="B18" s="396" t="s">
        <v>146</v>
      </c>
      <c r="C18" s="395" t="s">
        <v>147</v>
      </c>
      <c r="D18" s="395">
        <v>135</v>
      </c>
      <c r="E18" s="397">
        <f t="shared" si="0"/>
        <v>236372175</v>
      </c>
      <c r="F18" s="398" t="s">
        <v>198</v>
      </c>
      <c r="G18" s="398" t="s">
        <v>200</v>
      </c>
      <c r="H18" s="398" t="s">
        <v>156</v>
      </c>
      <c r="I18" s="398" t="s">
        <v>156</v>
      </c>
    </row>
    <row r="19" spans="1:9" x14ac:dyDescent="0.35">
      <c r="A19" s="395" t="s">
        <v>201</v>
      </c>
      <c r="B19" s="396" t="s">
        <v>146</v>
      </c>
      <c r="C19" s="395" t="s">
        <v>147</v>
      </c>
      <c r="D19" s="395">
        <v>135</v>
      </c>
      <c r="E19" s="397">
        <f t="shared" si="0"/>
        <v>236372175</v>
      </c>
      <c r="F19" s="398" t="s">
        <v>202</v>
      </c>
      <c r="G19" s="398" t="s">
        <v>203</v>
      </c>
      <c r="H19" s="398" t="s">
        <v>156</v>
      </c>
      <c r="I19" s="398" t="s">
        <v>156</v>
      </c>
    </row>
    <row r="20" spans="1:9" x14ac:dyDescent="0.35">
      <c r="A20" s="395" t="s">
        <v>204</v>
      </c>
      <c r="B20" s="396" t="s">
        <v>146</v>
      </c>
      <c r="C20" s="395" t="s">
        <v>147</v>
      </c>
      <c r="D20" s="395">
        <v>135</v>
      </c>
      <c r="E20" s="397">
        <f t="shared" si="0"/>
        <v>236372175</v>
      </c>
      <c r="F20" s="398" t="s">
        <v>202</v>
      </c>
      <c r="G20" s="398" t="s">
        <v>205</v>
      </c>
      <c r="H20" s="398" t="s">
        <v>156</v>
      </c>
      <c r="I20" s="398" t="s">
        <v>156</v>
      </c>
    </row>
    <row r="21" spans="1:9" x14ac:dyDescent="0.35">
      <c r="A21" s="395" t="s">
        <v>206</v>
      </c>
      <c r="B21" s="396" t="s">
        <v>146</v>
      </c>
      <c r="C21" s="395" t="s">
        <v>147</v>
      </c>
      <c r="D21" s="395">
        <v>135</v>
      </c>
      <c r="E21" s="397">
        <f t="shared" si="0"/>
        <v>236372175</v>
      </c>
      <c r="F21" s="398" t="s">
        <v>202</v>
      </c>
      <c r="G21" s="398" t="s">
        <v>185</v>
      </c>
      <c r="H21" s="398" t="s">
        <v>156</v>
      </c>
      <c r="I21" s="398" t="s">
        <v>156</v>
      </c>
    </row>
    <row r="22" spans="1:9" x14ac:dyDescent="0.35">
      <c r="A22" s="395" t="s">
        <v>207</v>
      </c>
      <c r="B22" s="396" t="s">
        <v>146</v>
      </c>
      <c r="C22" s="395" t="s">
        <v>147</v>
      </c>
      <c r="D22" s="395">
        <v>135</v>
      </c>
      <c r="E22" s="397">
        <f t="shared" si="0"/>
        <v>236372175</v>
      </c>
      <c r="F22" s="398" t="s">
        <v>208</v>
      </c>
      <c r="G22" s="398" t="s">
        <v>209</v>
      </c>
      <c r="H22" s="398" t="s">
        <v>156</v>
      </c>
      <c r="I22" s="398" t="s">
        <v>156</v>
      </c>
    </row>
    <row r="23" spans="1:9" x14ac:dyDescent="0.35">
      <c r="A23" s="395" t="s">
        <v>210</v>
      </c>
      <c r="B23" s="396" t="s">
        <v>146</v>
      </c>
      <c r="C23" s="395" t="s">
        <v>147</v>
      </c>
      <c r="D23" s="395">
        <v>135</v>
      </c>
      <c r="E23" s="397">
        <f t="shared" si="0"/>
        <v>236372175</v>
      </c>
      <c r="F23" s="398" t="s">
        <v>211</v>
      </c>
      <c r="G23" s="398" t="s">
        <v>200</v>
      </c>
      <c r="H23" s="398" t="s">
        <v>156</v>
      </c>
      <c r="I23" s="398" t="s">
        <v>156</v>
      </c>
    </row>
    <row r="24" spans="1:9" x14ac:dyDescent="0.35">
      <c r="A24" s="395" t="s">
        <v>212</v>
      </c>
      <c r="B24" s="396" t="s">
        <v>146</v>
      </c>
      <c r="C24" s="395" t="s">
        <v>147</v>
      </c>
      <c r="D24" s="395">
        <v>135</v>
      </c>
      <c r="E24" s="397">
        <f t="shared" si="0"/>
        <v>236372175</v>
      </c>
      <c r="F24" s="398" t="s">
        <v>213</v>
      </c>
      <c r="G24" s="398" t="s">
        <v>149</v>
      </c>
      <c r="H24" s="398" t="s">
        <v>156</v>
      </c>
      <c r="I24" s="398" t="s">
        <v>156</v>
      </c>
    </row>
    <row r="25" spans="1:9" x14ac:dyDescent="0.35">
      <c r="A25" s="395" t="s">
        <v>214</v>
      </c>
      <c r="B25" s="396" t="s">
        <v>146</v>
      </c>
      <c r="C25" s="395" t="s">
        <v>147</v>
      </c>
      <c r="D25" s="395">
        <v>135</v>
      </c>
      <c r="E25" s="397">
        <f t="shared" si="0"/>
        <v>236372175</v>
      </c>
      <c r="F25" s="398" t="s">
        <v>215</v>
      </c>
      <c r="G25" s="398" t="s">
        <v>216</v>
      </c>
      <c r="H25" s="398" t="s">
        <v>156</v>
      </c>
      <c r="I25" s="398" t="s">
        <v>156</v>
      </c>
    </row>
    <row r="26" spans="1:9" x14ac:dyDescent="0.35">
      <c r="A26" s="395" t="s">
        <v>217</v>
      </c>
      <c r="B26" s="396" t="s">
        <v>146</v>
      </c>
      <c r="C26" s="395" t="s">
        <v>147</v>
      </c>
      <c r="D26" s="395">
        <v>135</v>
      </c>
      <c r="E26" s="397">
        <f t="shared" si="0"/>
        <v>236372175</v>
      </c>
      <c r="F26" s="398" t="s">
        <v>218</v>
      </c>
      <c r="G26" s="398" t="s">
        <v>170</v>
      </c>
      <c r="H26" s="398" t="s">
        <v>156</v>
      </c>
      <c r="I26" s="398" t="s">
        <v>156</v>
      </c>
    </row>
    <row r="27" spans="1:9" x14ac:dyDescent="0.35">
      <c r="A27" s="395" t="s">
        <v>219</v>
      </c>
      <c r="B27" s="396" t="s">
        <v>146</v>
      </c>
      <c r="C27" s="395" t="s">
        <v>147</v>
      </c>
      <c r="D27" s="395">
        <v>135</v>
      </c>
      <c r="E27" s="397">
        <f t="shared" si="0"/>
        <v>236372175</v>
      </c>
      <c r="F27" s="398" t="s">
        <v>220</v>
      </c>
      <c r="G27" s="398" t="s">
        <v>221</v>
      </c>
      <c r="H27" s="398" t="s">
        <v>156</v>
      </c>
      <c r="I27" s="398" t="s">
        <v>156</v>
      </c>
    </row>
    <row r="28" spans="1:9" x14ac:dyDescent="0.35">
      <c r="A28" s="395" t="s">
        <v>222</v>
      </c>
      <c r="B28" s="396" t="s">
        <v>146</v>
      </c>
      <c r="C28" s="395" t="s">
        <v>147</v>
      </c>
      <c r="D28" s="395">
        <v>135</v>
      </c>
      <c r="E28" s="397">
        <f t="shared" si="0"/>
        <v>236372175</v>
      </c>
      <c r="F28" s="398" t="s">
        <v>223</v>
      </c>
      <c r="G28" s="398" t="s">
        <v>224</v>
      </c>
      <c r="H28" s="398" t="s">
        <v>156</v>
      </c>
      <c r="I28" s="398" t="s">
        <v>156</v>
      </c>
    </row>
    <row r="29" spans="1:9" x14ac:dyDescent="0.35">
      <c r="A29" s="395" t="s">
        <v>225</v>
      </c>
      <c r="B29" s="396" t="s">
        <v>146</v>
      </c>
      <c r="C29" s="395" t="s">
        <v>147</v>
      </c>
      <c r="D29" s="395">
        <v>135</v>
      </c>
      <c r="E29" s="397">
        <f t="shared" si="0"/>
        <v>236372175</v>
      </c>
      <c r="F29" s="398" t="s">
        <v>226</v>
      </c>
      <c r="G29" s="398" t="s">
        <v>227</v>
      </c>
      <c r="H29" s="398" t="s">
        <v>156</v>
      </c>
      <c r="I29" s="398" t="s">
        <v>156</v>
      </c>
    </row>
    <row r="30" spans="1:9" x14ac:dyDescent="0.35">
      <c r="A30" s="395" t="s">
        <v>228</v>
      </c>
      <c r="B30" s="396" t="s">
        <v>146</v>
      </c>
      <c r="C30" s="395" t="s">
        <v>147</v>
      </c>
      <c r="D30" s="395">
        <v>135</v>
      </c>
      <c r="E30" s="397">
        <f t="shared" si="0"/>
        <v>236372175</v>
      </c>
      <c r="F30" s="398" t="s">
        <v>229</v>
      </c>
      <c r="G30" s="398" t="s">
        <v>170</v>
      </c>
      <c r="H30" s="398" t="s">
        <v>156</v>
      </c>
      <c r="I30" s="398" t="s">
        <v>156</v>
      </c>
    </row>
    <row r="31" spans="1:9" x14ac:dyDescent="0.35">
      <c r="A31" s="395" t="s">
        <v>230</v>
      </c>
      <c r="B31" s="396" t="s">
        <v>146</v>
      </c>
      <c r="C31" s="395" t="s">
        <v>147</v>
      </c>
      <c r="D31" s="395">
        <v>135</v>
      </c>
      <c r="E31" s="397">
        <f t="shared" si="0"/>
        <v>236372175</v>
      </c>
      <c r="F31" s="398" t="s">
        <v>231</v>
      </c>
      <c r="G31" s="398" t="s">
        <v>167</v>
      </c>
      <c r="H31" s="398" t="s">
        <v>156</v>
      </c>
      <c r="I31" s="398" t="s">
        <v>156</v>
      </c>
    </row>
    <row r="32" spans="1:9" x14ac:dyDescent="0.35">
      <c r="A32" s="395" t="s">
        <v>232</v>
      </c>
      <c r="B32" s="396" t="s">
        <v>146</v>
      </c>
      <c r="C32" s="395" t="s">
        <v>147</v>
      </c>
      <c r="D32" s="395">
        <v>135</v>
      </c>
      <c r="E32" s="397">
        <f t="shared" si="0"/>
        <v>236372175</v>
      </c>
      <c r="F32" s="398" t="s">
        <v>233</v>
      </c>
      <c r="G32" s="398" t="s">
        <v>173</v>
      </c>
      <c r="H32" s="398" t="s">
        <v>156</v>
      </c>
      <c r="I32" s="398" t="s">
        <v>156</v>
      </c>
    </row>
    <row r="33" spans="1:9" x14ac:dyDescent="0.35">
      <c r="A33" s="395" t="s">
        <v>234</v>
      </c>
      <c r="B33" s="396" t="s">
        <v>146</v>
      </c>
      <c r="C33" s="395" t="s">
        <v>147</v>
      </c>
      <c r="D33" s="395">
        <v>135</v>
      </c>
      <c r="E33" s="397">
        <f t="shared" si="0"/>
        <v>236372175</v>
      </c>
      <c r="F33" s="398" t="s">
        <v>235</v>
      </c>
      <c r="G33" s="398" t="s">
        <v>227</v>
      </c>
      <c r="H33" s="398" t="s">
        <v>156</v>
      </c>
      <c r="I33" s="398" t="s">
        <v>156</v>
      </c>
    </row>
    <row r="34" spans="1:9" x14ac:dyDescent="0.35">
      <c r="A34" s="395" t="s">
        <v>236</v>
      </c>
      <c r="B34" s="396" t="s">
        <v>146</v>
      </c>
      <c r="C34" s="395" t="s">
        <v>147</v>
      </c>
      <c r="D34" s="395">
        <v>135</v>
      </c>
      <c r="E34" s="397">
        <f t="shared" si="0"/>
        <v>236372175</v>
      </c>
      <c r="F34" s="398" t="s">
        <v>237</v>
      </c>
      <c r="G34" s="398" t="s">
        <v>149</v>
      </c>
      <c r="H34" s="398" t="s">
        <v>156</v>
      </c>
      <c r="I34" s="398" t="s">
        <v>156</v>
      </c>
    </row>
    <row r="35" spans="1:9" x14ac:dyDescent="0.35">
      <c r="A35" s="395" t="s">
        <v>238</v>
      </c>
      <c r="B35" s="396" t="s">
        <v>146</v>
      </c>
      <c r="C35" s="395" t="s">
        <v>147</v>
      </c>
      <c r="D35" s="395">
        <v>135</v>
      </c>
      <c r="E35" s="397">
        <f t="shared" si="0"/>
        <v>236372175</v>
      </c>
      <c r="F35" s="398" t="s">
        <v>239</v>
      </c>
      <c r="G35" s="398" t="s">
        <v>149</v>
      </c>
      <c r="H35" s="398" t="s">
        <v>240</v>
      </c>
      <c r="I35" s="398" t="s">
        <v>151</v>
      </c>
    </row>
    <row r="36" spans="1:9" x14ac:dyDescent="0.35">
      <c r="A36" s="395" t="s">
        <v>241</v>
      </c>
      <c r="B36" s="396" t="s">
        <v>146</v>
      </c>
      <c r="C36" s="395" t="s">
        <v>147</v>
      </c>
      <c r="D36" s="395">
        <v>135</v>
      </c>
      <c r="E36" s="397">
        <f t="shared" si="0"/>
        <v>236372175</v>
      </c>
      <c r="F36" s="398" t="s">
        <v>242</v>
      </c>
      <c r="G36" s="398" t="s">
        <v>227</v>
      </c>
      <c r="H36" s="398" t="s">
        <v>156</v>
      </c>
      <c r="I36" s="398" t="s">
        <v>156</v>
      </c>
    </row>
    <row r="37" spans="1:9" x14ac:dyDescent="0.35">
      <c r="A37" s="395" t="s">
        <v>243</v>
      </c>
      <c r="B37" s="396" t="s">
        <v>146</v>
      </c>
      <c r="C37" s="395" t="s">
        <v>147</v>
      </c>
      <c r="D37" s="395">
        <v>135</v>
      </c>
      <c r="E37" s="397">
        <f t="shared" si="0"/>
        <v>236372175</v>
      </c>
      <c r="F37" s="398" t="s">
        <v>244</v>
      </c>
      <c r="G37" s="398" t="s">
        <v>178</v>
      </c>
      <c r="H37" s="398" t="s">
        <v>150</v>
      </c>
      <c r="I37" s="398" t="s">
        <v>164</v>
      </c>
    </row>
    <row r="38" spans="1:9" x14ac:dyDescent="0.35">
      <c r="A38" s="395" t="s">
        <v>245</v>
      </c>
      <c r="B38" s="396" t="s">
        <v>146</v>
      </c>
      <c r="C38" s="395" t="s">
        <v>147</v>
      </c>
      <c r="D38" s="395">
        <v>135</v>
      </c>
      <c r="E38" s="397">
        <f t="shared" si="0"/>
        <v>236372175</v>
      </c>
      <c r="F38" s="398" t="s">
        <v>246</v>
      </c>
      <c r="G38" s="398" t="s">
        <v>200</v>
      </c>
      <c r="H38" s="398" t="s">
        <v>156</v>
      </c>
      <c r="I38" s="398" t="s">
        <v>156</v>
      </c>
    </row>
    <row r="39" spans="1:9" x14ac:dyDescent="0.35">
      <c r="A39" s="395" t="s">
        <v>247</v>
      </c>
      <c r="B39" s="396" t="s">
        <v>146</v>
      </c>
      <c r="C39" s="395" t="s">
        <v>147</v>
      </c>
      <c r="D39" s="395">
        <v>135</v>
      </c>
      <c r="E39" s="397">
        <f t="shared" si="0"/>
        <v>236372175</v>
      </c>
      <c r="F39" s="398" t="s">
        <v>248</v>
      </c>
      <c r="G39" s="398" t="s">
        <v>209</v>
      </c>
      <c r="H39" s="398" t="s">
        <v>150</v>
      </c>
      <c r="I39" s="398" t="s">
        <v>249</v>
      </c>
    </row>
    <row r="40" spans="1:9" x14ac:dyDescent="0.35">
      <c r="A40" s="395" t="s">
        <v>250</v>
      </c>
      <c r="B40" s="396" t="s">
        <v>146</v>
      </c>
      <c r="C40" s="395" t="s">
        <v>147</v>
      </c>
      <c r="D40" s="395">
        <v>135</v>
      </c>
      <c r="E40" s="397">
        <f t="shared" si="0"/>
        <v>236372175</v>
      </c>
      <c r="F40" s="398" t="s">
        <v>251</v>
      </c>
      <c r="G40" s="398" t="s">
        <v>149</v>
      </c>
      <c r="H40" s="398" t="s">
        <v>240</v>
      </c>
      <c r="I40" s="398" t="s">
        <v>151</v>
      </c>
    </row>
    <row r="41" spans="1:9" x14ac:dyDescent="0.35">
      <c r="A41" s="395" t="s">
        <v>252</v>
      </c>
      <c r="B41" s="396" t="s">
        <v>146</v>
      </c>
      <c r="C41" s="395" t="s">
        <v>147</v>
      </c>
      <c r="D41" s="395">
        <v>135</v>
      </c>
      <c r="E41" s="397">
        <f t="shared" si="0"/>
        <v>236372175</v>
      </c>
      <c r="F41" s="398" t="s">
        <v>253</v>
      </c>
      <c r="G41" s="398" t="s">
        <v>149</v>
      </c>
      <c r="H41" s="398" t="s">
        <v>156</v>
      </c>
      <c r="I41" s="398" t="s">
        <v>156</v>
      </c>
    </row>
    <row r="42" spans="1:9" x14ac:dyDescent="0.35">
      <c r="A42" s="395" t="s">
        <v>254</v>
      </c>
      <c r="B42" s="396" t="s">
        <v>146</v>
      </c>
      <c r="C42" s="395" t="s">
        <v>147</v>
      </c>
      <c r="D42" s="395">
        <v>135</v>
      </c>
      <c r="E42" s="397">
        <f t="shared" si="0"/>
        <v>236372175</v>
      </c>
      <c r="F42" s="398" t="s">
        <v>255</v>
      </c>
      <c r="G42" s="398" t="s">
        <v>149</v>
      </c>
      <c r="H42" s="398" t="s">
        <v>156</v>
      </c>
      <c r="I42" s="398" t="s">
        <v>156</v>
      </c>
    </row>
    <row r="43" spans="1:9" x14ac:dyDescent="0.35">
      <c r="A43" s="395" t="s">
        <v>256</v>
      </c>
      <c r="B43" s="396" t="s">
        <v>146</v>
      </c>
      <c r="C43" s="395" t="s">
        <v>147</v>
      </c>
      <c r="D43" s="395">
        <v>135</v>
      </c>
      <c r="E43" s="397">
        <f t="shared" si="0"/>
        <v>236372175</v>
      </c>
      <c r="F43" s="398" t="s">
        <v>257</v>
      </c>
      <c r="G43" s="398" t="s">
        <v>178</v>
      </c>
      <c r="H43" s="398" t="s">
        <v>150</v>
      </c>
      <c r="I43" s="398" t="s">
        <v>164</v>
      </c>
    </row>
    <row r="44" spans="1:9" x14ac:dyDescent="0.35">
      <c r="A44" s="395" t="s">
        <v>258</v>
      </c>
      <c r="B44" s="396" t="s">
        <v>146</v>
      </c>
      <c r="C44" s="395" t="s">
        <v>147</v>
      </c>
      <c r="D44" s="395">
        <v>135</v>
      </c>
      <c r="E44" s="397">
        <f t="shared" si="0"/>
        <v>236372175</v>
      </c>
      <c r="F44" s="398" t="s">
        <v>259</v>
      </c>
      <c r="G44" s="398" t="s">
        <v>149</v>
      </c>
      <c r="H44" s="398" t="s">
        <v>240</v>
      </c>
      <c r="I44" s="398" t="s">
        <v>151</v>
      </c>
    </row>
    <row r="45" spans="1:9" x14ac:dyDescent="0.35">
      <c r="A45" s="395" t="s">
        <v>260</v>
      </c>
      <c r="B45" s="396" t="s">
        <v>146</v>
      </c>
      <c r="C45" s="395" t="s">
        <v>147</v>
      </c>
      <c r="D45" s="395">
        <v>135</v>
      </c>
      <c r="E45" s="397">
        <f t="shared" si="0"/>
        <v>236372175</v>
      </c>
      <c r="F45" s="398" t="s">
        <v>261</v>
      </c>
      <c r="G45" s="398" t="s">
        <v>188</v>
      </c>
      <c r="H45" s="398" t="s">
        <v>163</v>
      </c>
      <c r="I45" s="398" t="s">
        <v>249</v>
      </c>
    </row>
    <row r="46" spans="1:9" x14ac:dyDescent="0.35">
      <c r="A46" s="395" t="s">
        <v>262</v>
      </c>
      <c r="B46" s="396" t="s">
        <v>146</v>
      </c>
      <c r="C46" s="395" t="s">
        <v>147</v>
      </c>
      <c r="D46" s="395">
        <v>135</v>
      </c>
      <c r="E46" s="397">
        <f t="shared" si="0"/>
        <v>236372175</v>
      </c>
      <c r="F46" s="398" t="s">
        <v>263</v>
      </c>
      <c r="G46" s="398" t="s">
        <v>209</v>
      </c>
      <c r="H46" s="398" t="s">
        <v>156</v>
      </c>
      <c r="I46" s="398" t="s">
        <v>156</v>
      </c>
    </row>
    <row r="47" spans="1:9" x14ac:dyDescent="0.35">
      <c r="A47" s="395" t="s">
        <v>264</v>
      </c>
      <c r="B47" s="396" t="s">
        <v>146</v>
      </c>
      <c r="C47" s="395" t="s">
        <v>147</v>
      </c>
      <c r="D47" s="395">
        <v>135</v>
      </c>
      <c r="E47" s="397">
        <f t="shared" si="0"/>
        <v>236372175</v>
      </c>
      <c r="F47" s="398" t="s">
        <v>265</v>
      </c>
      <c r="G47" s="398" t="s">
        <v>149</v>
      </c>
      <c r="H47" s="398" t="s">
        <v>156</v>
      </c>
      <c r="I47" s="398" t="s">
        <v>156</v>
      </c>
    </row>
    <row r="48" spans="1:9" x14ac:dyDescent="0.35">
      <c r="A48" s="395" t="s">
        <v>266</v>
      </c>
      <c r="B48" s="396" t="s">
        <v>146</v>
      </c>
      <c r="C48" s="395" t="s">
        <v>147</v>
      </c>
      <c r="D48" s="395">
        <v>135</v>
      </c>
      <c r="E48" s="397">
        <f t="shared" si="0"/>
        <v>236372175</v>
      </c>
      <c r="F48" s="398" t="s">
        <v>267</v>
      </c>
      <c r="G48" s="398" t="s">
        <v>227</v>
      </c>
      <c r="H48" s="398" t="s">
        <v>156</v>
      </c>
      <c r="I48" s="398" t="s">
        <v>156</v>
      </c>
    </row>
    <row r="49" spans="1:9" x14ac:dyDescent="0.35">
      <c r="A49" s="395" t="s">
        <v>268</v>
      </c>
      <c r="B49" s="396" t="s">
        <v>146</v>
      </c>
      <c r="C49" s="395" t="s">
        <v>147</v>
      </c>
      <c r="D49" s="395">
        <v>135</v>
      </c>
      <c r="E49" s="397">
        <f t="shared" si="0"/>
        <v>236372175</v>
      </c>
      <c r="F49" s="398" t="s">
        <v>269</v>
      </c>
      <c r="G49" s="398" t="s">
        <v>149</v>
      </c>
      <c r="H49" s="398" t="s">
        <v>240</v>
      </c>
      <c r="I49" s="398" t="s">
        <v>151</v>
      </c>
    </row>
    <row r="50" spans="1:9" x14ac:dyDescent="0.35">
      <c r="A50" s="395" t="s">
        <v>270</v>
      </c>
      <c r="B50" s="396" t="s">
        <v>146</v>
      </c>
      <c r="C50" s="395" t="s">
        <v>147</v>
      </c>
      <c r="D50" s="395">
        <v>135</v>
      </c>
      <c r="E50" s="397">
        <f t="shared" si="0"/>
        <v>236372175</v>
      </c>
      <c r="F50" s="398" t="s">
        <v>271</v>
      </c>
      <c r="G50" s="398" t="s">
        <v>272</v>
      </c>
      <c r="H50" s="398" t="s">
        <v>156</v>
      </c>
      <c r="I50" s="398" t="s">
        <v>156</v>
      </c>
    </row>
    <row r="51" spans="1:9" x14ac:dyDescent="0.35">
      <c r="A51" s="395" t="s">
        <v>273</v>
      </c>
      <c r="B51" s="396" t="s">
        <v>146</v>
      </c>
      <c r="C51" s="395" t="s">
        <v>147</v>
      </c>
      <c r="D51" s="395">
        <v>135</v>
      </c>
      <c r="E51" s="397">
        <f t="shared" si="0"/>
        <v>236372175</v>
      </c>
      <c r="F51" s="398" t="s">
        <v>274</v>
      </c>
      <c r="G51" s="398" t="s">
        <v>178</v>
      </c>
      <c r="H51" s="398" t="s">
        <v>156</v>
      </c>
      <c r="I51" s="398" t="s">
        <v>156</v>
      </c>
    </row>
    <row r="52" spans="1:9" x14ac:dyDescent="0.35">
      <c r="A52" s="395" t="s">
        <v>275</v>
      </c>
      <c r="B52" s="396" t="s">
        <v>146</v>
      </c>
      <c r="C52" s="395" t="s">
        <v>147</v>
      </c>
      <c r="D52" s="395">
        <v>135</v>
      </c>
      <c r="E52" s="397">
        <f t="shared" si="0"/>
        <v>236372175</v>
      </c>
      <c r="F52" s="398" t="s">
        <v>276</v>
      </c>
      <c r="G52" s="398" t="s">
        <v>224</v>
      </c>
      <c r="H52" s="398" t="s">
        <v>156</v>
      </c>
      <c r="I52" s="398" t="s">
        <v>156</v>
      </c>
    </row>
    <row r="53" spans="1:9" x14ac:dyDescent="0.35">
      <c r="A53" s="395" t="s">
        <v>277</v>
      </c>
      <c r="B53" s="396" t="s">
        <v>146</v>
      </c>
      <c r="C53" s="395" t="s">
        <v>147</v>
      </c>
      <c r="D53" s="395">
        <v>135</v>
      </c>
      <c r="E53" s="397">
        <f t="shared" si="0"/>
        <v>236372175</v>
      </c>
      <c r="F53" s="398" t="s">
        <v>278</v>
      </c>
      <c r="G53" s="398" t="s">
        <v>216</v>
      </c>
      <c r="H53" s="398" t="s">
        <v>156</v>
      </c>
      <c r="I53" s="398" t="s">
        <v>156</v>
      </c>
    </row>
    <row r="54" spans="1:9" x14ac:dyDescent="0.35">
      <c r="A54" s="395" t="s">
        <v>279</v>
      </c>
      <c r="B54" s="396" t="s">
        <v>146</v>
      </c>
      <c r="C54" s="395" t="s">
        <v>147</v>
      </c>
      <c r="D54" s="395">
        <v>135</v>
      </c>
      <c r="E54" s="397">
        <f t="shared" si="0"/>
        <v>236372175</v>
      </c>
      <c r="F54" s="398" t="s">
        <v>280</v>
      </c>
      <c r="G54" s="398" t="s">
        <v>188</v>
      </c>
      <c r="H54" s="398" t="s">
        <v>156</v>
      </c>
      <c r="I54" s="398" t="s">
        <v>156</v>
      </c>
    </row>
    <row r="55" spans="1:9" x14ac:dyDescent="0.35">
      <c r="A55" s="395" t="s">
        <v>281</v>
      </c>
      <c r="B55" s="396" t="s">
        <v>146</v>
      </c>
      <c r="C55" s="395" t="s">
        <v>147</v>
      </c>
      <c r="D55" s="395">
        <v>135</v>
      </c>
      <c r="E55" s="397">
        <f t="shared" si="0"/>
        <v>236372175</v>
      </c>
      <c r="F55" s="398" t="s">
        <v>282</v>
      </c>
      <c r="G55" s="398" t="s">
        <v>185</v>
      </c>
      <c r="H55" s="398" t="s">
        <v>156</v>
      </c>
      <c r="I55" s="398" t="s">
        <v>156</v>
      </c>
    </row>
    <row r="56" spans="1:9" x14ac:dyDescent="0.35">
      <c r="A56" s="395" t="s">
        <v>283</v>
      </c>
      <c r="B56" s="396" t="s">
        <v>160</v>
      </c>
      <c r="C56" s="395" t="s">
        <v>147</v>
      </c>
      <c r="D56" s="395">
        <v>135</v>
      </c>
      <c r="E56" s="397">
        <f t="shared" si="0"/>
        <v>236372175</v>
      </c>
      <c r="F56" s="398" t="s">
        <v>284</v>
      </c>
      <c r="G56" s="398" t="s">
        <v>285</v>
      </c>
      <c r="H56" s="398" t="s">
        <v>240</v>
      </c>
      <c r="I56" s="398" t="s">
        <v>192</v>
      </c>
    </row>
    <row r="57" spans="1:9" x14ac:dyDescent="0.35">
      <c r="A57" s="395" t="s">
        <v>286</v>
      </c>
      <c r="B57" s="396" t="s">
        <v>146</v>
      </c>
      <c r="C57" s="395" t="s">
        <v>147</v>
      </c>
      <c r="D57" s="395">
        <v>135</v>
      </c>
      <c r="E57" s="397">
        <f t="shared" si="0"/>
        <v>236372175</v>
      </c>
      <c r="F57" s="398" t="s">
        <v>287</v>
      </c>
      <c r="G57" s="398" t="s">
        <v>285</v>
      </c>
      <c r="H57" s="398" t="s">
        <v>156</v>
      </c>
      <c r="I57" s="398" t="s">
        <v>156</v>
      </c>
    </row>
    <row r="58" spans="1:9" x14ac:dyDescent="0.35">
      <c r="A58" s="395" t="s">
        <v>288</v>
      </c>
      <c r="B58" s="396" t="s">
        <v>146</v>
      </c>
      <c r="C58" s="395" t="s">
        <v>147</v>
      </c>
      <c r="D58" s="395">
        <v>135</v>
      </c>
      <c r="E58" s="397">
        <f t="shared" si="0"/>
        <v>236372175</v>
      </c>
      <c r="F58" s="398" t="s">
        <v>289</v>
      </c>
      <c r="G58" s="398" t="s">
        <v>178</v>
      </c>
      <c r="H58" s="398" t="s">
        <v>240</v>
      </c>
      <c r="I58" s="398" t="s">
        <v>164</v>
      </c>
    </row>
    <row r="59" spans="1:9" x14ac:dyDescent="0.35">
      <c r="A59" s="395" t="s">
        <v>290</v>
      </c>
      <c r="B59" s="396" t="s">
        <v>146</v>
      </c>
      <c r="C59" s="395" t="s">
        <v>147</v>
      </c>
      <c r="D59" s="395">
        <v>135</v>
      </c>
      <c r="E59" s="397">
        <f t="shared" si="0"/>
        <v>236372175</v>
      </c>
      <c r="F59" s="398" t="s">
        <v>291</v>
      </c>
      <c r="G59" s="398" t="s">
        <v>200</v>
      </c>
      <c r="H59" s="398" t="s">
        <v>156</v>
      </c>
      <c r="I59" s="398" t="s">
        <v>156</v>
      </c>
    </row>
    <row r="60" spans="1:9" x14ac:dyDescent="0.35">
      <c r="A60" s="395" t="s">
        <v>292</v>
      </c>
      <c r="B60" s="396" t="s">
        <v>146</v>
      </c>
      <c r="C60" s="395" t="s">
        <v>147</v>
      </c>
      <c r="D60" s="395">
        <v>135</v>
      </c>
      <c r="E60" s="397">
        <f t="shared" si="0"/>
        <v>236372175</v>
      </c>
      <c r="F60" s="398" t="s">
        <v>293</v>
      </c>
      <c r="G60" s="398" t="s">
        <v>155</v>
      </c>
      <c r="H60" s="398" t="s">
        <v>156</v>
      </c>
      <c r="I60" s="398" t="s">
        <v>156</v>
      </c>
    </row>
    <row r="61" spans="1:9" x14ac:dyDescent="0.35">
      <c r="A61" s="395" t="s">
        <v>294</v>
      </c>
      <c r="B61" s="396" t="s">
        <v>146</v>
      </c>
      <c r="C61" s="395" t="s">
        <v>147</v>
      </c>
      <c r="D61" s="395">
        <v>135</v>
      </c>
      <c r="E61" s="397">
        <f t="shared" si="0"/>
        <v>236372175</v>
      </c>
      <c r="F61" s="398" t="s">
        <v>295</v>
      </c>
      <c r="G61" s="398" t="s">
        <v>149</v>
      </c>
      <c r="H61" s="398" t="s">
        <v>156</v>
      </c>
      <c r="I61" s="398" t="s">
        <v>156</v>
      </c>
    </row>
    <row r="62" spans="1:9" x14ac:dyDescent="0.35">
      <c r="A62" s="395" t="s">
        <v>296</v>
      </c>
      <c r="B62" s="396" t="s">
        <v>146</v>
      </c>
      <c r="C62" s="395" t="s">
        <v>147</v>
      </c>
      <c r="D62" s="395">
        <v>135</v>
      </c>
      <c r="E62" s="397">
        <f t="shared" si="0"/>
        <v>236372175</v>
      </c>
      <c r="F62" s="398" t="s">
        <v>297</v>
      </c>
      <c r="G62" s="398" t="s">
        <v>224</v>
      </c>
      <c r="H62" s="398" t="s">
        <v>156</v>
      </c>
      <c r="I62" s="398" t="s">
        <v>156</v>
      </c>
    </row>
    <row r="63" spans="1:9" x14ac:dyDescent="0.35">
      <c r="A63" s="395" t="s">
        <v>298</v>
      </c>
      <c r="B63" s="396" t="s">
        <v>146</v>
      </c>
      <c r="C63" s="395" t="s">
        <v>147</v>
      </c>
      <c r="D63" s="395">
        <v>135</v>
      </c>
      <c r="E63" s="397">
        <f t="shared" si="0"/>
        <v>236372175</v>
      </c>
      <c r="F63" s="398" t="s">
        <v>299</v>
      </c>
      <c r="G63" s="398" t="s">
        <v>173</v>
      </c>
      <c r="H63" s="398" t="s">
        <v>156</v>
      </c>
      <c r="I63" s="398" t="s">
        <v>156</v>
      </c>
    </row>
    <row r="64" spans="1:9" x14ac:dyDescent="0.35">
      <c r="A64" s="395" t="s">
        <v>300</v>
      </c>
      <c r="B64" s="396" t="s">
        <v>146</v>
      </c>
      <c r="C64" s="395" t="s">
        <v>147</v>
      </c>
      <c r="D64" s="395">
        <v>135</v>
      </c>
      <c r="E64" s="397">
        <f t="shared" si="0"/>
        <v>236372175</v>
      </c>
      <c r="F64" s="398" t="s">
        <v>301</v>
      </c>
      <c r="G64" s="398" t="s">
        <v>149</v>
      </c>
      <c r="H64" s="398" t="s">
        <v>156</v>
      </c>
      <c r="I64" s="398" t="s">
        <v>156</v>
      </c>
    </row>
    <row r="65" spans="1:9" x14ac:dyDescent="0.35">
      <c r="A65" s="395" t="s">
        <v>302</v>
      </c>
      <c r="B65" s="396" t="s">
        <v>146</v>
      </c>
      <c r="C65" s="395" t="s">
        <v>147</v>
      </c>
      <c r="D65" s="395">
        <v>135</v>
      </c>
      <c r="E65" s="397">
        <f t="shared" si="0"/>
        <v>236372175</v>
      </c>
      <c r="F65" s="398" t="s">
        <v>301</v>
      </c>
      <c r="G65" s="398" t="s">
        <v>221</v>
      </c>
      <c r="H65" s="398" t="s">
        <v>156</v>
      </c>
      <c r="I65" s="398" t="s">
        <v>156</v>
      </c>
    </row>
    <row r="66" spans="1:9" x14ac:dyDescent="0.35">
      <c r="A66" s="395" t="s">
        <v>303</v>
      </c>
      <c r="B66" s="396" t="s">
        <v>146</v>
      </c>
      <c r="C66" s="395" t="s">
        <v>147</v>
      </c>
      <c r="D66" s="395">
        <v>135</v>
      </c>
      <c r="E66" s="397">
        <f t="shared" si="0"/>
        <v>236372175</v>
      </c>
      <c r="F66" s="398" t="s">
        <v>301</v>
      </c>
      <c r="G66" s="398" t="s">
        <v>209</v>
      </c>
      <c r="H66" s="398" t="s">
        <v>156</v>
      </c>
      <c r="I66" s="398" t="s">
        <v>156</v>
      </c>
    </row>
    <row r="67" spans="1:9" x14ac:dyDescent="0.35">
      <c r="A67" s="395" t="s">
        <v>304</v>
      </c>
      <c r="B67" s="396" t="s">
        <v>146</v>
      </c>
      <c r="C67" s="395" t="s">
        <v>147</v>
      </c>
      <c r="D67" s="395">
        <v>135</v>
      </c>
      <c r="E67" s="397">
        <f t="shared" ref="E67:E130" si="2">D67*$S$2</f>
        <v>236372175</v>
      </c>
      <c r="F67" s="398" t="s">
        <v>305</v>
      </c>
      <c r="G67" s="398" t="s">
        <v>216</v>
      </c>
      <c r="H67" s="398" t="s">
        <v>156</v>
      </c>
      <c r="I67" s="398" t="s">
        <v>156</v>
      </c>
    </row>
    <row r="68" spans="1:9" x14ac:dyDescent="0.35">
      <c r="A68" s="395" t="s">
        <v>306</v>
      </c>
      <c r="B68" s="396" t="s">
        <v>146</v>
      </c>
      <c r="C68" s="395" t="s">
        <v>147</v>
      </c>
      <c r="D68" s="395">
        <v>135</v>
      </c>
      <c r="E68" s="397">
        <f t="shared" si="2"/>
        <v>236372175</v>
      </c>
      <c r="F68" s="398" t="s">
        <v>307</v>
      </c>
      <c r="G68" s="398" t="s">
        <v>173</v>
      </c>
      <c r="H68" s="398" t="s">
        <v>150</v>
      </c>
      <c r="I68" s="398" t="s">
        <v>182</v>
      </c>
    </row>
    <row r="69" spans="1:9" x14ac:dyDescent="0.35">
      <c r="A69" s="395" t="s">
        <v>308</v>
      </c>
      <c r="B69" s="396" t="s">
        <v>146</v>
      </c>
      <c r="C69" s="395" t="s">
        <v>147</v>
      </c>
      <c r="D69" s="395">
        <v>135</v>
      </c>
      <c r="E69" s="397">
        <f t="shared" si="2"/>
        <v>236372175</v>
      </c>
      <c r="F69" s="398" t="s">
        <v>309</v>
      </c>
      <c r="G69" s="398" t="s">
        <v>149</v>
      </c>
      <c r="H69" s="398" t="s">
        <v>156</v>
      </c>
      <c r="I69" s="398" t="s">
        <v>156</v>
      </c>
    </row>
    <row r="70" spans="1:9" x14ac:dyDescent="0.35">
      <c r="A70" s="395" t="s">
        <v>310</v>
      </c>
      <c r="B70" s="396" t="s">
        <v>160</v>
      </c>
      <c r="C70" s="395" t="s">
        <v>147</v>
      </c>
      <c r="D70" s="395">
        <v>135</v>
      </c>
      <c r="E70" s="397">
        <f t="shared" si="2"/>
        <v>236372175</v>
      </c>
      <c r="F70" s="398" t="s">
        <v>309</v>
      </c>
      <c r="G70" s="398" t="s">
        <v>311</v>
      </c>
      <c r="H70" s="398" t="s">
        <v>163</v>
      </c>
      <c r="I70" s="398" t="s">
        <v>249</v>
      </c>
    </row>
    <row r="71" spans="1:9" x14ac:dyDescent="0.35">
      <c r="A71" s="395" t="s">
        <v>312</v>
      </c>
      <c r="B71" s="396" t="s">
        <v>146</v>
      </c>
      <c r="C71" s="395" t="s">
        <v>147</v>
      </c>
      <c r="D71" s="395">
        <v>135</v>
      </c>
      <c r="E71" s="397">
        <f t="shared" si="2"/>
        <v>236372175</v>
      </c>
      <c r="F71" s="398" t="s">
        <v>313</v>
      </c>
      <c r="G71" s="398" t="s">
        <v>227</v>
      </c>
      <c r="H71" s="398" t="s">
        <v>163</v>
      </c>
      <c r="I71" s="398" t="s">
        <v>164</v>
      </c>
    </row>
    <row r="72" spans="1:9" x14ac:dyDescent="0.35">
      <c r="A72" s="395" t="s">
        <v>314</v>
      </c>
      <c r="B72" s="396" t="s">
        <v>146</v>
      </c>
      <c r="C72" s="395" t="s">
        <v>147</v>
      </c>
      <c r="D72" s="395">
        <v>135</v>
      </c>
      <c r="E72" s="397">
        <f t="shared" si="2"/>
        <v>236372175</v>
      </c>
      <c r="F72" s="398" t="s">
        <v>315</v>
      </c>
      <c r="G72" s="398" t="s">
        <v>173</v>
      </c>
      <c r="H72" s="398" t="s">
        <v>156</v>
      </c>
      <c r="I72" s="398" t="s">
        <v>156</v>
      </c>
    </row>
    <row r="73" spans="1:9" x14ac:dyDescent="0.35">
      <c r="A73" s="395" t="s">
        <v>316</v>
      </c>
      <c r="B73" s="396" t="s">
        <v>146</v>
      </c>
      <c r="C73" s="395" t="s">
        <v>147</v>
      </c>
      <c r="D73" s="395">
        <v>135</v>
      </c>
      <c r="E73" s="397">
        <f t="shared" si="2"/>
        <v>236372175</v>
      </c>
      <c r="F73" s="398" t="s">
        <v>317</v>
      </c>
      <c r="G73" s="398" t="s">
        <v>181</v>
      </c>
      <c r="H73" s="398" t="s">
        <v>156</v>
      </c>
      <c r="I73" s="398" t="s">
        <v>156</v>
      </c>
    </row>
    <row r="74" spans="1:9" x14ac:dyDescent="0.35">
      <c r="A74" s="395" t="s">
        <v>318</v>
      </c>
      <c r="B74" s="396" t="s">
        <v>146</v>
      </c>
      <c r="C74" s="395" t="s">
        <v>147</v>
      </c>
      <c r="D74" s="395">
        <v>135</v>
      </c>
      <c r="E74" s="397">
        <f t="shared" si="2"/>
        <v>236372175</v>
      </c>
      <c r="F74" s="398" t="s">
        <v>319</v>
      </c>
      <c r="G74" s="398" t="s">
        <v>227</v>
      </c>
      <c r="H74" s="398" t="s">
        <v>156</v>
      </c>
      <c r="I74" s="398" t="s">
        <v>156</v>
      </c>
    </row>
    <row r="75" spans="1:9" x14ac:dyDescent="0.35">
      <c r="A75" s="395" t="s">
        <v>320</v>
      </c>
      <c r="B75" s="396" t="s">
        <v>146</v>
      </c>
      <c r="C75" s="395" t="s">
        <v>147</v>
      </c>
      <c r="D75" s="395">
        <v>135</v>
      </c>
      <c r="E75" s="397">
        <f t="shared" si="2"/>
        <v>236372175</v>
      </c>
      <c r="F75" s="398" t="s">
        <v>321</v>
      </c>
      <c r="G75" s="398" t="s">
        <v>167</v>
      </c>
      <c r="H75" s="398" t="s">
        <v>156</v>
      </c>
      <c r="I75" s="398" t="s">
        <v>156</v>
      </c>
    </row>
    <row r="76" spans="1:9" x14ac:dyDescent="0.35">
      <c r="A76" s="395" t="s">
        <v>322</v>
      </c>
      <c r="B76" s="396" t="s">
        <v>146</v>
      </c>
      <c r="C76" s="395" t="s">
        <v>147</v>
      </c>
      <c r="D76" s="395">
        <v>135</v>
      </c>
      <c r="E76" s="397">
        <f t="shared" si="2"/>
        <v>236372175</v>
      </c>
      <c r="F76" s="398" t="s">
        <v>323</v>
      </c>
      <c r="G76" s="398" t="s">
        <v>324</v>
      </c>
      <c r="H76" s="398" t="s">
        <v>156</v>
      </c>
      <c r="I76" s="398" t="s">
        <v>156</v>
      </c>
    </row>
    <row r="77" spans="1:9" x14ac:dyDescent="0.35">
      <c r="A77" s="395" t="s">
        <v>325</v>
      </c>
      <c r="B77" s="396" t="s">
        <v>146</v>
      </c>
      <c r="C77" s="395" t="s">
        <v>147</v>
      </c>
      <c r="D77" s="395">
        <v>135</v>
      </c>
      <c r="E77" s="397">
        <f t="shared" si="2"/>
        <v>236372175</v>
      </c>
      <c r="F77" s="398" t="s">
        <v>326</v>
      </c>
      <c r="G77" s="398" t="s">
        <v>167</v>
      </c>
      <c r="H77" s="398" t="s">
        <v>156</v>
      </c>
      <c r="I77" s="398" t="s">
        <v>156</v>
      </c>
    </row>
    <row r="78" spans="1:9" x14ac:dyDescent="0.35">
      <c r="A78" s="395" t="s">
        <v>327</v>
      </c>
      <c r="B78" s="396" t="s">
        <v>146</v>
      </c>
      <c r="C78" s="395" t="s">
        <v>147</v>
      </c>
      <c r="D78" s="395">
        <v>135</v>
      </c>
      <c r="E78" s="397">
        <f t="shared" si="2"/>
        <v>236372175</v>
      </c>
      <c r="F78" s="398" t="s">
        <v>328</v>
      </c>
      <c r="G78" s="398" t="s">
        <v>167</v>
      </c>
      <c r="H78" s="398" t="s">
        <v>156</v>
      </c>
      <c r="I78" s="398" t="s">
        <v>156</v>
      </c>
    </row>
    <row r="79" spans="1:9" x14ac:dyDescent="0.35">
      <c r="A79" s="395" t="s">
        <v>329</v>
      </c>
      <c r="B79" s="396" t="s">
        <v>146</v>
      </c>
      <c r="C79" s="395" t="s">
        <v>147</v>
      </c>
      <c r="D79" s="395">
        <v>135</v>
      </c>
      <c r="E79" s="397">
        <f t="shared" si="2"/>
        <v>236372175</v>
      </c>
      <c r="F79" s="398" t="s">
        <v>330</v>
      </c>
      <c r="G79" s="398" t="s">
        <v>167</v>
      </c>
      <c r="H79" s="398" t="s">
        <v>156</v>
      </c>
      <c r="I79" s="398" t="s">
        <v>156</v>
      </c>
    </row>
    <row r="80" spans="1:9" x14ac:dyDescent="0.35">
      <c r="A80" s="395" t="s">
        <v>331</v>
      </c>
      <c r="B80" s="396" t="s">
        <v>146</v>
      </c>
      <c r="C80" s="395" t="s">
        <v>147</v>
      </c>
      <c r="D80" s="395">
        <v>135</v>
      </c>
      <c r="E80" s="397">
        <f t="shared" si="2"/>
        <v>236372175</v>
      </c>
      <c r="F80" s="398" t="s">
        <v>332</v>
      </c>
      <c r="G80" s="398" t="s">
        <v>221</v>
      </c>
      <c r="H80" s="398" t="s">
        <v>156</v>
      </c>
      <c r="I80" s="398" t="s">
        <v>156</v>
      </c>
    </row>
    <row r="81" spans="1:9" x14ac:dyDescent="0.35">
      <c r="A81" s="395" t="s">
        <v>333</v>
      </c>
      <c r="B81" s="396" t="s">
        <v>146</v>
      </c>
      <c r="C81" s="395" t="s">
        <v>147</v>
      </c>
      <c r="D81" s="395">
        <v>135</v>
      </c>
      <c r="E81" s="397">
        <f t="shared" si="2"/>
        <v>236372175</v>
      </c>
      <c r="F81" s="398" t="s">
        <v>332</v>
      </c>
      <c r="G81" s="398" t="s">
        <v>272</v>
      </c>
      <c r="H81" s="398" t="s">
        <v>156</v>
      </c>
      <c r="I81" s="398" t="s">
        <v>156</v>
      </c>
    </row>
    <row r="82" spans="1:9" x14ac:dyDescent="0.35">
      <c r="A82" s="395" t="s">
        <v>334</v>
      </c>
      <c r="B82" s="396" t="s">
        <v>146</v>
      </c>
      <c r="C82" s="395" t="s">
        <v>147</v>
      </c>
      <c r="D82" s="395">
        <v>135</v>
      </c>
      <c r="E82" s="397">
        <f t="shared" si="2"/>
        <v>236372175</v>
      </c>
      <c r="F82" s="398" t="s">
        <v>335</v>
      </c>
      <c r="G82" s="398" t="s">
        <v>336</v>
      </c>
      <c r="H82" s="398" t="s">
        <v>240</v>
      </c>
      <c r="I82" s="398" t="s">
        <v>182</v>
      </c>
    </row>
    <row r="83" spans="1:9" x14ac:dyDescent="0.35">
      <c r="A83" s="395" t="s">
        <v>337</v>
      </c>
      <c r="B83" s="396" t="s">
        <v>146</v>
      </c>
      <c r="C83" s="395" t="s">
        <v>147</v>
      </c>
      <c r="D83" s="395">
        <v>135</v>
      </c>
      <c r="E83" s="397">
        <f t="shared" si="2"/>
        <v>236372175</v>
      </c>
      <c r="F83" s="398" t="s">
        <v>338</v>
      </c>
      <c r="G83" s="398" t="s">
        <v>170</v>
      </c>
      <c r="H83" s="398" t="s">
        <v>156</v>
      </c>
      <c r="I83" s="398" t="s">
        <v>156</v>
      </c>
    </row>
    <row r="84" spans="1:9" x14ac:dyDescent="0.35">
      <c r="A84" s="395" t="s">
        <v>339</v>
      </c>
      <c r="B84" s="396" t="s">
        <v>146</v>
      </c>
      <c r="C84" s="395" t="s">
        <v>147</v>
      </c>
      <c r="D84" s="395">
        <v>135</v>
      </c>
      <c r="E84" s="397">
        <f t="shared" si="2"/>
        <v>236372175</v>
      </c>
      <c r="F84" s="398" t="s">
        <v>340</v>
      </c>
      <c r="G84" s="398" t="s">
        <v>200</v>
      </c>
      <c r="H84" s="398" t="s">
        <v>156</v>
      </c>
      <c r="I84" s="398" t="s">
        <v>156</v>
      </c>
    </row>
    <row r="85" spans="1:9" x14ac:dyDescent="0.35">
      <c r="A85" s="395" t="s">
        <v>341</v>
      </c>
      <c r="B85" s="396" t="s">
        <v>146</v>
      </c>
      <c r="C85" s="395" t="s">
        <v>147</v>
      </c>
      <c r="D85" s="395">
        <v>135</v>
      </c>
      <c r="E85" s="397">
        <f t="shared" si="2"/>
        <v>236372175</v>
      </c>
      <c r="F85" s="398" t="s">
        <v>342</v>
      </c>
      <c r="G85" s="398" t="s">
        <v>149</v>
      </c>
      <c r="H85" s="398" t="s">
        <v>150</v>
      </c>
      <c r="I85" s="398" t="s">
        <v>151</v>
      </c>
    </row>
    <row r="86" spans="1:9" x14ac:dyDescent="0.35">
      <c r="A86" s="395" t="s">
        <v>343</v>
      </c>
      <c r="B86" s="396" t="s">
        <v>146</v>
      </c>
      <c r="C86" s="395" t="s">
        <v>147</v>
      </c>
      <c r="D86" s="395">
        <v>135</v>
      </c>
      <c r="E86" s="397">
        <f t="shared" si="2"/>
        <v>236372175</v>
      </c>
      <c r="F86" s="398" t="s">
        <v>342</v>
      </c>
      <c r="G86" s="398" t="s">
        <v>185</v>
      </c>
      <c r="H86" s="398" t="s">
        <v>150</v>
      </c>
      <c r="I86" s="398" t="s">
        <v>192</v>
      </c>
    </row>
    <row r="87" spans="1:9" x14ac:dyDescent="0.35">
      <c r="A87" s="395" t="s">
        <v>344</v>
      </c>
      <c r="B87" s="396" t="s">
        <v>146</v>
      </c>
      <c r="C87" s="395" t="s">
        <v>147</v>
      </c>
      <c r="D87" s="395">
        <v>135</v>
      </c>
      <c r="E87" s="397">
        <f t="shared" si="2"/>
        <v>236372175</v>
      </c>
      <c r="F87" s="398" t="s">
        <v>345</v>
      </c>
      <c r="G87" s="398" t="s">
        <v>185</v>
      </c>
      <c r="H87" s="398" t="s">
        <v>156</v>
      </c>
      <c r="I87" s="398" t="s">
        <v>156</v>
      </c>
    </row>
    <row r="88" spans="1:9" x14ac:dyDescent="0.35">
      <c r="A88" s="395" t="s">
        <v>346</v>
      </c>
      <c r="B88" s="396" t="s">
        <v>146</v>
      </c>
      <c r="C88" s="395" t="s">
        <v>147</v>
      </c>
      <c r="D88" s="395">
        <v>135</v>
      </c>
      <c r="E88" s="397">
        <f t="shared" si="2"/>
        <v>236372175</v>
      </c>
      <c r="F88" s="398" t="s">
        <v>347</v>
      </c>
      <c r="G88" s="398" t="s">
        <v>162</v>
      </c>
      <c r="H88" s="398" t="s">
        <v>240</v>
      </c>
      <c r="I88" s="398" t="s">
        <v>164</v>
      </c>
    </row>
    <row r="89" spans="1:9" x14ac:dyDescent="0.35">
      <c r="A89" s="395" t="s">
        <v>348</v>
      </c>
      <c r="B89" s="396" t="s">
        <v>146</v>
      </c>
      <c r="C89" s="395" t="s">
        <v>147</v>
      </c>
      <c r="D89" s="395">
        <v>135</v>
      </c>
      <c r="E89" s="397">
        <f t="shared" si="2"/>
        <v>236372175</v>
      </c>
      <c r="F89" s="398" t="s">
        <v>349</v>
      </c>
      <c r="G89" s="398" t="s">
        <v>185</v>
      </c>
      <c r="H89" s="398" t="s">
        <v>150</v>
      </c>
      <c r="I89" s="398" t="s">
        <v>192</v>
      </c>
    </row>
    <row r="90" spans="1:9" x14ac:dyDescent="0.35">
      <c r="A90" s="395" t="s">
        <v>350</v>
      </c>
      <c r="B90" s="396" t="s">
        <v>146</v>
      </c>
      <c r="C90" s="395" t="s">
        <v>147</v>
      </c>
      <c r="D90" s="395">
        <v>135</v>
      </c>
      <c r="E90" s="397">
        <f t="shared" si="2"/>
        <v>236372175</v>
      </c>
      <c r="F90" s="398" t="s">
        <v>351</v>
      </c>
      <c r="G90" s="398" t="s">
        <v>205</v>
      </c>
      <c r="H90" s="398" t="s">
        <v>156</v>
      </c>
      <c r="I90" s="398" t="s">
        <v>156</v>
      </c>
    </row>
    <row r="91" spans="1:9" x14ac:dyDescent="0.35">
      <c r="A91" s="395" t="s">
        <v>352</v>
      </c>
      <c r="B91" s="396" t="s">
        <v>146</v>
      </c>
      <c r="C91" s="395" t="s">
        <v>147</v>
      </c>
      <c r="D91" s="395">
        <v>135</v>
      </c>
      <c r="E91" s="397">
        <f t="shared" si="2"/>
        <v>236372175</v>
      </c>
      <c r="F91" s="398" t="s">
        <v>353</v>
      </c>
      <c r="G91" s="398" t="s">
        <v>173</v>
      </c>
      <c r="H91" s="398" t="s">
        <v>156</v>
      </c>
      <c r="I91" s="398" t="s">
        <v>156</v>
      </c>
    </row>
    <row r="92" spans="1:9" x14ac:dyDescent="0.35">
      <c r="A92" s="395" t="s">
        <v>354</v>
      </c>
      <c r="B92" s="396" t="s">
        <v>146</v>
      </c>
      <c r="C92" s="395" t="s">
        <v>147</v>
      </c>
      <c r="D92" s="395">
        <v>135</v>
      </c>
      <c r="E92" s="397">
        <f t="shared" si="2"/>
        <v>236372175</v>
      </c>
      <c r="F92" s="398" t="s">
        <v>355</v>
      </c>
      <c r="G92" s="398" t="s">
        <v>356</v>
      </c>
      <c r="H92" s="398" t="s">
        <v>156</v>
      </c>
      <c r="I92" s="398" t="s">
        <v>156</v>
      </c>
    </row>
    <row r="93" spans="1:9" x14ac:dyDescent="0.35">
      <c r="A93" s="395" t="s">
        <v>357</v>
      </c>
      <c r="B93" s="396" t="s">
        <v>160</v>
      </c>
      <c r="C93" s="395" t="s">
        <v>358</v>
      </c>
      <c r="D93" s="395">
        <v>150</v>
      </c>
      <c r="E93" s="397">
        <f t="shared" si="2"/>
        <v>262635750</v>
      </c>
      <c r="F93" s="398" t="s">
        <v>359</v>
      </c>
      <c r="G93" s="398" t="s">
        <v>336</v>
      </c>
      <c r="H93" s="398" t="s">
        <v>163</v>
      </c>
      <c r="I93" s="398" t="s">
        <v>182</v>
      </c>
    </row>
    <row r="94" spans="1:9" x14ac:dyDescent="0.35">
      <c r="A94" s="395" t="s">
        <v>360</v>
      </c>
      <c r="B94" s="396" t="s">
        <v>146</v>
      </c>
      <c r="C94" s="395" t="s">
        <v>147</v>
      </c>
      <c r="D94" s="395">
        <v>135</v>
      </c>
      <c r="E94" s="397">
        <f t="shared" si="2"/>
        <v>236372175</v>
      </c>
      <c r="F94" s="398" t="s">
        <v>361</v>
      </c>
      <c r="G94" s="398" t="s">
        <v>181</v>
      </c>
      <c r="H94" s="398" t="s">
        <v>240</v>
      </c>
      <c r="I94" s="398" t="s">
        <v>182</v>
      </c>
    </row>
    <row r="95" spans="1:9" x14ac:dyDescent="0.35">
      <c r="A95" s="395" t="s">
        <v>362</v>
      </c>
      <c r="B95" s="396" t="s">
        <v>146</v>
      </c>
      <c r="C95" s="395" t="s">
        <v>147</v>
      </c>
      <c r="D95" s="395">
        <v>135</v>
      </c>
      <c r="E95" s="397">
        <f t="shared" si="2"/>
        <v>236372175</v>
      </c>
      <c r="F95" s="398" t="s">
        <v>363</v>
      </c>
      <c r="G95" s="398" t="s">
        <v>188</v>
      </c>
      <c r="H95" s="398" t="s">
        <v>156</v>
      </c>
      <c r="I95" s="398" t="s">
        <v>156</v>
      </c>
    </row>
    <row r="96" spans="1:9" x14ac:dyDescent="0.35">
      <c r="A96" s="395" t="s">
        <v>364</v>
      </c>
      <c r="B96" s="396" t="s">
        <v>146</v>
      </c>
      <c r="C96" s="395" t="s">
        <v>147</v>
      </c>
      <c r="D96" s="395">
        <v>135</v>
      </c>
      <c r="E96" s="397">
        <f t="shared" si="2"/>
        <v>236372175</v>
      </c>
      <c r="F96" s="398" t="s">
        <v>365</v>
      </c>
      <c r="G96" s="398" t="s">
        <v>224</v>
      </c>
      <c r="H96" s="398" t="s">
        <v>156</v>
      </c>
      <c r="I96" s="398" t="s">
        <v>156</v>
      </c>
    </row>
    <row r="97" spans="1:9" x14ac:dyDescent="0.35">
      <c r="A97" s="395" t="s">
        <v>366</v>
      </c>
      <c r="B97" s="396" t="s">
        <v>146</v>
      </c>
      <c r="C97" s="395" t="s">
        <v>147</v>
      </c>
      <c r="D97" s="395">
        <v>135</v>
      </c>
      <c r="E97" s="397">
        <f t="shared" si="2"/>
        <v>236372175</v>
      </c>
      <c r="F97" s="398" t="s">
        <v>365</v>
      </c>
      <c r="G97" s="398" t="s">
        <v>200</v>
      </c>
      <c r="H97" s="398" t="s">
        <v>156</v>
      </c>
      <c r="I97" s="398" t="s">
        <v>156</v>
      </c>
    </row>
    <row r="98" spans="1:9" x14ac:dyDescent="0.35">
      <c r="A98" s="395" t="s">
        <v>367</v>
      </c>
      <c r="B98" s="396" t="s">
        <v>146</v>
      </c>
      <c r="C98" s="395" t="s">
        <v>147</v>
      </c>
      <c r="D98" s="395">
        <v>135</v>
      </c>
      <c r="E98" s="397">
        <f t="shared" si="2"/>
        <v>236372175</v>
      </c>
      <c r="F98" s="398" t="s">
        <v>368</v>
      </c>
      <c r="G98" s="398" t="s">
        <v>167</v>
      </c>
      <c r="H98" s="398" t="s">
        <v>240</v>
      </c>
      <c r="I98" s="398" t="s">
        <v>151</v>
      </c>
    </row>
    <row r="99" spans="1:9" x14ac:dyDescent="0.35">
      <c r="A99" s="395" t="s">
        <v>369</v>
      </c>
      <c r="B99" s="396" t="s">
        <v>146</v>
      </c>
      <c r="C99" s="395" t="s">
        <v>147</v>
      </c>
      <c r="D99" s="395">
        <v>135</v>
      </c>
      <c r="E99" s="397">
        <f t="shared" si="2"/>
        <v>236372175</v>
      </c>
      <c r="F99" s="398" t="s">
        <v>370</v>
      </c>
      <c r="G99" s="398" t="s">
        <v>203</v>
      </c>
      <c r="H99" s="398" t="s">
        <v>156</v>
      </c>
      <c r="I99" s="398" t="s">
        <v>156</v>
      </c>
    </row>
    <row r="100" spans="1:9" x14ac:dyDescent="0.35">
      <c r="A100" s="395" t="s">
        <v>371</v>
      </c>
      <c r="B100" s="396" t="s">
        <v>146</v>
      </c>
      <c r="C100" s="395" t="s">
        <v>147</v>
      </c>
      <c r="D100" s="395">
        <v>135</v>
      </c>
      <c r="E100" s="397">
        <f t="shared" si="2"/>
        <v>236372175</v>
      </c>
      <c r="F100" s="398" t="s">
        <v>372</v>
      </c>
      <c r="G100" s="398" t="s">
        <v>272</v>
      </c>
      <c r="H100" s="398" t="s">
        <v>156</v>
      </c>
      <c r="I100" s="398" t="s">
        <v>156</v>
      </c>
    </row>
    <row r="101" spans="1:9" x14ac:dyDescent="0.35">
      <c r="A101" s="395" t="s">
        <v>373</v>
      </c>
      <c r="B101" s="396" t="s">
        <v>160</v>
      </c>
      <c r="C101" s="395" t="s">
        <v>358</v>
      </c>
      <c r="D101" s="395">
        <v>150</v>
      </c>
      <c r="E101" s="397">
        <f t="shared" si="2"/>
        <v>262635750</v>
      </c>
      <c r="F101" s="398" t="s">
        <v>374</v>
      </c>
      <c r="G101" s="398" t="s">
        <v>149</v>
      </c>
      <c r="H101" s="398" t="s">
        <v>163</v>
      </c>
      <c r="I101" s="398" t="s">
        <v>151</v>
      </c>
    </row>
    <row r="102" spans="1:9" x14ac:dyDescent="0.35">
      <c r="A102" s="395" t="s">
        <v>375</v>
      </c>
      <c r="B102" s="396" t="s">
        <v>146</v>
      </c>
      <c r="C102" s="395" t="s">
        <v>147</v>
      </c>
      <c r="D102" s="395">
        <v>135</v>
      </c>
      <c r="E102" s="397">
        <f t="shared" si="2"/>
        <v>236372175</v>
      </c>
      <c r="F102" s="398" t="s">
        <v>376</v>
      </c>
      <c r="G102" s="398" t="s">
        <v>149</v>
      </c>
      <c r="H102" s="398" t="s">
        <v>156</v>
      </c>
      <c r="I102" s="398" t="s">
        <v>156</v>
      </c>
    </row>
    <row r="103" spans="1:9" x14ac:dyDescent="0.35">
      <c r="A103" s="395" t="s">
        <v>377</v>
      </c>
      <c r="B103" s="396" t="s">
        <v>146</v>
      </c>
      <c r="C103" s="395" t="s">
        <v>147</v>
      </c>
      <c r="D103" s="395">
        <v>135</v>
      </c>
      <c r="E103" s="397">
        <f t="shared" si="2"/>
        <v>236372175</v>
      </c>
      <c r="F103" s="398" t="s">
        <v>378</v>
      </c>
      <c r="G103" s="398" t="s">
        <v>178</v>
      </c>
      <c r="H103" s="398" t="s">
        <v>156</v>
      </c>
      <c r="I103" s="398" t="s">
        <v>156</v>
      </c>
    </row>
    <row r="104" spans="1:9" x14ac:dyDescent="0.35">
      <c r="A104" s="395" t="s">
        <v>379</v>
      </c>
      <c r="B104" s="396" t="s">
        <v>146</v>
      </c>
      <c r="C104" s="395" t="s">
        <v>147</v>
      </c>
      <c r="D104" s="395">
        <v>135</v>
      </c>
      <c r="E104" s="397">
        <f t="shared" si="2"/>
        <v>236372175</v>
      </c>
      <c r="F104" s="398" t="s">
        <v>380</v>
      </c>
      <c r="G104" s="398" t="s">
        <v>224</v>
      </c>
      <c r="H104" s="398" t="s">
        <v>156</v>
      </c>
      <c r="I104" s="398" t="s">
        <v>156</v>
      </c>
    </row>
    <row r="105" spans="1:9" x14ac:dyDescent="0.35">
      <c r="A105" s="395" t="s">
        <v>381</v>
      </c>
      <c r="B105" s="396" t="s">
        <v>146</v>
      </c>
      <c r="C105" s="395" t="s">
        <v>147</v>
      </c>
      <c r="D105" s="395">
        <v>135</v>
      </c>
      <c r="E105" s="397">
        <f t="shared" si="2"/>
        <v>236372175</v>
      </c>
      <c r="F105" s="398" t="s">
        <v>382</v>
      </c>
      <c r="G105" s="398" t="s">
        <v>149</v>
      </c>
      <c r="H105" s="398" t="s">
        <v>156</v>
      </c>
      <c r="I105" s="398" t="s">
        <v>156</v>
      </c>
    </row>
    <row r="106" spans="1:9" x14ac:dyDescent="0.35">
      <c r="A106" s="395" t="s">
        <v>383</v>
      </c>
      <c r="B106" s="396" t="s">
        <v>146</v>
      </c>
      <c r="C106" s="395" t="s">
        <v>147</v>
      </c>
      <c r="D106" s="395">
        <v>135</v>
      </c>
      <c r="E106" s="397">
        <f t="shared" si="2"/>
        <v>236372175</v>
      </c>
      <c r="F106" s="398" t="s">
        <v>384</v>
      </c>
      <c r="G106" s="398" t="s">
        <v>224</v>
      </c>
      <c r="H106" s="398" t="s">
        <v>156</v>
      </c>
      <c r="I106" s="398" t="s">
        <v>156</v>
      </c>
    </row>
    <row r="107" spans="1:9" x14ac:dyDescent="0.35">
      <c r="A107" s="395" t="s">
        <v>385</v>
      </c>
      <c r="B107" s="396" t="s">
        <v>146</v>
      </c>
      <c r="C107" s="395" t="s">
        <v>147</v>
      </c>
      <c r="D107" s="395">
        <v>135</v>
      </c>
      <c r="E107" s="397">
        <f t="shared" si="2"/>
        <v>236372175</v>
      </c>
      <c r="F107" s="398" t="s">
        <v>386</v>
      </c>
      <c r="G107" s="398" t="s">
        <v>149</v>
      </c>
      <c r="H107" s="398" t="s">
        <v>156</v>
      </c>
      <c r="I107" s="398" t="s">
        <v>156</v>
      </c>
    </row>
    <row r="108" spans="1:9" x14ac:dyDescent="0.35">
      <c r="A108" s="395" t="s">
        <v>387</v>
      </c>
      <c r="B108" s="396" t="s">
        <v>146</v>
      </c>
      <c r="C108" s="395" t="s">
        <v>147</v>
      </c>
      <c r="D108" s="395">
        <v>135</v>
      </c>
      <c r="E108" s="397">
        <f t="shared" si="2"/>
        <v>236372175</v>
      </c>
      <c r="F108" s="398" t="s">
        <v>386</v>
      </c>
      <c r="G108" s="398" t="s">
        <v>185</v>
      </c>
      <c r="H108" s="398" t="s">
        <v>156</v>
      </c>
      <c r="I108" s="398" t="s">
        <v>156</v>
      </c>
    </row>
    <row r="109" spans="1:9" x14ac:dyDescent="0.35">
      <c r="A109" s="395" t="s">
        <v>388</v>
      </c>
      <c r="B109" s="396" t="s">
        <v>146</v>
      </c>
      <c r="C109" s="395" t="s">
        <v>147</v>
      </c>
      <c r="D109" s="395">
        <v>135</v>
      </c>
      <c r="E109" s="397">
        <f t="shared" si="2"/>
        <v>236372175</v>
      </c>
      <c r="F109" s="398" t="s">
        <v>389</v>
      </c>
      <c r="G109" s="398" t="s">
        <v>178</v>
      </c>
      <c r="H109" s="398" t="s">
        <v>156</v>
      </c>
      <c r="I109" s="398" t="s">
        <v>156</v>
      </c>
    </row>
    <row r="110" spans="1:9" x14ac:dyDescent="0.35">
      <c r="A110" s="395" t="s">
        <v>390</v>
      </c>
      <c r="B110" s="396" t="s">
        <v>146</v>
      </c>
      <c r="C110" s="395" t="s">
        <v>147</v>
      </c>
      <c r="D110" s="395">
        <v>135</v>
      </c>
      <c r="E110" s="397">
        <f t="shared" si="2"/>
        <v>236372175</v>
      </c>
      <c r="F110" s="398" t="s">
        <v>391</v>
      </c>
      <c r="G110" s="398" t="s">
        <v>224</v>
      </c>
      <c r="H110" s="398" t="s">
        <v>156</v>
      </c>
      <c r="I110" s="398" t="s">
        <v>156</v>
      </c>
    </row>
    <row r="111" spans="1:9" x14ac:dyDescent="0.35">
      <c r="A111" s="395" t="s">
        <v>392</v>
      </c>
      <c r="B111" s="396" t="s">
        <v>146</v>
      </c>
      <c r="C111" s="395" t="s">
        <v>147</v>
      </c>
      <c r="D111" s="395">
        <v>135</v>
      </c>
      <c r="E111" s="397">
        <f t="shared" si="2"/>
        <v>236372175</v>
      </c>
      <c r="F111" s="398" t="s">
        <v>393</v>
      </c>
      <c r="G111" s="398" t="s">
        <v>155</v>
      </c>
      <c r="H111" s="398" t="s">
        <v>156</v>
      </c>
      <c r="I111" s="398" t="s">
        <v>156</v>
      </c>
    </row>
    <row r="112" spans="1:9" x14ac:dyDescent="0.35">
      <c r="A112" s="395" t="s">
        <v>394</v>
      </c>
      <c r="B112" s="396" t="s">
        <v>160</v>
      </c>
      <c r="C112" s="395" t="s">
        <v>358</v>
      </c>
      <c r="D112" s="395">
        <v>150</v>
      </c>
      <c r="E112" s="397">
        <f t="shared" si="2"/>
        <v>262635750</v>
      </c>
      <c r="F112" s="398" t="s">
        <v>395</v>
      </c>
      <c r="G112" s="398" t="s">
        <v>396</v>
      </c>
      <c r="H112" s="398" t="s">
        <v>163</v>
      </c>
      <c r="I112" s="398" t="s">
        <v>397</v>
      </c>
    </row>
    <row r="113" spans="1:9" x14ac:dyDescent="0.35">
      <c r="A113" s="395" t="s">
        <v>398</v>
      </c>
      <c r="B113" s="396" t="s">
        <v>146</v>
      </c>
      <c r="C113" s="395" t="s">
        <v>147</v>
      </c>
      <c r="D113" s="395">
        <v>135</v>
      </c>
      <c r="E113" s="397">
        <f t="shared" si="2"/>
        <v>236372175</v>
      </c>
      <c r="F113" s="398" t="s">
        <v>399</v>
      </c>
      <c r="G113" s="398" t="s">
        <v>178</v>
      </c>
      <c r="H113" s="398" t="s">
        <v>163</v>
      </c>
      <c r="I113" s="398" t="s">
        <v>164</v>
      </c>
    </row>
    <row r="114" spans="1:9" x14ac:dyDescent="0.35">
      <c r="A114" s="395" t="s">
        <v>400</v>
      </c>
      <c r="B114" s="396" t="s">
        <v>146</v>
      </c>
      <c r="C114" s="395" t="s">
        <v>147</v>
      </c>
      <c r="D114" s="395">
        <v>135</v>
      </c>
      <c r="E114" s="397">
        <f t="shared" si="2"/>
        <v>236372175</v>
      </c>
      <c r="F114" s="398" t="s">
        <v>401</v>
      </c>
      <c r="G114" s="398" t="s">
        <v>167</v>
      </c>
      <c r="H114" s="398" t="s">
        <v>156</v>
      </c>
      <c r="I114" s="398" t="s">
        <v>156</v>
      </c>
    </row>
    <row r="115" spans="1:9" x14ac:dyDescent="0.35">
      <c r="A115" s="395" t="s">
        <v>402</v>
      </c>
      <c r="B115" s="396" t="s">
        <v>146</v>
      </c>
      <c r="C115" s="395" t="s">
        <v>147</v>
      </c>
      <c r="D115" s="395">
        <v>135</v>
      </c>
      <c r="E115" s="397">
        <f t="shared" si="2"/>
        <v>236372175</v>
      </c>
      <c r="F115" s="398" t="s">
        <v>403</v>
      </c>
      <c r="G115" s="398" t="s">
        <v>221</v>
      </c>
      <c r="H115" s="398" t="s">
        <v>156</v>
      </c>
      <c r="I115" s="398" t="s">
        <v>156</v>
      </c>
    </row>
    <row r="116" spans="1:9" x14ac:dyDescent="0.35">
      <c r="A116" s="395" t="s">
        <v>404</v>
      </c>
      <c r="B116" s="396" t="s">
        <v>146</v>
      </c>
      <c r="C116" s="395" t="s">
        <v>147</v>
      </c>
      <c r="D116" s="395">
        <v>135</v>
      </c>
      <c r="E116" s="397">
        <f t="shared" si="2"/>
        <v>236372175</v>
      </c>
      <c r="F116" s="398" t="s">
        <v>403</v>
      </c>
      <c r="G116" s="398" t="s">
        <v>185</v>
      </c>
      <c r="H116" s="398" t="s">
        <v>156</v>
      </c>
      <c r="I116" s="398" t="s">
        <v>156</v>
      </c>
    </row>
    <row r="117" spans="1:9" x14ac:dyDescent="0.35">
      <c r="A117" s="395" t="s">
        <v>405</v>
      </c>
      <c r="B117" s="396" t="s">
        <v>146</v>
      </c>
      <c r="C117" s="395" t="s">
        <v>147</v>
      </c>
      <c r="D117" s="395">
        <v>135</v>
      </c>
      <c r="E117" s="397">
        <f t="shared" si="2"/>
        <v>236372175</v>
      </c>
      <c r="F117" s="398" t="s">
        <v>403</v>
      </c>
      <c r="G117" s="398" t="s">
        <v>209</v>
      </c>
      <c r="H117" s="398" t="s">
        <v>156</v>
      </c>
      <c r="I117" s="398" t="s">
        <v>156</v>
      </c>
    </row>
    <row r="118" spans="1:9" x14ac:dyDescent="0.35">
      <c r="A118" s="395" t="s">
        <v>406</v>
      </c>
      <c r="B118" s="396" t="s">
        <v>146</v>
      </c>
      <c r="C118" s="395" t="s">
        <v>147</v>
      </c>
      <c r="D118" s="395">
        <v>135</v>
      </c>
      <c r="E118" s="397">
        <f t="shared" si="2"/>
        <v>236372175</v>
      </c>
      <c r="F118" s="398" t="s">
        <v>407</v>
      </c>
      <c r="G118" s="398" t="s">
        <v>181</v>
      </c>
      <c r="H118" s="398" t="s">
        <v>240</v>
      </c>
      <c r="I118" s="398" t="s">
        <v>182</v>
      </c>
    </row>
    <row r="119" spans="1:9" x14ac:dyDescent="0.35">
      <c r="A119" s="395" t="s">
        <v>408</v>
      </c>
      <c r="B119" s="396" t="s">
        <v>146</v>
      </c>
      <c r="C119" s="395" t="s">
        <v>147</v>
      </c>
      <c r="D119" s="395">
        <v>135</v>
      </c>
      <c r="E119" s="397">
        <f t="shared" si="2"/>
        <v>236372175</v>
      </c>
      <c r="F119" s="398" t="s">
        <v>409</v>
      </c>
      <c r="G119" s="398" t="s">
        <v>224</v>
      </c>
      <c r="H119" s="398" t="s">
        <v>156</v>
      </c>
      <c r="I119" s="398" t="s">
        <v>156</v>
      </c>
    </row>
    <row r="120" spans="1:9" x14ac:dyDescent="0.35">
      <c r="A120" s="395" t="s">
        <v>410</v>
      </c>
      <c r="B120" s="396" t="s">
        <v>146</v>
      </c>
      <c r="C120" s="395" t="s">
        <v>147</v>
      </c>
      <c r="D120" s="395">
        <v>135</v>
      </c>
      <c r="E120" s="397">
        <f t="shared" si="2"/>
        <v>236372175</v>
      </c>
      <c r="F120" s="398" t="s">
        <v>411</v>
      </c>
      <c r="G120" s="398" t="s">
        <v>149</v>
      </c>
      <c r="H120" s="398" t="s">
        <v>156</v>
      </c>
      <c r="I120" s="398" t="s">
        <v>156</v>
      </c>
    </row>
    <row r="121" spans="1:9" x14ac:dyDescent="0.35">
      <c r="A121" s="395" t="s">
        <v>412</v>
      </c>
      <c r="B121" s="396" t="s">
        <v>146</v>
      </c>
      <c r="C121" s="395" t="s">
        <v>147</v>
      </c>
      <c r="D121" s="395">
        <v>135</v>
      </c>
      <c r="E121" s="397">
        <f t="shared" si="2"/>
        <v>236372175</v>
      </c>
      <c r="F121" s="398" t="s">
        <v>411</v>
      </c>
      <c r="G121" s="398" t="s">
        <v>224</v>
      </c>
      <c r="H121" s="398" t="s">
        <v>163</v>
      </c>
      <c r="I121" s="398" t="s">
        <v>164</v>
      </c>
    </row>
    <row r="122" spans="1:9" x14ac:dyDescent="0.35">
      <c r="A122" s="395" t="s">
        <v>413</v>
      </c>
      <c r="B122" s="396" t="s">
        <v>160</v>
      </c>
      <c r="C122" s="395" t="s">
        <v>358</v>
      </c>
      <c r="D122" s="395">
        <v>150</v>
      </c>
      <c r="E122" s="397">
        <f t="shared" si="2"/>
        <v>262635750</v>
      </c>
      <c r="F122" s="398" t="s">
        <v>414</v>
      </c>
      <c r="G122" s="398" t="s">
        <v>185</v>
      </c>
      <c r="H122" s="398" t="s">
        <v>163</v>
      </c>
      <c r="I122" s="398" t="s">
        <v>192</v>
      </c>
    </row>
    <row r="123" spans="1:9" x14ac:dyDescent="0.35">
      <c r="A123" s="395" t="s">
        <v>415</v>
      </c>
      <c r="B123" s="396" t="s">
        <v>146</v>
      </c>
      <c r="C123" s="395" t="s">
        <v>147</v>
      </c>
      <c r="D123" s="395">
        <v>135</v>
      </c>
      <c r="E123" s="397">
        <f t="shared" si="2"/>
        <v>236372175</v>
      </c>
      <c r="F123" s="398" t="s">
        <v>416</v>
      </c>
      <c r="G123" s="398" t="s">
        <v>155</v>
      </c>
      <c r="H123" s="398" t="s">
        <v>156</v>
      </c>
      <c r="I123" s="398" t="s">
        <v>156</v>
      </c>
    </row>
    <row r="124" spans="1:9" x14ac:dyDescent="0.35">
      <c r="A124" s="395" t="s">
        <v>417</v>
      </c>
      <c r="B124" s="396" t="s">
        <v>146</v>
      </c>
      <c r="C124" s="395" t="s">
        <v>147</v>
      </c>
      <c r="D124" s="395">
        <v>135</v>
      </c>
      <c r="E124" s="397">
        <f t="shared" si="2"/>
        <v>236372175</v>
      </c>
      <c r="F124" s="398" t="s">
        <v>418</v>
      </c>
      <c r="G124" s="398" t="s">
        <v>209</v>
      </c>
      <c r="H124" s="398" t="s">
        <v>240</v>
      </c>
      <c r="I124" s="398" t="s">
        <v>249</v>
      </c>
    </row>
    <row r="125" spans="1:9" x14ac:dyDescent="0.35">
      <c r="A125" s="395" t="s">
        <v>419</v>
      </c>
      <c r="B125" s="396" t="s">
        <v>146</v>
      </c>
      <c r="C125" s="395" t="s">
        <v>147</v>
      </c>
      <c r="D125" s="395">
        <v>135</v>
      </c>
      <c r="E125" s="397">
        <f t="shared" si="2"/>
        <v>236372175</v>
      </c>
      <c r="F125" s="398" t="s">
        <v>420</v>
      </c>
      <c r="G125" s="398" t="s">
        <v>224</v>
      </c>
      <c r="H125" s="398" t="s">
        <v>156</v>
      </c>
      <c r="I125" s="398" t="s">
        <v>156</v>
      </c>
    </row>
    <row r="126" spans="1:9" x14ac:dyDescent="0.35">
      <c r="A126" s="395" t="s">
        <v>421</v>
      </c>
      <c r="B126" s="396" t="s">
        <v>146</v>
      </c>
      <c r="C126" s="395" t="s">
        <v>147</v>
      </c>
      <c r="D126" s="395">
        <v>135</v>
      </c>
      <c r="E126" s="397">
        <f t="shared" si="2"/>
        <v>236372175</v>
      </c>
      <c r="F126" s="398" t="s">
        <v>420</v>
      </c>
      <c r="G126" s="398" t="s">
        <v>324</v>
      </c>
      <c r="H126" s="398" t="s">
        <v>156</v>
      </c>
      <c r="I126" s="398" t="s">
        <v>156</v>
      </c>
    </row>
    <row r="127" spans="1:9" x14ac:dyDescent="0.35">
      <c r="A127" s="395" t="s">
        <v>422</v>
      </c>
      <c r="B127" s="396" t="s">
        <v>146</v>
      </c>
      <c r="C127" s="395" t="s">
        <v>147</v>
      </c>
      <c r="D127" s="395">
        <v>135</v>
      </c>
      <c r="E127" s="397">
        <f t="shared" si="2"/>
        <v>236372175</v>
      </c>
      <c r="F127" s="398" t="s">
        <v>420</v>
      </c>
      <c r="G127" s="398" t="s">
        <v>311</v>
      </c>
      <c r="H127" s="398" t="s">
        <v>156</v>
      </c>
      <c r="I127" s="398" t="s">
        <v>156</v>
      </c>
    </row>
    <row r="128" spans="1:9" x14ac:dyDescent="0.35">
      <c r="A128" s="395" t="s">
        <v>423</v>
      </c>
      <c r="B128" s="396" t="s">
        <v>146</v>
      </c>
      <c r="C128" s="395" t="s">
        <v>147</v>
      </c>
      <c r="D128" s="395">
        <v>135</v>
      </c>
      <c r="E128" s="397">
        <f t="shared" si="2"/>
        <v>236372175</v>
      </c>
      <c r="F128" s="398" t="s">
        <v>420</v>
      </c>
      <c r="G128" s="398" t="s">
        <v>424</v>
      </c>
      <c r="H128" s="398" t="s">
        <v>156</v>
      </c>
      <c r="I128" s="398" t="s">
        <v>156</v>
      </c>
    </row>
    <row r="129" spans="1:9" x14ac:dyDescent="0.35">
      <c r="A129" s="395" t="s">
        <v>425</v>
      </c>
      <c r="B129" s="396" t="s">
        <v>146</v>
      </c>
      <c r="C129" s="395" t="s">
        <v>147</v>
      </c>
      <c r="D129" s="395">
        <v>135</v>
      </c>
      <c r="E129" s="397">
        <f t="shared" si="2"/>
        <v>236372175</v>
      </c>
      <c r="F129" s="398" t="s">
        <v>426</v>
      </c>
      <c r="G129" s="398" t="s">
        <v>221</v>
      </c>
      <c r="H129" s="398" t="s">
        <v>156</v>
      </c>
      <c r="I129" s="398" t="s">
        <v>156</v>
      </c>
    </row>
    <row r="130" spans="1:9" x14ac:dyDescent="0.35">
      <c r="A130" s="395" t="s">
        <v>427</v>
      </c>
      <c r="B130" s="396" t="s">
        <v>146</v>
      </c>
      <c r="C130" s="395" t="s">
        <v>147</v>
      </c>
      <c r="D130" s="395">
        <v>135</v>
      </c>
      <c r="E130" s="397">
        <f t="shared" si="2"/>
        <v>236372175</v>
      </c>
      <c r="F130" s="398" t="s">
        <v>428</v>
      </c>
      <c r="G130" s="398" t="s">
        <v>200</v>
      </c>
      <c r="H130" s="398" t="s">
        <v>156</v>
      </c>
      <c r="I130" s="398" t="s">
        <v>156</v>
      </c>
    </row>
    <row r="131" spans="1:9" x14ac:dyDescent="0.35">
      <c r="A131" s="395" t="s">
        <v>429</v>
      </c>
      <c r="B131" s="396" t="s">
        <v>146</v>
      </c>
      <c r="C131" s="395" t="s">
        <v>147</v>
      </c>
      <c r="D131" s="395">
        <v>135</v>
      </c>
      <c r="E131" s="397">
        <f t="shared" ref="E131:E194" si="3">D131*$S$2</f>
        <v>236372175</v>
      </c>
      <c r="F131" s="398" t="s">
        <v>430</v>
      </c>
      <c r="G131" s="398" t="s">
        <v>209</v>
      </c>
      <c r="H131" s="398" t="s">
        <v>150</v>
      </c>
      <c r="I131" s="398" t="s">
        <v>249</v>
      </c>
    </row>
    <row r="132" spans="1:9" x14ac:dyDescent="0.35">
      <c r="A132" s="395" t="s">
        <v>431</v>
      </c>
      <c r="B132" s="396" t="s">
        <v>146</v>
      </c>
      <c r="C132" s="395" t="s">
        <v>147</v>
      </c>
      <c r="D132" s="395">
        <v>135</v>
      </c>
      <c r="E132" s="397">
        <f t="shared" si="3"/>
        <v>236372175</v>
      </c>
      <c r="F132" s="398" t="s">
        <v>432</v>
      </c>
      <c r="G132" s="398" t="s">
        <v>149</v>
      </c>
      <c r="H132" s="398" t="s">
        <v>156</v>
      </c>
      <c r="I132" s="398" t="s">
        <v>156</v>
      </c>
    </row>
    <row r="133" spans="1:9" x14ac:dyDescent="0.35">
      <c r="A133" s="395" t="s">
        <v>433</v>
      </c>
      <c r="B133" s="396" t="s">
        <v>146</v>
      </c>
      <c r="C133" s="395" t="s">
        <v>147</v>
      </c>
      <c r="D133" s="395">
        <v>135</v>
      </c>
      <c r="E133" s="397">
        <f t="shared" si="3"/>
        <v>236372175</v>
      </c>
      <c r="F133" s="398" t="s">
        <v>434</v>
      </c>
      <c r="G133" s="398" t="s">
        <v>224</v>
      </c>
      <c r="H133" s="398" t="s">
        <v>156</v>
      </c>
      <c r="I133" s="398" t="s">
        <v>156</v>
      </c>
    </row>
    <row r="134" spans="1:9" x14ac:dyDescent="0.35">
      <c r="A134" s="395" t="s">
        <v>435</v>
      </c>
      <c r="B134" s="396" t="s">
        <v>146</v>
      </c>
      <c r="C134" s="395" t="s">
        <v>147</v>
      </c>
      <c r="D134" s="395">
        <v>135</v>
      </c>
      <c r="E134" s="397">
        <f t="shared" si="3"/>
        <v>236372175</v>
      </c>
      <c r="F134" s="398" t="s">
        <v>436</v>
      </c>
      <c r="G134" s="398" t="s">
        <v>178</v>
      </c>
      <c r="H134" s="398" t="s">
        <v>156</v>
      </c>
      <c r="I134" s="398" t="s">
        <v>156</v>
      </c>
    </row>
    <row r="135" spans="1:9" x14ac:dyDescent="0.35">
      <c r="A135" s="395" t="s">
        <v>437</v>
      </c>
      <c r="B135" s="396" t="s">
        <v>146</v>
      </c>
      <c r="C135" s="395" t="s">
        <v>147</v>
      </c>
      <c r="D135" s="395">
        <v>135</v>
      </c>
      <c r="E135" s="397">
        <f t="shared" si="3"/>
        <v>236372175</v>
      </c>
      <c r="F135" s="398" t="s">
        <v>436</v>
      </c>
      <c r="G135" s="398" t="s">
        <v>185</v>
      </c>
      <c r="H135" s="398" t="s">
        <v>156</v>
      </c>
      <c r="I135" s="398" t="s">
        <v>156</v>
      </c>
    </row>
    <row r="136" spans="1:9" x14ac:dyDescent="0.35">
      <c r="A136" s="395" t="s">
        <v>438</v>
      </c>
      <c r="B136" s="396" t="s">
        <v>146</v>
      </c>
      <c r="C136" s="395" t="s">
        <v>147</v>
      </c>
      <c r="D136" s="395">
        <v>135</v>
      </c>
      <c r="E136" s="397">
        <f t="shared" si="3"/>
        <v>236372175</v>
      </c>
      <c r="F136" s="398" t="s">
        <v>439</v>
      </c>
      <c r="G136" s="398" t="s">
        <v>162</v>
      </c>
      <c r="H136" s="398" t="s">
        <v>240</v>
      </c>
      <c r="I136" s="398" t="s">
        <v>164</v>
      </c>
    </row>
    <row r="137" spans="1:9" x14ac:dyDescent="0.35">
      <c r="A137" s="395" t="s">
        <v>440</v>
      </c>
      <c r="B137" s="396" t="s">
        <v>146</v>
      </c>
      <c r="C137" s="395" t="s">
        <v>147</v>
      </c>
      <c r="D137" s="395">
        <v>135</v>
      </c>
      <c r="E137" s="397">
        <f t="shared" si="3"/>
        <v>236372175</v>
      </c>
      <c r="F137" s="398" t="s">
        <v>441</v>
      </c>
      <c r="G137" s="398" t="s">
        <v>356</v>
      </c>
      <c r="H137" s="398" t="s">
        <v>156</v>
      </c>
      <c r="I137" s="398" t="s">
        <v>156</v>
      </c>
    </row>
    <row r="138" spans="1:9" x14ac:dyDescent="0.35">
      <c r="A138" s="395" t="s">
        <v>442</v>
      </c>
      <c r="B138" s="396" t="s">
        <v>146</v>
      </c>
      <c r="C138" s="395" t="s">
        <v>147</v>
      </c>
      <c r="D138" s="395">
        <v>135</v>
      </c>
      <c r="E138" s="397">
        <f t="shared" si="3"/>
        <v>236372175</v>
      </c>
      <c r="F138" s="398" t="s">
        <v>443</v>
      </c>
      <c r="G138" s="398" t="s">
        <v>149</v>
      </c>
      <c r="H138" s="398" t="s">
        <v>156</v>
      </c>
      <c r="I138" s="398" t="s">
        <v>156</v>
      </c>
    </row>
    <row r="139" spans="1:9" x14ac:dyDescent="0.35">
      <c r="A139" s="395" t="s">
        <v>444</v>
      </c>
      <c r="B139" s="396" t="s">
        <v>146</v>
      </c>
      <c r="C139" s="395" t="s">
        <v>147</v>
      </c>
      <c r="D139" s="395">
        <v>135</v>
      </c>
      <c r="E139" s="397">
        <f t="shared" si="3"/>
        <v>236372175</v>
      </c>
      <c r="F139" s="398" t="s">
        <v>445</v>
      </c>
      <c r="G139" s="398" t="s">
        <v>178</v>
      </c>
      <c r="H139" s="398" t="s">
        <v>240</v>
      </c>
      <c r="I139" s="398" t="s">
        <v>164</v>
      </c>
    </row>
    <row r="140" spans="1:9" x14ac:dyDescent="0.35">
      <c r="A140" s="395" t="s">
        <v>446</v>
      </c>
      <c r="B140" s="396" t="s">
        <v>146</v>
      </c>
      <c r="C140" s="395" t="s">
        <v>147</v>
      </c>
      <c r="D140" s="395">
        <v>135</v>
      </c>
      <c r="E140" s="397">
        <f t="shared" si="3"/>
        <v>236372175</v>
      </c>
      <c r="F140" s="398" t="s">
        <v>447</v>
      </c>
      <c r="G140" s="398" t="s">
        <v>155</v>
      </c>
      <c r="H140" s="398" t="s">
        <v>156</v>
      </c>
      <c r="I140" s="398" t="s">
        <v>156</v>
      </c>
    </row>
    <row r="141" spans="1:9" x14ac:dyDescent="0.35">
      <c r="A141" s="395" t="s">
        <v>448</v>
      </c>
      <c r="B141" s="396" t="s">
        <v>146</v>
      </c>
      <c r="C141" s="395" t="s">
        <v>147</v>
      </c>
      <c r="D141" s="395">
        <v>135</v>
      </c>
      <c r="E141" s="397">
        <f t="shared" si="3"/>
        <v>236372175</v>
      </c>
      <c r="F141" s="398" t="s">
        <v>449</v>
      </c>
      <c r="G141" s="398" t="s">
        <v>155</v>
      </c>
      <c r="H141" s="398" t="s">
        <v>156</v>
      </c>
      <c r="I141" s="398" t="s">
        <v>156</v>
      </c>
    </row>
    <row r="142" spans="1:9" x14ac:dyDescent="0.35">
      <c r="A142" s="395" t="s">
        <v>450</v>
      </c>
      <c r="B142" s="396" t="s">
        <v>146</v>
      </c>
      <c r="C142" s="395" t="s">
        <v>147</v>
      </c>
      <c r="D142" s="395">
        <v>135</v>
      </c>
      <c r="E142" s="397">
        <f t="shared" si="3"/>
        <v>236372175</v>
      </c>
      <c r="F142" s="398" t="s">
        <v>451</v>
      </c>
      <c r="G142" s="398" t="s">
        <v>149</v>
      </c>
      <c r="H142" s="398" t="s">
        <v>156</v>
      </c>
      <c r="I142" s="398" t="s">
        <v>156</v>
      </c>
    </row>
    <row r="143" spans="1:9" x14ac:dyDescent="0.35">
      <c r="A143" s="395" t="s">
        <v>452</v>
      </c>
      <c r="B143" s="396" t="s">
        <v>146</v>
      </c>
      <c r="C143" s="395" t="s">
        <v>147</v>
      </c>
      <c r="D143" s="395">
        <v>135</v>
      </c>
      <c r="E143" s="397">
        <f t="shared" si="3"/>
        <v>236372175</v>
      </c>
      <c r="F143" s="398" t="s">
        <v>453</v>
      </c>
      <c r="G143" s="398" t="s">
        <v>209</v>
      </c>
      <c r="H143" s="398" t="s">
        <v>156</v>
      </c>
      <c r="I143" s="398" t="s">
        <v>156</v>
      </c>
    </row>
    <row r="144" spans="1:9" x14ac:dyDescent="0.35">
      <c r="A144" s="395" t="s">
        <v>454</v>
      </c>
      <c r="B144" s="396" t="s">
        <v>146</v>
      </c>
      <c r="C144" s="395" t="s">
        <v>147</v>
      </c>
      <c r="D144" s="395">
        <v>135</v>
      </c>
      <c r="E144" s="397">
        <f t="shared" si="3"/>
        <v>236372175</v>
      </c>
      <c r="F144" s="398" t="s">
        <v>455</v>
      </c>
      <c r="G144" s="398" t="s">
        <v>424</v>
      </c>
      <c r="H144" s="398" t="s">
        <v>156</v>
      </c>
      <c r="I144" s="398" t="s">
        <v>156</v>
      </c>
    </row>
    <row r="145" spans="1:9" x14ac:dyDescent="0.35">
      <c r="A145" s="395" t="s">
        <v>456</v>
      </c>
      <c r="B145" s="396" t="s">
        <v>146</v>
      </c>
      <c r="C145" s="395" t="s">
        <v>147</v>
      </c>
      <c r="D145" s="395">
        <v>135</v>
      </c>
      <c r="E145" s="397">
        <f t="shared" si="3"/>
        <v>236372175</v>
      </c>
      <c r="F145" s="398" t="s">
        <v>457</v>
      </c>
      <c r="G145" s="398" t="s">
        <v>227</v>
      </c>
      <c r="H145" s="398" t="s">
        <v>156</v>
      </c>
      <c r="I145" s="398" t="s">
        <v>156</v>
      </c>
    </row>
    <row r="146" spans="1:9" x14ac:dyDescent="0.35">
      <c r="A146" s="395" t="s">
        <v>458</v>
      </c>
      <c r="B146" s="396" t="s">
        <v>146</v>
      </c>
      <c r="C146" s="395" t="s">
        <v>147</v>
      </c>
      <c r="D146" s="395">
        <v>135</v>
      </c>
      <c r="E146" s="397">
        <f t="shared" si="3"/>
        <v>236372175</v>
      </c>
      <c r="F146" s="398" t="s">
        <v>459</v>
      </c>
      <c r="G146" s="398" t="s">
        <v>221</v>
      </c>
      <c r="H146" s="398" t="s">
        <v>156</v>
      </c>
      <c r="I146" s="398" t="s">
        <v>156</v>
      </c>
    </row>
    <row r="147" spans="1:9" x14ac:dyDescent="0.35">
      <c r="A147" s="395" t="s">
        <v>460</v>
      </c>
      <c r="B147" s="396" t="s">
        <v>160</v>
      </c>
      <c r="C147" s="395" t="s">
        <v>358</v>
      </c>
      <c r="D147" s="395">
        <v>150</v>
      </c>
      <c r="E147" s="397">
        <f t="shared" si="3"/>
        <v>262635750</v>
      </c>
      <c r="F147" s="398" t="s">
        <v>461</v>
      </c>
      <c r="G147" s="398" t="s">
        <v>178</v>
      </c>
      <c r="H147" s="398" t="s">
        <v>462</v>
      </c>
      <c r="I147" s="398" t="s">
        <v>164</v>
      </c>
    </row>
    <row r="148" spans="1:9" x14ac:dyDescent="0.35">
      <c r="A148" s="395" t="s">
        <v>463</v>
      </c>
      <c r="B148" s="396" t="s">
        <v>146</v>
      </c>
      <c r="C148" s="395" t="s">
        <v>147</v>
      </c>
      <c r="D148" s="395">
        <v>135</v>
      </c>
      <c r="E148" s="397">
        <f t="shared" si="3"/>
        <v>236372175</v>
      </c>
      <c r="F148" s="398" t="s">
        <v>464</v>
      </c>
      <c r="G148" s="398" t="s">
        <v>173</v>
      </c>
      <c r="H148" s="398" t="s">
        <v>156</v>
      </c>
      <c r="I148" s="398" t="s">
        <v>156</v>
      </c>
    </row>
    <row r="149" spans="1:9" x14ac:dyDescent="0.35">
      <c r="A149" s="395" t="s">
        <v>465</v>
      </c>
      <c r="B149" s="396" t="s">
        <v>146</v>
      </c>
      <c r="C149" s="395" t="s">
        <v>147</v>
      </c>
      <c r="D149" s="395">
        <v>135</v>
      </c>
      <c r="E149" s="397">
        <f t="shared" si="3"/>
        <v>236372175</v>
      </c>
      <c r="F149" s="398" t="s">
        <v>464</v>
      </c>
      <c r="G149" s="398" t="s">
        <v>466</v>
      </c>
      <c r="H149" s="398" t="s">
        <v>156</v>
      </c>
      <c r="I149" s="398" t="s">
        <v>156</v>
      </c>
    </row>
    <row r="150" spans="1:9" x14ac:dyDescent="0.35">
      <c r="A150" s="395" t="s">
        <v>467</v>
      </c>
      <c r="B150" s="396" t="s">
        <v>160</v>
      </c>
      <c r="C150" s="395" t="s">
        <v>147</v>
      </c>
      <c r="D150" s="395">
        <v>135</v>
      </c>
      <c r="E150" s="397">
        <f t="shared" si="3"/>
        <v>236372175</v>
      </c>
      <c r="F150" s="398" t="s">
        <v>468</v>
      </c>
      <c r="G150" s="398" t="s">
        <v>311</v>
      </c>
      <c r="H150" s="398" t="s">
        <v>163</v>
      </c>
      <c r="I150" s="398" t="s">
        <v>249</v>
      </c>
    </row>
    <row r="151" spans="1:9" x14ac:dyDescent="0.35">
      <c r="A151" s="395" t="s">
        <v>469</v>
      </c>
      <c r="B151" s="396" t="s">
        <v>146</v>
      </c>
      <c r="C151" s="395" t="s">
        <v>358</v>
      </c>
      <c r="D151" s="395">
        <v>150</v>
      </c>
      <c r="E151" s="397">
        <f t="shared" si="3"/>
        <v>262635750</v>
      </c>
      <c r="F151" s="398" t="s">
        <v>470</v>
      </c>
      <c r="G151" s="398" t="s">
        <v>149</v>
      </c>
      <c r="H151" s="398" t="s">
        <v>163</v>
      </c>
      <c r="I151" s="398" t="s">
        <v>151</v>
      </c>
    </row>
    <row r="152" spans="1:9" x14ac:dyDescent="0.35">
      <c r="A152" s="395" t="s">
        <v>471</v>
      </c>
      <c r="B152" s="396" t="s">
        <v>146</v>
      </c>
      <c r="C152" s="395" t="s">
        <v>147</v>
      </c>
      <c r="D152" s="395">
        <v>135</v>
      </c>
      <c r="E152" s="397">
        <f t="shared" si="3"/>
        <v>236372175</v>
      </c>
      <c r="F152" s="398" t="s">
        <v>470</v>
      </c>
      <c r="G152" s="398" t="s">
        <v>224</v>
      </c>
      <c r="H152" s="398" t="s">
        <v>156</v>
      </c>
      <c r="I152" s="398" t="s">
        <v>156</v>
      </c>
    </row>
    <row r="153" spans="1:9" x14ac:dyDescent="0.35">
      <c r="A153" s="395" t="s">
        <v>472</v>
      </c>
      <c r="B153" s="396" t="s">
        <v>146</v>
      </c>
      <c r="C153" s="395" t="s">
        <v>147</v>
      </c>
      <c r="D153" s="395">
        <v>135</v>
      </c>
      <c r="E153" s="397">
        <f t="shared" si="3"/>
        <v>236372175</v>
      </c>
      <c r="F153" s="398" t="s">
        <v>473</v>
      </c>
      <c r="G153" s="398" t="s">
        <v>221</v>
      </c>
      <c r="H153" s="398" t="s">
        <v>156</v>
      </c>
      <c r="I153" s="398" t="s">
        <v>156</v>
      </c>
    </row>
    <row r="154" spans="1:9" x14ac:dyDescent="0.35">
      <c r="A154" s="395" t="s">
        <v>474</v>
      </c>
      <c r="B154" s="396" t="s">
        <v>160</v>
      </c>
      <c r="C154" s="395" t="s">
        <v>358</v>
      </c>
      <c r="D154" s="395">
        <v>150</v>
      </c>
      <c r="E154" s="397">
        <f t="shared" si="3"/>
        <v>262635750</v>
      </c>
      <c r="F154" s="398" t="s">
        <v>475</v>
      </c>
      <c r="G154" s="398" t="s">
        <v>209</v>
      </c>
      <c r="H154" s="398" t="s">
        <v>163</v>
      </c>
      <c r="I154" s="398" t="s">
        <v>249</v>
      </c>
    </row>
    <row r="155" spans="1:9" x14ac:dyDescent="0.35">
      <c r="A155" s="395" t="s">
        <v>476</v>
      </c>
      <c r="B155" s="396" t="s">
        <v>146</v>
      </c>
      <c r="C155" s="395" t="s">
        <v>147</v>
      </c>
      <c r="D155" s="395">
        <v>135</v>
      </c>
      <c r="E155" s="397">
        <f t="shared" si="3"/>
        <v>236372175</v>
      </c>
      <c r="F155" s="398" t="s">
        <v>477</v>
      </c>
      <c r="G155" s="398" t="s">
        <v>185</v>
      </c>
      <c r="H155" s="398" t="s">
        <v>156</v>
      </c>
      <c r="I155" s="398" t="s">
        <v>156</v>
      </c>
    </row>
    <row r="156" spans="1:9" x14ac:dyDescent="0.35">
      <c r="A156" s="395" t="s">
        <v>478</v>
      </c>
      <c r="B156" s="396" t="s">
        <v>146</v>
      </c>
      <c r="C156" s="395" t="s">
        <v>147</v>
      </c>
      <c r="D156" s="395">
        <v>135</v>
      </c>
      <c r="E156" s="397">
        <f t="shared" si="3"/>
        <v>236372175</v>
      </c>
      <c r="F156" s="398" t="s">
        <v>479</v>
      </c>
      <c r="G156" s="398" t="s">
        <v>209</v>
      </c>
      <c r="H156" s="398" t="s">
        <v>156</v>
      </c>
      <c r="I156" s="398" t="s">
        <v>156</v>
      </c>
    </row>
    <row r="157" spans="1:9" x14ac:dyDescent="0.35">
      <c r="A157" s="395" t="s">
        <v>480</v>
      </c>
      <c r="B157" s="396" t="s">
        <v>146</v>
      </c>
      <c r="C157" s="395" t="s">
        <v>147</v>
      </c>
      <c r="D157" s="395">
        <v>135</v>
      </c>
      <c r="E157" s="397">
        <f t="shared" si="3"/>
        <v>236372175</v>
      </c>
      <c r="F157" s="398" t="s">
        <v>481</v>
      </c>
      <c r="G157" s="398" t="s">
        <v>221</v>
      </c>
      <c r="H157" s="398" t="s">
        <v>156</v>
      </c>
      <c r="I157" s="398" t="s">
        <v>156</v>
      </c>
    </row>
    <row r="158" spans="1:9" x14ac:dyDescent="0.35">
      <c r="A158" s="395" t="s">
        <v>482</v>
      </c>
      <c r="B158" s="396" t="s">
        <v>146</v>
      </c>
      <c r="C158" s="395" t="s">
        <v>147</v>
      </c>
      <c r="D158" s="395">
        <v>135</v>
      </c>
      <c r="E158" s="397">
        <f t="shared" si="3"/>
        <v>236372175</v>
      </c>
      <c r="F158" s="398" t="s">
        <v>483</v>
      </c>
      <c r="G158" s="398" t="s">
        <v>149</v>
      </c>
      <c r="H158" s="398" t="s">
        <v>156</v>
      </c>
      <c r="I158" s="398" t="s">
        <v>156</v>
      </c>
    </row>
    <row r="159" spans="1:9" x14ac:dyDescent="0.35">
      <c r="A159" s="395" t="s">
        <v>484</v>
      </c>
      <c r="B159" s="396" t="s">
        <v>146</v>
      </c>
      <c r="C159" s="395" t="s">
        <v>147</v>
      </c>
      <c r="D159" s="395">
        <v>135</v>
      </c>
      <c r="E159" s="397">
        <f t="shared" si="3"/>
        <v>236372175</v>
      </c>
      <c r="F159" s="398" t="s">
        <v>485</v>
      </c>
      <c r="G159" s="398" t="s">
        <v>336</v>
      </c>
      <c r="H159" s="398" t="s">
        <v>150</v>
      </c>
      <c r="I159" s="398" t="s">
        <v>182</v>
      </c>
    </row>
    <row r="160" spans="1:9" x14ac:dyDescent="0.35">
      <c r="A160" s="395" t="s">
        <v>486</v>
      </c>
      <c r="B160" s="396" t="s">
        <v>146</v>
      </c>
      <c r="C160" s="395" t="s">
        <v>147</v>
      </c>
      <c r="D160" s="395">
        <v>135</v>
      </c>
      <c r="E160" s="397">
        <f t="shared" si="3"/>
        <v>236372175</v>
      </c>
      <c r="F160" s="398" t="s">
        <v>487</v>
      </c>
      <c r="G160" s="398" t="s">
        <v>170</v>
      </c>
      <c r="H160" s="398" t="s">
        <v>156</v>
      </c>
      <c r="I160" s="398" t="s">
        <v>156</v>
      </c>
    </row>
    <row r="161" spans="1:9" x14ac:dyDescent="0.35">
      <c r="A161" s="395" t="s">
        <v>488</v>
      </c>
      <c r="B161" s="396" t="s">
        <v>146</v>
      </c>
      <c r="C161" s="395" t="s">
        <v>147</v>
      </c>
      <c r="D161" s="395">
        <v>135</v>
      </c>
      <c r="E161" s="397">
        <f t="shared" si="3"/>
        <v>236372175</v>
      </c>
      <c r="F161" s="398" t="s">
        <v>489</v>
      </c>
      <c r="G161" s="398" t="s">
        <v>224</v>
      </c>
      <c r="H161" s="398" t="s">
        <v>156</v>
      </c>
      <c r="I161" s="398" t="s">
        <v>156</v>
      </c>
    </row>
    <row r="162" spans="1:9" x14ac:dyDescent="0.35">
      <c r="A162" s="395" t="s">
        <v>490</v>
      </c>
      <c r="B162" s="396" t="s">
        <v>146</v>
      </c>
      <c r="C162" s="395" t="s">
        <v>147</v>
      </c>
      <c r="D162" s="395">
        <v>135</v>
      </c>
      <c r="E162" s="397">
        <f t="shared" si="3"/>
        <v>236372175</v>
      </c>
      <c r="F162" s="398" t="s">
        <v>491</v>
      </c>
      <c r="G162" s="398" t="s">
        <v>324</v>
      </c>
      <c r="H162" s="398" t="s">
        <v>156</v>
      </c>
      <c r="I162" s="398" t="s">
        <v>156</v>
      </c>
    </row>
    <row r="163" spans="1:9" x14ac:dyDescent="0.35">
      <c r="A163" s="395" t="s">
        <v>492</v>
      </c>
      <c r="B163" s="396" t="s">
        <v>146</v>
      </c>
      <c r="C163" s="395" t="s">
        <v>147</v>
      </c>
      <c r="D163" s="395">
        <v>135</v>
      </c>
      <c r="E163" s="397">
        <f t="shared" si="3"/>
        <v>236372175</v>
      </c>
      <c r="F163" s="398" t="s">
        <v>493</v>
      </c>
      <c r="G163" s="398" t="s">
        <v>336</v>
      </c>
      <c r="H163" s="398" t="s">
        <v>156</v>
      </c>
      <c r="I163" s="398" t="s">
        <v>156</v>
      </c>
    </row>
    <row r="164" spans="1:9" x14ac:dyDescent="0.35">
      <c r="A164" s="395" t="s">
        <v>494</v>
      </c>
      <c r="B164" s="396" t="s">
        <v>146</v>
      </c>
      <c r="C164" s="395" t="s">
        <v>358</v>
      </c>
      <c r="D164" s="395">
        <v>150</v>
      </c>
      <c r="E164" s="397">
        <f t="shared" si="3"/>
        <v>262635750</v>
      </c>
      <c r="F164" s="398" t="s">
        <v>493</v>
      </c>
      <c r="G164" s="398" t="s">
        <v>209</v>
      </c>
      <c r="H164" s="398" t="s">
        <v>462</v>
      </c>
      <c r="I164" s="398" t="s">
        <v>249</v>
      </c>
    </row>
    <row r="165" spans="1:9" x14ac:dyDescent="0.35">
      <c r="A165" s="395" t="s">
        <v>495</v>
      </c>
      <c r="B165" s="396" t="s">
        <v>146</v>
      </c>
      <c r="C165" s="395" t="s">
        <v>147</v>
      </c>
      <c r="D165" s="395">
        <v>135</v>
      </c>
      <c r="E165" s="397">
        <f t="shared" si="3"/>
        <v>236372175</v>
      </c>
      <c r="F165" s="398" t="s">
        <v>496</v>
      </c>
      <c r="G165" s="398" t="s">
        <v>173</v>
      </c>
      <c r="H165" s="398" t="s">
        <v>240</v>
      </c>
      <c r="I165" s="398" t="s">
        <v>182</v>
      </c>
    </row>
    <row r="166" spans="1:9" x14ac:dyDescent="0.35">
      <c r="A166" s="395" t="s">
        <v>497</v>
      </c>
      <c r="B166" s="396" t="s">
        <v>146</v>
      </c>
      <c r="C166" s="395" t="s">
        <v>147</v>
      </c>
      <c r="D166" s="395">
        <v>135</v>
      </c>
      <c r="E166" s="397">
        <f t="shared" si="3"/>
        <v>236372175</v>
      </c>
      <c r="F166" s="398" t="s">
        <v>498</v>
      </c>
      <c r="G166" s="398" t="s">
        <v>149</v>
      </c>
      <c r="H166" s="398" t="s">
        <v>156</v>
      </c>
      <c r="I166" s="398" t="s">
        <v>156</v>
      </c>
    </row>
    <row r="167" spans="1:9" x14ac:dyDescent="0.35">
      <c r="A167" s="395" t="s">
        <v>499</v>
      </c>
      <c r="B167" s="396" t="s">
        <v>146</v>
      </c>
      <c r="C167" s="395" t="s">
        <v>147</v>
      </c>
      <c r="D167" s="395">
        <v>135</v>
      </c>
      <c r="E167" s="397">
        <f t="shared" si="3"/>
        <v>236372175</v>
      </c>
      <c r="F167" s="398" t="s">
        <v>500</v>
      </c>
      <c r="G167" s="398" t="s">
        <v>178</v>
      </c>
      <c r="H167" s="398" t="s">
        <v>156</v>
      </c>
      <c r="I167" s="398" t="s">
        <v>156</v>
      </c>
    </row>
    <row r="168" spans="1:9" x14ac:dyDescent="0.35">
      <c r="A168" s="395" t="s">
        <v>501</v>
      </c>
      <c r="B168" s="396" t="s">
        <v>146</v>
      </c>
      <c r="C168" s="395" t="s">
        <v>147</v>
      </c>
      <c r="D168" s="395">
        <v>135</v>
      </c>
      <c r="E168" s="397">
        <f t="shared" si="3"/>
        <v>236372175</v>
      </c>
      <c r="F168" s="398" t="s">
        <v>502</v>
      </c>
      <c r="G168" s="398" t="s">
        <v>185</v>
      </c>
      <c r="H168" s="398" t="s">
        <v>156</v>
      </c>
      <c r="I168" s="398" t="s">
        <v>156</v>
      </c>
    </row>
    <row r="169" spans="1:9" x14ac:dyDescent="0.35">
      <c r="A169" s="395" t="s">
        <v>503</v>
      </c>
      <c r="B169" s="396" t="s">
        <v>146</v>
      </c>
      <c r="C169" s="395" t="s">
        <v>147</v>
      </c>
      <c r="D169" s="395">
        <v>135</v>
      </c>
      <c r="E169" s="397">
        <f t="shared" si="3"/>
        <v>236372175</v>
      </c>
      <c r="F169" s="398" t="s">
        <v>504</v>
      </c>
      <c r="G169" s="398" t="s">
        <v>178</v>
      </c>
      <c r="H169" s="398" t="s">
        <v>462</v>
      </c>
      <c r="I169" s="398" t="s">
        <v>164</v>
      </c>
    </row>
    <row r="170" spans="1:9" x14ac:dyDescent="0.35">
      <c r="A170" s="395" t="s">
        <v>505</v>
      </c>
      <c r="B170" s="396" t="s">
        <v>146</v>
      </c>
      <c r="C170" s="395" t="s">
        <v>147</v>
      </c>
      <c r="D170" s="395">
        <v>135</v>
      </c>
      <c r="E170" s="397">
        <f t="shared" si="3"/>
        <v>236372175</v>
      </c>
      <c r="F170" s="398" t="s">
        <v>506</v>
      </c>
      <c r="G170" s="398" t="s">
        <v>149</v>
      </c>
      <c r="H170" s="398" t="s">
        <v>156</v>
      </c>
      <c r="I170" s="398" t="s">
        <v>156</v>
      </c>
    </row>
    <row r="171" spans="1:9" x14ac:dyDescent="0.35">
      <c r="A171" s="395" t="s">
        <v>507</v>
      </c>
      <c r="B171" s="396" t="s">
        <v>146</v>
      </c>
      <c r="C171" s="395" t="s">
        <v>147</v>
      </c>
      <c r="D171" s="395">
        <v>135</v>
      </c>
      <c r="E171" s="397">
        <f t="shared" si="3"/>
        <v>236372175</v>
      </c>
      <c r="F171" s="398" t="s">
        <v>508</v>
      </c>
      <c r="G171" s="398" t="s">
        <v>149</v>
      </c>
      <c r="H171" s="398" t="s">
        <v>156</v>
      </c>
      <c r="I171" s="398" t="s">
        <v>156</v>
      </c>
    </row>
    <row r="172" spans="1:9" x14ac:dyDescent="0.35">
      <c r="A172" s="395" t="s">
        <v>509</v>
      </c>
      <c r="B172" s="396" t="s">
        <v>146</v>
      </c>
      <c r="C172" s="395" t="s">
        <v>147</v>
      </c>
      <c r="D172" s="395">
        <v>135</v>
      </c>
      <c r="E172" s="397">
        <f t="shared" si="3"/>
        <v>236372175</v>
      </c>
      <c r="F172" s="398" t="s">
        <v>510</v>
      </c>
      <c r="G172" s="398" t="s">
        <v>185</v>
      </c>
      <c r="H172" s="398" t="s">
        <v>156</v>
      </c>
      <c r="I172" s="398" t="s">
        <v>156</v>
      </c>
    </row>
    <row r="173" spans="1:9" x14ac:dyDescent="0.35">
      <c r="A173" s="395" t="s">
        <v>511</v>
      </c>
      <c r="B173" s="396" t="s">
        <v>146</v>
      </c>
      <c r="C173" s="395" t="s">
        <v>147</v>
      </c>
      <c r="D173" s="395">
        <v>135</v>
      </c>
      <c r="E173" s="397">
        <f t="shared" si="3"/>
        <v>236372175</v>
      </c>
      <c r="F173" s="398" t="s">
        <v>512</v>
      </c>
      <c r="G173" s="398" t="s">
        <v>149</v>
      </c>
      <c r="H173" s="398" t="s">
        <v>240</v>
      </c>
      <c r="I173" s="398" t="s">
        <v>151</v>
      </c>
    </row>
    <row r="174" spans="1:9" x14ac:dyDescent="0.35">
      <c r="A174" s="395" t="s">
        <v>513</v>
      </c>
      <c r="B174" s="396" t="s">
        <v>146</v>
      </c>
      <c r="C174" s="395" t="s">
        <v>147</v>
      </c>
      <c r="D174" s="395">
        <v>135</v>
      </c>
      <c r="E174" s="397">
        <f t="shared" si="3"/>
        <v>236372175</v>
      </c>
      <c r="F174" s="398" t="s">
        <v>514</v>
      </c>
      <c r="G174" s="398" t="s">
        <v>227</v>
      </c>
      <c r="H174" s="398" t="s">
        <v>156</v>
      </c>
      <c r="I174" s="398" t="s">
        <v>156</v>
      </c>
    </row>
    <row r="175" spans="1:9" x14ac:dyDescent="0.35">
      <c r="A175" s="395" t="s">
        <v>515</v>
      </c>
      <c r="B175" s="396" t="s">
        <v>146</v>
      </c>
      <c r="C175" s="395" t="s">
        <v>147</v>
      </c>
      <c r="D175" s="395">
        <v>135</v>
      </c>
      <c r="E175" s="397">
        <f t="shared" si="3"/>
        <v>236372175</v>
      </c>
      <c r="F175" s="398" t="s">
        <v>516</v>
      </c>
      <c r="G175" s="398" t="s">
        <v>178</v>
      </c>
      <c r="H175" s="398" t="s">
        <v>156</v>
      </c>
      <c r="I175" s="398" t="s">
        <v>156</v>
      </c>
    </row>
    <row r="176" spans="1:9" x14ac:dyDescent="0.35">
      <c r="A176" s="395" t="s">
        <v>517</v>
      </c>
      <c r="B176" s="396" t="s">
        <v>146</v>
      </c>
      <c r="C176" s="395" t="s">
        <v>147</v>
      </c>
      <c r="D176" s="395">
        <v>135</v>
      </c>
      <c r="E176" s="397">
        <f t="shared" si="3"/>
        <v>236372175</v>
      </c>
      <c r="F176" s="398" t="s">
        <v>518</v>
      </c>
      <c r="G176" s="398" t="s">
        <v>167</v>
      </c>
      <c r="H176" s="398" t="s">
        <v>156</v>
      </c>
      <c r="I176" s="398" t="s">
        <v>156</v>
      </c>
    </row>
    <row r="177" spans="1:9" x14ac:dyDescent="0.35">
      <c r="A177" s="395" t="s">
        <v>519</v>
      </c>
      <c r="B177" s="396" t="s">
        <v>146</v>
      </c>
      <c r="C177" s="395" t="s">
        <v>147</v>
      </c>
      <c r="D177" s="395">
        <v>135</v>
      </c>
      <c r="E177" s="397">
        <f t="shared" si="3"/>
        <v>236372175</v>
      </c>
      <c r="F177" s="398" t="s">
        <v>520</v>
      </c>
      <c r="G177" s="398" t="s">
        <v>149</v>
      </c>
      <c r="H177" s="398" t="s">
        <v>156</v>
      </c>
      <c r="I177" s="398" t="s">
        <v>156</v>
      </c>
    </row>
    <row r="178" spans="1:9" x14ac:dyDescent="0.35">
      <c r="A178" s="395" t="s">
        <v>521</v>
      </c>
      <c r="B178" s="396" t="s">
        <v>160</v>
      </c>
      <c r="C178" s="395" t="s">
        <v>358</v>
      </c>
      <c r="D178" s="395">
        <v>150</v>
      </c>
      <c r="E178" s="397">
        <f t="shared" si="3"/>
        <v>262635750</v>
      </c>
      <c r="F178" s="398" t="s">
        <v>522</v>
      </c>
      <c r="G178" s="398" t="s">
        <v>173</v>
      </c>
      <c r="H178" s="398" t="s">
        <v>462</v>
      </c>
      <c r="I178" s="398" t="s">
        <v>182</v>
      </c>
    </row>
    <row r="179" spans="1:9" x14ac:dyDescent="0.35">
      <c r="A179" s="395" t="s">
        <v>523</v>
      </c>
      <c r="B179" s="396" t="s">
        <v>146</v>
      </c>
      <c r="C179" s="395" t="s">
        <v>147</v>
      </c>
      <c r="D179" s="395">
        <v>135</v>
      </c>
      <c r="E179" s="397">
        <f t="shared" si="3"/>
        <v>236372175</v>
      </c>
      <c r="F179" s="398" t="s">
        <v>524</v>
      </c>
      <c r="G179" s="398" t="s">
        <v>203</v>
      </c>
      <c r="H179" s="398" t="s">
        <v>156</v>
      </c>
      <c r="I179" s="398" t="s">
        <v>156</v>
      </c>
    </row>
    <row r="180" spans="1:9" x14ac:dyDescent="0.35">
      <c r="A180" s="395" t="s">
        <v>525</v>
      </c>
      <c r="B180" s="396" t="s">
        <v>146</v>
      </c>
      <c r="C180" s="395" t="s">
        <v>147</v>
      </c>
      <c r="D180" s="395">
        <v>135</v>
      </c>
      <c r="E180" s="397">
        <f t="shared" si="3"/>
        <v>236372175</v>
      </c>
      <c r="F180" s="398" t="s">
        <v>526</v>
      </c>
      <c r="G180" s="398" t="s">
        <v>209</v>
      </c>
      <c r="H180" s="398" t="s">
        <v>462</v>
      </c>
      <c r="I180" s="398" t="s">
        <v>249</v>
      </c>
    </row>
    <row r="181" spans="1:9" x14ac:dyDescent="0.35">
      <c r="A181" s="395" t="s">
        <v>527</v>
      </c>
      <c r="B181" s="396" t="s">
        <v>146</v>
      </c>
      <c r="C181" s="395" t="s">
        <v>147</v>
      </c>
      <c r="D181" s="395">
        <v>135</v>
      </c>
      <c r="E181" s="397">
        <f t="shared" si="3"/>
        <v>236372175</v>
      </c>
      <c r="F181" s="398" t="s">
        <v>528</v>
      </c>
      <c r="G181" s="398" t="s">
        <v>529</v>
      </c>
      <c r="H181" s="398" t="s">
        <v>156</v>
      </c>
      <c r="I181" s="398" t="s">
        <v>156</v>
      </c>
    </row>
    <row r="182" spans="1:9" x14ac:dyDescent="0.35">
      <c r="A182" s="395" t="s">
        <v>530</v>
      </c>
      <c r="B182" s="396" t="s">
        <v>146</v>
      </c>
      <c r="C182" s="395" t="s">
        <v>147</v>
      </c>
      <c r="D182" s="395">
        <v>135</v>
      </c>
      <c r="E182" s="397">
        <f t="shared" si="3"/>
        <v>236372175</v>
      </c>
      <c r="F182" s="398" t="s">
        <v>531</v>
      </c>
      <c r="G182" s="398" t="s">
        <v>227</v>
      </c>
      <c r="H182" s="398" t="s">
        <v>156</v>
      </c>
      <c r="I182" s="398" t="s">
        <v>156</v>
      </c>
    </row>
    <row r="183" spans="1:9" x14ac:dyDescent="0.35">
      <c r="A183" s="395" t="s">
        <v>532</v>
      </c>
      <c r="B183" s="396" t="s">
        <v>146</v>
      </c>
      <c r="C183" s="395" t="s">
        <v>147</v>
      </c>
      <c r="D183" s="395">
        <v>135</v>
      </c>
      <c r="E183" s="397">
        <f t="shared" si="3"/>
        <v>236372175</v>
      </c>
      <c r="F183" s="398" t="s">
        <v>533</v>
      </c>
      <c r="G183" s="398" t="s">
        <v>162</v>
      </c>
      <c r="H183" s="398" t="s">
        <v>163</v>
      </c>
      <c r="I183" s="398" t="s">
        <v>164</v>
      </c>
    </row>
    <row r="184" spans="1:9" x14ac:dyDescent="0.35">
      <c r="A184" s="395" t="s">
        <v>534</v>
      </c>
      <c r="B184" s="396" t="s">
        <v>146</v>
      </c>
      <c r="C184" s="395" t="s">
        <v>147</v>
      </c>
      <c r="D184" s="395">
        <v>135</v>
      </c>
      <c r="E184" s="397">
        <f t="shared" si="3"/>
        <v>236372175</v>
      </c>
      <c r="F184" s="398" t="s">
        <v>535</v>
      </c>
      <c r="G184" s="398" t="s">
        <v>149</v>
      </c>
      <c r="H184" s="398" t="s">
        <v>240</v>
      </c>
      <c r="I184" s="398" t="s">
        <v>151</v>
      </c>
    </row>
    <row r="185" spans="1:9" x14ac:dyDescent="0.35">
      <c r="A185" s="395" t="s">
        <v>536</v>
      </c>
      <c r="B185" s="396" t="s">
        <v>146</v>
      </c>
      <c r="C185" s="395" t="s">
        <v>147</v>
      </c>
      <c r="D185" s="395">
        <v>135</v>
      </c>
      <c r="E185" s="397">
        <f t="shared" si="3"/>
        <v>236372175</v>
      </c>
      <c r="F185" s="398" t="s">
        <v>537</v>
      </c>
      <c r="G185" s="398" t="s">
        <v>185</v>
      </c>
      <c r="H185" s="398" t="s">
        <v>156</v>
      </c>
      <c r="I185" s="398" t="s">
        <v>156</v>
      </c>
    </row>
    <row r="186" spans="1:9" x14ac:dyDescent="0.35">
      <c r="A186" s="395" t="s">
        <v>538</v>
      </c>
      <c r="B186" s="396" t="s">
        <v>160</v>
      </c>
      <c r="C186" s="395" t="s">
        <v>147</v>
      </c>
      <c r="D186" s="395">
        <v>135</v>
      </c>
      <c r="E186" s="397">
        <f t="shared" si="3"/>
        <v>236372175</v>
      </c>
      <c r="F186" s="398" t="s">
        <v>539</v>
      </c>
      <c r="G186" s="398" t="s">
        <v>324</v>
      </c>
      <c r="H186" s="398" t="s">
        <v>150</v>
      </c>
      <c r="I186" s="398" t="s">
        <v>151</v>
      </c>
    </row>
    <row r="187" spans="1:9" x14ac:dyDescent="0.35">
      <c r="A187" s="395" t="s">
        <v>540</v>
      </c>
      <c r="B187" s="396" t="s">
        <v>146</v>
      </c>
      <c r="C187" s="395" t="s">
        <v>147</v>
      </c>
      <c r="D187" s="395">
        <v>135</v>
      </c>
      <c r="E187" s="397">
        <f t="shared" si="3"/>
        <v>236372175</v>
      </c>
      <c r="F187" s="398" t="s">
        <v>541</v>
      </c>
      <c r="G187" s="398" t="s">
        <v>224</v>
      </c>
      <c r="H187" s="398" t="s">
        <v>156</v>
      </c>
      <c r="I187" s="398" t="s">
        <v>156</v>
      </c>
    </row>
    <row r="188" spans="1:9" x14ac:dyDescent="0.35">
      <c r="A188" s="395" t="s">
        <v>542</v>
      </c>
      <c r="B188" s="396" t="s">
        <v>146</v>
      </c>
      <c r="C188" s="395" t="s">
        <v>147</v>
      </c>
      <c r="D188" s="395">
        <v>135</v>
      </c>
      <c r="E188" s="397">
        <f t="shared" si="3"/>
        <v>236372175</v>
      </c>
      <c r="F188" s="398" t="s">
        <v>543</v>
      </c>
      <c r="G188" s="398" t="s">
        <v>185</v>
      </c>
      <c r="H188" s="398" t="s">
        <v>156</v>
      </c>
      <c r="I188" s="398" t="s">
        <v>156</v>
      </c>
    </row>
    <row r="189" spans="1:9" x14ac:dyDescent="0.35">
      <c r="A189" s="395" t="s">
        <v>544</v>
      </c>
      <c r="B189" s="396" t="s">
        <v>146</v>
      </c>
      <c r="C189" s="395" t="s">
        <v>147</v>
      </c>
      <c r="D189" s="395">
        <v>135</v>
      </c>
      <c r="E189" s="397">
        <f t="shared" si="3"/>
        <v>236372175</v>
      </c>
      <c r="F189" s="398" t="s">
        <v>545</v>
      </c>
      <c r="G189" s="398" t="s">
        <v>216</v>
      </c>
      <c r="H189" s="398" t="s">
        <v>156</v>
      </c>
      <c r="I189" s="398" t="s">
        <v>156</v>
      </c>
    </row>
    <row r="190" spans="1:9" x14ac:dyDescent="0.35">
      <c r="A190" s="395" t="s">
        <v>546</v>
      </c>
      <c r="B190" s="396" t="s">
        <v>146</v>
      </c>
      <c r="C190" s="395" t="s">
        <v>147</v>
      </c>
      <c r="D190" s="395">
        <v>135</v>
      </c>
      <c r="E190" s="397">
        <f t="shared" si="3"/>
        <v>236372175</v>
      </c>
      <c r="F190" s="398" t="s">
        <v>547</v>
      </c>
      <c r="G190" s="398" t="s">
        <v>167</v>
      </c>
      <c r="H190" s="398" t="s">
        <v>156</v>
      </c>
      <c r="I190" s="398" t="s">
        <v>156</v>
      </c>
    </row>
    <row r="191" spans="1:9" x14ac:dyDescent="0.35">
      <c r="A191" s="395" t="s">
        <v>548</v>
      </c>
      <c r="B191" s="396" t="s">
        <v>146</v>
      </c>
      <c r="C191" s="395" t="s">
        <v>147</v>
      </c>
      <c r="D191" s="395">
        <v>135</v>
      </c>
      <c r="E191" s="397">
        <f t="shared" si="3"/>
        <v>236372175</v>
      </c>
      <c r="F191" s="398" t="s">
        <v>549</v>
      </c>
      <c r="G191" s="398" t="s">
        <v>200</v>
      </c>
      <c r="H191" s="398" t="s">
        <v>150</v>
      </c>
      <c r="I191" s="398" t="s">
        <v>249</v>
      </c>
    </row>
    <row r="192" spans="1:9" x14ac:dyDescent="0.35">
      <c r="A192" s="395" t="s">
        <v>550</v>
      </c>
      <c r="B192" s="396" t="s">
        <v>146</v>
      </c>
      <c r="C192" s="395" t="s">
        <v>147</v>
      </c>
      <c r="D192" s="395">
        <v>135</v>
      </c>
      <c r="E192" s="397">
        <f t="shared" si="3"/>
        <v>236372175</v>
      </c>
      <c r="F192" s="398" t="s">
        <v>551</v>
      </c>
      <c r="G192" s="398" t="s">
        <v>178</v>
      </c>
      <c r="H192" s="398" t="s">
        <v>156</v>
      </c>
      <c r="I192" s="398" t="s">
        <v>156</v>
      </c>
    </row>
    <row r="193" spans="1:9" x14ac:dyDescent="0.35">
      <c r="A193" s="395" t="s">
        <v>552</v>
      </c>
      <c r="B193" s="396" t="s">
        <v>146</v>
      </c>
      <c r="C193" s="395" t="s">
        <v>147</v>
      </c>
      <c r="D193" s="395">
        <v>135</v>
      </c>
      <c r="E193" s="397">
        <f t="shared" si="3"/>
        <v>236372175</v>
      </c>
      <c r="F193" s="398" t="s">
        <v>553</v>
      </c>
      <c r="G193" s="398" t="s">
        <v>424</v>
      </c>
      <c r="H193" s="398" t="s">
        <v>156</v>
      </c>
      <c r="I193" s="398" t="s">
        <v>156</v>
      </c>
    </row>
    <row r="194" spans="1:9" x14ac:dyDescent="0.35">
      <c r="A194" s="395" t="s">
        <v>554</v>
      </c>
      <c r="B194" s="396" t="s">
        <v>146</v>
      </c>
      <c r="C194" s="395" t="s">
        <v>147</v>
      </c>
      <c r="D194" s="395">
        <v>135</v>
      </c>
      <c r="E194" s="397">
        <f t="shared" si="3"/>
        <v>236372175</v>
      </c>
      <c r="F194" s="398" t="s">
        <v>555</v>
      </c>
      <c r="G194" s="398" t="s">
        <v>191</v>
      </c>
      <c r="H194" s="398" t="s">
        <v>156</v>
      </c>
      <c r="I194" s="398" t="s">
        <v>156</v>
      </c>
    </row>
    <row r="195" spans="1:9" x14ac:dyDescent="0.35">
      <c r="A195" s="395" t="s">
        <v>556</v>
      </c>
      <c r="B195" s="396" t="s">
        <v>146</v>
      </c>
      <c r="C195" s="395" t="s">
        <v>147</v>
      </c>
      <c r="D195" s="395">
        <v>135</v>
      </c>
      <c r="E195" s="397">
        <f t="shared" ref="E195:E258" si="4">D195*$S$2</f>
        <v>236372175</v>
      </c>
      <c r="F195" s="398" t="s">
        <v>557</v>
      </c>
      <c r="G195" s="398" t="s">
        <v>227</v>
      </c>
      <c r="H195" s="398" t="s">
        <v>150</v>
      </c>
      <c r="I195" s="398" t="s">
        <v>164</v>
      </c>
    </row>
    <row r="196" spans="1:9" x14ac:dyDescent="0.35">
      <c r="A196" s="395" t="s">
        <v>558</v>
      </c>
      <c r="B196" s="396" t="s">
        <v>146</v>
      </c>
      <c r="C196" s="395" t="s">
        <v>147</v>
      </c>
      <c r="D196" s="395">
        <v>135</v>
      </c>
      <c r="E196" s="397">
        <f t="shared" si="4"/>
        <v>236372175</v>
      </c>
      <c r="F196" s="398" t="s">
        <v>559</v>
      </c>
      <c r="G196" s="398" t="s">
        <v>185</v>
      </c>
      <c r="H196" s="398" t="s">
        <v>156</v>
      </c>
      <c r="I196" s="398" t="s">
        <v>156</v>
      </c>
    </row>
    <row r="197" spans="1:9" x14ac:dyDescent="0.35">
      <c r="A197" s="395" t="s">
        <v>560</v>
      </c>
      <c r="B197" s="396" t="s">
        <v>146</v>
      </c>
      <c r="C197" s="395" t="s">
        <v>147</v>
      </c>
      <c r="D197" s="395">
        <v>135</v>
      </c>
      <c r="E197" s="397">
        <f t="shared" si="4"/>
        <v>236372175</v>
      </c>
      <c r="F197" s="398" t="s">
        <v>561</v>
      </c>
      <c r="G197" s="398" t="s">
        <v>185</v>
      </c>
      <c r="H197" s="398" t="s">
        <v>156</v>
      </c>
      <c r="I197" s="398" t="s">
        <v>156</v>
      </c>
    </row>
    <row r="198" spans="1:9" x14ac:dyDescent="0.35">
      <c r="A198" s="395" t="s">
        <v>562</v>
      </c>
      <c r="B198" s="396" t="s">
        <v>160</v>
      </c>
      <c r="C198" s="395" t="s">
        <v>358</v>
      </c>
      <c r="D198" s="395">
        <v>150</v>
      </c>
      <c r="E198" s="397">
        <f t="shared" si="4"/>
        <v>262635750</v>
      </c>
      <c r="F198" s="398" t="s">
        <v>563</v>
      </c>
      <c r="G198" s="398" t="s">
        <v>178</v>
      </c>
      <c r="H198" s="398" t="s">
        <v>462</v>
      </c>
      <c r="I198" s="398" t="s">
        <v>164</v>
      </c>
    </row>
    <row r="199" spans="1:9" x14ac:dyDescent="0.35">
      <c r="A199" s="395" t="s">
        <v>564</v>
      </c>
      <c r="B199" s="396" t="s">
        <v>146</v>
      </c>
      <c r="C199" s="395" t="s">
        <v>147</v>
      </c>
      <c r="D199" s="395">
        <v>135</v>
      </c>
      <c r="E199" s="397">
        <f t="shared" si="4"/>
        <v>236372175</v>
      </c>
      <c r="F199" s="398" t="s">
        <v>565</v>
      </c>
      <c r="G199" s="398" t="s">
        <v>216</v>
      </c>
      <c r="H199" s="398" t="s">
        <v>156</v>
      </c>
      <c r="I199" s="398" t="s">
        <v>156</v>
      </c>
    </row>
    <row r="200" spans="1:9" x14ac:dyDescent="0.35">
      <c r="A200" s="395" t="s">
        <v>566</v>
      </c>
      <c r="B200" s="396" t="s">
        <v>146</v>
      </c>
      <c r="C200" s="395" t="s">
        <v>147</v>
      </c>
      <c r="D200" s="395">
        <v>135</v>
      </c>
      <c r="E200" s="397">
        <f t="shared" si="4"/>
        <v>236372175</v>
      </c>
      <c r="F200" s="398" t="s">
        <v>567</v>
      </c>
      <c r="G200" s="398" t="s">
        <v>149</v>
      </c>
      <c r="H200" s="398" t="s">
        <v>240</v>
      </c>
      <c r="I200" s="398" t="s">
        <v>151</v>
      </c>
    </row>
    <row r="201" spans="1:9" x14ac:dyDescent="0.35">
      <c r="A201" s="395" t="s">
        <v>568</v>
      </c>
      <c r="B201" s="396" t="s">
        <v>146</v>
      </c>
      <c r="C201" s="395" t="s">
        <v>147</v>
      </c>
      <c r="D201" s="395">
        <v>135</v>
      </c>
      <c r="E201" s="397">
        <f t="shared" si="4"/>
        <v>236372175</v>
      </c>
      <c r="F201" s="398" t="s">
        <v>569</v>
      </c>
      <c r="G201" s="398" t="s">
        <v>324</v>
      </c>
      <c r="H201" s="398" t="s">
        <v>156</v>
      </c>
      <c r="I201" s="398" t="s">
        <v>156</v>
      </c>
    </row>
    <row r="202" spans="1:9" x14ac:dyDescent="0.35">
      <c r="A202" s="395" t="s">
        <v>570</v>
      </c>
      <c r="B202" s="396" t="s">
        <v>146</v>
      </c>
      <c r="C202" s="395" t="s">
        <v>147</v>
      </c>
      <c r="D202" s="395">
        <v>135</v>
      </c>
      <c r="E202" s="397">
        <f t="shared" si="4"/>
        <v>236372175</v>
      </c>
      <c r="F202" s="398" t="s">
        <v>571</v>
      </c>
      <c r="G202" s="398" t="s">
        <v>185</v>
      </c>
      <c r="H202" s="398" t="s">
        <v>156</v>
      </c>
      <c r="I202" s="398" t="s">
        <v>156</v>
      </c>
    </row>
    <row r="203" spans="1:9" x14ac:dyDescent="0.35">
      <c r="A203" s="395" t="s">
        <v>572</v>
      </c>
      <c r="B203" s="396" t="s">
        <v>146</v>
      </c>
      <c r="C203" s="395" t="s">
        <v>147</v>
      </c>
      <c r="D203" s="395">
        <v>135</v>
      </c>
      <c r="E203" s="397">
        <f t="shared" si="4"/>
        <v>236372175</v>
      </c>
      <c r="F203" s="398" t="s">
        <v>573</v>
      </c>
      <c r="G203" s="398" t="s">
        <v>181</v>
      </c>
      <c r="H203" s="398" t="s">
        <v>156</v>
      </c>
      <c r="I203" s="398" t="s">
        <v>156</v>
      </c>
    </row>
    <row r="204" spans="1:9" x14ac:dyDescent="0.35">
      <c r="A204" s="395" t="s">
        <v>574</v>
      </c>
      <c r="B204" s="396" t="s">
        <v>146</v>
      </c>
      <c r="C204" s="395" t="s">
        <v>147</v>
      </c>
      <c r="D204" s="395">
        <v>135</v>
      </c>
      <c r="E204" s="397">
        <f t="shared" si="4"/>
        <v>236372175</v>
      </c>
      <c r="F204" s="398" t="s">
        <v>575</v>
      </c>
      <c r="G204" s="398" t="s">
        <v>155</v>
      </c>
      <c r="H204" s="398" t="s">
        <v>156</v>
      </c>
      <c r="I204" s="398" t="s">
        <v>156</v>
      </c>
    </row>
    <row r="205" spans="1:9" x14ac:dyDescent="0.35">
      <c r="A205" s="395" t="s">
        <v>576</v>
      </c>
      <c r="B205" s="396" t="s">
        <v>146</v>
      </c>
      <c r="C205" s="395" t="s">
        <v>147</v>
      </c>
      <c r="D205" s="395">
        <v>135</v>
      </c>
      <c r="E205" s="397">
        <f t="shared" si="4"/>
        <v>236372175</v>
      </c>
      <c r="F205" s="398" t="s">
        <v>577</v>
      </c>
      <c r="G205" s="398" t="s">
        <v>224</v>
      </c>
      <c r="H205" s="398" t="s">
        <v>156</v>
      </c>
      <c r="I205" s="398" t="s">
        <v>156</v>
      </c>
    </row>
    <row r="206" spans="1:9" x14ac:dyDescent="0.35">
      <c r="A206" s="395" t="s">
        <v>578</v>
      </c>
      <c r="B206" s="396" t="s">
        <v>146</v>
      </c>
      <c r="C206" s="395" t="s">
        <v>147</v>
      </c>
      <c r="D206" s="395">
        <v>135</v>
      </c>
      <c r="E206" s="397">
        <f t="shared" si="4"/>
        <v>236372175</v>
      </c>
      <c r="F206" s="398" t="s">
        <v>579</v>
      </c>
      <c r="G206" s="398" t="s">
        <v>188</v>
      </c>
      <c r="H206" s="398" t="s">
        <v>150</v>
      </c>
      <c r="I206" s="398" t="s">
        <v>249</v>
      </c>
    </row>
    <row r="207" spans="1:9" x14ac:dyDescent="0.35">
      <c r="A207" s="395" t="s">
        <v>580</v>
      </c>
      <c r="B207" s="396" t="s">
        <v>146</v>
      </c>
      <c r="C207" s="395" t="s">
        <v>147</v>
      </c>
      <c r="D207" s="395">
        <v>135</v>
      </c>
      <c r="E207" s="397">
        <f t="shared" si="4"/>
        <v>236372175</v>
      </c>
      <c r="F207" s="398" t="s">
        <v>581</v>
      </c>
      <c r="G207" s="398" t="s">
        <v>324</v>
      </c>
      <c r="H207" s="398" t="s">
        <v>156</v>
      </c>
      <c r="I207" s="398" t="s">
        <v>156</v>
      </c>
    </row>
    <row r="208" spans="1:9" x14ac:dyDescent="0.35">
      <c r="A208" s="395" t="s">
        <v>582</v>
      </c>
      <c r="B208" s="396" t="s">
        <v>146</v>
      </c>
      <c r="C208" s="395" t="s">
        <v>147</v>
      </c>
      <c r="D208" s="395">
        <v>135</v>
      </c>
      <c r="E208" s="397">
        <f t="shared" si="4"/>
        <v>236372175</v>
      </c>
      <c r="F208" s="398" t="s">
        <v>583</v>
      </c>
      <c r="G208" s="398" t="s">
        <v>178</v>
      </c>
      <c r="H208" s="398" t="s">
        <v>156</v>
      </c>
      <c r="I208" s="398" t="s">
        <v>156</v>
      </c>
    </row>
    <row r="209" spans="1:9" x14ac:dyDescent="0.35">
      <c r="A209" s="395" t="s">
        <v>584</v>
      </c>
      <c r="B209" s="396" t="s">
        <v>146</v>
      </c>
      <c r="C209" s="395" t="s">
        <v>147</v>
      </c>
      <c r="D209" s="395">
        <v>135</v>
      </c>
      <c r="E209" s="397">
        <f t="shared" si="4"/>
        <v>236372175</v>
      </c>
      <c r="F209" s="398" t="s">
        <v>585</v>
      </c>
      <c r="G209" s="398" t="s">
        <v>185</v>
      </c>
      <c r="H209" s="398" t="s">
        <v>156</v>
      </c>
      <c r="I209" s="398" t="s">
        <v>156</v>
      </c>
    </row>
    <row r="210" spans="1:9" x14ac:dyDescent="0.35">
      <c r="A210" s="395" t="s">
        <v>586</v>
      </c>
      <c r="B210" s="396" t="s">
        <v>146</v>
      </c>
      <c r="C210" s="395" t="s">
        <v>147</v>
      </c>
      <c r="D210" s="395">
        <v>135</v>
      </c>
      <c r="E210" s="397">
        <f t="shared" si="4"/>
        <v>236372175</v>
      </c>
      <c r="F210" s="398" t="s">
        <v>587</v>
      </c>
      <c r="G210" s="398" t="s">
        <v>224</v>
      </c>
      <c r="H210" s="398" t="s">
        <v>150</v>
      </c>
      <c r="I210" s="398" t="s">
        <v>192</v>
      </c>
    </row>
    <row r="211" spans="1:9" x14ac:dyDescent="0.35">
      <c r="A211" s="395" t="s">
        <v>588</v>
      </c>
      <c r="B211" s="396" t="s">
        <v>146</v>
      </c>
      <c r="C211" s="395" t="s">
        <v>147</v>
      </c>
      <c r="D211" s="395">
        <v>135</v>
      </c>
      <c r="E211" s="397">
        <f t="shared" si="4"/>
        <v>236372175</v>
      </c>
      <c r="F211" s="398" t="s">
        <v>589</v>
      </c>
      <c r="G211" s="398" t="s">
        <v>224</v>
      </c>
      <c r="H211" s="398" t="s">
        <v>156</v>
      </c>
      <c r="I211" s="398" t="s">
        <v>156</v>
      </c>
    </row>
    <row r="212" spans="1:9" x14ac:dyDescent="0.35">
      <c r="A212" s="395" t="s">
        <v>590</v>
      </c>
      <c r="B212" s="396" t="s">
        <v>146</v>
      </c>
      <c r="C212" s="395" t="s">
        <v>147</v>
      </c>
      <c r="D212" s="395">
        <v>135</v>
      </c>
      <c r="E212" s="397">
        <f t="shared" si="4"/>
        <v>236372175</v>
      </c>
      <c r="F212" s="398" t="s">
        <v>591</v>
      </c>
      <c r="G212" s="398" t="s">
        <v>181</v>
      </c>
      <c r="H212" s="398" t="s">
        <v>156</v>
      </c>
      <c r="I212" s="398" t="s">
        <v>156</v>
      </c>
    </row>
    <row r="213" spans="1:9" x14ac:dyDescent="0.35">
      <c r="A213" s="395" t="s">
        <v>592</v>
      </c>
      <c r="B213" s="396" t="s">
        <v>146</v>
      </c>
      <c r="C213" s="395" t="s">
        <v>147</v>
      </c>
      <c r="D213" s="395">
        <v>135</v>
      </c>
      <c r="E213" s="397">
        <f t="shared" si="4"/>
        <v>236372175</v>
      </c>
      <c r="F213" s="398" t="s">
        <v>593</v>
      </c>
      <c r="G213" s="398" t="s">
        <v>224</v>
      </c>
      <c r="H213" s="398" t="s">
        <v>156</v>
      </c>
      <c r="I213" s="398" t="s">
        <v>156</v>
      </c>
    </row>
    <row r="214" spans="1:9" x14ac:dyDescent="0.35">
      <c r="A214" s="395" t="s">
        <v>594</v>
      </c>
      <c r="B214" s="396" t="s">
        <v>146</v>
      </c>
      <c r="C214" s="395" t="s">
        <v>147</v>
      </c>
      <c r="D214" s="395">
        <v>135</v>
      </c>
      <c r="E214" s="397">
        <f t="shared" si="4"/>
        <v>236372175</v>
      </c>
      <c r="F214" s="398" t="s">
        <v>595</v>
      </c>
      <c r="G214" s="398" t="s">
        <v>224</v>
      </c>
      <c r="H214" s="398" t="s">
        <v>156</v>
      </c>
      <c r="I214" s="398" t="s">
        <v>156</v>
      </c>
    </row>
    <row r="215" spans="1:9" x14ac:dyDescent="0.35">
      <c r="A215" s="395" t="s">
        <v>596</v>
      </c>
      <c r="B215" s="396" t="s">
        <v>146</v>
      </c>
      <c r="C215" s="395" t="s">
        <v>147</v>
      </c>
      <c r="D215" s="395">
        <v>135</v>
      </c>
      <c r="E215" s="397">
        <f t="shared" si="4"/>
        <v>236372175</v>
      </c>
      <c r="F215" s="398" t="s">
        <v>597</v>
      </c>
      <c r="G215" s="398" t="s">
        <v>155</v>
      </c>
      <c r="H215" s="398" t="s">
        <v>156</v>
      </c>
      <c r="I215" s="398" t="s">
        <v>156</v>
      </c>
    </row>
    <row r="216" spans="1:9" x14ac:dyDescent="0.35">
      <c r="A216" s="395" t="s">
        <v>598</v>
      </c>
      <c r="B216" s="396" t="s">
        <v>146</v>
      </c>
      <c r="C216" s="395" t="s">
        <v>147</v>
      </c>
      <c r="D216" s="395">
        <v>135</v>
      </c>
      <c r="E216" s="397">
        <f t="shared" si="4"/>
        <v>236372175</v>
      </c>
      <c r="F216" s="398" t="s">
        <v>599</v>
      </c>
      <c r="G216" s="398" t="s">
        <v>224</v>
      </c>
      <c r="H216" s="398" t="s">
        <v>156</v>
      </c>
      <c r="I216" s="398" t="s">
        <v>156</v>
      </c>
    </row>
    <row r="217" spans="1:9" x14ac:dyDescent="0.35">
      <c r="A217" s="395" t="s">
        <v>600</v>
      </c>
      <c r="B217" s="396" t="s">
        <v>146</v>
      </c>
      <c r="C217" s="395" t="s">
        <v>147</v>
      </c>
      <c r="D217" s="395">
        <v>135</v>
      </c>
      <c r="E217" s="397">
        <f t="shared" si="4"/>
        <v>236372175</v>
      </c>
      <c r="F217" s="398" t="s">
        <v>601</v>
      </c>
      <c r="G217" s="398" t="s">
        <v>224</v>
      </c>
      <c r="H217" s="398" t="s">
        <v>156</v>
      </c>
      <c r="I217" s="398" t="s">
        <v>156</v>
      </c>
    </row>
    <row r="218" spans="1:9" x14ac:dyDescent="0.35">
      <c r="A218" s="395" t="s">
        <v>602</v>
      </c>
      <c r="B218" s="396" t="s">
        <v>146</v>
      </c>
      <c r="C218" s="395" t="s">
        <v>147</v>
      </c>
      <c r="D218" s="395">
        <v>135</v>
      </c>
      <c r="E218" s="397">
        <f t="shared" si="4"/>
        <v>236372175</v>
      </c>
      <c r="F218" s="398" t="s">
        <v>603</v>
      </c>
      <c r="G218" s="398" t="s">
        <v>224</v>
      </c>
      <c r="H218" s="398" t="s">
        <v>156</v>
      </c>
      <c r="I218" s="398" t="s">
        <v>156</v>
      </c>
    </row>
    <row r="219" spans="1:9" x14ac:dyDescent="0.35">
      <c r="A219" s="395" t="s">
        <v>604</v>
      </c>
      <c r="B219" s="396" t="s">
        <v>146</v>
      </c>
      <c r="C219" s="395" t="s">
        <v>147</v>
      </c>
      <c r="D219" s="395">
        <v>135</v>
      </c>
      <c r="E219" s="397">
        <f t="shared" si="4"/>
        <v>236372175</v>
      </c>
      <c r="F219" s="398" t="s">
        <v>605</v>
      </c>
      <c r="G219" s="398" t="s">
        <v>178</v>
      </c>
      <c r="H219" s="398" t="s">
        <v>462</v>
      </c>
      <c r="I219" s="398" t="s">
        <v>164</v>
      </c>
    </row>
    <row r="220" spans="1:9" x14ac:dyDescent="0.35">
      <c r="A220" s="395" t="s">
        <v>606</v>
      </c>
      <c r="B220" s="396" t="s">
        <v>146</v>
      </c>
      <c r="C220" s="395" t="s">
        <v>147</v>
      </c>
      <c r="D220" s="395">
        <v>135</v>
      </c>
      <c r="E220" s="397">
        <f t="shared" si="4"/>
        <v>236372175</v>
      </c>
      <c r="F220" s="398" t="s">
        <v>607</v>
      </c>
      <c r="G220" s="398" t="s">
        <v>178</v>
      </c>
      <c r="H220" s="398" t="s">
        <v>462</v>
      </c>
      <c r="I220" s="398" t="s">
        <v>164</v>
      </c>
    </row>
    <row r="221" spans="1:9" x14ac:dyDescent="0.35">
      <c r="A221" s="395" t="s">
        <v>608</v>
      </c>
      <c r="B221" s="396" t="s">
        <v>146</v>
      </c>
      <c r="C221" s="395" t="s">
        <v>147</v>
      </c>
      <c r="D221" s="395">
        <v>135</v>
      </c>
      <c r="E221" s="397">
        <f t="shared" si="4"/>
        <v>236372175</v>
      </c>
      <c r="F221" s="398" t="s">
        <v>609</v>
      </c>
      <c r="G221" s="398" t="s">
        <v>173</v>
      </c>
      <c r="H221" s="398" t="s">
        <v>156</v>
      </c>
      <c r="I221" s="398" t="s">
        <v>156</v>
      </c>
    </row>
    <row r="222" spans="1:9" x14ac:dyDescent="0.35">
      <c r="A222" s="395" t="s">
        <v>610</v>
      </c>
      <c r="B222" s="396" t="s">
        <v>146</v>
      </c>
      <c r="C222" s="395" t="s">
        <v>147</v>
      </c>
      <c r="D222" s="395">
        <v>135</v>
      </c>
      <c r="E222" s="397">
        <f t="shared" si="4"/>
        <v>236372175</v>
      </c>
      <c r="F222" s="398" t="s">
        <v>611</v>
      </c>
      <c r="G222" s="398" t="s">
        <v>216</v>
      </c>
      <c r="H222" s="398" t="s">
        <v>150</v>
      </c>
      <c r="I222" s="398" t="s">
        <v>182</v>
      </c>
    </row>
    <row r="223" spans="1:9" x14ac:dyDescent="0.35">
      <c r="A223" s="395" t="s">
        <v>612</v>
      </c>
      <c r="B223" s="396" t="s">
        <v>146</v>
      </c>
      <c r="C223" s="395" t="s">
        <v>147</v>
      </c>
      <c r="D223" s="395">
        <v>135</v>
      </c>
      <c r="E223" s="397">
        <f t="shared" si="4"/>
        <v>236372175</v>
      </c>
      <c r="F223" s="398" t="s">
        <v>613</v>
      </c>
      <c r="G223" s="398" t="s">
        <v>324</v>
      </c>
      <c r="H223" s="398" t="s">
        <v>156</v>
      </c>
      <c r="I223" s="398" t="s">
        <v>156</v>
      </c>
    </row>
    <row r="224" spans="1:9" x14ac:dyDescent="0.35">
      <c r="A224" s="395" t="s">
        <v>614</v>
      </c>
      <c r="B224" s="396" t="s">
        <v>146</v>
      </c>
      <c r="C224" s="395" t="s">
        <v>147</v>
      </c>
      <c r="D224" s="395">
        <v>135</v>
      </c>
      <c r="E224" s="397">
        <f t="shared" si="4"/>
        <v>236372175</v>
      </c>
      <c r="F224" s="398" t="s">
        <v>615</v>
      </c>
      <c r="G224" s="398" t="s">
        <v>224</v>
      </c>
      <c r="H224" s="398" t="s">
        <v>156</v>
      </c>
      <c r="I224" s="398" t="s">
        <v>156</v>
      </c>
    </row>
    <row r="225" spans="1:9" x14ac:dyDescent="0.35">
      <c r="A225" s="395" t="s">
        <v>616</v>
      </c>
      <c r="B225" s="396" t="s">
        <v>146</v>
      </c>
      <c r="C225" s="395" t="s">
        <v>147</v>
      </c>
      <c r="D225" s="395">
        <v>135</v>
      </c>
      <c r="E225" s="397">
        <f t="shared" si="4"/>
        <v>236372175</v>
      </c>
      <c r="F225" s="398" t="s">
        <v>617</v>
      </c>
      <c r="G225" s="398" t="s">
        <v>185</v>
      </c>
      <c r="H225" s="398" t="s">
        <v>156</v>
      </c>
      <c r="I225" s="398" t="s">
        <v>156</v>
      </c>
    </row>
    <row r="226" spans="1:9" x14ac:dyDescent="0.35">
      <c r="A226" s="395" t="s">
        <v>618</v>
      </c>
      <c r="B226" s="396" t="s">
        <v>146</v>
      </c>
      <c r="C226" s="395" t="s">
        <v>147</v>
      </c>
      <c r="D226" s="395">
        <v>135</v>
      </c>
      <c r="E226" s="397">
        <f t="shared" si="4"/>
        <v>236372175</v>
      </c>
      <c r="F226" s="398" t="s">
        <v>619</v>
      </c>
      <c r="G226" s="398" t="s">
        <v>311</v>
      </c>
      <c r="H226" s="398" t="s">
        <v>156</v>
      </c>
      <c r="I226" s="398" t="s">
        <v>156</v>
      </c>
    </row>
    <row r="227" spans="1:9" x14ac:dyDescent="0.35">
      <c r="A227" s="395" t="s">
        <v>620</v>
      </c>
      <c r="B227" s="396" t="s">
        <v>146</v>
      </c>
      <c r="C227" s="395" t="s">
        <v>147</v>
      </c>
      <c r="D227" s="395">
        <v>135</v>
      </c>
      <c r="E227" s="397">
        <f t="shared" si="4"/>
        <v>236372175</v>
      </c>
      <c r="F227" s="398" t="s">
        <v>621</v>
      </c>
      <c r="G227" s="398" t="s">
        <v>149</v>
      </c>
      <c r="H227" s="398" t="s">
        <v>156</v>
      </c>
      <c r="I227" s="398" t="s">
        <v>156</v>
      </c>
    </row>
    <row r="228" spans="1:9" x14ac:dyDescent="0.35">
      <c r="A228" s="395" t="s">
        <v>622</v>
      </c>
      <c r="B228" s="396" t="s">
        <v>146</v>
      </c>
      <c r="C228" s="395" t="s">
        <v>147</v>
      </c>
      <c r="D228" s="395">
        <v>135</v>
      </c>
      <c r="E228" s="397">
        <f t="shared" si="4"/>
        <v>236372175</v>
      </c>
      <c r="F228" s="398" t="s">
        <v>623</v>
      </c>
      <c r="G228" s="398" t="s">
        <v>149</v>
      </c>
      <c r="H228" s="398" t="s">
        <v>156</v>
      </c>
      <c r="I228" s="398" t="s">
        <v>156</v>
      </c>
    </row>
    <row r="229" spans="1:9" x14ac:dyDescent="0.35">
      <c r="A229" s="395" t="s">
        <v>624</v>
      </c>
      <c r="B229" s="396" t="s">
        <v>146</v>
      </c>
      <c r="C229" s="395" t="s">
        <v>358</v>
      </c>
      <c r="D229" s="395">
        <v>150</v>
      </c>
      <c r="E229" s="397">
        <f t="shared" si="4"/>
        <v>262635750</v>
      </c>
      <c r="F229" s="398" t="s">
        <v>625</v>
      </c>
      <c r="G229" s="398" t="s">
        <v>173</v>
      </c>
      <c r="H229" s="398" t="s">
        <v>156</v>
      </c>
      <c r="I229" s="398" t="s">
        <v>156</v>
      </c>
    </row>
    <row r="230" spans="1:9" x14ac:dyDescent="0.35">
      <c r="A230" s="395" t="s">
        <v>626</v>
      </c>
      <c r="B230" s="396" t="s">
        <v>146</v>
      </c>
      <c r="C230" s="395" t="s">
        <v>147</v>
      </c>
      <c r="D230" s="395">
        <v>135</v>
      </c>
      <c r="E230" s="397">
        <f t="shared" si="4"/>
        <v>236372175</v>
      </c>
      <c r="F230" s="398" t="s">
        <v>627</v>
      </c>
      <c r="G230" s="398" t="s">
        <v>149</v>
      </c>
      <c r="H230" s="398" t="s">
        <v>240</v>
      </c>
      <c r="I230" s="398" t="s">
        <v>151</v>
      </c>
    </row>
    <row r="231" spans="1:9" x14ac:dyDescent="0.35">
      <c r="A231" s="395" t="s">
        <v>628</v>
      </c>
      <c r="B231" s="396" t="s">
        <v>146</v>
      </c>
      <c r="C231" s="395" t="s">
        <v>147</v>
      </c>
      <c r="D231" s="395">
        <v>135</v>
      </c>
      <c r="E231" s="397">
        <f t="shared" si="4"/>
        <v>236372175</v>
      </c>
      <c r="F231" s="398" t="s">
        <v>629</v>
      </c>
      <c r="G231" s="398" t="s">
        <v>227</v>
      </c>
      <c r="H231" s="398" t="s">
        <v>156</v>
      </c>
      <c r="I231" s="398" t="s">
        <v>156</v>
      </c>
    </row>
    <row r="232" spans="1:9" x14ac:dyDescent="0.35">
      <c r="A232" s="395" t="s">
        <v>630</v>
      </c>
      <c r="B232" s="396" t="s">
        <v>146</v>
      </c>
      <c r="C232" s="395" t="s">
        <v>147</v>
      </c>
      <c r="D232" s="395">
        <v>135</v>
      </c>
      <c r="E232" s="397">
        <f t="shared" si="4"/>
        <v>236372175</v>
      </c>
      <c r="F232" s="398" t="s">
        <v>631</v>
      </c>
      <c r="G232" s="398" t="s">
        <v>178</v>
      </c>
      <c r="H232" s="398" t="s">
        <v>150</v>
      </c>
      <c r="I232" s="398" t="s">
        <v>164</v>
      </c>
    </row>
    <row r="233" spans="1:9" x14ac:dyDescent="0.35">
      <c r="A233" s="395" t="s">
        <v>632</v>
      </c>
      <c r="B233" s="396" t="s">
        <v>146</v>
      </c>
      <c r="C233" s="395" t="s">
        <v>147</v>
      </c>
      <c r="D233" s="395">
        <v>135</v>
      </c>
      <c r="E233" s="397">
        <f t="shared" si="4"/>
        <v>236372175</v>
      </c>
      <c r="F233" s="398" t="s">
        <v>633</v>
      </c>
      <c r="G233" s="398" t="s">
        <v>170</v>
      </c>
      <c r="H233" s="398" t="s">
        <v>156</v>
      </c>
      <c r="I233" s="398" t="s">
        <v>156</v>
      </c>
    </row>
    <row r="234" spans="1:9" x14ac:dyDescent="0.35">
      <c r="A234" s="395" t="s">
        <v>634</v>
      </c>
      <c r="B234" s="396" t="s">
        <v>146</v>
      </c>
      <c r="C234" s="395" t="s">
        <v>147</v>
      </c>
      <c r="D234" s="395">
        <v>135</v>
      </c>
      <c r="E234" s="397">
        <f t="shared" si="4"/>
        <v>236372175</v>
      </c>
      <c r="F234" s="398" t="s">
        <v>635</v>
      </c>
      <c r="G234" s="398" t="s">
        <v>200</v>
      </c>
      <c r="H234" s="398" t="s">
        <v>156</v>
      </c>
      <c r="I234" s="398" t="s">
        <v>156</v>
      </c>
    </row>
    <row r="235" spans="1:9" x14ac:dyDescent="0.35">
      <c r="A235" s="395" t="s">
        <v>636</v>
      </c>
      <c r="B235" s="396" t="s">
        <v>146</v>
      </c>
      <c r="C235" s="395" t="s">
        <v>147</v>
      </c>
      <c r="D235" s="395">
        <v>135</v>
      </c>
      <c r="E235" s="397">
        <f t="shared" si="4"/>
        <v>236372175</v>
      </c>
      <c r="F235" s="398" t="s">
        <v>635</v>
      </c>
      <c r="G235" s="398" t="s">
        <v>637</v>
      </c>
      <c r="H235" s="398" t="s">
        <v>156</v>
      </c>
      <c r="I235" s="398" t="s">
        <v>156</v>
      </c>
    </row>
    <row r="236" spans="1:9" x14ac:dyDescent="0.35">
      <c r="A236" s="395" t="s">
        <v>638</v>
      </c>
      <c r="B236" s="396" t="s">
        <v>146</v>
      </c>
      <c r="C236" s="395" t="s">
        <v>147</v>
      </c>
      <c r="D236" s="395">
        <v>135</v>
      </c>
      <c r="E236" s="397">
        <f t="shared" si="4"/>
        <v>236372175</v>
      </c>
      <c r="F236" s="398" t="s">
        <v>639</v>
      </c>
      <c r="G236" s="398" t="s">
        <v>424</v>
      </c>
      <c r="H236" s="398" t="s">
        <v>156</v>
      </c>
      <c r="I236" s="398" t="s">
        <v>156</v>
      </c>
    </row>
    <row r="237" spans="1:9" x14ac:dyDescent="0.35">
      <c r="A237" s="395" t="s">
        <v>640</v>
      </c>
      <c r="B237" s="396" t="s">
        <v>146</v>
      </c>
      <c r="C237" s="395" t="s">
        <v>147</v>
      </c>
      <c r="D237" s="395">
        <v>135</v>
      </c>
      <c r="E237" s="397">
        <f t="shared" si="4"/>
        <v>236372175</v>
      </c>
      <c r="F237" s="398" t="s">
        <v>641</v>
      </c>
      <c r="G237" s="398" t="s">
        <v>224</v>
      </c>
      <c r="H237" s="398" t="s">
        <v>156</v>
      </c>
      <c r="I237" s="398" t="s">
        <v>156</v>
      </c>
    </row>
    <row r="238" spans="1:9" x14ac:dyDescent="0.35">
      <c r="A238" s="395" t="s">
        <v>642</v>
      </c>
      <c r="B238" s="396" t="s">
        <v>146</v>
      </c>
      <c r="C238" s="395" t="s">
        <v>147</v>
      </c>
      <c r="D238" s="395">
        <v>135</v>
      </c>
      <c r="E238" s="397">
        <f t="shared" si="4"/>
        <v>236372175</v>
      </c>
      <c r="F238" s="398" t="s">
        <v>643</v>
      </c>
      <c r="G238" s="398" t="s">
        <v>149</v>
      </c>
      <c r="H238" s="398" t="s">
        <v>156</v>
      </c>
      <c r="I238" s="398" t="s">
        <v>156</v>
      </c>
    </row>
    <row r="239" spans="1:9" x14ac:dyDescent="0.35">
      <c r="A239" s="395" t="s">
        <v>644</v>
      </c>
      <c r="B239" s="396" t="s">
        <v>146</v>
      </c>
      <c r="C239" s="395" t="s">
        <v>147</v>
      </c>
      <c r="D239" s="395">
        <v>135</v>
      </c>
      <c r="E239" s="397">
        <f t="shared" si="4"/>
        <v>236372175</v>
      </c>
      <c r="F239" s="398" t="s">
        <v>643</v>
      </c>
      <c r="G239" s="398" t="s">
        <v>185</v>
      </c>
      <c r="H239" s="398" t="s">
        <v>156</v>
      </c>
      <c r="I239" s="398" t="s">
        <v>156</v>
      </c>
    </row>
    <row r="240" spans="1:9" x14ac:dyDescent="0.35">
      <c r="A240" s="395" t="s">
        <v>645</v>
      </c>
      <c r="B240" s="396" t="s">
        <v>146</v>
      </c>
      <c r="C240" s="395" t="s">
        <v>147</v>
      </c>
      <c r="D240" s="395">
        <v>135</v>
      </c>
      <c r="E240" s="397">
        <f t="shared" si="4"/>
        <v>236372175</v>
      </c>
      <c r="F240" s="398" t="s">
        <v>646</v>
      </c>
      <c r="G240" s="398" t="s">
        <v>149</v>
      </c>
      <c r="H240" s="398" t="s">
        <v>156</v>
      </c>
      <c r="I240" s="398" t="s">
        <v>156</v>
      </c>
    </row>
    <row r="241" spans="1:9" x14ac:dyDescent="0.35">
      <c r="A241" s="395" t="s">
        <v>647</v>
      </c>
      <c r="B241" s="396" t="s">
        <v>146</v>
      </c>
      <c r="C241" s="395" t="s">
        <v>147</v>
      </c>
      <c r="D241" s="395">
        <v>135</v>
      </c>
      <c r="E241" s="397">
        <f t="shared" si="4"/>
        <v>236372175</v>
      </c>
      <c r="F241" s="398" t="s">
        <v>646</v>
      </c>
      <c r="G241" s="398" t="s">
        <v>216</v>
      </c>
      <c r="H241" s="398" t="s">
        <v>156</v>
      </c>
      <c r="I241" s="398" t="s">
        <v>156</v>
      </c>
    </row>
    <row r="242" spans="1:9" x14ac:dyDescent="0.35">
      <c r="A242" s="395" t="s">
        <v>648</v>
      </c>
      <c r="B242" s="396" t="s">
        <v>146</v>
      </c>
      <c r="C242" s="395" t="s">
        <v>147</v>
      </c>
      <c r="D242" s="395">
        <v>135</v>
      </c>
      <c r="E242" s="397">
        <f t="shared" si="4"/>
        <v>236372175</v>
      </c>
      <c r="F242" s="398" t="s">
        <v>649</v>
      </c>
      <c r="G242" s="398" t="s">
        <v>167</v>
      </c>
      <c r="H242" s="398" t="s">
        <v>156</v>
      </c>
      <c r="I242" s="398" t="s">
        <v>156</v>
      </c>
    </row>
    <row r="243" spans="1:9" x14ac:dyDescent="0.35">
      <c r="A243" s="395" t="s">
        <v>650</v>
      </c>
      <c r="B243" s="396" t="s">
        <v>146</v>
      </c>
      <c r="C243" s="395" t="s">
        <v>147</v>
      </c>
      <c r="D243" s="395">
        <v>135</v>
      </c>
      <c r="E243" s="397">
        <f t="shared" si="4"/>
        <v>236372175</v>
      </c>
      <c r="F243" s="398" t="s">
        <v>651</v>
      </c>
      <c r="G243" s="398" t="s">
        <v>185</v>
      </c>
      <c r="H243" s="398" t="s">
        <v>156</v>
      </c>
      <c r="I243" s="398" t="s">
        <v>156</v>
      </c>
    </row>
    <row r="244" spans="1:9" x14ac:dyDescent="0.35">
      <c r="A244" s="395" t="s">
        <v>652</v>
      </c>
      <c r="B244" s="396" t="s">
        <v>146</v>
      </c>
      <c r="C244" s="395" t="s">
        <v>147</v>
      </c>
      <c r="D244" s="395">
        <v>135</v>
      </c>
      <c r="E244" s="397">
        <f t="shared" si="4"/>
        <v>236372175</v>
      </c>
      <c r="F244" s="398" t="s">
        <v>653</v>
      </c>
      <c r="G244" s="398" t="s">
        <v>200</v>
      </c>
      <c r="H244" s="398" t="s">
        <v>156</v>
      </c>
      <c r="I244" s="398" t="s">
        <v>156</v>
      </c>
    </row>
    <row r="245" spans="1:9" x14ac:dyDescent="0.35">
      <c r="A245" s="395" t="s">
        <v>654</v>
      </c>
      <c r="B245" s="396" t="s">
        <v>146</v>
      </c>
      <c r="C245" s="395" t="s">
        <v>147</v>
      </c>
      <c r="D245" s="395">
        <v>135</v>
      </c>
      <c r="E245" s="397">
        <f t="shared" si="4"/>
        <v>236372175</v>
      </c>
      <c r="F245" s="398" t="s">
        <v>655</v>
      </c>
      <c r="G245" s="398" t="s">
        <v>200</v>
      </c>
      <c r="H245" s="398" t="s">
        <v>156</v>
      </c>
      <c r="I245" s="398" t="s">
        <v>156</v>
      </c>
    </row>
    <row r="246" spans="1:9" x14ac:dyDescent="0.35">
      <c r="A246" s="395" t="s">
        <v>656</v>
      </c>
      <c r="B246" s="396" t="s">
        <v>146</v>
      </c>
      <c r="C246" s="395" t="s">
        <v>147</v>
      </c>
      <c r="D246" s="395">
        <v>135</v>
      </c>
      <c r="E246" s="397">
        <f t="shared" si="4"/>
        <v>236372175</v>
      </c>
      <c r="F246" s="398" t="s">
        <v>657</v>
      </c>
      <c r="G246" s="398" t="s">
        <v>185</v>
      </c>
      <c r="H246" s="398" t="s">
        <v>156</v>
      </c>
      <c r="I246" s="398" t="s">
        <v>156</v>
      </c>
    </row>
    <row r="247" spans="1:9" x14ac:dyDescent="0.35">
      <c r="A247" s="395" t="s">
        <v>658</v>
      </c>
      <c r="B247" s="396" t="s">
        <v>146</v>
      </c>
      <c r="C247" s="395" t="s">
        <v>147</v>
      </c>
      <c r="D247" s="395">
        <v>135</v>
      </c>
      <c r="E247" s="397">
        <f t="shared" si="4"/>
        <v>236372175</v>
      </c>
      <c r="F247" s="398" t="s">
        <v>659</v>
      </c>
      <c r="G247" s="398" t="s">
        <v>155</v>
      </c>
      <c r="H247" s="398" t="s">
        <v>156</v>
      </c>
      <c r="I247" s="398" t="s">
        <v>156</v>
      </c>
    </row>
    <row r="248" spans="1:9" x14ac:dyDescent="0.35">
      <c r="A248" s="395" t="s">
        <v>660</v>
      </c>
      <c r="B248" s="396" t="s">
        <v>146</v>
      </c>
      <c r="C248" s="395" t="s">
        <v>358</v>
      </c>
      <c r="D248" s="395">
        <v>150</v>
      </c>
      <c r="E248" s="397">
        <f t="shared" si="4"/>
        <v>262635750</v>
      </c>
      <c r="F248" s="398" t="s">
        <v>661</v>
      </c>
      <c r="G248" s="398" t="s">
        <v>149</v>
      </c>
      <c r="H248" s="398" t="s">
        <v>150</v>
      </c>
      <c r="I248" s="398" t="s">
        <v>151</v>
      </c>
    </row>
    <row r="249" spans="1:9" x14ac:dyDescent="0.35">
      <c r="A249" s="395" t="s">
        <v>662</v>
      </c>
      <c r="B249" s="396" t="s">
        <v>146</v>
      </c>
      <c r="C249" s="395" t="s">
        <v>147</v>
      </c>
      <c r="D249" s="395">
        <v>135</v>
      </c>
      <c r="E249" s="397">
        <f t="shared" si="4"/>
        <v>236372175</v>
      </c>
      <c r="F249" s="398" t="s">
        <v>663</v>
      </c>
      <c r="G249" s="398" t="s">
        <v>224</v>
      </c>
      <c r="H249" s="398" t="s">
        <v>156</v>
      </c>
      <c r="I249" s="398" t="s">
        <v>156</v>
      </c>
    </row>
    <row r="250" spans="1:9" x14ac:dyDescent="0.35">
      <c r="A250" s="395" t="s">
        <v>664</v>
      </c>
      <c r="B250" s="396" t="s">
        <v>146</v>
      </c>
      <c r="C250" s="395" t="s">
        <v>147</v>
      </c>
      <c r="D250" s="395">
        <v>135</v>
      </c>
      <c r="E250" s="397">
        <f t="shared" si="4"/>
        <v>236372175</v>
      </c>
      <c r="F250" s="398" t="s">
        <v>665</v>
      </c>
      <c r="G250" s="398" t="s">
        <v>173</v>
      </c>
      <c r="H250" s="398" t="s">
        <v>156</v>
      </c>
      <c r="I250" s="398" t="s">
        <v>156</v>
      </c>
    </row>
    <row r="251" spans="1:9" x14ac:dyDescent="0.35">
      <c r="A251" s="395" t="s">
        <v>666</v>
      </c>
      <c r="B251" s="396" t="s">
        <v>146</v>
      </c>
      <c r="C251" s="395" t="s">
        <v>147</v>
      </c>
      <c r="D251" s="395">
        <v>135</v>
      </c>
      <c r="E251" s="397">
        <f t="shared" si="4"/>
        <v>236372175</v>
      </c>
      <c r="F251" s="398" t="s">
        <v>665</v>
      </c>
      <c r="G251" s="398" t="s">
        <v>200</v>
      </c>
      <c r="H251" s="398" t="s">
        <v>156</v>
      </c>
      <c r="I251" s="398" t="s">
        <v>156</v>
      </c>
    </row>
    <row r="252" spans="1:9" x14ac:dyDescent="0.35">
      <c r="A252" s="395" t="s">
        <v>667</v>
      </c>
      <c r="B252" s="396" t="s">
        <v>146</v>
      </c>
      <c r="C252" s="395" t="s">
        <v>147</v>
      </c>
      <c r="D252" s="395">
        <v>135</v>
      </c>
      <c r="E252" s="397">
        <f t="shared" si="4"/>
        <v>236372175</v>
      </c>
      <c r="F252" s="398" t="s">
        <v>665</v>
      </c>
      <c r="G252" s="398" t="s">
        <v>311</v>
      </c>
      <c r="H252" s="398" t="s">
        <v>156</v>
      </c>
      <c r="I252" s="398" t="s">
        <v>156</v>
      </c>
    </row>
    <row r="253" spans="1:9" x14ac:dyDescent="0.35">
      <c r="A253" s="395" t="s">
        <v>668</v>
      </c>
      <c r="B253" s="396" t="s">
        <v>146</v>
      </c>
      <c r="C253" s="395" t="s">
        <v>147</v>
      </c>
      <c r="D253" s="395">
        <v>135</v>
      </c>
      <c r="E253" s="397">
        <f t="shared" si="4"/>
        <v>236372175</v>
      </c>
      <c r="F253" s="398" t="s">
        <v>669</v>
      </c>
      <c r="G253" s="398" t="s">
        <v>221</v>
      </c>
      <c r="H253" s="398" t="s">
        <v>156</v>
      </c>
      <c r="I253" s="398" t="s">
        <v>156</v>
      </c>
    </row>
    <row r="254" spans="1:9" x14ac:dyDescent="0.35">
      <c r="A254" s="395" t="s">
        <v>670</v>
      </c>
      <c r="B254" s="396" t="s">
        <v>146</v>
      </c>
      <c r="C254" s="395" t="s">
        <v>147</v>
      </c>
      <c r="D254" s="395">
        <v>135</v>
      </c>
      <c r="E254" s="397">
        <f t="shared" si="4"/>
        <v>236372175</v>
      </c>
      <c r="F254" s="398" t="s">
        <v>671</v>
      </c>
      <c r="G254" s="398" t="s">
        <v>185</v>
      </c>
      <c r="H254" s="398" t="s">
        <v>156</v>
      </c>
      <c r="I254" s="398" t="s">
        <v>156</v>
      </c>
    </row>
    <row r="255" spans="1:9" x14ac:dyDescent="0.35">
      <c r="A255" s="395" t="s">
        <v>672</v>
      </c>
      <c r="B255" s="396" t="s">
        <v>160</v>
      </c>
      <c r="C255" s="395" t="s">
        <v>147</v>
      </c>
      <c r="D255" s="395">
        <v>135</v>
      </c>
      <c r="E255" s="397">
        <f t="shared" si="4"/>
        <v>236372175</v>
      </c>
      <c r="F255" s="398" t="s">
        <v>673</v>
      </c>
      <c r="G255" s="398" t="s">
        <v>424</v>
      </c>
      <c r="H255" s="398" t="s">
        <v>150</v>
      </c>
      <c r="I255" s="398" t="s">
        <v>182</v>
      </c>
    </row>
    <row r="256" spans="1:9" x14ac:dyDescent="0.35">
      <c r="A256" s="395" t="s">
        <v>674</v>
      </c>
      <c r="B256" s="396" t="s">
        <v>146</v>
      </c>
      <c r="C256" s="395" t="s">
        <v>147</v>
      </c>
      <c r="D256" s="395">
        <v>135</v>
      </c>
      <c r="E256" s="397">
        <f t="shared" si="4"/>
        <v>236372175</v>
      </c>
      <c r="F256" s="398" t="s">
        <v>675</v>
      </c>
      <c r="G256" s="398" t="s">
        <v>224</v>
      </c>
      <c r="H256" s="398" t="s">
        <v>156</v>
      </c>
      <c r="I256" s="398" t="s">
        <v>156</v>
      </c>
    </row>
    <row r="257" spans="1:9" x14ac:dyDescent="0.35">
      <c r="A257" s="395" t="s">
        <v>676</v>
      </c>
      <c r="B257" s="396" t="s">
        <v>160</v>
      </c>
      <c r="C257" s="395" t="s">
        <v>358</v>
      </c>
      <c r="D257" s="395">
        <v>150</v>
      </c>
      <c r="E257" s="397">
        <f t="shared" si="4"/>
        <v>262635750</v>
      </c>
      <c r="F257" s="398" t="s">
        <v>677</v>
      </c>
      <c r="G257" s="398" t="s">
        <v>178</v>
      </c>
      <c r="H257" s="398" t="s">
        <v>462</v>
      </c>
      <c r="I257" s="398" t="s">
        <v>164</v>
      </c>
    </row>
    <row r="258" spans="1:9" x14ac:dyDescent="0.35">
      <c r="A258" s="395" t="s">
        <v>678</v>
      </c>
      <c r="B258" s="396" t="s">
        <v>146</v>
      </c>
      <c r="C258" s="395" t="s">
        <v>147</v>
      </c>
      <c r="D258" s="395">
        <v>135</v>
      </c>
      <c r="E258" s="397">
        <f t="shared" si="4"/>
        <v>236372175</v>
      </c>
      <c r="F258" s="398" t="s">
        <v>679</v>
      </c>
      <c r="G258" s="398" t="s">
        <v>324</v>
      </c>
      <c r="H258" s="398" t="s">
        <v>156</v>
      </c>
      <c r="I258" s="398" t="s">
        <v>156</v>
      </c>
    </row>
    <row r="259" spans="1:9" x14ac:dyDescent="0.35">
      <c r="A259" s="395" t="s">
        <v>680</v>
      </c>
      <c r="B259" s="396" t="s">
        <v>146</v>
      </c>
      <c r="C259" s="395" t="s">
        <v>147</v>
      </c>
      <c r="D259" s="395">
        <v>135</v>
      </c>
      <c r="E259" s="397">
        <f t="shared" ref="E259:E322" si="5">D259*$S$2</f>
        <v>236372175</v>
      </c>
      <c r="F259" s="398" t="s">
        <v>681</v>
      </c>
      <c r="G259" s="398" t="s">
        <v>224</v>
      </c>
      <c r="H259" s="398" t="s">
        <v>156</v>
      </c>
      <c r="I259" s="398" t="s">
        <v>156</v>
      </c>
    </row>
    <row r="260" spans="1:9" x14ac:dyDescent="0.35">
      <c r="A260" s="395" t="s">
        <v>682</v>
      </c>
      <c r="B260" s="396" t="s">
        <v>146</v>
      </c>
      <c r="C260" s="395" t="s">
        <v>147</v>
      </c>
      <c r="D260" s="395">
        <v>135</v>
      </c>
      <c r="E260" s="397">
        <f t="shared" si="5"/>
        <v>236372175</v>
      </c>
      <c r="F260" s="398" t="s">
        <v>683</v>
      </c>
      <c r="G260" s="398" t="s">
        <v>424</v>
      </c>
      <c r="H260" s="398" t="s">
        <v>150</v>
      </c>
      <c r="I260" s="398" t="s">
        <v>182</v>
      </c>
    </row>
    <row r="261" spans="1:9" x14ac:dyDescent="0.35">
      <c r="A261" s="395" t="s">
        <v>684</v>
      </c>
      <c r="B261" s="396" t="s">
        <v>146</v>
      </c>
      <c r="C261" s="395" t="s">
        <v>147</v>
      </c>
      <c r="D261" s="395">
        <v>135</v>
      </c>
      <c r="E261" s="397">
        <f t="shared" si="5"/>
        <v>236372175</v>
      </c>
      <c r="F261" s="398" t="s">
        <v>685</v>
      </c>
      <c r="G261" s="398" t="s">
        <v>227</v>
      </c>
      <c r="H261" s="398" t="s">
        <v>156</v>
      </c>
      <c r="I261" s="398" t="s">
        <v>156</v>
      </c>
    </row>
    <row r="262" spans="1:9" x14ac:dyDescent="0.35">
      <c r="A262" s="395" t="s">
        <v>686</v>
      </c>
      <c r="B262" s="396" t="s">
        <v>146</v>
      </c>
      <c r="C262" s="395" t="s">
        <v>147</v>
      </c>
      <c r="D262" s="395">
        <v>135</v>
      </c>
      <c r="E262" s="397">
        <f t="shared" si="5"/>
        <v>236372175</v>
      </c>
      <c r="F262" s="398" t="s">
        <v>687</v>
      </c>
      <c r="G262" s="398" t="s">
        <v>285</v>
      </c>
      <c r="H262" s="398" t="s">
        <v>156</v>
      </c>
      <c r="I262" s="398" t="s">
        <v>156</v>
      </c>
    </row>
    <row r="263" spans="1:9" x14ac:dyDescent="0.35">
      <c r="A263" s="395" t="s">
        <v>688</v>
      </c>
      <c r="B263" s="396" t="s">
        <v>146</v>
      </c>
      <c r="C263" s="395" t="s">
        <v>147</v>
      </c>
      <c r="D263" s="395">
        <v>135</v>
      </c>
      <c r="E263" s="397">
        <f t="shared" si="5"/>
        <v>236372175</v>
      </c>
      <c r="F263" s="398" t="s">
        <v>689</v>
      </c>
      <c r="G263" s="398" t="s">
        <v>200</v>
      </c>
      <c r="H263" s="398" t="s">
        <v>156</v>
      </c>
      <c r="I263" s="398" t="s">
        <v>156</v>
      </c>
    </row>
    <row r="264" spans="1:9" x14ac:dyDescent="0.35">
      <c r="A264" s="395" t="s">
        <v>690</v>
      </c>
      <c r="B264" s="396" t="s">
        <v>146</v>
      </c>
      <c r="C264" s="395" t="s">
        <v>147</v>
      </c>
      <c r="D264" s="395">
        <v>135</v>
      </c>
      <c r="E264" s="397">
        <f t="shared" si="5"/>
        <v>236372175</v>
      </c>
      <c r="F264" s="398" t="s">
        <v>691</v>
      </c>
      <c r="G264" s="398" t="s">
        <v>224</v>
      </c>
      <c r="H264" s="398" t="s">
        <v>156</v>
      </c>
      <c r="I264" s="398" t="s">
        <v>156</v>
      </c>
    </row>
    <row r="265" spans="1:9" x14ac:dyDescent="0.35">
      <c r="A265" s="395" t="s">
        <v>692</v>
      </c>
      <c r="B265" s="396" t="s">
        <v>146</v>
      </c>
      <c r="C265" s="395" t="s">
        <v>147</v>
      </c>
      <c r="D265" s="395">
        <v>135</v>
      </c>
      <c r="E265" s="397">
        <f t="shared" si="5"/>
        <v>236372175</v>
      </c>
      <c r="F265" s="398" t="s">
        <v>693</v>
      </c>
      <c r="G265" s="398" t="s">
        <v>162</v>
      </c>
      <c r="H265" s="398" t="s">
        <v>156</v>
      </c>
      <c r="I265" s="398" t="s">
        <v>156</v>
      </c>
    </row>
    <row r="266" spans="1:9" x14ac:dyDescent="0.35">
      <c r="A266" s="395" t="s">
        <v>694</v>
      </c>
      <c r="B266" s="396" t="s">
        <v>146</v>
      </c>
      <c r="C266" s="395" t="s">
        <v>147</v>
      </c>
      <c r="D266" s="395">
        <v>135</v>
      </c>
      <c r="E266" s="397">
        <f t="shared" si="5"/>
        <v>236372175</v>
      </c>
      <c r="F266" s="398" t="s">
        <v>695</v>
      </c>
      <c r="G266" s="398" t="s">
        <v>224</v>
      </c>
      <c r="H266" s="398" t="s">
        <v>156</v>
      </c>
      <c r="I266" s="398" t="s">
        <v>156</v>
      </c>
    </row>
    <row r="267" spans="1:9" x14ac:dyDescent="0.35">
      <c r="A267" s="395" t="s">
        <v>696</v>
      </c>
      <c r="B267" s="396" t="s">
        <v>146</v>
      </c>
      <c r="C267" s="395" t="s">
        <v>147</v>
      </c>
      <c r="D267" s="395">
        <v>135</v>
      </c>
      <c r="E267" s="397">
        <f t="shared" si="5"/>
        <v>236372175</v>
      </c>
      <c r="F267" s="398" t="s">
        <v>697</v>
      </c>
      <c r="G267" s="398" t="s">
        <v>178</v>
      </c>
      <c r="H267" s="398" t="s">
        <v>150</v>
      </c>
      <c r="I267" s="398" t="s">
        <v>164</v>
      </c>
    </row>
    <row r="268" spans="1:9" x14ac:dyDescent="0.35">
      <c r="A268" s="395" t="s">
        <v>698</v>
      </c>
      <c r="B268" s="396" t="s">
        <v>160</v>
      </c>
      <c r="C268" s="395" t="s">
        <v>358</v>
      </c>
      <c r="D268" s="395">
        <v>150</v>
      </c>
      <c r="E268" s="397">
        <f t="shared" si="5"/>
        <v>262635750</v>
      </c>
      <c r="F268" s="398" t="s">
        <v>699</v>
      </c>
      <c r="G268" s="398" t="s">
        <v>155</v>
      </c>
      <c r="H268" s="398" t="s">
        <v>163</v>
      </c>
      <c r="I268" s="398" t="s">
        <v>192</v>
      </c>
    </row>
    <row r="269" spans="1:9" x14ac:dyDescent="0.35">
      <c r="A269" s="395" t="s">
        <v>700</v>
      </c>
      <c r="B269" s="396" t="s">
        <v>146</v>
      </c>
      <c r="C269" s="395" t="s">
        <v>147</v>
      </c>
      <c r="D269" s="395">
        <v>135</v>
      </c>
      <c r="E269" s="397">
        <f t="shared" si="5"/>
        <v>236372175</v>
      </c>
      <c r="F269" s="398" t="s">
        <v>701</v>
      </c>
      <c r="G269" s="398" t="s">
        <v>155</v>
      </c>
      <c r="H269" s="398" t="s">
        <v>156</v>
      </c>
      <c r="I269" s="398" t="s">
        <v>156</v>
      </c>
    </row>
    <row r="270" spans="1:9" x14ac:dyDescent="0.35">
      <c r="A270" s="395" t="s">
        <v>702</v>
      </c>
      <c r="B270" s="396" t="s">
        <v>146</v>
      </c>
      <c r="C270" s="395" t="s">
        <v>147</v>
      </c>
      <c r="D270" s="395">
        <v>135</v>
      </c>
      <c r="E270" s="397">
        <f t="shared" si="5"/>
        <v>236372175</v>
      </c>
      <c r="F270" s="398" t="s">
        <v>703</v>
      </c>
      <c r="G270" s="398" t="s">
        <v>224</v>
      </c>
      <c r="H270" s="398" t="s">
        <v>156</v>
      </c>
      <c r="I270" s="398" t="s">
        <v>156</v>
      </c>
    </row>
    <row r="271" spans="1:9" x14ac:dyDescent="0.35">
      <c r="A271" s="395" t="s">
        <v>704</v>
      </c>
      <c r="B271" s="396" t="s">
        <v>146</v>
      </c>
      <c r="C271" s="395" t="s">
        <v>147</v>
      </c>
      <c r="D271" s="395">
        <v>135</v>
      </c>
      <c r="E271" s="397">
        <f t="shared" si="5"/>
        <v>236372175</v>
      </c>
      <c r="F271" s="398" t="s">
        <v>705</v>
      </c>
      <c r="G271" s="398" t="s">
        <v>162</v>
      </c>
      <c r="H271" s="398" t="s">
        <v>163</v>
      </c>
      <c r="I271" s="398" t="s">
        <v>164</v>
      </c>
    </row>
    <row r="272" spans="1:9" x14ac:dyDescent="0.35">
      <c r="A272" s="395" t="s">
        <v>706</v>
      </c>
      <c r="B272" s="396" t="s">
        <v>146</v>
      </c>
      <c r="C272" s="395" t="s">
        <v>147</v>
      </c>
      <c r="D272" s="395">
        <v>135</v>
      </c>
      <c r="E272" s="397">
        <f t="shared" si="5"/>
        <v>236372175</v>
      </c>
      <c r="F272" s="398" t="s">
        <v>707</v>
      </c>
      <c r="G272" s="398" t="s">
        <v>708</v>
      </c>
      <c r="H272" s="398" t="s">
        <v>156</v>
      </c>
      <c r="I272" s="398" t="s">
        <v>156</v>
      </c>
    </row>
    <row r="273" spans="1:9" x14ac:dyDescent="0.35">
      <c r="A273" s="395" t="s">
        <v>709</v>
      </c>
      <c r="B273" s="396" t="s">
        <v>146</v>
      </c>
      <c r="C273" s="395" t="s">
        <v>147</v>
      </c>
      <c r="D273" s="395">
        <v>135</v>
      </c>
      <c r="E273" s="397">
        <f t="shared" si="5"/>
        <v>236372175</v>
      </c>
      <c r="F273" s="398" t="s">
        <v>710</v>
      </c>
      <c r="G273" s="398" t="s">
        <v>200</v>
      </c>
      <c r="H273" s="398" t="s">
        <v>156</v>
      </c>
      <c r="I273" s="398" t="s">
        <v>156</v>
      </c>
    </row>
    <row r="274" spans="1:9" x14ac:dyDescent="0.35">
      <c r="A274" s="395" t="s">
        <v>711</v>
      </c>
      <c r="B274" s="396" t="s">
        <v>146</v>
      </c>
      <c r="C274" s="395" t="s">
        <v>147</v>
      </c>
      <c r="D274" s="395">
        <v>135</v>
      </c>
      <c r="E274" s="397">
        <f t="shared" si="5"/>
        <v>236372175</v>
      </c>
      <c r="F274" s="398" t="s">
        <v>712</v>
      </c>
      <c r="G274" s="398" t="s">
        <v>200</v>
      </c>
      <c r="H274" s="398" t="s">
        <v>156</v>
      </c>
      <c r="I274" s="398" t="s">
        <v>156</v>
      </c>
    </row>
    <row r="275" spans="1:9" x14ac:dyDescent="0.35">
      <c r="A275" s="395" t="s">
        <v>713</v>
      </c>
      <c r="B275" s="396" t="s">
        <v>146</v>
      </c>
      <c r="C275" s="395" t="s">
        <v>147</v>
      </c>
      <c r="D275" s="395">
        <v>135</v>
      </c>
      <c r="E275" s="397">
        <f t="shared" si="5"/>
        <v>236372175</v>
      </c>
      <c r="F275" s="398" t="s">
        <v>714</v>
      </c>
      <c r="G275" s="398" t="s">
        <v>227</v>
      </c>
      <c r="H275" s="398" t="s">
        <v>156</v>
      </c>
      <c r="I275" s="398" t="s">
        <v>156</v>
      </c>
    </row>
    <row r="276" spans="1:9" x14ac:dyDescent="0.35">
      <c r="A276" s="395" t="s">
        <v>715</v>
      </c>
      <c r="B276" s="396" t="s">
        <v>146</v>
      </c>
      <c r="C276" s="395" t="s">
        <v>147</v>
      </c>
      <c r="D276" s="395">
        <v>135</v>
      </c>
      <c r="E276" s="397">
        <f t="shared" si="5"/>
        <v>236372175</v>
      </c>
      <c r="F276" s="398" t="s">
        <v>716</v>
      </c>
      <c r="G276" s="398" t="s">
        <v>203</v>
      </c>
      <c r="H276" s="398" t="s">
        <v>156</v>
      </c>
      <c r="I276" s="398" t="s">
        <v>156</v>
      </c>
    </row>
    <row r="277" spans="1:9" x14ac:dyDescent="0.35">
      <c r="A277" s="395" t="s">
        <v>717</v>
      </c>
      <c r="B277" s="396" t="s">
        <v>146</v>
      </c>
      <c r="C277" s="395" t="s">
        <v>147</v>
      </c>
      <c r="D277" s="395">
        <v>135</v>
      </c>
      <c r="E277" s="397">
        <f t="shared" si="5"/>
        <v>236372175</v>
      </c>
      <c r="F277" s="398" t="s">
        <v>718</v>
      </c>
      <c r="G277" s="398" t="s">
        <v>185</v>
      </c>
      <c r="H277" s="398" t="s">
        <v>156</v>
      </c>
      <c r="I277" s="398" t="s">
        <v>156</v>
      </c>
    </row>
    <row r="278" spans="1:9" x14ac:dyDescent="0.35">
      <c r="A278" s="395" t="s">
        <v>719</v>
      </c>
      <c r="B278" s="396" t="s">
        <v>146</v>
      </c>
      <c r="C278" s="395" t="s">
        <v>147</v>
      </c>
      <c r="D278" s="395">
        <v>135</v>
      </c>
      <c r="E278" s="397">
        <f t="shared" si="5"/>
        <v>236372175</v>
      </c>
      <c r="F278" s="398" t="s">
        <v>720</v>
      </c>
      <c r="G278" s="398" t="s">
        <v>181</v>
      </c>
      <c r="H278" s="398" t="s">
        <v>156</v>
      </c>
      <c r="I278" s="398" t="s">
        <v>156</v>
      </c>
    </row>
    <row r="279" spans="1:9" x14ac:dyDescent="0.35">
      <c r="A279" s="395" t="s">
        <v>721</v>
      </c>
      <c r="B279" s="396" t="s">
        <v>146</v>
      </c>
      <c r="C279" s="395" t="s">
        <v>147</v>
      </c>
      <c r="D279" s="395">
        <v>135</v>
      </c>
      <c r="E279" s="397">
        <f t="shared" si="5"/>
        <v>236372175</v>
      </c>
      <c r="F279" s="398" t="s">
        <v>722</v>
      </c>
      <c r="G279" s="398" t="s">
        <v>149</v>
      </c>
      <c r="H279" s="398" t="s">
        <v>156</v>
      </c>
      <c r="I279" s="398" t="s">
        <v>156</v>
      </c>
    </row>
    <row r="280" spans="1:9" x14ac:dyDescent="0.35">
      <c r="A280" s="395" t="s">
        <v>723</v>
      </c>
      <c r="B280" s="396" t="s">
        <v>146</v>
      </c>
      <c r="C280" s="395" t="s">
        <v>147</v>
      </c>
      <c r="D280" s="395">
        <v>135</v>
      </c>
      <c r="E280" s="397">
        <f t="shared" si="5"/>
        <v>236372175</v>
      </c>
      <c r="F280" s="398" t="s">
        <v>724</v>
      </c>
      <c r="G280" s="398" t="s">
        <v>209</v>
      </c>
      <c r="H280" s="398" t="s">
        <v>150</v>
      </c>
      <c r="I280" s="398" t="s">
        <v>249</v>
      </c>
    </row>
    <row r="281" spans="1:9" x14ac:dyDescent="0.35">
      <c r="A281" s="395" t="s">
        <v>725</v>
      </c>
      <c r="B281" s="396" t="s">
        <v>146</v>
      </c>
      <c r="C281" s="395" t="s">
        <v>147</v>
      </c>
      <c r="D281" s="395">
        <v>135</v>
      </c>
      <c r="E281" s="397">
        <f t="shared" si="5"/>
        <v>236372175</v>
      </c>
      <c r="F281" s="398" t="s">
        <v>726</v>
      </c>
      <c r="G281" s="398" t="s">
        <v>205</v>
      </c>
      <c r="H281" s="398" t="s">
        <v>156</v>
      </c>
      <c r="I281" s="398" t="s">
        <v>156</v>
      </c>
    </row>
    <row r="282" spans="1:9" x14ac:dyDescent="0.35">
      <c r="A282" s="395" t="s">
        <v>727</v>
      </c>
      <c r="B282" s="396" t="s">
        <v>146</v>
      </c>
      <c r="C282" s="395" t="s">
        <v>147</v>
      </c>
      <c r="D282" s="395">
        <v>135</v>
      </c>
      <c r="E282" s="397">
        <f t="shared" si="5"/>
        <v>236372175</v>
      </c>
      <c r="F282" s="398" t="s">
        <v>728</v>
      </c>
      <c r="G282" s="398" t="s">
        <v>205</v>
      </c>
      <c r="H282" s="398" t="s">
        <v>156</v>
      </c>
      <c r="I282" s="398" t="s">
        <v>156</v>
      </c>
    </row>
    <row r="283" spans="1:9" x14ac:dyDescent="0.35">
      <c r="A283" s="395" t="s">
        <v>729</v>
      </c>
      <c r="B283" s="396" t="s">
        <v>146</v>
      </c>
      <c r="C283" s="395" t="s">
        <v>147</v>
      </c>
      <c r="D283" s="395">
        <v>135</v>
      </c>
      <c r="E283" s="397">
        <f t="shared" si="5"/>
        <v>236372175</v>
      </c>
      <c r="F283" s="398" t="s">
        <v>730</v>
      </c>
      <c r="G283" s="398" t="s">
        <v>227</v>
      </c>
      <c r="H283" s="398" t="s">
        <v>156</v>
      </c>
      <c r="I283" s="398" t="s">
        <v>156</v>
      </c>
    </row>
    <row r="284" spans="1:9" x14ac:dyDescent="0.35">
      <c r="A284" s="395" t="s">
        <v>731</v>
      </c>
      <c r="B284" s="396" t="s">
        <v>146</v>
      </c>
      <c r="C284" s="395" t="s">
        <v>147</v>
      </c>
      <c r="D284" s="395">
        <v>135</v>
      </c>
      <c r="E284" s="397">
        <f t="shared" si="5"/>
        <v>236372175</v>
      </c>
      <c r="F284" s="398" t="s">
        <v>732</v>
      </c>
      <c r="G284" s="398" t="s">
        <v>149</v>
      </c>
      <c r="H284" s="398" t="s">
        <v>150</v>
      </c>
      <c r="I284" s="398" t="s">
        <v>151</v>
      </c>
    </row>
    <row r="285" spans="1:9" x14ac:dyDescent="0.35">
      <c r="A285" s="395" t="s">
        <v>733</v>
      </c>
      <c r="B285" s="396" t="s">
        <v>160</v>
      </c>
      <c r="C285" s="395" t="s">
        <v>147</v>
      </c>
      <c r="D285" s="395">
        <v>135</v>
      </c>
      <c r="E285" s="397">
        <f t="shared" si="5"/>
        <v>236372175</v>
      </c>
      <c r="F285" s="398" t="s">
        <v>734</v>
      </c>
      <c r="G285" s="398" t="s">
        <v>272</v>
      </c>
      <c r="H285" s="398" t="s">
        <v>163</v>
      </c>
      <c r="I285" s="398" t="s">
        <v>151</v>
      </c>
    </row>
    <row r="286" spans="1:9" x14ac:dyDescent="0.35">
      <c r="A286" s="395" t="s">
        <v>735</v>
      </c>
      <c r="B286" s="396" t="s">
        <v>146</v>
      </c>
      <c r="C286" s="395" t="s">
        <v>147</v>
      </c>
      <c r="D286" s="395">
        <v>135</v>
      </c>
      <c r="E286" s="397">
        <f t="shared" si="5"/>
        <v>236372175</v>
      </c>
      <c r="F286" s="398" t="s">
        <v>736</v>
      </c>
      <c r="G286" s="398" t="s">
        <v>224</v>
      </c>
      <c r="H286" s="398" t="s">
        <v>163</v>
      </c>
      <c r="I286" s="398" t="s">
        <v>192</v>
      </c>
    </row>
    <row r="287" spans="1:9" x14ac:dyDescent="0.35">
      <c r="A287" s="395" t="s">
        <v>737</v>
      </c>
      <c r="B287" s="396" t="s">
        <v>146</v>
      </c>
      <c r="C287" s="395" t="s">
        <v>147</v>
      </c>
      <c r="D287" s="395">
        <v>135</v>
      </c>
      <c r="E287" s="397">
        <f t="shared" si="5"/>
        <v>236372175</v>
      </c>
      <c r="F287" s="398" t="s">
        <v>738</v>
      </c>
      <c r="G287" s="398" t="s">
        <v>155</v>
      </c>
      <c r="H287" s="398" t="s">
        <v>156</v>
      </c>
      <c r="I287" s="398" t="s">
        <v>156</v>
      </c>
    </row>
    <row r="288" spans="1:9" x14ac:dyDescent="0.35">
      <c r="A288" s="395" t="s">
        <v>739</v>
      </c>
      <c r="B288" s="396" t="s">
        <v>146</v>
      </c>
      <c r="C288" s="395" t="s">
        <v>147</v>
      </c>
      <c r="D288" s="395">
        <v>135</v>
      </c>
      <c r="E288" s="397">
        <f t="shared" si="5"/>
        <v>236372175</v>
      </c>
      <c r="F288" s="398" t="s">
        <v>740</v>
      </c>
      <c r="G288" s="398" t="s">
        <v>149</v>
      </c>
      <c r="H288" s="398" t="s">
        <v>156</v>
      </c>
      <c r="I288" s="398" t="s">
        <v>156</v>
      </c>
    </row>
    <row r="289" spans="1:9" x14ac:dyDescent="0.35">
      <c r="A289" s="395" t="s">
        <v>741</v>
      </c>
      <c r="B289" s="396" t="s">
        <v>146</v>
      </c>
      <c r="C289" s="395" t="s">
        <v>147</v>
      </c>
      <c r="D289" s="395">
        <v>135</v>
      </c>
      <c r="E289" s="397">
        <f t="shared" si="5"/>
        <v>236372175</v>
      </c>
      <c r="F289" s="398" t="s">
        <v>742</v>
      </c>
      <c r="G289" s="398" t="s">
        <v>209</v>
      </c>
      <c r="H289" s="398" t="s">
        <v>156</v>
      </c>
      <c r="I289" s="398" t="s">
        <v>156</v>
      </c>
    </row>
    <row r="290" spans="1:9" x14ac:dyDescent="0.35">
      <c r="A290" s="395" t="s">
        <v>743</v>
      </c>
      <c r="B290" s="396" t="s">
        <v>146</v>
      </c>
      <c r="C290" s="395" t="s">
        <v>147</v>
      </c>
      <c r="D290" s="395">
        <v>135</v>
      </c>
      <c r="E290" s="397">
        <f t="shared" si="5"/>
        <v>236372175</v>
      </c>
      <c r="F290" s="398" t="s">
        <v>744</v>
      </c>
      <c r="G290" s="398" t="s">
        <v>149</v>
      </c>
      <c r="H290" s="398" t="s">
        <v>240</v>
      </c>
      <c r="I290" s="398" t="s">
        <v>151</v>
      </c>
    </row>
    <row r="291" spans="1:9" x14ac:dyDescent="0.35">
      <c r="A291" s="395" t="s">
        <v>745</v>
      </c>
      <c r="B291" s="396" t="s">
        <v>146</v>
      </c>
      <c r="C291" s="395" t="s">
        <v>147</v>
      </c>
      <c r="D291" s="395">
        <v>135</v>
      </c>
      <c r="E291" s="397">
        <f t="shared" si="5"/>
        <v>236372175</v>
      </c>
      <c r="F291" s="398" t="s">
        <v>746</v>
      </c>
      <c r="G291" s="398" t="s">
        <v>216</v>
      </c>
      <c r="H291" s="398" t="s">
        <v>240</v>
      </c>
      <c r="I291" s="398" t="s">
        <v>182</v>
      </c>
    </row>
    <row r="292" spans="1:9" x14ac:dyDescent="0.35">
      <c r="A292" s="395" t="s">
        <v>747</v>
      </c>
      <c r="B292" s="396" t="s">
        <v>146</v>
      </c>
      <c r="C292" s="395" t="s">
        <v>147</v>
      </c>
      <c r="D292" s="395">
        <v>135</v>
      </c>
      <c r="E292" s="397">
        <f t="shared" si="5"/>
        <v>236372175</v>
      </c>
      <c r="F292" s="398" t="s">
        <v>748</v>
      </c>
      <c r="G292" s="398" t="s">
        <v>209</v>
      </c>
      <c r="H292" s="398" t="s">
        <v>156</v>
      </c>
      <c r="I292" s="398" t="s">
        <v>156</v>
      </c>
    </row>
    <row r="293" spans="1:9" x14ac:dyDescent="0.35">
      <c r="A293" s="395" t="s">
        <v>749</v>
      </c>
      <c r="B293" s="396" t="s">
        <v>146</v>
      </c>
      <c r="C293" s="395" t="s">
        <v>147</v>
      </c>
      <c r="D293" s="395">
        <v>135</v>
      </c>
      <c r="E293" s="397">
        <f t="shared" si="5"/>
        <v>236372175</v>
      </c>
      <c r="F293" s="398" t="s">
        <v>750</v>
      </c>
      <c r="G293" s="398" t="s">
        <v>162</v>
      </c>
      <c r="H293" s="398" t="s">
        <v>156</v>
      </c>
      <c r="I293" s="398" t="s">
        <v>156</v>
      </c>
    </row>
    <row r="294" spans="1:9" x14ac:dyDescent="0.35">
      <c r="A294" s="395" t="s">
        <v>751</v>
      </c>
      <c r="B294" s="396" t="s">
        <v>146</v>
      </c>
      <c r="C294" s="395" t="s">
        <v>147</v>
      </c>
      <c r="D294" s="395">
        <v>135</v>
      </c>
      <c r="E294" s="397">
        <f t="shared" si="5"/>
        <v>236372175</v>
      </c>
      <c r="F294" s="398" t="s">
        <v>752</v>
      </c>
      <c r="G294" s="398" t="s">
        <v>167</v>
      </c>
      <c r="H294" s="398" t="s">
        <v>156</v>
      </c>
      <c r="I294" s="398" t="s">
        <v>156</v>
      </c>
    </row>
    <row r="295" spans="1:9" x14ac:dyDescent="0.35">
      <c r="A295" s="395" t="s">
        <v>753</v>
      </c>
      <c r="B295" s="396" t="s">
        <v>146</v>
      </c>
      <c r="C295" s="395" t="s">
        <v>147</v>
      </c>
      <c r="D295" s="395">
        <v>135</v>
      </c>
      <c r="E295" s="397">
        <f t="shared" si="5"/>
        <v>236372175</v>
      </c>
      <c r="F295" s="398" t="s">
        <v>754</v>
      </c>
      <c r="G295" s="398" t="s">
        <v>155</v>
      </c>
      <c r="H295" s="398" t="s">
        <v>156</v>
      </c>
      <c r="I295" s="398" t="s">
        <v>156</v>
      </c>
    </row>
    <row r="296" spans="1:9" x14ac:dyDescent="0.35">
      <c r="A296" s="395" t="s">
        <v>755</v>
      </c>
      <c r="B296" s="396" t="s">
        <v>146</v>
      </c>
      <c r="C296" s="395" t="s">
        <v>147</v>
      </c>
      <c r="D296" s="395">
        <v>135</v>
      </c>
      <c r="E296" s="397">
        <f t="shared" si="5"/>
        <v>236372175</v>
      </c>
      <c r="F296" s="398" t="s">
        <v>756</v>
      </c>
      <c r="G296" s="398" t="s">
        <v>167</v>
      </c>
      <c r="H296" s="398" t="s">
        <v>156</v>
      </c>
      <c r="I296" s="398" t="s">
        <v>156</v>
      </c>
    </row>
    <row r="297" spans="1:9" x14ac:dyDescent="0.35">
      <c r="A297" s="395" t="s">
        <v>757</v>
      </c>
      <c r="B297" s="396" t="s">
        <v>146</v>
      </c>
      <c r="C297" s="395" t="s">
        <v>147</v>
      </c>
      <c r="D297" s="395">
        <v>135</v>
      </c>
      <c r="E297" s="397">
        <f t="shared" si="5"/>
        <v>236372175</v>
      </c>
      <c r="F297" s="398" t="s">
        <v>758</v>
      </c>
      <c r="G297" s="398" t="s">
        <v>173</v>
      </c>
      <c r="H297" s="398" t="s">
        <v>156</v>
      </c>
      <c r="I297" s="398" t="s">
        <v>156</v>
      </c>
    </row>
    <row r="298" spans="1:9" x14ac:dyDescent="0.35">
      <c r="A298" s="395" t="s">
        <v>759</v>
      </c>
      <c r="B298" s="396" t="s">
        <v>146</v>
      </c>
      <c r="C298" s="395" t="s">
        <v>147</v>
      </c>
      <c r="D298" s="395">
        <v>135</v>
      </c>
      <c r="E298" s="397">
        <f t="shared" si="5"/>
        <v>236372175</v>
      </c>
      <c r="F298" s="398" t="s">
        <v>760</v>
      </c>
      <c r="G298" s="398" t="s">
        <v>185</v>
      </c>
      <c r="H298" s="398" t="s">
        <v>156</v>
      </c>
      <c r="I298" s="398" t="s">
        <v>156</v>
      </c>
    </row>
    <row r="299" spans="1:9" x14ac:dyDescent="0.35">
      <c r="A299" s="395" t="s">
        <v>761</v>
      </c>
      <c r="B299" s="396" t="s">
        <v>146</v>
      </c>
      <c r="C299" s="395" t="s">
        <v>147</v>
      </c>
      <c r="D299" s="395">
        <v>135</v>
      </c>
      <c r="E299" s="397">
        <f t="shared" si="5"/>
        <v>236372175</v>
      </c>
      <c r="F299" s="398" t="s">
        <v>762</v>
      </c>
      <c r="G299" s="398" t="s">
        <v>149</v>
      </c>
      <c r="H299" s="398" t="s">
        <v>240</v>
      </c>
      <c r="I299" s="398" t="s">
        <v>151</v>
      </c>
    </row>
    <row r="300" spans="1:9" x14ac:dyDescent="0.35">
      <c r="A300" s="395" t="s">
        <v>763</v>
      </c>
      <c r="B300" s="396" t="s">
        <v>146</v>
      </c>
      <c r="C300" s="395" t="s">
        <v>147</v>
      </c>
      <c r="D300" s="395">
        <v>135</v>
      </c>
      <c r="E300" s="397">
        <f t="shared" si="5"/>
        <v>236372175</v>
      </c>
      <c r="F300" s="398" t="s">
        <v>764</v>
      </c>
      <c r="G300" s="398" t="s">
        <v>162</v>
      </c>
      <c r="H300" s="398" t="s">
        <v>156</v>
      </c>
      <c r="I300" s="398" t="s">
        <v>156</v>
      </c>
    </row>
    <row r="301" spans="1:9" x14ac:dyDescent="0.35">
      <c r="A301" s="395" t="s">
        <v>765</v>
      </c>
      <c r="B301" s="396" t="s">
        <v>146</v>
      </c>
      <c r="C301" s="395" t="s">
        <v>147</v>
      </c>
      <c r="D301" s="395">
        <v>135</v>
      </c>
      <c r="E301" s="397">
        <f t="shared" si="5"/>
        <v>236372175</v>
      </c>
      <c r="F301" s="398" t="s">
        <v>766</v>
      </c>
      <c r="G301" s="398" t="s">
        <v>209</v>
      </c>
      <c r="H301" s="398" t="s">
        <v>462</v>
      </c>
      <c r="I301" s="398" t="s">
        <v>249</v>
      </c>
    </row>
    <row r="302" spans="1:9" x14ac:dyDescent="0.35">
      <c r="A302" s="395" t="s">
        <v>767</v>
      </c>
      <c r="B302" s="396" t="s">
        <v>146</v>
      </c>
      <c r="C302" s="395" t="s">
        <v>147</v>
      </c>
      <c r="D302" s="395">
        <v>135</v>
      </c>
      <c r="E302" s="397">
        <f t="shared" si="5"/>
        <v>236372175</v>
      </c>
      <c r="F302" s="398" t="s">
        <v>768</v>
      </c>
      <c r="G302" s="398" t="s">
        <v>200</v>
      </c>
      <c r="H302" s="398" t="s">
        <v>156</v>
      </c>
      <c r="I302" s="398" t="s">
        <v>156</v>
      </c>
    </row>
    <row r="303" spans="1:9" x14ac:dyDescent="0.35">
      <c r="A303" s="395" t="s">
        <v>769</v>
      </c>
      <c r="B303" s="396" t="s">
        <v>146</v>
      </c>
      <c r="C303" s="395" t="s">
        <v>147</v>
      </c>
      <c r="D303" s="395">
        <v>135</v>
      </c>
      <c r="E303" s="397">
        <f t="shared" si="5"/>
        <v>236372175</v>
      </c>
      <c r="F303" s="398" t="s">
        <v>770</v>
      </c>
      <c r="G303" s="398" t="s">
        <v>224</v>
      </c>
      <c r="H303" s="398" t="s">
        <v>156</v>
      </c>
      <c r="I303" s="398" t="s">
        <v>156</v>
      </c>
    </row>
    <row r="304" spans="1:9" x14ac:dyDescent="0.35">
      <c r="A304" s="395" t="s">
        <v>771</v>
      </c>
      <c r="B304" s="396" t="s">
        <v>146</v>
      </c>
      <c r="C304" s="395" t="s">
        <v>147</v>
      </c>
      <c r="D304" s="395">
        <v>135</v>
      </c>
      <c r="E304" s="397">
        <f t="shared" si="5"/>
        <v>236372175</v>
      </c>
      <c r="F304" s="398" t="s">
        <v>772</v>
      </c>
      <c r="G304" s="398" t="s">
        <v>178</v>
      </c>
      <c r="H304" s="398" t="s">
        <v>150</v>
      </c>
      <c r="I304" s="398" t="s">
        <v>164</v>
      </c>
    </row>
    <row r="305" spans="1:9" x14ac:dyDescent="0.35">
      <c r="A305" s="395" t="s">
        <v>773</v>
      </c>
      <c r="B305" s="396" t="s">
        <v>146</v>
      </c>
      <c r="C305" s="395" t="s">
        <v>147</v>
      </c>
      <c r="D305" s="395">
        <v>135</v>
      </c>
      <c r="E305" s="397">
        <f t="shared" si="5"/>
        <v>236372175</v>
      </c>
      <c r="F305" s="398" t="s">
        <v>774</v>
      </c>
      <c r="G305" s="398" t="s">
        <v>181</v>
      </c>
      <c r="H305" s="398" t="s">
        <v>156</v>
      </c>
      <c r="I305" s="398" t="s">
        <v>156</v>
      </c>
    </row>
    <row r="306" spans="1:9" x14ac:dyDescent="0.35">
      <c r="A306" s="395" t="s">
        <v>775</v>
      </c>
      <c r="B306" s="396" t="s">
        <v>146</v>
      </c>
      <c r="C306" s="395" t="s">
        <v>147</v>
      </c>
      <c r="D306" s="395">
        <v>135</v>
      </c>
      <c r="E306" s="397">
        <f t="shared" si="5"/>
        <v>236372175</v>
      </c>
      <c r="F306" s="398" t="s">
        <v>776</v>
      </c>
      <c r="G306" s="398" t="s">
        <v>203</v>
      </c>
      <c r="H306" s="398" t="s">
        <v>150</v>
      </c>
      <c r="I306" s="398" t="s">
        <v>164</v>
      </c>
    </row>
    <row r="307" spans="1:9" x14ac:dyDescent="0.35">
      <c r="A307" s="395" t="s">
        <v>777</v>
      </c>
      <c r="B307" s="396" t="s">
        <v>146</v>
      </c>
      <c r="C307" s="395" t="s">
        <v>147</v>
      </c>
      <c r="D307" s="395">
        <v>135</v>
      </c>
      <c r="E307" s="397">
        <f t="shared" si="5"/>
        <v>236372175</v>
      </c>
      <c r="F307" s="398" t="s">
        <v>778</v>
      </c>
      <c r="G307" s="398" t="s">
        <v>162</v>
      </c>
      <c r="H307" s="398" t="s">
        <v>156</v>
      </c>
      <c r="I307" s="398" t="s">
        <v>156</v>
      </c>
    </row>
    <row r="308" spans="1:9" x14ac:dyDescent="0.35">
      <c r="A308" s="395" t="s">
        <v>779</v>
      </c>
      <c r="B308" s="396" t="s">
        <v>146</v>
      </c>
      <c r="C308" s="395" t="s">
        <v>147</v>
      </c>
      <c r="D308" s="395">
        <v>135</v>
      </c>
      <c r="E308" s="397">
        <f t="shared" si="5"/>
        <v>236372175</v>
      </c>
      <c r="F308" s="398" t="s">
        <v>780</v>
      </c>
      <c r="G308" s="398" t="s">
        <v>209</v>
      </c>
      <c r="H308" s="398" t="s">
        <v>156</v>
      </c>
      <c r="I308" s="398" t="s">
        <v>156</v>
      </c>
    </row>
    <row r="309" spans="1:9" x14ac:dyDescent="0.35">
      <c r="A309" s="395" t="s">
        <v>781</v>
      </c>
      <c r="B309" s="396" t="s">
        <v>146</v>
      </c>
      <c r="C309" s="395" t="s">
        <v>147</v>
      </c>
      <c r="D309" s="395">
        <v>135</v>
      </c>
      <c r="E309" s="397">
        <f t="shared" si="5"/>
        <v>236372175</v>
      </c>
      <c r="F309" s="398" t="s">
        <v>782</v>
      </c>
      <c r="G309" s="398" t="s">
        <v>783</v>
      </c>
      <c r="H309" s="398" t="s">
        <v>156</v>
      </c>
      <c r="I309" s="398" t="s">
        <v>156</v>
      </c>
    </row>
    <row r="310" spans="1:9" x14ac:dyDescent="0.35">
      <c r="A310" s="395" t="s">
        <v>784</v>
      </c>
      <c r="B310" s="396" t="s">
        <v>146</v>
      </c>
      <c r="C310" s="395" t="s">
        <v>147</v>
      </c>
      <c r="D310" s="395">
        <v>135</v>
      </c>
      <c r="E310" s="397">
        <f t="shared" si="5"/>
        <v>236372175</v>
      </c>
      <c r="F310" s="398" t="s">
        <v>785</v>
      </c>
      <c r="G310" s="398" t="s">
        <v>224</v>
      </c>
      <c r="H310" s="398" t="s">
        <v>156</v>
      </c>
      <c r="I310" s="398" t="s">
        <v>156</v>
      </c>
    </row>
    <row r="311" spans="1:9" x14ac:dyDescent="0.35">
      <c r="A311" s="395" t="s">
        <v>786</v>
      </c>
      <c r="B311" s="396" t="s">
        <v>146</v>
      </c>
      <c r="C311" s="395" t="s">
        <v>147</v>
      </c>
      <c r="D311" s="395">
        <v>135</v>
      </c>
      <c r="E311" s="397">
        <f t="shared" si="5"/>
        <v>236372175</v>
      </c>
      <c r="F311" s="398" t="s">
        <v>787</v>
      </c>
      <c r="G311" s="398" t="s">
        <v>185</v>
      </c>
      <c r="H311" s="398" t="s">
        <v>156</v>
      </c>
      <c r="I311" s="398" t="s">
        <v>156</v>
      </c>
    </row>
    <row r="312" spans="1:9" x14ac:dyDescent="0.35">
      <c r="A312" s="395" t="s">
        <v>788</v>
      </c>
      <c r="B312" s="396" t="s">
        <v>146</v>
      </c>
      <c r="C312" s="395" t="s">
        <v>147</v>
      </c>
      <c r="D312" s="395">
        <v>135</v>
      </c>
      <c r="E312" s="397">
        <f t="shared" si="5"/>
        <v>236372175</v>
      </c>
      <c r="F312" s="398" t="s">
        <v>789</v>
      </c>
      <c r="G312" s="398" t="s">
        <v>173</v>
      </c>
      <c r="H312" s="398" t="s">
        <v>156</v>
      </c>
      <c r="I312" s="398" t="s">
        <v>156</v>
      </c>
    </row>
    <row r="313" spans="1:9" x14ac:dyDescent="0.35">
      <c r="A313" s="395" t="s">
        <v>790</v>
      </c>
      <c r="B313" s="396" t="s">
        <v>146</v>
      </c>
      <c r="C313" s="395" t="s">
        <v>147</v>
      </c>
      <c r="D313" s="395">
        <v>135</v>
      </c>
      <c r="E313" s="397">
        <f t="shared" si="5"/>
        <v>236372175</v>
      </c>
      <c r="F313" s="398" t="s">
        <v>791</v>
      </c>
      <c r="G313" s="398" t="s">
        <v>167</v>
      </c>
      <c r="H313" s="398" t="s">
        <v>156</v>
      </c>
      <c r="I313" s="398" t="s">
        <v>156</v>
      </c>
    </row>
    <row r="314" spans="1:9" x14ac:dyDescent="0.35">
      <c r="A314" s="395" t="s">
        <v>792</v>
      </c>
      <c r="B314" s="396" t="s">
        <v>146</v>
      </c>
      <c r="C314" s="395" t="s">
        <v>147</v>
      </c>
      <c r="D314" s="395">
        <v>135</v>
      </c>
      <c r="E314" s="397">
        <f t="shared" si="5"/>
        <v>236372175</v>
      </c>
      <c r="F314" s="398" t="s">
        <v>793</v>
      </c>
      <c r="G314" s="398" t="s">
        <v>205</v>
      </c>
      <c r="H314" s="398" t="s">
        <v>156</v>
      </c>
      <c r="I314" s="398" t="s">
        <v>156</v>
      </c>
    </row>
    <row r="315" spans="1:9" x14ac:dyDescent="0.35">
      <c r="A315" s="395" t="s">
        <v>794</v>
      </c>
      <c r="B315" s="396" t="s">
        <v>146</v>
      </c>
      <c r="C315" s="395" t="s">
        <v>147</v>
      </c>
      <c r="D315" s="395">
        <v>135</v>
      </c>
      <c r="E315" s="397">
        <f t="shared" si="5"/>
        <v>236372175</v>
      </c>
      <c r="F315" s="398" t="s">
        <v>795</v>
      </c>
      <c r="G315" s="398" t="s">
        <v>181</v>
      </c>
      <c r="H315" s="398" t="s">
        <v>150</v>
      </c>
      <c r="I315" s="398" t="s">
        <v>182</v>
      </c>
    </row>
    <row r="316" spans="1:9" x14ac:dyDescent="0.35">
      <c r="A316" s="395" t="s">
        <v>796</v>
      </c>
      <c r="B316" s="396" t="s">
        <v>146</v>
      </c>
      <c r="C316" s="395" t="s">
        <v>147</v>
      </c>
      <c r="D316" s="395">
        <v>135</v>
      </c>
      <c r="E316" s="397">
        <f t="shared" si="5"/>
        <v>236372175</v>
      </c>
      <c r="F316" s="398" t="s">
        <v>797</v>
      </c>
      <c r="G316" s="398" t="s">
        <v>203</v>
      </c>
      <c r="H316" s="398" t="s">
        <v>156</v>
      </c>
      <c r="I316" s="398" t="s">
        <v>156</v>
      </c>
    </row>
    <row r="317" spans="1:9" x14ac:dyDescent="0.35">
      <c r="A317" s="395" t="s">
        <v>798</v>
      </c>
      <c r="B317" s="396" t="s">
        <v>146</v>
      </c>
      <c r="C317" s="395" t="s">
        <v>147</v>
      </c>
      <c r="D317" s="395">
        <v>135</v>
      </c>
      <c r="E317" s="397">
        <f t="shared" si="5"/>
        <v>236372175</v>
      </c>
      <c r="F317" s="398" t="s">
        <v>799</v>
      </c>
      <c r="G317" s="398" t="s">
        <v>200</v>
      </c>
      <c r="H317" s="398" t="s">
        <v>156</v>
      </c>
      <c r="I317" s="398" t="s">
        <v>156</v>
      </c>
    </row>
    <row r="318" spans="1:9" x14ac:dyDescent="0.35">
      <c r="A318" s="395" t="s">
        <v>800</v>
      </c>
      <c r="B318" s="396" t="s">
        <v>146</v>
      </c>
      <c r="C318" s="395" t="s">
        <v>147</v>
      </c>
      <c r="D318" s="395">
        <v>135</v>
      </c>
      <c r="E318" s="397">
        <f t="shared" si="5"/>
        <v>236372175</v>
      </c>
      <c r="F318" s="398" t="s">
        <v>801</v>
      </c>
      <c r="G318" s="398" t="s">
        <v>173</v>
      </c>
      <c r="H318" s="398" t="s">
        <v>156</v>
      </c>
      <c r="I318" s="398" t="s">
        <v>156</v>
      </c>
    </row>
    <row r="319" spans="1:9" x14ac:dyDescent="0.35">
      <c r="A319" s="395" t="s">
        <v>802</v>
      </c>
      <c r="B319" s="396" t="s">
        <v>146</v>
      </c>
      <c r="C319" s="395" t="s">
        <v>147</v>
      </c>
      <c r="D319" s="395">
        <v>135</v>
      </c>
      <c r="E319" s="397">
        <f t="shared" si="5"/>
        <v>236372175</v>
      </c>
      <c r="F319" s="398" t="s">
        <v>801</v>
      </c>
      <c r="G319" s="398" t="s">
        <v>178</v>
      </c>
      <c r="H319" s="398" t="s">
        <v>156</v>
      </c>
      <c r="I319" s="398" t="s">
        <v>156</v>
      </c>
    </row>
    <row r="320" spans="1:9" x14ac:dyDescent="0.35">
      <c r="A320" s="395" t="s">
        <v>803</v>
      </c>
      <c r="B320" s="396" t="s">
        <v>146</v>
      </c>
      <c r="C320" s="395" t="s">
        <v>147</v>
      </c>
      <c r="D320" s="395">
        <v>135</v>
      </c>
      <c r="E320" s="397">
        <f t="shared" si="5"/>
        <v>236372175</v>
      </c>
      <c r="F320" s="398" t="s">
        <v>801</v>
      </c>
      <c r="G320" s="398" t="s">
        <v>185</v>
      </c>
      <c r="H320" s="398" t="s">
        <v>156</v>
      </c>
      <c r="I320" s="398" t="s">
        <v>156</v>
      </c>
    </row>
    <row r="321" spans="1:9" x14ac:dyDescent="0.35">
      <c r="A321" s="395" t="s">
        <v>804</v>
      </c>
      <c r="B321" s="396" t="s">
        <v>146</v>
      </c>
      <c r="C321" s="395" t="s">
        <v>147</v>
      </c>
      <c r="D321" s="395">
        <v>135</v>
      </c>
      <c r="E321" s="397">
        <f t="shared" si="5"/>
        <v>236372175</v>
      </c>
      <c r="F321" s="398" t="s">
        <v>805</v>
      </c>
      <c r="G321" s="398" t="s">
        <v>216</v>
      </c>
      <c r="H321" s="398" t="s">
        <v>156</v>
      </c>
      <c r="I321" s="398" t="s">
        <v>156</v>
      </c>
    </row>
    <row r="322" spans="1:9" x14ac:dyDescent="0.35">
      <c r="A322" s="395" t="s">
        <v>806</v>
      </c>
      <c r="B322" s="396" t="s">
        <v>146</v>
      </c>
      <c r="C322" s="395" t="s">
        <v>147</v>
      </c>
      <c r="D322" s="395">
        <v>135</v>
      </c>
      <c r="E322" s="397">
        <f t="shared" si="5"/>
        <v>236372175</v>
      </c>
      <c r="F322" s="398" t="s">
        <v>807</v>
      </c>
      <c r="G322" s="398" t="s">
        <v>185</v>
      </c>
      <c r="H322" s="398" t="s">
        <v>156</v>
      </c>
      <c r="I322" s="398" t="s">
        <v>156</v>
      </c>
    </row>
    <row r="323" spans="1:9" x14ac:dyDescent="0.35">
      <c r="A323" s="395" t="s">
        <v>808</v>
      </c>
      <c r="B323" s="396" t="s">
        <v>146</v>
      </c>
      <c r="C323" s="395" t="s">
        <v>147</v>
      </c>
      <c r="D323" s="395">
        <v>135</v>
      </c>
      <c r="E323" s="397">
        <f t="shared" ref="E323:E386" si="6">D323*$S$2</f>
        <v>236372175</v>
      </c>
      <c r="F323" s="398" t="s">
        <v>809</v>
      </c>
      <c r="G323" s="398" t="s">
        <v>216</v>
      </c>
      <c r="H323" s="398" t="s">
        <v>156</v>
      </c>
      <c r="I323" s="398" t="s">
        <v>156</v>
      </c>
    </row>
    <row r="324" spans="1:9" x14ac:dyDescent="0.35">
      <c r="A324" s="395" t="s">
        <v>810</v>
      </c>
      <c r="B324" s="396" t="s">
        <v>146</v>
      </c>
      <c r="C324" s="395" t="s">
        <v>147</v>
      </c>
      <c r="D324" s="395">
        <v>135</v>
      </c>
      <c r="E324" s="397">
        <f t="shared" si="6"/>
        <v>236372175</v>
      </c>
      <c r="F324" s="398" t="s">
        <v>811</v>
      </c>
      <c r="G324" s="398" t="s">
        <v>466</v>
      </c>
      <c r="H324" s="398" t="s">
        <v>156</v>
      </c>
      <c r="I324" s="398" t="s">
        <v>156</v>
      </c>
    </row>
    <row r="325" spans="1:9" x14ac:dyDescent="0.35">
      <c r="A325" s="395" t="s">
        <v>812</v>
      </c>
      <c r="B325" s="396" t="s">
        <v>146</v>
      </c>
      <c r="C325" s="395" t="s">
        <v>147</v>
      </c>
      <c r="D325" s="395">
        <v>135</v>
      </c>
      <c r="E325" s="397">
        <f t="shared" si="6"/>
        <v>236372175</v>
      </c>
      <c r="F325" s="398" t="s">
        <v>813</v>
      </c>
      <c r="G325" s="398" t="s">
        <v>424</v>
      </c>
      <c r="H325" s="398" t="s">
        <v>156</v>
      </c>
      <c r="I325" s="398" t="s">
        <v>156</v>
      </c>
    </row>
    <row r="326" spans="1:9" x14ac:dyDescent="0.35">
      <c r="A326" s="395" t="s">
        <v>814</v>
      </c>
      <c r="B326" s="396" t="s">
        <v>146</v>
      </c>
      <c r="C326" s="395" t="s">
        <v>147</v>
      </c>
      <c r="D326" s="395">
        <v>135</v>
      </c>
      <c r="E326" s="397">
        <f t="shared" si="6"/>
        <v>236372175</v>
      </c>
      <c r="F326" s="398" t="s">
        <v>815</v>
      </c>
      <c r="G326" s="398" t="s">
        <v>178</v>
      </c>
      <c r="H326" s="398" t="s">
        <v>156</v>
      </c>
      <c r="I326" s="398" t="s">
        <v>156</v>
      </c>
    </row>
    <row r="327" spans="1:9" x14ac:dyDescent="0.35">
      <c r="A327" s="395" t="s">
        <v>816</v>
      </c>
      <c r="B327" s="396" t="s">
        <v>146</v>
      </c>
      <c r="C327" s="395" t="s">
        <v>147</v>
      </c>
      <c r="D327" s="395">
        <v>135</v>
      </c>
      <c r="E327" s="397">
        <f t="shared" si="6"/>
        <v>236372175</v>
      </c>
      <c r="F327" s="398" t="s">
        <v>817</v>
      </c>
      <c r="G327" s="398" t="s">
        <v>200</v>
      </c>
      <c r="H327" s="398" t="s">
        <v>156</v>
      </c>
      <c r="I327" s="398" t="s">
        <v>156</v>
      </c>
    </row>
    <row r="328" spans="1:9" x14ac:dyDescent="0.35">
      <c r="A328" s="395" t="s">
        <v>818</v>
      </c>
      <c r="B328" s="396" t="s">
        <v>146</v>
      </c>
      <c r="C328" s="395" t="s">
        <v>147</v>
      </c>
      <c r="D328" s="395">
        <v>135</v>
      </c>
      <c r="E328" s="397">
        <f t="shared" si="6"/>
        <v>236372175</v>
      </c>
      <c r="F328" s="398" t="s">
        <v>819</v>
      </c>
      <c r="G328" s="398" t="s">
        <v>149</v>
      </c>
      <c r="H328" s="398" t="s">
        <v>156</v>
      </c>
      <c r="I328" s="398" t="s">
        <v>156</v>
      </c>
    </row>
    <row r="329" spans="1:9" x14ac:dyDescent="0.35">
      <c r="A329" s="395" t="s">
        <v>820</v>
      </c>
      <c r="B329" s="396" t="s">
        <v>146</v>
      </c>
      <c r="C329" s="395" t="s">
        <v>147</v>
      </c>
      <c r="D329" s="395">
        <v>135</v>
      </c>
      <c r="E329" s="397">
        <f t="shared" si="6"/>
        <v>236372175</v>
      </c>
      <c r="F329" s="398" t="s">
        <v>821</v>
      </c>
      <c r="G329" s="398" t="s">
        <v>200</v>
      </c>
      <c r="H329" s="398" t="s">
        <v>156</v>
      </c>
      <c r="I329" s="398" t="s">
        <v>156</v>
      </c>
    </row>
    <row r="330" spans="1:9" x14ac:dyDescent="0.35">
      <c r="A330" s="395" t="s">
        <v>822</v>
      </c>
      <c r="B330" s="396" t="s">
        <v>146</v>
      </c>
      <c r="C330" s="395" t="s">
        <v>147</v>
      </c>
      <c r="D330" s="395">
        <v>135</v>
      </c>
      <c r="E330" s="397">
        <f t="shared" si="6"/>
        <v>236372175</v>
      </c>
      <c r="F330" s="398" t="s">
        <v>823</v>
      </c>
      <c r="G330" s="398" t="s">
        <v>221</v>
      </c>
      <c r="H330" s="398" t="s">
        <v>156</v>
      </c>
      <c r="I330" s="398" t="s">
        <v>156</v>
      </c>
    </row>
    <row r="331" spans="1:9" x14ac:dyDescent="0.35">
      <c r="A331" s="395" t="s">
        <v>824</v>
      </c>
      <c r="B331" s="396" t="s">
        <v>146</v>
      </c>
      <c r="C331" s="395" t="s">
        <v>147</v>
      </c>
      <c r="D331" s="395">
        <v>135</v>
      </c>
      <c r="E331" s="397">
        <f t="shared" si="6"/>
        <v>236372175</v>
      </c>
      <c r="F331" s="398" t="s">
        <v>823</v>
      </c>
      <c r="G331" s="398" t="s">
        <v>200</v>
      </c>
      <c r="H331" s="398" t="s">
        <v>156</v>
      </c>
      <c r="I331" s="398" t="s">
        <v>156</v>
      </c>
    </row>
    <row r="332" spans="1:9" x14ac:dyDescent="0.35">
      <c r="A332" s="395" t="s">
        <v>825</v>
      </c>
      <c r="B332" s="396" t="s">
        <v>146</v>
      </c>
      <c r="C332" s="395" t="s">
        <v>147</v>
      </c>
      <c r="D332" s="395">
        <v>135</v>
      </c>
      <c r="E332" s="397">
        <f t="shared" si="6"/>
        <v>236372175</v>
      </c>
      <c r="F332" s="398" t="s">
        <v>826</v>
      </c>
      <c r="G332" s="398" t="s">
        <v>155</v>
      </c>
      <c r="H332" s="398" t="s">
        <v>156</v>
      </c>
      <c r="I332" s="398" t="s">
        <v>156</v>
      </c>
    </row>
    <row r="333" spans="1:9" x14ac:dyDescent="0.35">
      <c r="A333" s="395" t="s">
        <v>827</v>
      </c>
      <c r="B333" s="396" t="s">
        <v>160</v>
      </c>
      <c r="C333" s="395" t="s">
        <v>147</v>
      </c>
      <c r="D333" s="395">
        <v>135</v>
      </c>
      <c r="E333" s="397">
        <f t="shared" si="6"/>
        <v>236372175</v>
      </c>
      <c r="F333" s="398" t="s">
        <v>828</v>
      </c>
      <c r="G333" s="398" t="s">
        <v>155</v>
      </c>
      <c r="H333" s="398" t="s">
        <v>150</v>
      </c>
      <c r="I333" s="398" t="s">
        <v>192</v>
      </c>
    </row>
    <row r="334" spans="1:9" x14ac:dyDescent="0.35">
      <c r="A334" s="395" t="s">
        <v>829</v>
      </c>
      <c r="B334" s="396" t="s">
        <v>146</v>
      </c>
      <c r="C334" s="395" t="s">
        <v>147</v>
      </c>
      <c r="D334" s="395">
        <v>135</v>
      </c>
      <c r="E334" s="397">
        <f t="shared" si="6"/>
        <v>236372175</v>
      </c>
      <c r="F334" s="398" t="s">
        <v>830</v>
      </c>
      <c r="G334" s="398" t="s">
        <v>170</v>
      </c>
      <c r="H334" s="398" t="s">
        <v>156</v>
      </c>
      <c r="I334" s="398" t="s">
        <v>156</v>
      </c>
    </row>
    <row r="335" spans="1:9" x14ac:dyDescent="0.35">
      <c r="A335" s="395" t="s">
        <v>831</v>
      </c>
      <c r="B335" s="396" t="s">
        <v>146</v>
      </c>
      <c r="C335" s="395" t="s">
        <v>147</v>
      </c>
      <c r="D335" s="395">
        <v>135</v>
      </c>
      <c r="E335" s="397">
        <f t="shared" si="6"/>
        <v>236372175</v>
      </c>
      <c r="F335" s="398" t="s">
        <v>832</v>
      </c>
      <c r="G335" s="398" t="s">
        <v>185</v>
      </c>
      <c r="H335" s="398" t="s">
        <v>156</v>
      </c>
      <c r="I335" s="398" t="s">
        <v>156</v>
      </c>
    </row>
    <row r="336" spans="1:9" x14ac:dyDescent="0.35">
      <c r="A336" s="395" t="s">
        <v>833</v>
      </c>
      <c r="B336" s="396" t="s">
        <v>146</v>
      </c>
      <c r="C336" s="395" t="s">
        <v>147</v>
      </c>
      <c r="D336" s="395">
        <v>135</v>
      </c>
      <c r="E336" s="397">
        <f t="shared" si="6"/>
        <v>236372175</v>
      </c>
      <c r="F336" s="398" t="s">
        <v>834</v>
      </c>
      <c r="G336" s="398" t="s">
        <v>185</v>
      </c>
      <c r="H336" s="398" t="s">
        <v>156</v>
      </c>
      <c r="I336" s="398" t="s">
        <v>156</v>
      </c>
    </row>
    <row r="337" spans="1:9" x14ac:dyDescent="0.35">
      <c r="A337" s="395" t="s">
        <v>835</v>
      </c>
      <c r="B337" s="396" t="s">
        <v>146</v>
      </c>
      <c r="C337" s="395" t="s">
        <v>147</v>
      </c>
      <c r="D337" s="395">
        <v>135</v>
      </c>
      <c r="E337" s="397">
        <f t="shared" si="6"/>
        <v>236372175</v>
      </c>
      <c r="F337" s="398" t="s">
        <v>836</v>
      </c>
      <c r="G337" s="398" t="s">
        <v>149</v>
      </c>
      <c r="H337" s="398" t="s">
        <v>156</v>
      </c>
      <c r="I337" s="398" t="s">
        <v>156</v>
      </c>
    </row>
    <row r="338" spans="1:9" x14ac:dyDescent="0.35">
      <c r="A338" s="395" t="s">
        <v>837</v>
      </c>
      <c r="B338" s="396" t="s">
        <v>160</v>
      </c>
      <c r="C338" s="395" t="s">
        <v>358</v>
      </c>
      <c r="D338" s="395">
        <v>150</v>
      </c>
      <c r="E338" s="397">
        <f t="shared" si="6"/>
        <v>262635750</v>
      </c>
      <c r="F338" s="398" t="s">
        <v>838</v>
      </c>
      <c r="G338" s="398" t="s">
        <v>149</v>
      </c>
      <c r="H338" s="398" t="s">
        <v>163</v>
      </c>
      <c r="I338" s="398" t="s">
        <v>151</v>
      </c>
    </row>
    <row r="339" spans="1:9" x14ac:dyDescent="0.35">
      <c r="A339" s="395" t="s">
        <v>839</v>
      </c>
      <c r="B339" s="396" t="s">
        <v>146</v>
      </c>
      <c r="C339" s="395" t="s">
        <v>147</v>
      </c>
      <c r="D339" s="395">
        <v>135</v>
      </c>
      <c r="E339" s="397">
        <f t="shared" si="6"/>
        <v>236372175</v>
      </c>
      <c r="F339" s="398" t="s">
        <v>840</v>
      </c>
      <c r="G339" s="398" t="s">
        <v>227</v>
      </c>
      <c r="H339" s="398" t="s">
        <v>150</v>
      </c>
      <c r="I339" s="398" t="s">
        <v>164</v>
      </c>
    </row>
    <row r="340" spans="1:9" x14ac:dyDescent="0.35">
      <c r="A340" s="395" t="s">
        <v>841</v>
      </c>
      <c r="B340" s="396" t="s">
        <v>160</v>
      </c>
      <c r="C340" s="395" t="s">
        <v>358</v>
      </c>
      <c r="D340" s="395">
        <v>150</v>
      </c>
      <c r="E340" s="397">
        <f t="shared" si="6"/>
        <v>262635750</v>
      </c>
      <c r="F340" s="398" t="s">
        <v>842</v>
      </c>
      <c r="G340" s="398" t="s">
        <v>178</v>
      </c>
      <c r="H340" s="398" t="s">
        <v>163</v>
      </c>
      <c r="I340" s="398" t="s">
        <v>164</v>
      </c>
    </row>
    <row r="341" spans="1:9" x14ac:dyDescent="0.35">
      <c r="A341" s="395" t="s">
        <v>843</v>
      </c>
      <c r="B341" s="396" t="s">
        <v>146</v>
      </c>
      <c r="C341" s="395" t="s">
        <v>147</v>
      </c>
      <c r="D341" s="395">
        <v>135</v>
      </c>
      <c r="E341" s="397">
        <f t="shared" si="6"/>
        <v>236372175</v>
      </c>
      <c r="F341" s="398" t="s">
        <v>844</v>
      </c>
      <c r="G341" s="398" t="s">
        <v>227</v>
      </c>
      <c r="H341" s="398" t="s">
        <v>156</v>
      </c>
      <c r="I341" s="398" t="s">
        <v>156</v>
      </c>
    </row>
    <row r="342" spans="1:9" x14ac:dyDescent="0.35">
      <c r="A342" s="395" t="s">
        <v>845</v>
      </c>
      <c r="B342" s="396" t="s">
        <v>146</v>
      </c>
      <c r="C342" s="395" t="s">
        <v>147</v>
      </c>
      <c r="D342" s="395">
        <v>135</v>
      </c>
      <c r="E342" s="397">
        <f t="shared" si="6"/>
        <v>236372175</v>
      </c>
      <c r="F342" s="398" t="s">
        <v>846</v>
      </c>
      <c r="G342" s="398" t="s">
        <v>188</v>
      </c>
      <c r="H342" s="398" t="s">
        <v>156</v>
      </c>
      <c r="I342" s="398" t="s">
        <v>156</v>
      </c>
    </row>
    <row r="343" spans="1:9" x14ac:dyDescent="0.35">
      <c r="A343" s="395" t="s">
        <v>847</v>
      </c>
      <c r="B343" s="396" t="s">
        <v>146</v>
      </c>
      <c r="C343" s="395" t="s">
        <v>147</v>
      </c>
      <c r="D343" s="395">
        <v>135</v>
      </c>
      <c r="E343" s="397">
        <f t="shared" si="6"/>
        <v>236372175</v>
      </c>
      <c r="F343" s="398" t="s">
        <v>848</v>
      </c>
      <c r="G343" s="398" t="s">
        <v>311</v>
      </c>
      <c r="H343" s="398" t="s">
        <v>156</v>
      </c>
      <c r="I343" s="398" t="s">
        <v>156</v>
      </c>
    </row>
    <row r="344" spans="1:9" x14ac:dyDescent="0.35">
      <c r="A344" s="395" t="s">
        <v>849</v>
      </c>
      <c r="B344" s="396" t="s">
        <v>146</v>
      </c>
      <c r="C344" s="395" t="s">
        <v>147</v>
      </c>
      <c r="D344" s="395">
        <v>135</v>
      </c>
      <c r="E344" s="397">
        <f t="shared" si="6"/>
        <v>236372175</v>
      </c>
      <c r="F344" s="398" t="s">
        <v>850</v>
      </c>
      <c r="G344" s="398" t="s">
        <v>224</v>
      </c>
      <c r="H344" s="398" t="s">
        <v>156</v>
      </c>
      <c r="I344" s="398" t="s">
        <v>156</v>
      </c>
    </row>
    <row r="345" spans="1:9" x14ac:dyDescent="0.35">
      <c r="A345" s="395" t="s">
        <v>851</v>
      </c>
      <c r="B345" s="396" t="s">
        <v>146</v>
      </c>
      <c r="C345" s="395" t="s">
        <v>147</v>
      </c>
      <c r="D345" s="395">
        <v>135</v>
      </c>
      <c r="E345" s="397">
        <f t="shared" si="6"/>
        <v>236372175</v>
      </c>
      <c r="F345" s="398" t="s">
        <v>852</v>
      </c>
      <c r="G345" s="398" t="s">
        <v>227</v>
      </c>
      <c r="H345" s="398" t="s">
        <v>150</v>
      </c>
      <c r="I345" s="398" t="s">
        <v>164</v>
      </c>
    </row>
    <row r="346" spans="1:9" x14ac:dyDescent="0.35">
      <c r="A346" s="395" t="s">
        <v>853</v>
      </c>
      <c r="B346" s="396" t="s">
        <v>160</v>
      </c>
      <c r="C346" s="395" t="s">
        <v>147</v>
      </c>
      <c r="D346" s="395">
        <v>135</v>
      </c>
      <c r="E346" s="397">
        <f t="shared" si="6"/>
        <v>236372175</v>
      </c>
      <c r="F346" s="398" t="s">
        <v>854</v>
      </c>
      <c r="G346" s="398" t="s">
        <v>203</v>
      </c>
      <c r="H346" s="398" t="s">
        <v>163</v>
      </c>
      <c r="I346" s="398" t="s">
        <v>164</v>
      </c>
    </row>
    <row r="347" spans="1:9" x14ac:dyDescent="0.35">
      <c r="A347" s="395" t="s">
        <v>855</v>
      </c>
      <c r="B347" s="396" t="s">
        <v>146</v>
      </c>
      <c r="C347" s="395" t="s">
        <v>147</v>
      </c>
      <c r="D347" s="395">
        <v>135</v>
      </c>
      <c r="E347" s="397">
        <f t="shared" si="6"/>
        <v>236372175</v>
      </c>
      <c r="F347" s="398" t="s">
        <v>854</v>
      </c>
      <c r="G347" s="398" t="s">
        <v>221</v>
      </c>
      <c r="H347" s="398" t="s">
        <v>156</v>
      </c>
      <c r="I347" s="398" t="s">
        <v>156</v>
      </c>
    </row>
    <row r="348" spans="1:9" x14ac:dyDescent="0.35">
      <c r="A348" s="395" t="s">
        <v>856</v>
      </c>
      <c r="B348" s="396" t="s">
        <v>146</v>
      </c>
      <c r="C348" s="395" t="s">
        <v>147</v>
      </c>
      <c r="D348" s="395">
        <v>135</v>
      </c>
      <c r="E348" s="397">
        <f t="shared" si="6"/>
        <v>236372175</v>
      </c>
      <c r="F348" s="398" t="s">
        <v>857</v>
      </c>
      <c r="G348" s="398" t="s">
        <v>224</v>
      </c>
      <c r="H348" s="398" t="s">
        <v>156</v>
      </c>
      <c r="I348" s="398" t="s">
        <v>156</v>
      </c>
    </row>
    <row r="349" spans="1:9" x14ac:dyDescent="0.35">
      <c r="A349" s="395" t="s">
        <v>858</v>
      </c>
      <c r="B349" s="396" t="s">
        <v>146</v>
      </c>
      <c r="C349" s="395" t="s">
        <v>147</v>
      </c>
      <c r="D349" s="395">
        <v>135</v>
      </c>
      <c r="E349" s="397">
        <f t="shared" si="6"/>
        <v>236372175</v>
      </c>
      <c r="F349" s="398" t="s">
        <v>859</v>
      </c>
      <c r="G349" s="398" t="s">
        <v>185</v>
      </c>
      <c r="H349" s="398" t="s">
        <v>156</v>
      </c>
      <c r="I349" s="398" t="s">
        <v>156</v>
      </c>
    </row>
    <row r="350" spans="1:9" x14ac:dyDescent="0.35">
      <c r="A350" s="395" t="s">
        <v>860</v>
      </c>
      <c r="B350" s="396" t="s">
        <v>146</v>
      </c>
      <c r="C350" s="395" t="s">
        <v>147</v>
      </c>
      <c r="D350" s="395">
        <v>135</v>
      </c>
      <c r="E350" s="397">
        <f t="shared" si="6"/>
        <v>236372175</v>
      </c>
      <c r="F350" s="398" t="s">
        <v>861</v>
      </c>
      <c r="G350" s="398" t="s">
        <v>209</v>
      </c>
      <c r="H350" s="398" t="s">
        <v>150</v>
      </c>
      <c r="I350" s="398" t="s">
        <v>249</v>
      </c>
    </row>
    <row r="351" spans="1:9" x14ac:dyDescent="0.35">
      <c r="A351" s="395" t="s">
        <v>862</v>
      </c>
      <c r="B351" s="396" t="s">
        <v>160</v>
      </c>
      <c r="C351" s="395" t="s">
        <v>358</v>
      </c>
      <c r="D351" s="395">
        <v>150</v>
      </c>
      <c r="E351" s="397">
        <f t="shared" si="6"/>
        <v>262635750</v>
      </c>
      <c r="F351" s="398" t="s">
        <v>863</v>
      </c>
      <c r="G351" s="398" t="s">
        <v>185</v>
      </c>
      <c r="H351" s="398" t="s">
        <v>163</v>
      </c>
      <c r="I351" s="398" t="s">
        <v>192</v>
      </c>
    </row>
    <row r="352" spans="1:9" x14ac:dyDescent="0.35">
      <c r="A352" s="395" t="s">
        <v>864</v>
      </c>
      <c r="B352" s="396" t="s">
        <v>146</v>
      </c>
      <c r="C352" s="395" t="s">
        <v>147</v>
      </c>
      <c r="D352" s="395">
        <v>135</v>
      </c>
      <c r="E352" s="397">
        <f t="shared" si="6"/>
        <v>236372175</v>
      </c>
      <c r="F352" s="398" t="s">
        <v>865</v>
      </c>
      <c r="G352" s="398" t="s">
        <v>178</v>
      </c>
      <c r="H352" s="398" t="s">
        <v>156</v>
      </c>
      <c r="I352" s="398" t="s">
        <v>156</v>
      </c>
    </row>
    <row r="353" spans="1:9" x14ac:dyDescent="0.35">
      <c r="A353" s="395" t="s">
        <v>866</v>
      </c>
      <c r="B353" s="396" t="s">
        <v>146</v>
      </c>
      <c r="C353" s="395" t="s">
        <v>147</v>
      </c>
      <c r="D353" s="395">
        <v>135</v>
      </c>
      <c r="E353" s="397">
        <f t="shared" si="6"/>
        <v>236372175</v>
      </c>
      <c r="F353" s="398" t="s">
        <v>867</v>
      </c>
      <c r="G353" s="398" t="s">
        <v>205</v>
      </c>
      <c r="H353" s="398" t="s">
        <v>240</v>
      </c>
      <c r="I353" s="398" t="s">
        <v>182</v>
      </c>
    </row>
    <row r="354" spans="1:9" x14ac:dyDescent="0.35">
      <c r="A354" s="395" t="s">
        <v>868</v>
      </c>
      <c r="B354" s="396" t="s">
        <v>146</v>
      </c>
      <c r="C354" s="395" t="s">
        <v>147</v>
      </c>
      <c r="D354" s="395">
        <v>135</v>
      </c>
      <c r="E354" s="397">
        <f t="shared" si="6"/>
        <v>236372175</v>
      </c>
      <c r="F354" s="398" t="s">
        <v>869</v>
      </c>
      <c r="G354" s="398" t="s">
        <v>285</v>
      </c>
      <c r="H354" s="398" t="s">
        <v>156</v>
      </c>
      <c r="I354" s="398" t="s">
        <v>156</v>
      </c>
    </row>
    <row r="355" spans="1:9" x14ac:dyDescent="0.35">
      <c r="A355" s="395" t="s">
        <v>870</v>
      </c>
      <c r="B355" s="396" t="s">
        <v>146</v>
      </c>
      <c r="C355" s="395" t="s">
        <v>147</v>
      </c>
      <c r="D355" s="395">
        <v>135</v>
      </c>
      <c r="E355" s="397">
        <f t="shared" si="6"/>
        <v>236372175</v>
      </c>
      <c r="F355" s="398" t="s">
        <v>871</v>
      </c>
      <c r="G355" s="398" t="s">
        <v>178</v>
      </c>
      <c r="H355" s="398" t="s">
        <v>156</v>
      </c>
      <c r="I355" s="398" t="s">
        <v>156</v>
      </c>
    </row>
    <row r="356" spans="1:9" x14ac:dyDescent="0.35">
      <c r="A356" s="395" t="s">
        <v>872</v>
      </c>
      <c r="B356" s="396" t="s">
        <v>146</v>
      </c>
      <c r="C356" s="395" t="s">
        <v>147</v>
      </c>
      <c r="D356" s="395">
        <v>135</v>
      </c>
      <c r="E356" s="397">
        <f t="shared" si="6"/>
        <v>236372175</v>
      </c>
      <c r="F356" s="398" t="s">
        <v>873</v>
      </c>
      <c r="G356" s="398" t="s">
        <v>200</v>
      </c>
      <c r="H356" s="398" t="s">
        <v>156</v>
      </c>
      <c r="I356" s="398" t="s">
        <v>156</v>
      </c>
    </row>
    <row r="357" spans="1:9" x14ac:dyDescent="0.35">
      <c r="A357" s="395" t="s">
        <v>874</v>
      </c>
      <c r="B357" s="396" t="s">
        <v>146</v>
      </c>
      <c r="C357" s="395" t="s">
        <v>147</v>
      </c>
      <c r="D357" s="395">
        <v>135</v>
      </c>
      <c r="E357" s="397">
        <f t="shared" si="6"/>
        <v>236372175</v>
      </c>
      <c r="F357" s="398" t="s">
        <v>875</v>
      </c>
      <c r="G357" s="398" t="s">
        <v>149</v>
      </c>
      <c r="H357" s="398" t="s">
        <v>156</v>
      </c>
      <c r="I357" s="398" t="s">
        <v>156</v>
      </c>
    </row>
    <row r="358" spans="1:9" x14ac:dyDescent="0.35">
      <c r="A358" s="395" t="s">
        <v>876</v>
      </c>
      <c r="B358" s="396" t="s">
        <v>146</v>
      </c>
      <c r="C358" s="395" t="s">
        <v>147</v>
      </c>
      <c r="D358" s="395">
        <v>135</v>
      </c>
      <c r="E358" s="397">
        <f t="shared" si="6"/>
        <v>236372175</v>
      </c>
      <c r="F358" s="398" t="s">
        <v>877</v>
      </c>
      <c r="G358" s="398" t="s">
        <v>227</v>
      </c>
      <c r="H358" s="398" t="s">
        <v>150</v>
      </c>
      <c r="I358" s="398" t="s">
        <v>164</v>
      </c>
    </row>
    <row r="359" spans="1:9" x14ac:dyDescent="0.35">
      <c r="A359" s="395" t="s">
        <v>878</v>
      </c>
      <c r="B359" s="396" t="s">
        <v>146</v>
      </c>
      <c r="C359" s="395" t="s">
        <v>147</v>
      </c>
      <c r="D359" s="395">
        <v>135</v>
      </c>
      <c r="E359" s="397">
        <f t="shared" si="6"/>
        <v>236372175</v>
      </c>
      <c r="F359" s="398" t="s">
        <v>879</v>
      </c>
      <c r="G359" s="398" t="s">
        <v>149</v>
      </c>
      <c r="H359" s="398" t="s">
        <v>240</v>
      </c>
      <c r="I359" s="398" t="s">
        <v>151</v>
      </c>
    </row>
    <row r="360" spans="1:9" x14ac:dyDescent="0.35">
      <c r="A360" s="395" t="s">
        <v>880</v>
      </c>
      <c r="B360" s="396" t="s">
        <v>146</v>
      </c>
      <c r="C360" s="395" t="s">
        <v>147</v>
      </c>
      <c r="D360" s="395">
        <v>135</v>
      </c>
      <c r="E360" s="397">
        <f t="shared" si="6"/>
        <v>236372175</v>
      </c>
      <c r="F360" s="398" t="s">
        <v>881</v>
      </c>
      <c r="G360" s="398" t="s">
        <v>162</v>
      </c>
      <c r="H360" s="398" t="s">
        <v>156</v>
      </c>
      <c r="I360" s="398" t="s">
        <v>156</v>
      </c>
    </row>
    <row r="361" spans="1:9" x14ac:dyDescent="0.35">
      <c r="A361" s="395" t="s">
        <v>882</v>
      </c>
      <c r="B361" s="396" t="s">
        <v>146</v>
      </c>
      <c r="C361" s="395" t="s">
        <v>147</v>
      </c>
      <c r="D361" s="395">
        <v>135</v>
      </c>
      <c r="E361" s="397">
        <f t="shared" si="6"/>
        <v>236372175</v>
      </c>
      <c r="F361" s="398" t="s">
        <v>883</v>
      </c>
      <c r="G361" s="398" t="s">
        <v>216</v>
      </c>
      <c r="H361" s="398" t="s">
        <v>240</v>
      </c>
      <c r="I361" s="398" t="s">
        <v>182</v>
      </c>
    </row>
    <row r="362" spans="1:9" x14ac:dyDescent="0.35">
      <c r="A362" s="395" t="s">
        <v>884</v>
      </c>
      <c r="B362" s="396" t="s">
        <v>146</v>
      </c>
      <c r="C362" s="395" t="s">
        <v>147</v>
      </c>
      <c r="D362" s="395">
        <v>135</v>
      </c>
      <c r="E362" s="397">
        <f t="shared" si="6"/>
        <v>236372175</v>
      </c>
      <c r="F362" s="398" t="s">
        <v>885</v>
      </c>
      <c r="G362" s="398" t="s">
        <v>200</v>
      </c>
      <c r="H362" s="398" t="s">
        <v>156</v>
      </c>
      <c r="I362" s="398" t="s">
        <v>156</v>
      </c>
    </row>
    <row r="363" spans="1:9" x14ac:dyDescent="0.35">
      <c r="A363" s="395" t="s">
        <v>886</v>
      </c>
      <c r="B363" s="396" t="s">
        <v>160</v>
      </c>
      <c r="C363" s="395" t="s">
        <v>358</v>
      </c>
      <c r="D363" s="395">
        <v>150</v>
      </c>
      <c r="E363" s="397">
        <f t="shared" si="6"/>
        <v>262635750</v>
      </c>
      <c r="F363" s="398" t="s">
        <v>887</v>
      </c>
      <c r="G363" s="398" t="s">
        <v>178</v>
      </c>
      <c r="H363" s="398" t="s">
        <v>462</v>
      </c>
      <c r="I363" s="398" t="s">
        <v>164</v>
      </c>
    </row>
    <row r="364" spans="1:9" x14ac:dyDescent="0.35">
      <c r="A364" s="395" t="s">
        <v>888</v>
      </c>
      <c r="B364" s="396" t="s">
        <v>146</v>
      </c>
      <c r="C364" s="395" t="s">
        <v>147</v>
      </c>
      <c r="D364" s="395">
        <v>135</v>
      </c>
      <c r="E364" s="397">
        <f t="shared" si="6"/>
        <v>236372175</v>
      </c>
      <c r="F364" s="398" t="s">
        <v>889</v>
      </c>
      <c r="G364" s="398" t="s">
        <v>178</v>
      </c>
      <c r="H364" s="398" t="s">
        <v>156</v>
      </c>
      <c r="I364" s="398" t="s">
        <v>156</v>
      </c>
    </row>
    <row r="365" spans="1:9" x14ac:dyDescent="0.35">
      <c r="A365" s="395" t="s">
        <v>890</v>
      </c>
      <c r="B365" s="396" t="s">
        <v>146</v>
      </c>
      <c r="C365" s="395" t="s">
        <v>147</v>
      </c>
      <c r="D365" s="395">
        <v>135</v>
      </c>
      <c r="E365" s="397">
        <f t="shared" si="6"/>
        <v>236372175</v>
      </c>
      <c r="F365" s="398" t="s">
        <v>891</v>
      </c>
      <c r="G365" s="398" t="s">
        <v>178</v>
      </c>
      <c r="H365" s="398" t="s">
        <v>163</v>
      </c>
      <c r="I365" s="398" t="s">
        <v>164</v>
      </c>
    </row>
    <row r="366" spans="1:9" x14ac:dyDescent="0.35">
      <c r="A366" s="395" t="s">
        <v>892</v>
      </c>
      <c r="B366" s="396" t="s">
        <v>146</v>
      </c>
      <c r="C366" s="395" t="s">
        <v>147</v>
      </c>
      <c r="D366" s="395">
        <v>135</v>
      </c>
      <c r="E366" s="397">
        <f t="shared" si="6"/>
        <v>236372175</v>
      </c>
      <c r="F366" s="398" t="s">
        <v>893</v>
      </c>
      <c r="G366" s="398" t="s">
        <v>178</v>
      </c>
      <c r="H366" s="398" t="s">
        <v>156</v>
      </c>
      <c r="I366" s="398" t="s">
        <v>156</v>
      </c>
    </row>
    <row r="367" spans="1:9" x14ac:dyDescent="0.35">
      <c r="A367" s="395" t="s">
        <v>894</v>
      </c>
      <c r="B367" s="396" t="s">
        <v>146</v>
      </c>
      <c r="C367" s="395" t="s">
        <v>147</v>
      </c>
      <c r="D367" s="395">
        <v>135</v>
      </c>
      <c r="E367" s="397">
        <f t="shared" si="6"/>
        <v>236372175</v>
      </c>
      <c r="F367" s="398" t="s">
        <v>895</v>
      </c>
      <c r="G367" s="398" t="s">
        <v>178</v>
      </c>
      <c r="H367" s="398" t="s">
        <v>462</v>
      </c>
      <c r="I367" s="398" t="s">
        <v>164</v>
      </c>
    </row>
    <row r="368" spans="1:9" x14ac:dyDescent="0.35">
      <c r="A368" s="395" t="s">
        <v>896</v>
      </c>
      <c r="B368" s="396" t="s">
        <v>146</v>
      </c>
      <c r="C368" s="395" t="s">
        <v>147</v>
      </c>
      <c r="D368" s="395">
        <v>135</v>
      </c>
      <c r="E368" s="397">
        <f t="shared" si="6"/>
        <v>236372175</v>
      </c>
      <c r="F368" s="398" t="s">
        <v>897</v>
      </c>
      <c r="G368" s="398" t="s">
        <v>224</v>
      </c>
      <c r="H368" s="398" t="s">
        <v>156</v>
      </c>
      <c r="I368" s="398" t="s">
        <v>156</v>
      </c>
    </row>
    <row r="369" spans="1:9" x14ac:dyDescent="0.35">
      <c r="A369" s="395" t="s">
        <v>898</v>
      </c>
      <c r="B369" s="396" t="s">
        <v>146</v>
      </c>
      <c r="C369" s="395" t="s">
        <v>147</v>
      </c>
      <c r="D369" s="395">
        <v>135</v>
      </c>
      <c r="E369" s="397">
        <f t="shared" si="6"/>
        <v>236372175</v>
      </c>
      <c r="F369" s="398" t="s">
        <v>899</v>
      </c>
      <c r="G369" s="398" t="s">
        <v>178</v>
      </c>
      <c r="H369" s="398" t="s">
        <v>462</v>
      </c>
      <c r="I369" s="398" t="s">
        <v>164</v>
      </c>
    </row>
    <row r="370" spans="1:9" x14ac:dyDescent="0.35">
      <c r="A370" s="395" t="s">
        <v>900</v>
      </c>
      <c r="B370" s="396" t="s">
        <v>146</v>
      </c>
      <c r="C370" s="395" t="s">
        <v>147</v>
      </c>
      <c r="D370" s="395">
        <v>135</v>
      </c>
      <c r="E370" s="397">
        <f t="shared" si="6"/>
        <v>236372175</v>
      </c>
      <c r="F370" s="398" t="s">
        <v>901</v>
      </c>
      <c r="G370" s="398" t="s">
        <v>185</v>
      </c>
      <c r="H370" s="398" t="s">
        <v>156</v>
      </c>
      <c r="I370" s="398" t="s">
        <v>156</v>
      </c>
    </row>
    <row r="371" spans="1:9" x14ac:dyDescent="0.35">
      <c r="A371" s="395" t="s">
        <v>902</v>
      </c>
      <c r="B371" s="396" t="s">
        <v>146</v>
      </c>
      <c r="C371" s="395" t="s">
        <v>358</v>
      </c>
      <c r="D371" s="395">
        <v>150</v>
      </c>
      <c r="E371" s="397">
        <f t="shared" si="6"/>
        <v>262635750</v>
      </c>
      <c r="F371" s="398" t="s">
        <v>903</v>
      </c>
      <c r="G371" s="398" t="s">
        <v>336</v>
      </c>
      <c r="H371" s="398" t="s">
        <v>240</v>
      </c>
      <c r="I371" s="398" t="s">
        <v>182</v>
      </c>
    </row>
    <row r="372" spans="1:9" x14ac:dyDescent="0.35">
      <c r="A372" s="395" t="s">
        <v>904</v>
      </c>
      <c r="B372" s="396" t="s">
        <v>146</v>
      </c>
      <c r="C372" s="395" t="s">
        <v>147</v>
      </c>
      <c r="D372" s="395">
        <v>135</v>
      </c>
      <c r="E372" s="397">
        <f t="shared" si="6"/>
        <v>236372175</v>
      </c>
      <c r="F372" s="398" t="s">
        <v>905</v>
      </c>
      <c r="G372" s="398" t="s">
        <v>424</v>
      </c>
      <c r="H372" s="398" t="s">
        <v>156</v>
      </c>
      <c r="I372" s="398" t="s">
        <v>156</v>
      </c>
    </row>
    <row r="373" spans="1:9" x14ac:dyDescent="0.35">
      <c r="A373" s="395" t="s">
        <v>906</v>
      </c>
      <c r="B373" s="396" t="s">
        <v>146</v>
      </c>
      <c r="C373" s="395" t="s">
        <v>147</v>
      </c>
      <c r="D373" s="395">
        <v>135</v>
      </c>
      <c r="E373" s="397">
        <f t="shared" si="6"/>
        <v>236372175</v>
      </c>
      <c r="F373" s="398" t="s">
        <v>907</v>
      </c>
      <c r="G373" s="398" t="s">
        <v>178</v>
      </c>
      <c r="H373" s="398" t="s">
        <v>156</v>
      </c>
      <c r="I373" s="398" t="s">
        <v>156</v>
      </c>
    </row>
    <row r="374" spans="1:9" x14ac:dyDescent="0.35">
      <c r="A374" s="395" t="s">
        <v>908</v>
      </c>
      <c r="B374" s="396" t="s">
        <v>146</v>
      </c>
      <c r="C374" s="395" t="s">
        <v>147</v>
      </c>
      <c r="D374" s="395">
        <v>135</v>
      </c>
      <c r="E374" s="397">
        <f t="shared" si="6"/>
        <v>236372175</v>
      </c>
      <c r="F374" s="398" t="s">
        <v>909</v>
      </c>
      <c r="G374" s="398" t="s">
        <v>181</v>
      </c>
      <c r="H374" s="398" t="s">
        <v>156</v>
      </c>
      <c r="I374" s="398" t="s">
        <v>156</v>
      </c>
    </row>
    <row r="375" spans="1:9" x14ac:dyDescent="0.35">
      <c r="A375" s="395" t="s">
        <v>910</v>
      </c>
      <c r="B375" s="396" t="s">
        <v>146</v>
      </c>
      <c r="C375" s="395" t="s">
        <v>147</v>
      </c>
      <c r="D375" s="395">
        <v>135</v>
      </c>
      <c r="E375" s="397">
        <f t="shared" si="6"/>
        <v>236372175</v>
      </c>
      <c r="F375" s="398" t="s">
        <v>911</v>
      </c>
      <c r="G375" s="398" t="s">
        <v>185</v>
      </c>
      <c r="H375" s="398" t="s">
        <v>156</v>
      </c>
      <c r="I375" s="398" t="s">
        <v>156</v>
      </c>
    </row>
    <row r="376" spans="1:9" x14ac:dyDescent="0.35">
      <c r="A376" s="395" t="s">
        <v>912</v>
      </c>
      <c r="B376" s="396" t="s">
        <v>146</v>
      </c>
      <c r="C376" s="395" t="s">
        <v>147</v>
      </c>
      <c r="D376" s="395">
        <v>135</v>
      </c>
      <c r="E376" s="397">
        <f t="shared" si="6"/>
        <v>236372175</v>
      </c>
      <c r="F376" s="398" t="s">
        <v>913</v>
      </c>
      <c r="G376" s="398" t="s">
        <v>224</v>
      </c>
      <c r="H376" s="398" t="s">
        <v>156</v>
      </c>
      <c r="I376" s="398" t="s">
        <v>156</v>
      </c>
    </row>
    <row r="377" spans="1:9" x14ac:dyDescent="0.35">
      <c r="A377" s="395" t="s">
        <v>914</v>
      </c>
      <c r="B377" s="396" t="s">
        <v>146</v>
      </c>
      <c r="C377" s="395" t="s">
        <v>147</v>
      </c>
      <c r="D377" s="395">
        <v>135</v>
      </c>
      <c r="E377" s="397">
        <f t="shared" si="6"/>
        <v>236372175</v>
      </c>
      <c r="F377" s="398" t="s">
        <v>915</v>
      </c>
      <c r="G377" s="398" t="s">
        <v>224</v>
      </c>
      <c r="H377" s="398" t="s">
        <v>163</v>
      </c>
      <c r="I377" s="398" t="s">
        <v>192</v>
      </c>
    </row>
    <row r="378" spans="1:9" x14ac:dyDescent="0.35">
      <c r="A378" s="395" t="s">
        <v>916</v>
      </c>
      <c r="B378" s="396" t="s">
        <v>146</v>
      </c>
      <c r="C378" s="395" t="s">
        <v>147</v>
      </c>
      <c r="D378" s="395">
        <v>135</v>
      </c>
      <c r="E378" s="397">
        <f t="shared" si="6"/>
        <v>236372175</v>
      </c>
      <c r="F378" s="398" t="s">
        <v>917</v>
      </c>
      <c r="G378" s="398" t="s">
        <v>170</v>
      </c>
      <c r="H378" s="398" t="s">
        <v>150</v>
      </c>
      <c r="I378" s="398" t="s">
        <v>164</v>
      </c>
    </row>
    <row r="379" spans="1:9" x14ac:dyDescent="0.35">
      <c r="A379" s="395" t="s">
        <v>918</v>
      </c>
      <c r="B379" s="396" t="s">
        <v>146</v>
      </c>
      <c r="C379" s="395" t="s">
        <v>147</v>
      </c>
      <c r="D379" s="395">
        <v>135</v>
      </c>
      <c r="E379" s="397">
        <f t="shared" si="6"/>
        <v>236372175</v>
      </c>
      <c r="F379" s="398" t="s">
        <v>919</v>
      </c>
      <c r="G379" s="398" t="s">
        <v>311</v>
      </c>
      <c r="H379" s="398" t="s">
        <v>156</v>
      </c>
      <c r="I379" s="398" t="s">
        <v>156</v>
      </c>
    </row>
    <row r="380" spans="1:9" x14ac:dyDescent="0.35">
      <c r="A380" s="395" t="s">
        <v>920</v>
      </c>
      <c r="B380" s="396" t="s">
        <v>146</v>
      </c>
      <c r="C380" s="395" t="s">
        <v>147</v>
      </c>
      <c r="D380" s="395">
        <v>135</v>
      </c>
      <c r="E380" s="397">
        <f t="shared" si="6"/>
        <v>236372175</v>
      </c>
      <c r="F380" s="398" t="s">
        <v>921</v>
      </c>
      <c r="G380" s="398" t="s">
        <v>170</v>
      </c>
      <c r="H380" s="398" t="s">
        <v>150</v>
      </c>
      <c r="I380" s="398" t="s">
        <v>164</v>
      </c>
    </row>
    <row r="381" spans="1:9" x14ac:dyDescent="0.35">
      <c r="A381" s="395" t="s">
        <v>922</v>
      </c>
      <c r="B381" s="396" t="s">
        <v>146</v>
      </c>
      <c r="C381" s="395" t="s">
        <v>147</v>
      </c>
      <c r="D381" s="395">
        <v>135</v>
      </c>
      <c r="E381" s="397">
        <f t="shared" si="6"/>
        <v>236372175</v>
      </c>
      <c r="F381" s="398" t="s">
        <v>923</v>
      </c>
      <c r="G381" s="398" t="s">
        <v>209</v>
      </c>
      <c r="H381" s="398" t="s">
        <v>150</v>
      </c>
      <c r="I381" s="398" t="s">
        <v>249</v>
      </c>
    </row>
    <row r="382" spans="1:9" x14ac:dyDescent="0.35">
      <c r="A382" s="395" t="s">
        <v>924</v>
      </c>
      <c r="B382" s="396" t="s">
        <v>146</v>
      </c>
      <c r="C382" s="395" t="s">
        <v>147</v>
      </c>
      <c r="D382" s="395">
        <v>135</v>
      </c>
      <c r="E382" s="397">
        <f t="shared" si="6"/>
        <v>236372175</v>
      </c>
      <c r="F382" s="398" t="s">
        <v>925</v>
      </c>
      <c r="G382" s="398" t="s">
        <v>149</v>
      </c>
      <c r="H382" s="398" t="s">
        <v>156</v>
      </c>
      <c r="I382" s="398" t="s">
        <v>156</v>
      </c>
    </row>
    <row r="383" spans="1:9" x14ac:dyDescent="0.35">
      <c r="A383" s="395" t="s">
        <v>926</v>
      </c>
      <c r="B383" s="396" t="s">
        <v>146</v>
      </c>
      <c r="C383" s="395" t="s">
        <v>147</v>
      </c>
      <c r="D383" s="395">
        <v>135</v>
      </c>
      <c r="E383" s="397">
        <f t="shared" si="6"/>
        <v>236372175</v>
      </c>
      <c r="F383" s="398" t="s">
        <v>927</v>
      </c>
      <c r="G383" s="398" t="s">
        <v>178</v>
      </c>
      <c r="H383" s="398" t="s">
        <v>163</v>
      </c>
      <c r="I383" s="398" t="s">
        <v>164</v>
      </c>
    </row>
    <row r="384" spans="1:9" x14ac:dyDescent="0.35">
      <c r="A384" s="395" t="s">
        <v>928</v>
      </c>
      <c r="B384" s="396" t="s">
        <v>146</v>
      </c>
      <c r="C384" s="395" t="s">
        <v>358</v>
      </c>
      <c r="D384" s="395">
        <v>150</v>
      </c>
      <c r="E384" s="397">
        <f t="shared" si="6"/>
        <v>262635750</v>
      </c>
      <c r="F384" s="398" t="s">
        <v>929</v>
      </c>
      <c r="G384" s="398" t="s">
        <v>149</v>
      </c>
      <c r="H384" s="398" t="s">
        <v>163</v>
      </c>
      <c r="I384" s="398" t="s">
        <v>151</v>
      </c>
    </row>
    <row r="385" spans="1:9" x14ac:dyDescent="0.35">
      <c r="A385" s="395" t="s">
        <v>930</v>
      </c>
      <c r="B385" s="396" t="s">
        <v>160</v>
      </c>
      <c r="C385" s="395" t="s">
        <v>358</v>
      </c>
      <c r="D385" s="395">
        <v>150</v>
      </c>
      <c r="E385" s="397">
        <f t="shared" si="6"/>
        <v>262635750</v>
      </c>
      <c r="F385" s="398" t="s">
        <v>931</v>
      </c>
      <c r="G385" s="398" t="s">
        <v>185</v>
      </c>
      <c r="H385" s="398" t="s">
        <v>462</v>
      </c>
      <c r="I385" s="398" t="s">
        <v>192</v>
      </c>
    </row>
    <row r="386" spans="1:9" x14ac:dyDescent="0.35">
      <c r="A386" s="395" t="s">
        <v>932</v>
      </c>
      <c r="B386" s="396" t="s">
        <v>146</v>
      </c>
      <c r="C386" s="395" t="s">
        <v>147</v>
      </c>
      <c r="D386" s="395">
        <v>135</v>
      </c>
      <c r="E386" s="397">
        <f t="shared" si="6"/>
        <v>236372175</v>
      </c>
      <c r="F386" s="398" t="s">
        <v>933</v>
      </c>
      <c r="G386" s="398" t="s">
        <v>149</v>
      </c>
      <c r="H386" s="398" t="s">
        <v>156</v>
      </c>
      <c r="I386" s="398" t="s">
        <v>156</v>
      </c>
    </row>
    <row r="387" spans="1:9" x14ac:dyDescent="0.35">
      <c r="A387" s="395" t="s">
        <v>934</v>
      </c>
      <c r="B387" s="396" t="s">
        <v>146</v>
      </c>
      <c r="C387" s="395" t="s">
        <v>147</v>
      </c>
      <c r="D387" s="395">
        <v>135</v>
      </c>
      <c r="E387" s="397">
        <f t="shared" ref="E387:E450" si="7">D387*$S$2</f>
        <v>236372175</v>
      </c>
      <c r="F387" s="398" t="s">
        <v>935</v>
      </c>
      <c r="G387" s="398" t="s">
        <v>181</v>
      </c>
      <c r="H387" s="398" t="s">
        <v>156</v>
      </c>
      <c r="I387" s="398" t="s">
        <v>156</v>
      </c>
    </row>
    <row r="388" spans="1:9" x14ac:dyDescent="0.35">
      <c r="A388" s="395" t="s">
        <v>936</v>
      </c>
      <c r="B388" s="396" t="s">
        <v>146</v>
      </c>
      <c r="C388" s="395" t="s">
        <v>147</v>
      </c>
      <c r="D388" s="395">
        <v>135</v>
      </c>
      <c r="E388" s="397">
        <f t="shared" si="7"/>
        <v>236372175</v>
      </c>
      <c r="F388" s="398" t="s">
        <v>937</v>
      </c>
      <c r="G388" s="398" t="s">
        <v>155</v>
      </c>
      <c r="H388" s="398" t="s">
        <v>156</v>
      </c>
      <c r="I388" s="398" t="s">
        <v>156</v>
      </c>
    </row>
    <row r="389" spans="1:9" x14ac:dyDescent="0.35">
      <c r="A389" s="395" t="s">
        <v>938</v>
      </c>
      <c r="B389" s="396" t="s">
        <v>146</v>
      </c>
      <c r="C389" s="395" t="s">
        <v>147</v>
      </c>
      <c r="D389" s="395">
        <v>135</v>
      </c>
      <c r="E389" s="397">
        <f t="shared" si="7"/>
        <v>236372175</v>
      </c>
      <c r="F389" s="398" t="s">
        <v>939</v>
      </c>
      <c r="G389" s="398" t="s">
        <v>149</v>
      </c>
      <c r="H389" s="398" t="s">
        <v>150</v>
      </c>
      <c r="I389" s="398" t="s">
        <v>151</v>
      </c>
    </row>
    <row r="390" spans="1:9" x14ac:dyDescent="0.35">
      <c r="A390" s="395" t="s">
        <v>940</v>
      </c>
      <c r="B390" s="396" t="s">
        <v>146</v>
      </c>
      <c r="C390" s="395" t="s">
        <v>147</v>
      </c>
      <c r="D390" s="395">
        <v>135</v>
      </c>
      <c r="E390" s="397">
        <f t="shared" si="7"/>
        <v>236372175</v>
      </c>
      <c r="F390" s="398" t="s">
        <v>939</v>
      </c>
      <c r="G390" s="398" t="s">
        <v>178</v>
      </c>
      <c r="H390" s="398" t="s">
        <v>462</v>
      </c>
      <c r="I390" s="398" t="s">
        <v>164</v>
      </c>
    </row>
    <row r="391" spans="1:9" x14ac:dyDescent="0.35">
      <c r="A391" s="395" t="s">
        <v>941</v>
      </c>
      <c r="B391" s="396" t="s">
        <v>146</v>
      </c>
      <c r="C391" s="395" t="s">
        <v>147</v>
      </c>
      <c r="D391" s="395">
        <v>135</v>
      </c>
      <c r="E391" s="397">
        <f t="shared" si="7"/>
        <v>236372175</v>
      </c>
      <c r="F391" s="398" t="s">
        <v>939</v>
      </c>
      <c r="G391" s="398" t="s">
        <v>162</v>
      </c>
      <c r="H391" s="398" t="s">
        <v>462</v>
      </c>
      <c r="I391" s="398" t="s">
        <v>164</v>
      </c>
    </row>
    <row r="392" spans="1:9" x14ac:dyDescent="0.35">
      <c r="A392" s="395" t="s">
        <v>942</v>
      </c>
      <c r="B392" s="396" t="s">
        <v>146</v>
      </c>
      <c r="C392" s="395" t="s">
        <v>147</v>
      </c>
      <c r="D392" s="395">
        <v>135</v>
      </c>
      <c r="E392" s="397">
        <f t="shared" si="7"/>
        <v>236372175</v>
      </c>
      <c r="F392" s="398" t="s">
        <v>943</v>
      </c>
      <c r="G392" s="398" t="s">
        <v>185</v>
      </c>
      <c r="H392" s="398" t="s">
        <v>156</v>
      </c>
      <c r="I392" s="398" t="s">
        <v>156</v>
      </c>
    </row>
    <row r="393" spans="1:9" x14ac:dyDescent="0.35">
      <c r="A393" s="395" t="s">
        <v>944</v>
      </c>
      <c r="B393" s="396" t="s">
        <v>146</v>
      </c>
      <c r="C393" s="395" t="s">
        <v>147</v>
      </c>
      <c r="D393" s="395">
        <v>135</v>
      </c>
      <c r="E393" s="397">
        <f t="shared" si="7"/>
        <v>236372175</v>
      </c>
      <c r="F393" s="398" t="s">
        <v>945</v>
      </c>
      <c r="G393" s="398" t="s">
        <v>224</v>
      </c>
      <c r="H393" s="398" t="s">
        <v>156</v>
      </c>
      <c r="I393" s="398" t="s">
        <v>156</v>
      </c>
    </row>
    <row r="394" spans="1:9" x14ac:dyDescent="0.35">
      <c r="A394" s="395" t="s">
        <v>946</v>
      </c>
      <c r="B394" s="396" t="s">
        <v>146</v>
      </c>
      <c r="C394" s="395" t="s">
        <v>147</v>
      </c>
      <c r="D394" s="395">
        <v>135</v>
      </c>
      <c r="E394" s="397">
        <f t="shared" si="7"/>
        <v>236372175</v>
      </c>
      <c r="F394" s="398" t="s">
        <v>947</v>
      </c>
      <c r="G394" s="398" t="s">
        <v>209</v>
      </c>
      <c r="H394" s="398" t="s">
        <v>150</v>
      </c>
      <c r="I394" s="398" t="s">
        <v>249</v>
      </c>
    </row>
    <row r="395" spans="1:9" x14ac:dyDescent="0.35">
      <c r="A395" s="395" t="s">
        <v>948</v>
      </c>
      <c r="B395" s="396" t="s">
        <v>146</v>
      </c>
      <c r="C395" s="395" t="s">
        <v>147</v>
      </c>
      <c r="D395" s="395">
        <v>135</v>
      </c>
      <c r="E395" s="397">
        <f t="shared" si="7"/>
        <v>236372175</v>
      </c>
      <c r="F395" s="398" t="s">
        <v>949</v>
      </c>
      <c r="G395" s="398" t="s">
        <v>178</v>
      </c>
      <c r="H395" s="398" t="s">
        <v>156</v>
      </c>
      <c r="I395" s="398" t="s">
        <v>156</v>
      </c>
    </row>
    <row r="396" spans="1:9" x14ac:dyDescent="0.35">
      <c r="A396" s="395" t="s">
        <v>950</v>
      </c>
      <c r="B396" s="396" t="s">
        <v>146</v>
      </c>
      <c r="C396" s="395" t="s">
        <v>147</v>
      </c>
      <c r="D396" s="395">
        <v>135</v>
      </c>
      <c r="E396" s="397">
        <f t="shared" si="7"/>
        <v>236372175</v>
      </c>
      <c r="F396" s="398" t="s">
        <v>951</v>
      </c>
      <c r="G396" s="398" t="s">
        <v>200</v>
      </c>
      <c r="H396" s="398" t="s">
        <v>156</v>
      </c>
      <c r="I396" s="398" t="s">
        <v>156</v>
      </c>
    </row>
    <row r="397" spans="1:9" x14ac:dyDescent="0.35">
      <c r="A397" s="395" t="s">
        <v>952</v>
      </c>
      <c r="B397" s="396" t="s">
        <v>146</v>
      </c>
      <c r="C397" s="395" t="s">
        <v>147</v>
      </c>
      <c r="D397" s="395">
        <v>135</v>
      </c>
      <c r="E397" s="397">
        <f t="shared" si="7"/>
        <v>236372175</v>
      </c>
      <c r="F397" s="398" t="s">
        <v>953</v>
      </c>
      <c r="G397" s="398" t="s">
        <v>209</v>
      </c>
      <c r="H397" s="398" t="s">
        <v>156</v>
      </c>
      <c r="I397" s="398" t="s">
        <v>156</v>
      </c>
    </row>
    <row r="398" spans="1:9" x14ac:dyDescent="0.35">
      <c r="A398" s="395" t="s">
        <v>954</v>
      </c>
      <c r="B398" s="396" t="s">
        <v>146</v>
      </c>
      <c r="C398" s="395" t="s">
        <v>147</v>
      </c>
      <c r="D398" s="395">
        <v>135</v>
      </c>
      <c r="E398" s="397">
        <f t="shared" si="7"/>
        <v>236372175</v>
      </c>
      <c r="F398" s="398" t="s">
        <v>955</v>
      </c>
      <c r="G398" s="398" t="s">
        <v>149</v>
      </c>
      <c r="H398" s="398" t="s">
        <v>156</v>
      </c>
      <c r="I398" s="398" t="s">
        <v>156</v>
      </c>
    </row>
    <row r="399" spans="1:9" x14ac:dyDescent="0.35">
      <c r="A399" s="395" t="s">
        <v>956</v>
      </c>
      <c r="B399" s="396" t="s">
        <v>146</v>
      </c>
      <c r="C399" s="395" t="s">
        <v>147</v>
      </c>
      <c r="D399" s="395">
        <v>135</v>
      </c>
      <c r="E399" s="397">
        <f t="shared" si="7"/>
        <v>236372175</v>
      </c>
      <c r="F399" s="398" t="s">
        <v>955</v>
      </c>
      <c r="G399" s="398" t="s">
        <v>170</v>
      </c>
      <c r="H399" s="398" t="s">
        <v>156</v>
      </c>
      <c r="I399" s="398" t="s">
        <v>156</v>
      </c>
    </row>
    <row r="400" spans="1:9" x14ac:dyDescent="0.35">
      <c r="A400" s="395" t="s">
        <v>957</v>
      </c>
      <c r="B400" s="396" t="s">
        <v>146</v>
      </c>
      <c r="C400" s="395" t="s">
        <v>147</v>
      </c>
      <c r="D400" s="395">
        <v>135</v>
      </c>
      <c r="E400" s="397">
        <f t="shared" si="7"/>
        <v>236372175</v>
      </c>
      <c r="F400" s="398" t="s">
        <v>955</v>
      </c>
      <c r="G400" s="398" t="s">
        <v>185</v>
      </c>
      <c r="H400" s="398" t="s">
        <v>156</v>
      </c>
      <c r="I400" s="398" t="s">
        <v>156</v>
      </c>
    </row>
    <row r="401" spans="1:9" x14ac:dyDescent="0.35">
      <c r="A401" s="395" t="s">
        <v>958</v>
      </c>
      <c r="B401" s="396" t="s">
        <v>146</v>
      </c>
      <c r="C401" s="395" t="s">
        <v>147</v>
      </c>
      <c r="D401" s="395">
        <v>135</v>
      </c>
      <c r="E401" s="397">
        <f t="shared" si="7"/>
        <v>236372175</v>
      </c>
      <c r="F401" s="398" t="s">
        <v>959</v>
      </c>
      <c r="G401" s="398" t="s">
        <v>178</v>
      </c>
      <c r="H401" s="398" t="s">
        <v>150</v>
      </c>
      <c r="I401" s="398" t="s">
        <v>164</v>
      </c>
    </row>
    <row r="402" spans="1:9" x14ac:dyDescent="0.35">
      <c r="A402" s="395" t="s">
        <v>960</v>
      </c>
      <c r="B402" s="396" t="s">
        <v>146</v>
      </c>
      <c r="C402" s="395" t="s">
        <v>147</v>
      </c>
      <c r="D402" s="395">
        <v>135</v>
      </c>
      <c r="E402" s="397">
        <f t="shared" si="7"/>
        <v>236372175</v>
      </c>
      <c r="F402" s="398" t="s">
        <v>961</v>
      </c>
      <c r="G402" s="398" t="s">
        <v>200</v>
      </c>
      <c r="H402" s="398" t="s">
        <v>156</v>
      </c>
      <c r="I402" s="398" t="s">
        <v>156</v>
      </c>
    </row>
    <row r="403" spans="1:9" x14ac:dyDescent="0.35">
      <c r="A403" s="395" t="s">
        <v>962</v>
      </c>
      <c r="B403" s="396" t="s">
        <v>160</v>
      </c>
      <c r="C403" s="395" t="s">
        <v>147</v>
      </c>
      <c r="D403" s="395">
        <v>135</v>
      </c>
      <c r="E403" s="397">
        <f t="shared" si="7"/>
        <v>236372175</v>
      </c>
      <c r="F403" s="398" t="s">
        <v>963</v>
      </c>
      <c r="G403" s="398" t="s">
        <v>200</v>
      </c>
      <c r="H403" s="398" t="s">
        <v>156</v>
      </c>
      <c r="I403" s="398" t="s">
        <v>156</v>
      </c>
    </row>
    <row r="404" spans="1:9" x14ac:dyDescent="0.35">
      <c r="A404" s="395" t="s">
        <v>964</v>
      </c>
      <c r="B404" s="396" t="s">
        <v>146</v>
      </c>
      <c r="C404" s="395" t="s">
        <v>147</v>
      </c>
      <c r="D404" s="395">
        <v>135</v>
      </c>
      <c r="E404" s="397">
        <f t="shared" si="7"/>
        <v>236372175</v>
      </c>
      <c r="F404" s="398" t="s">
        <v>965</v>
      </c>
      <c r="G404" s="398" t="s">
        <v>216</v>
      </c>
      <c r="H404" s="398" t="s">
        <v>156</v>
      </c>
      <c r="I404" s="398" t="s">
        <v>156</v>
      </c>
    </row>
    <row r="405" spans="1:9" x14ac:dyDescent="0.35">
      <c r="A405" s="395" t="s">
        <v>966</v>
      </c>
      <c r="B405" s="396" t="s">
        <v>146</v>
      </c>
      <c r="C405" s="395" t="s">
        <v>147</v>
      </c>
      <c r="D405" s="395">
        <v>135</v>
      </c>
      <c r="E405" s="397">
        <f t="shared" si="7"/>
        <v>236372175</v>
      </c>
      <c r="F405" s="398" t="s">
        <v>965</v>
      </c>
      <c r="G405" s="398" t="s">
        <v>162</v>
      </c>
      <c r="H405" s="398" t="s">
        <v>150</v>
      </c>
      <c r="I405" s="398" t="s">
        <v>164</v>
      </c>
    </row>
    <row r="406" spans="1:9" x14ac:dyDescent="0.35">
      <c r="A406" s="395" t="s">
        <v>967</v>
      </c>
      <c r="B406" s="396" t="s">
        <v>146</v>
      </c>
      <c r="C406" s="395" t="s">
        <v>147</v>
      </c>
      <c r="D406" s="395">
        <v>135</v>
      </c>
      <c r="E406" s="397">
        <f t="shared" si="7"/>
        <v>236372175</v>
      </c>
      <c r="F406" s="398" t="s">
        <v>968</v>
      </c>
      <c r="G406" s="398" t="s">
        <v>227</v>
      </c>
      <c r="H406" s="398" t="s">
        <v>150</v>
      </c>
      <c r="I406" s="398" t="s">
        <v>164</v>
      </c>
    </row>
    <row r="407" spans="1:9" x14ac:dyDescent="0.35">
      <c r="A407" s="395" t="s">
        <v>969</v>
      </c>
      <c r="B407" s="396" t="s">
        <v>146</v>
      </c>
      <c r="C407" s="395" t="s">
        <v>147</v>
      </c>
      <c r="D407" s="395">
        <v>135</v>
      </c>
      <c r="E407" s="397">
        <f t="shared" si="7"/>
        <v>236372175</v>
      </c>
      <c r="F407" s="398" t="s">
        <v>970</v>
      </c>
      <c r="G407" s="398" t="s">
        <v>221</v>
      </c>
      <c r="H407" s="398" t="s">
        <v>156</v>
      </c>
      <c r="I407" s="398" t="s">
        <v>156</v>
      </c>
    </row>
    <row r="408" spans="1:9" x14ac:dyDescent="0.35">
      <c r="A408" s="395" t="s">
        <v>971</v>
      </c>
      <c r="B408" s="396" t="s">
        <v>146</v>
      </c>
      <c r="C408" s="395" t="s">
        <v>147</v>
      </c>
      <c r="D408" s="395">
        <v>135</v>
      </c>
      <c r="E408" s="397">
        <f t="shared" si="7"/>
        <v>236372175</v>
      </c>
      <c r="F408" s="398" t="s">
        <v>972</v>
      </c>
      <c r="G408" s="398" t="s">
        <v>185</v>
      </c>
      <c r="H408" s="398" t="s">
        <v>156</v>
      </c>
      <c r="I408" s="398" t="s">
        <v>156</v>
      </c>
    </row>
    <row r="409" spans="1:9" x14ac:dyDescent="0.35">
      <c r="A409" s="395" t="s">
        <v>973</v>
      </c>
      <c r="B409" s="396" t="s">
        <v>146</v>
      </c>
      <c r="C409" s="395" t="s">
        <v>147</v>
      </c>
      <c r="D409" s="395">
        <v>135</v>
      </c>
      <c r="E409" s="397">
        <f t="shared" si="7"/>
        <v>236372175</v>
      </c>
      <c r="F409" s="398" t="s">
        <v>974</v>
      </c>
      <c r="G409" s="398" t="s">
        <v>424</v>
      </c>
      <c r="H409" s="398" t="s">
        <v>156</v>
      </c>
      <c r="I409" s="398" t="s">
        <v>156</v>
      </c>
    </row>
    <row r="410" spans="1:9" x14ac:dyDescent="0.35">
      <c r="A410" s="395" t="s">
        <v>975</v>
      </c>
      <c r="B410" s="396" t="s">
        <v>146</v>
      </c>
      <c r="C410" s="395" t="s">
        <v>147</v>
      </c>
      <c r="D410" s="395">
        <v>135</v>
      </c>
      <c r="E410" s="397">
        <f t="shared" si="7"/>
        <v>236372175</v>
      </c>
      <c r="F410" s="398" t="s">
        <v>976</v>
      </c>
      <c r="G410" s="398" t="s">
        <v>149</v>
      </c>
      <c r="H410" s="398" t="s">
        <v>163</v>
      </c>
      <c r="I410" s="398" t="s">
        <v>151</v>
      </c>
    </row>
    <row r="411" spans="1:9" x14ac:dyDescent="0.35">
      <c r="A411" s="395" t="s">
        <v>977</v>
      </c>
      <c r="B411" s="396" t="s">
        <v>146</v>
      </c>
      <c r="C411" s="395" t="s">
        <v>147</v>
      </c>
      <c r="D411" s="395">
        <v>135</v>
      </c>
      <c r="E411" s="397">
        <f t="shared" si="7"/>
        <v>236372175</v>
      </c>
      <c r="F411" s="398" t="s">
        <v>978</v>
      </c>
      <c r="G411" s="398" t="s">
        <v>178</v>
      </c>
      <c r="H411" s="398" t="s">
        <v>150</v>
      </c>
      <c r="I411" s="398" t="s">
        <v>164</v>
      </c>
    </row>
    <row r="412" spans="1:9" x14ac:dyDescent="0.35">
      <c r="A412" s="395" t="s">
        <v>979</v>
      </c>
      <c r="B412" s="396" t="s">
        <v>146</v>
      </c>
      <c r="C412" s="395" t="s">
        <v>147</v>
      </c>
      <c r="D412" s="395">
        <v>135</v>
      </c>
      <c r="E412" s="397">
        <f t="shared" si="7"/>
        <v>236372175</v>
      </c>
      <c r="F412" s="398" t="s">
        <v>980</v>
      </c>
      <c r="G412" s="398" t="s">
        <v>149</v>
      </c>
      <c r="H412" s="398" t="s">
        <v>156</v>
      </c>
      <c r="I412" s="398" t="s">
        <v>156</v>
      </c>
    </row>
    <row r="413" spans="1:9" x14ac:dyDescent="0.35">
      <c r="A413" s="395" t="s">
        <v>981</v>
      </c>
      <c r="B413" s="396" t="s">
        <v>146</v>
      </c>
      <c r="C413" s="395" t="s">
        <v>147</v>
      </c>
      <c r="D413" s="395">
        <v>135</v>
      </c>
      <c r="E413" s="397">
        <f t="shared" si="7"/>
        <v>236372175</v>
      </c>
      <c r="F413" s="398" t="s">
        <v>982</v>
      </c>
      <c r="G413" s="398" t="s">
        <v>178</v>
      </c>
      <c r="H413" s="398" t="s">
        <v>156</v>
      </c>
      <c r="I413" s="398" t="s">
        <v>156</v>
      </c>
    </row>
    <row r="414" spans="1:9" x14ac:dyDescent="0.35">
      <c r="A414" s="395" t="s">
        <v>983</v>
      </c>
      <c r="B414" s="396" t="s">
        <v>146</v>
      </c>
      <c r="C414" s="395" t="s">
        <v>147</v>
      </c>
      <c r="D414" s="395">
        <v>135</v>
      </c>
      <c r="E414" s="397">
        <f t="shared" si="7"/>
        <v>236372175</v>
      </c>
      <c r="F414" s="398" t="s">
        <v>984</v>
      </c>
      <c r="G414" s="398" t="s">
        <v>178</v>
      </c>
      <c r="H414" s="398" t="s">
        <v>150</v>
      </c>
      <c r="I414" s="398" t="s">
        <v>164</v>
      </c>
    </row>
    <row r="415" spans="1:9" x14ac:dyDescent="0.35">
      <c r="A415" s="395" t="s">
        <v>985</v>
      </c>
      <c r="B415" s="396" t="s">
        <v>146</v>
      </c>
      <c r="C415" s="395" t="s">
        <v>147</v>
      </c>
      <c r="D415" s="395">
        <v>135</v>
      </c>
      <c r="E415" s="397">
        <f t="shared" si="7"/>
        <v>236372175</v>
      </c>
      <c r="F415" s="398" t="s">
        <v>986</v>
      </c>
      <c r="G415" s="398" t="s">
        <v>224</v>
      </c>
      <c r="H415" s="398" t="s">
        <v>150</v>
      </c>
      <c r="I415" s="398" t="s">
        <v>192</v>
      </c>
    </row>
    <row r="416" spans="1:9" x14ac:dyDescent="0.35">
      <c r="A416" s="395" t="s">
        <v>987</v>
      </c>
      <c r="B416" s="396" t="s">
        <v>146</v>
      </c>
      <c r="C416" s="395" t="s">
        <v>147</v>
      </c>
      <c r="D416" s="395">
        <v>135</v>
      </c>
      <c r="E416" s="397">
        <f t="shared" si="7"/>
        <v>236372175</v>
      </c>
      <c r="F416" s="398" t="s">
        <v>988</v>
      </c>
      <c r="G416" s="398" t="s">
        <v>272</v>
      </c>
      <c r="H416" s="398" t="s">
        <v>156</v>
      </c>
      <c r="I416" s="398" t="s">
        <v>156</v>
      </c>
    </row>
    <row r="417" spans="1:9" x14ac:dyDescent="0.35">
      <c r="A417" s="395" t="s">
        <v>989</v>
      </c>
      <c r="B417" s="396" t="s">
        <v>146</v>
      </c>
      <c r="C417" s="395" t="s">
        <v>147</v>
      </c>
      <c r="D417" s="395">
        <v>135</v>
      </c>
      <c r="E417" s="397">
        <f t="shared" si="7"/>
        <v>236372175</v>
      </c>
      <c r="F417" s="398" t="s">
        <v>990</v>
      </c>
      <c r="G417" s="398" t="s">
        <v>185</v>
      </c>
      <c r="H417" s="398" t="s">
        <v>156</v>
      </c>
      <c r="I417" s="398" t="s">
        <v>156</v>
      </c>
    </row>
    <row r="418" spans="1:9" x14ac:dyDescent="0.35">
      <c r="A418" s="395" t="s">
        <v>991</v>
      </c>
      <c r="B418" s="396" t="s">
        <v>146</v>
      </c>
      <c r="C418" s="395" t="s">
        <v>147</v>
      </c>
      <c r="D418" s="395">
        <v>135</v>
      </c>
      <c r="E418" s="397">
        <f t="shared" si="7"/>
        <v>236372175</v>
      </c>
      <c r="F418" s="398" t="s">
        <v>992</v>
      </c>
      <c r="G418" s="398" t="s">
        <v>178</v>
      </c>
      <c r="H418" s="398" t="s">
        <v>156</v>
      </c>
      <c r="I418" s="398" t="s">
        <v>156</v>
      </c>
    </row>
    <row r="419" spans="1:9" x14ac:dyDescent="0.35">
      <c r="A419" s="395" t="s">
        <v>993</v>
      </c>
      <c r="B419" s="396" t="s">
        <v>146</v>
      </c>
      <c r="C419" s="395" t="s">
        <v>147</v>
      </c>
      <c r="D419" s="395">
        <v>135</v>
      </c>
      <c r="E419" s="397">
        <f t="shared" si="7"/>
        <v>236372175</v>
      </c>
      <c r="F419" s="398" t="s">
        <v>994</v>
      </c>
      <c r="G419" s="398" t="s">
        <v>178</v>
      </c>
      <c r="H419" s="398" t="s">
        <v>156</v>
      </c>
      <c r="I419" s="398" t="s">
        <v>156</v>
      </c>
    </row>
    <row r="420" spans="1:9" x14ac:dyDescent="0.35">
      <c r="A420" s="395" t="s">
        <v>995</v>
      </c>
      <c r="B420" s="396" t="s">
        <v>146</v>
      </c>
      <c r="C420" s="395" t="s">
        <v>147</v>
      </c>
      <c r="D420" s="395">
        <v>135</v>
      </c>
      <c r="E420" s="397">
        <f t="shared" si="7"/>
        <v>236372175</v>
      </c>
      <c r="F420" s="398" t="s">
        <v>996</v>
      </c>
      <c r="G420" s="398" t="s">
        <v>224</v>
      </c>
      <c r="H420" s="398" t="s">
        <v>156</v>
      </c>
      <c r="I420" s="398" t="s">
        <v>156</v>
      </c>
    </row>
    <row r="421" spans="1:9" x14ac:dyDescent="0.35">
      <c r="A421" s="395" t="s">
        <v>997</v>
      </c>
      <c r="B421" s="396" t="s">
        <v>146</v>
      </c>
      <c r="C421" s="395" t="s">
        <v>147</v>
      </c>
      <c r="D421" s="395">
        <v>135</v>
      </c>
      <c r="E421" s="397">
        <f t="shared" si="7"/>
        <v>236372175</v>
      </c>
      <c r="F421" s="398" t="s">
        <v>998</v>
      </c>
      <c r="G421" s="398" t="s">
        <v>185</v>
      </c>
      <c r="H421" s="398" t="s">
        <v>156</v>
      </c>
      <c r="I421" s="398" t="s">
        <v>156</v>
      </c>
    </row>
    <row r="422" spans="1:9" x14ac:dyDescent="0.35">
      <c r="A422" s="395" t="s">
        <v>999</v>
      </c>
      <c r="B422" s="396" t="s">
        <v>146</v>
      </c>
      <c r="C422" s="395" t="s">
        <v>147</v>
      </c>
      <c r="D422" s="395">
        <v>135</v>
      </c>
      <c r="E422" s="397">
        <f t="shared" si="7"/>
        <v>236372175</v>
      </c>
      <c r="F422" s="398" t="s">
        <v>1000</v>
      </c>
      <c r="G422" s="398" t="s">
        <v>224</v>
      </c>
      <c r="H422" s="398" t="s">
        <v>156</v>
      </c>
      <c r="I422" s="398" t="s">
        <v>156</v>
      </c>
    </row>
    <row r="423" spans="1:9" x14ac:dyDescent="0.35">
      <c r="A423" s="395" t="s">
        <v>1001</v>
      </c>
      <c r="B423" s="396" t="s">
        <v>146</v>
      </c>
      <c r="C423" s="395" t="s">
        <v>147</v>
      </c>
      <c r="D423" s="395">
        <v>135</v>
      </c>
      <c r="E423" s="397">
        <f t="shared" si="7"/>
        <v>236372175</v>
      </c>
      <c r="F423" s="398" t="s">
        <v>1002</v>
      </c>
      <c r="G423" s="398" t="s">
        <v>178</v>
      </c>
      <c r="H423" s="398" t="s">
        <v>156</v>
      </c>
      <c r="I423" s="398" t="s">
        <v>156</v>
      </c>
    </row>
    <row r="424" spans="1:9" x14ac:dyDescent="0.35">
      <c r="A424" s="395" t="s">
        <v>1003</v>
      </c>
      <c r="B424" s="396" t="s">
        <v>146</v>
      </c>
      <c r="C424" s="395" t="s">
        <v>147</v>
      </c>
      <c r="D424" s="395">
        <v>135</v>
      </c>
      <c r="E424" s="397">
        <f t="shared" si="7"/>
        <v>236372175</v>
      </c>
      <c r="F424" s="398" t="s">
        <v>1004</v>
      </c>
      <c r="G424" s="398" t="s">
        <v>155</v>
      </c>
      <c r="H424" s="398" t="s">
        <v>156</v>
      </c>
      <c r="I424" s="398" t="s">
        <v>156</v>
      </c>
    </row>
    <row r="425" spans="1:9" x14ac:dyDescent="0.35">
      <c r="A425" s="395" t="s">
        <v>1005</v>
      </c>
      <c r="B425" s="396" t="s">
        <v>146</v>
      </c>
      <c r="C425" s="395" t="s">
        <v>147</v>
      </c>
      <c r="D425" s="395">
        <v>135</v>
      </c>
      <c r="E425" s="397">
        <f t="shared" si="7"/>
        <v>236372175</v>
      </c>
      <c r="F425" s="398" t="s">
        <v>1006</v>
      </c>
      <c r="G425" s="398" t="s">
        <v>173</v>
      </c>
      <c r="H425" s="398" t="s">
        <v>156</v>
      </c>
      <c r="I425" s="398" t="s">
        <v>156</v>
      </c>
    </row>
    <row r="426" spans="1:9" x14ac:dyDescent="0.35">
      <c r="A426" s="395" t="s">
        <v>1007</v>
      </c>
      <c r="B426" s="396" t="s">
        <v>146</v>
      </c>
      <c r="C426" s="395" t="s">
        <v>147</v>
      </c>
      <c r="D426" s="395">
        <v>135</v>
      </c>
      <c r="E426" s="397">
        <f t="shared" si="7"/>
        <v>236372175</v>
      </c>
      <c r="F426" s="398" t="s">
        <v>1008</v>
      </c>
      <c r="G426" s="398" t="s">
        <v>185</v>
      </c>
      <c r="H426" s="398" t="s">
        <v>156</v>
      </c>
      <c r="I426" s="398" t="s">
        <v>156</v>
      </c>
    </row>
    <row r="427" spans="1:9" x14ac:dyDescent="0.35">
      <c r="A427" s="395" t="s">
        <v>1009</v>
      </c>
      <c r="B427" s="396" t="s">
        <v>146</v>
      </c>
      <c r="C427" s="395" t="s">
        <v>147</v>
      </c>
      <c r="D427" s="395">
        <v>135</v>
      </c>
      <c r="E427" s="397">
        <f t="shared" si="7"/>
        <v>236372175</v>
      </c>
      <c r="F427" s="398" t="s">
        <v>1010</v>
      </c>
      <c r="G427" s="398" t="s">
        <v>191</v>
      </c>
      <c r="H427" s="398" t="s">
        <v>156</v>
      </c>
      <c r="I427" s="398" t="s">
        <v>156</v>
      </c>
    </row>
    <row r="428" spans="1:9" x14ac:dyDescent="0.35">
      <c r="A428" s="395" t="s">
        <v>1011</v>
      </c>
      <c r="B428" s="396" t="s">
        <v>146</v>
      </c>
      <c r="C428" s="395" t="s">
        <v>147</v>
      </c>
      <c r="D428" s="395">
        <v>135</v>
      </c>
      <c r="E428" s="397">
        <f t="shared" si="7"/>
        <v>236372175</v>
      </c>
      <c r="F428" s="398" t="s">
        <v>1012</v>
      </c>
      <c r="G428" s="398" t="s">
        <v>205</v>
      </c>
      <c r="H428" s="398" t="s">
        <v>156</v>
      </c>
      <c r="I428" s="398" t="s">
        <v>156</v>
      </c>
    </row>
    <row r="429" spans="1:9" x14ac:dyDescent="0.35">
      <c r="A429" s="395" t="s">
        <v>1013</v>
      </c>
      <c r="B429" s="396" t="s">
        <v>146</v>
      </c>
      <c r="C429" s="395" t="s">
        <v>147</v>
      </c>
      <c r="D429" s="395">
        <v>135</v>
      </c>
      <c r="E429" s="397">
        <f t="shared" si="7"/>
        <v>236372175</v>
      </c>
      <c r="F429" s="398" t="s">
        <v>1014</v>
      </c>
      <c r="G429" s="398" t="s">
        <v>149</v>
      </c>
      <c r="H429" s="398" t="s">
        <v>156</v>
      </c>
      <c r="I429" s="398" t="s">
        <v>156</v>
      </c>
    </row>
    <row r="430" spans="1:9" x14ac:dyDescent="0.35">
      <c r="A430" s="395" t="s">
        <v>1015</v>
      </c>
      <c r="B430" s="396" t="s">
        <v>146</v>
      </c>
      <c r="C430" s="395" t="s">
        <v>147</v>
      </c>
      <c r="D430" s="395">
        <v>135</v>
      </c>
      <c r="E430" s="397">
        <f t="shared" si="7"/>
        <v>236372175</v>
      </c>
      <c r="F430" s="398" t="s">
        <v>1016</v>
      </c>
      <c r="G430" s="398" t="s">
        <v>155</v>
      </c>
      <c r="H430" s="398" t="s">
        <v>156</v>
      </c>
      <c r="I430" s="398" t="s">
        <v>156</v>
      </c>
    </row>
    <row r="431" spans="1:9" x14ac:dyDescent="0.35">
      <c r="A431" s="395" t="s">
        <v>1017</v>
      </c>
      <c r="B431" s="396" t="s">
        <v>146</v>
      </c>
      <c r="C431" s="395" t="s">
        <v>147</v>
      </c>
      <c r="D431" s="395">
        <v>135</v>
      </c>
      <c r="E431" s="397">
        <f t="shared" si="7"/>
        <v>236372175</v>
      </c>
      <c r="F431" s="398" t="s">
        <v>1018</v>
      </c>
      <c r="G431" s="398" t="s">
        <v>227</v>
      </c>
      <c r="H431" s="398" t="s">
        <v>156</v>
      </c>
      <c r="I431" s="398" t="s">
        <v>156</v>
      </c>
    </row>
    <row r="432" spans="1:9" x14ac:dyDescent="0.35">
      <c r="A432" s="395" t="s">
        <v>1019</v>
      </c>
      <c r="B432" s="396" t="s">
        <v>146</v>
      </c>
      <c r="C432" s="395" t="s">
        <v>147</v>
      </c>
      <c r="D432" s="395">
        <v>135</v>
      </c>
      <c r="E432" s="397">
        <f t="shared" si="7"/>
        <v>236372175</v>
      </c>
      <c r="F432" s="398" t="s">
        <v>1020</v>
      </c>
      <c r="G432" s="398" t="s">
        <v>149</v>
      </c>
      <c r="H432" s="398" t="s">
        <v>156</v>
      </c>
      <c r="I432" s="398" t="s">
        <v>156</v>
      </c>
    </row>
    <row r="433" spans="1:9" x14ac:dyDescent="0.35">
      <c r="A433" s="395" t="s">
        <v>1021</v>
      </c>
      <c r="B433" s="396" t="s">
        <v>146</v>
      </c>
      <c r="C433" s="395" t="s">
        <v>147</v>
      </c>
      <c r="D433" s="395">
        <v>135</v>
      </c>
      <c r="E433" s="397">
        <f t="shared" si="7"/>
        <v>236372175</v>
      </c>
      <c r="F433" s="398" t="s">
        <v>1022</v>
      </c>
      <c r="G433" s="398" t="s">
        <v>170</v>
      </c>
      <c r="H433" s="398" t="s">
        <v>156</v>
      </c>
      <c r="I433" s="398" t="s">
        <v>156</v>
      </c>
    </row>
    <row r="434" spans="1:9" x14ac:dyDescent="0.35">
      <c r="A434" s="395" t="s">
        <v>1023</v>
      </c>
      <c r="B434" s="396" t="s">
        <v>146</v>
      </c>
      <c r="C434" s="395" t="s">
        <v>147</v>
      </c>
      <c r="D434" s="395">
        <v>135</v>
      </c>
      <c r="E434" s="397">
        <f t="shared" si="7"/>
        <v>236372175</v>
      </c>
      <c r="F434" s="398" t="s">
        <v>1024</v>
      </c>
      <c r="G434" s="398" t="s">
        <v>227</v>
      </c>
      <c r="H434" s="398" t="s">
        <v>240</v>
      </c>
      <c r="I434" s="398" t="s">
        <v>164</v>
      </c>
    </row>
    <row r="435" spans="1:9" x14ac:dyDescent="0.35">
      <c r="A435" s="395" t="s">
        <v>1025</v>
      </c>
      <c r="B435" s="396" t="s">
        <v>160</v>
      </c>
      <c r="C435" s="395" t="s">
        <v>147</v>
      </c>
      <c r="D435" s="395">
        <v>135</v>
      </c>
      <c r="E435" s="397">
        <f t="shared" si="7"/>
        <v>236372175</v>
      </c>
      <c r="F435" s="398" t="s">
        <v>1026</v>
      </c>
      <c r="G435" s="398" t="s">
        <v>227</v>
      </c>
      <c r="H435" s="398" t="s">
        <v>163</v>
      </c>
      <c r="I435" s="398" t="s">
        <v>164</v>
      </c>
    </row>
    <row r="436" spans="1:9" x14ac:dyDescent="0.35">
      <c r="A436" s="395" t="s">
        <v>1027</v>
      </c>
      <c r="B436" s="396" t="s">
        <v>146</v>
      </c>
      <c r="C436" s="395" t="s">
        <v>147</v>
      </c>
      <c r="D436" s="395">
        <v>135</v>
      </c>
      <c r="E436" s="397">
        <f t="shared" si="7"/>
        <v>236372175</v>
      </c>
      <c r="F436" s="398" t="s">
        <v>1028</v>
      </c>
      <c r="G436" s="398" t="s">
        <v>227</v>
      </c>
      <c r="H436" s="398" t="s">
        <v>156</v>
      </c>
      <c r="I436" s="398" t="s">
        <v>156</v>
      </c>
    </row>
    <row r="437" spans="1:9" x14ac:dyDescent="0.35">
      <c r="A437" s="395" t="s">
        <v>1029</v>
      </c>
      <c r="B437" s="396" t="s">
        <v>146</v>
      </c>
      <c r="C437" s="395" t="s">
        <v>147</v>
      </c>
      <c r="D437" s="395">
        <v>135</v>
      </c>
      <c r="E437" s="397">
        <f t="shared" si="7"/>
        <v>236372175</v>
      </c>
      <c r="F437" s="398" t="s">
        <v>1030</v>
      </c>
      <c r="G437" s="398" t="s">
        <v>200</v>
      </c>
      <c r="H437" s="398" t="s">
        <v>156</v>
      </c>
      <c r="I437" s="398" t="s">
        <v>156</v>
      </c>
    </row>
    <row r="438" spans="1:9" x14ac:dyDescent="0.35">
      <c r="A438" s="395" t="s">
        <v>1031</v>
      </c>
      <c r="B438" s="396" t="s">
        <v>146</v>
      </c>
      <c r="C438" s="395" t="s">
        <v>147</v>
      </c>
      <c r="D438" s="395">
        <v>135</v>
      </c>
      <c r="E438" s="397">
        <f t="shared" si="7"/>
        <v>236372175</v>
      </c>
      <c r="F438" s="398" t="s">
        <v>1032</v>
      </c>
      <c r="G438" s="398" t="s">
        <v>200</v>
      </c>
      <c r="H438" s="398" t="s">
        <v>156</v>
      </c>
      <c r="I438" s="398" t="s">
        <v>156</v>
      </c>
    </row>
    <row r="439" spans="1:9" x14ac:dyDescent="0.35">
      <c r="A439" s="395" t="s">
        <v>1033</v>
      </c>
      <c r="B439" s="396" t="s">
        <v>146</v>
      </c>
      <c r="C439" s="395" t="s">
        <v>147</v>
      </c>
      <c r="D439" s="395">
        <v>135</v>
      </c>
      <c r="E439" s="397">
        <f t="shared" si="7"/>
        <v>236372175</v>
      </c>
      <c r="F439" s="398" t="s">
        <v>1034</v>
      </c>
      <c r="G439" s="398" t="s">
        <v>356</v>
      </c>
      <c r="H439" s="398" t="s">
        <v>156</v>
      </c>
      <c r="I439" s="398" t="s">
        <v>156</v>
      </c>
    </row>
    <row r="440" spans="1:9" x14ac:dyDescent="0.35">
      <c r="A440" s="395" t="s">
        <v>1035</v>
      </c>
      <c r="B440" s="396" t="s">
        <v>146</v>
      </c>
      <c r="C440" s="395" t="s">
        <v>147</v>
      </c>
      <c r="D440" s="395">
        <v>135</v>
      </c>
      <c r="E440" s="397">
        <f t="shared" si="7"/>
        <v>236372175</v>
      </c>
      <c r="F440" s="398" t="s">
        <v>1036</v>
      </c>
      <c r="G440" s="398" t="s">
        <v>221</v>
      </c>
      <c r="H440" s="398" t="s">
        <v>156</v>
      </c>
      <c r="I440" s="398" t="s">
        <v>156</v>
      </c>
    </row>
    <row r="441" spans="1:9" x14ac:dyDescent="0.35">
      <c r="A441" s="395" t="s">
        <v>1037</v>
      </c>
      <c r="B441" s="396" t="s">
        <v>146</v>
      </c>
      <c r="C441" s="395" t="s">
        <v>147</v>
      </c>
      <c r="D441" s="395">
        <v>135</v>
      </c>
      <c r="E441" s="397">
        <f t="shared" si="7"/>
        <v>236372175</v>
      </c>
      <c r="F441" s="398" t="s">
        <v>1038</v>
      </c>
      <c r="G441" s="398" t="s">
        <v>200</v>
      </c>
      <c r="H441" s="398" t="s">
        <v>240</v>
      </c>
      <c r="I441" s="398" t="s">
        <v>249</v>
      </c>
    </row>
    <row r="442" spans="1:9" x14ac:dyDescent="0.35">
      <c r="A442" s="395" t="s">
        <v>1039</v>
      </c>
      <c r="B442" s="396" t="s">
        <v>146</v>
      </c>
      <c r="C442" s="395" t="s">
        <v>147</v>
      </c>
      <c r="D442" s="395">
        <v>135</v>
      </c>
      <c r="E442" s="397">
        <f t="shared" si="7"/>
        <v>236372175</v>
      </c>
      <c r="F442" s="398" t="s">
        <v>1040</v>
      </c>
      <c r="G442" s="398" t="s">
        <v>170</v>
      </c>
      <c r="H442" s="398" t="s">
        <v>156</v>
      </c>
      <c r="I442" s="398" t="s">
        <v>156</v>
      </c>
    </row>
    <row r="443" spans="1:9" x14ac:dyDescent="0.35">
      <c r="A443" s="395" t="s">
        <v>1041</v>
      </c>
      <c r="B443" s="396" t="s">
        <v>146</v>
      </c>
      <c r="C443" s="395" t="s">
        <v>147</v>
      </c>
      <c r="D443" s="395">
        <v>135</v>
      </c>
      <c r="E443" s="397">
        <f t="shared" si="7"/>
        <v>236372175</v>
      </c>
      <c r="F443" s="398" t="s">
        <v>1042</v>
      </c>
      <c r="G443" s="398" t="s">
        <v>170</v>
      </c>
      <c r="H443" s="398" t="s">
        <v>156</v>
      </c>
      <c r="I443" s="398" t="s">
        <v>156</v>
      </c>
    </row>
    <row r="444" spans="1:9" x14ac:dyDescent="0.35">
      <c r="A444" s="395" t="s">
        <v>1043</v>
      </c>
      <c r="B444" s="396" t="s">
        <v>146</v>
      </c>
      <c r="C444" s="395" t="s">
        <v>147</v>
      </c>
      <c r="D444" s="395">
        <v>135</v>
      </c>
      <c r="E444" s="397">
        <f t="shared" si="7"/>
        <v>236372175</v>
      </c>
      <c r="F444" s="398" t="s">
        <v>1044</v>
      </c>
      <c r="G444" s="398" t="s">
        <v>167</v>
      </c>
      <c r="H444" s="398" t="s">
        <v>240</v>
      </c>
      <c r="I444" s="398" t="s">
        <v>151</v>
      </c>
    </row>
    <row r="445" spans="1:9" x14ac:dyDescent="0.35">
      <c r="A445" s="395" t="s">
        <v>1045</v>
      </c>
      <c r="B445" s="396" t="s">
        <v>160</v>
      </c>
      <c r="C445" s="395" t="s">
        <v>358</v>
      </c>
      <c r="D445" s="395">
        <v>150</v>
      </c>
      <c r="E445" s="397">
        <f t="shared" si="7"/>
        <v>262635750</v>
      </c>
      <c r="F445" s="398" t="s">
        <v>1046</v>
      </c>
      <c r="G445" s="398" t="s">
        <v>149</v>
      </c>
      <c r="H445" s="398" t="s">
        <v>163</v>
      </c>
      <c r="I445" s="398" t="s">
        <v>151</v>
      </c>
    </row>
    <row r="446" spans="1:9" x14ac:dyDescent="0.35">
      <c r="A446" s="395" t="s">
        <v>1047</v>
      </c>
      <c r="B446" s="396" t="s">
        <v>146</v>
      </c>
      <c r="C446" s="395" t="s">
        <v>147</v>
      </c>
      <c r="D446" s="395">
        <v>135</v>
      </c>
      <c r="E446" s="397">
        <f t="shared" si="7"/>
        <v>236372175</v>
      </c>
      <c r="F446" s="398" t="s">
        <v>1048</v>
      </c>
      <c r="G446" s="398" t="s">
        <v>149</v>
      </c>
      <c r="H446" s="398" t="s">
        <v>156</v>
      </c>
      <c r="I446" s="398" t="s">
        <v>156</v>
      </c>
    </row>
    <row r="447" spans="1:9" x14ac:dyDescent="0.35">
      <c r="A447" s="395" t="s">
        <v>1049</v>
      </c>
      <c r="B447" s="396" t="s">
        <v>146</v>
      </c>
      <c r="C447" s="395" t="s">
        <v>147</v>
      </c>
      <c r="D447" s="395">
        <v>135</v>
      </c>
      <c r="E447" s="397">
        <f t="shared" si="7"/>
        <v>236372175</v>
      </c>
      <c r="F447" s="398" t="s">
        <v>1050</v>
      </c>
      <c r="G447" s="398" t="s">
        <v>224</v>
      </c>
      <c r="H447" s="398" t="s">
        <v>156</v>
      </c>
      <c r="I447" s="398" t="s">
        <v>156</v>
      </c>
    </row>
    <row r="448" spans="1:9" x14ac:dyDescent="0.35">
      <c r="A448" s="395" t="s">
        <v>1051</v>
      </c>
      <c r="B448" s="396" t="s">
        <v>146</v>
      </c>
      <c r="C448" s="395" t="s">
        <v>147</v>
      </c>
      <c r="D448" s="395">
        <v>135</v>
      </c>
      <c r="E448" s="397">
        <f t="shared" si="7"/>
        <v>236372175</v>
      </c>
      <c r="F448" s="398" t="s">
        <v>1052</v>
      </c>
      <c r="G448" s="398" t="s">
        <v>221</v>
      </c>
      <c r="H448" s="398" t="s">
        <v>156</v>
      </c>
      <c r="I448" s="398" t="s">
        <v>156</v>
      </c>
    </row>
    <row r="449" spans="1:9" x14ac:dyDescent="0.35">
      <c r="A449" s="395" t="s">
        <v>1053</v>
      </c>
      <c r="B449" s="396" t="s">
        <v>160</v>
      </c>
      <c r="C449" s="395" t="s">
        <v>358</v>
      </c>
      <c r="D449" s="395">
        <v>150</v>
      </c>
      <c r="E449" s="397">
        <f t="shared" si="7"/>
        <v>262635750</v>
      </c>
      <c r="F449" s="398" t="s">
        <v>1054</v>
      </c>
      <c r="G449" s="398" t="s">
        <v>209</v>
      </c>
      <c r="H449" s="398" t="s">
        <v>150</v>
      </c>
      <c r="I449" s="398" t="s">
        <v>249</v>
      </c>
    </row>
    <row r="450" spans="1:9" x14ac:dyDescent="0.35">
      <c r="A450" s="395" t="s">
        <v>1055</v>
      </c>
      <c r="B450" s="396" t="s">
        <v>146</v>
      </c>
      <c r="C450" s="395" t="s">
        <v>147</v>
      </c>
      <c r="D450" s="395">
        <v>135</v>
      </c>
      <c r="E450" s="397">
        <f t="shared" si="7"/>
        <v>236372175</v>
      </c>
      <c r="F450" s="398" t="s">
        <v>1056</v>
      </c>
      <c r="G450" s="398" t="s">
        <v>149</v>
      </c>
      <c r="H450" s="398" t="s">
        <v>156</v>
      </c>
      <c r="I450" s="398" t="s">
        <v>156</v>
      </c>
    </row>
    <row r="451" spans="1:9" x14ac:dyDescent="0.35">
      <c r="A451" s="395" t="s">
        <v>1057</v>
      </c>
      <c r="B451" s="396" t="s">
        <v>146</v>
      </c>
      <c r="C451" s="395" t="s">
        <v>147</v>
      </c>
      <c r="D451" s="395">
        <v>135</v>
      </c>
      <c r="E451" s="397">
        <f t="shared" ref="E451:E514" si="8">D451*$S$2</f>
        <v>236372175</v>
      </c>
      <c r="F451" s="398" t="s">
        <v>1058</v>
      </c>
      <c r="G451" s="398" t="s">
        <v>224</v>
      </c>
      <c r="H451" s="398" t="s">
        <v>156</v>
      </c>
      <c r="I451" s="398" t="s">
        <v>156</v>
      </c>
    </row>
    <row r="452" spans="1:9" x14ac:dyDescent="0.35">
      <c r="A452" s="395" t="s">
        <v>1059</v>
      </c>
      <c r="B452" s="396" t="s">
        <v>146</v>
      </c>
      <c r="C452" s="395" t="s">
        <v>147</v>
      </c>
      <c r="D452" s="395">
        <v>135</v>
      </c>
      <c r="E452" s="397">
        <f t="shared" si="8"/>
        <v>236372175</v>
      </c>
      <c r="F452" s="398" t="s">
        <v>1060</v>
      </c>
      <c r="G452" s="398" t="s">
        <v>149</v>
      </c>
      <c r="H452" s="398" t="s">
        <v>156</v>
      </c>
      <c r="I452" s="398" t="s">
        <v>156</v>
      </c>
    </row>
    <row r="453" spans="1:9" x14ac:dyDescent="0.35">
      <c r="A453" s="395" t="s">
        <v>1061</v>
      </c>
      <c r="B453" s="396" t="s">
        <v>146</v>
      </c>
      <c r="C453" s="395" t="s">
        <v>147</v>
      </c>
      <c r="D453" s="395">
        <v>135</v>
      </c>
      <c r="E453" s="397">
        <f t="shared" si="8"/>
        <v>236372175</v>
      </c>
      <c r="F453" s="398" t="s">
        <v>1060</v>
      </c>
      <c r="G453" s="398" t="s">
        <v>224</v>
      </c>
      <c r="H453" s="398" t="s">
        <v>156</v>
      </c>
      <c r="I453" s="398" t="s">
        <v>156</v>
      </c>
    </row>
    <row r="454" spans="1:9" x14ac:dyDescent="0.35">
      <c r="A454" s="395" t="s">
        <v>1062</v>
      </c>
      <c r="B454" s="396" t="s">
        <v>146</v>
      </c>
      <c r="C454" s="395" t="s">
        <v>147</v>
      </c>
      <c r="D454" s="395">
        <v>135</v>
      </c>
      <c r="E454" s="397">
        <f t="shared" si="8"/>
        <v>236372175</v>
      </c>
      <c r="F454" s="398" t="s">
        <v>1063</v>
      </c>
      <c r="G454" s="398" t="s">
        <v>178</v>
      </c>
      <c r="H454" s="398" t="s">
        <v>156</v>
      </c>
      <c r="I454" s="398" t="s">
        <v>156</v>
      </c>
    </row>
    <row r="455" spans="1:9" x14ac:dyDescent="0.35">
      <c r="A455" s="395" t="s">
        <v>1064</v>
      </c>
      <c r="B455" s="396" t="s">
        <v>146</v>
      </c>
      <c r="C455" s="395" t="s">
        <v>147</v>
      </c>
      <c r="D455" s="395">
        <v>135</v>
      </c>
      <c r="E455" s="397">
        <f t="shared" si="8"/>
        <v>236372175</v>
      </c>
      <c r="F455" s="398" t="s">
        <v>1065</v>
      </c>
      <c r="G455" s="398" t="s">
        <v>185</v>
      </c>
      <c r="H455" s="398" t="s">
        <v>156</v>
      </c>
      <c r="I455" s="398" t="s">
        <v>156</v>
      </c>
    </row>
    <row r="456" spans="1:9" x14ac:dyDescent="0.35">
      <c r="A456" s="395" t="s">
        <v>1066</v>
      </c>
      <c r="B456" s="396" t="s">
        <v>146</v>
      </c>
      <c r="C456" s="395" t="s">
        <v>147</v>
      </c>
      <c r="D456" s="395">
        <v>135</v>
      </c>
      <c r="E456" s="397">
        <f t="shared" si="8"/>
        <v>236372175</v>
      </c>
      <c r="F456" s="398" t="s">
        <v>1067</v>
      </c>
      <c r="G456" s="398" t="s">
        <v>185</v>
      </c>
      <c r="H456" s="398" t="s">
        <v>156</v>
      </c>
      <c r="I456" s="398" t="s">
        <v>156</v>
      </c>
    </row>
    <row r="457" spans="1:9" x14ac:dyDescent="0.35">
      <c r="A457" s="395" t="s">
        <v>1068</v>
      </c>
      <c r="B457" s="396" t="s">
        <v>146</v>
      </c>
      <c r="C457" s="395" t="s">
        <v>147</v>
      </c>
      <c r="D457" s="395">
        <v>135</v>
      </c>
      <c r="E457" s="397">
        <f t="shared" si="8"/>
        <v>236372175</v>
      </c>
      <c r="F457" s="398" t="s">
        <v>1069</v>
      </c>
      <c r="G457" s="398" t="s">
        <v>336</v>
      </c>
      <c r="H457" s="398" t="s">
        <v>156</v>
      </c>
      <c r="I457" s="398" t="s">
        <v>156</v>
      </c>
    </row>
    <row r="458" spans="1:9" x14ac:dyDescent="0.35">
      <c r="A458" s="395" t="s">
        <v>1070</v>
      </c>
      <c r="B458" s="396" t="s">
        <v>146</v>
      </c>
      <c r="C458" s="395" t="s">
        <v>147</v>
      </c>
      <c r="D458" s="395">
        <v>135</v>
      </c>
      <c r="E458" s="397">
        <f t="shared" si="8"/>
        <v>236372175</v>
      </c>
      <c r="F458" s="398" t="s">
        <v>1071</v>
      </c>
      <c r="G458" s="398" t="s">
        <v>178</v>
      </c>
      <c r="H458" s="398" t="s">
        <v>156</v>
      </c>
      <c r="I458" s="398" t="s">
        <v>156</v>
      </c>
    </row>
    <row r="459" spans="1:9" x14ac:dyDescent="0.35">
      <c r="A459" s="395" t="s">
        <v>1072</v>
      </c>
      <c r="B459" s="396" t="s">
        <v>146</v>
      </c>
      <c r="C459" s="395" t="s">
        <v>147</v>
      </c>
      <c r="D459" s="395">
        <v>135</v>
      </c>
      <c r="E459" s="397">
        <f t="shared" si="8"/>
        <v>236372175</v>
      </c>
      <c r="F459" s="398" t="s">
        <v>1073</v>
      </c>
      <c r="G459" s="398" t="s">
        <v>167</v>
      </c>
      <c r="H459" s="398" t="s">
        <v>156</v>
      </c>
      <c r="I459" s="398" t="s">
        <v>156</v>
      </c>
    </row>
    <row r="460" spans="1:9" x14ac:dyDescent="0.35">
      <c r="A460" s="395" t="s">
        <v>1074</v>
      </c>
      <c r="B460" s="396" t="s">
        <v>146</v>
      </c>
      <c r="C460" s="395" t="s">
        <v>147</v>
      </c>
      <c r="D460" s="395">
        <v>135</v>
      </c>
      <c r="E460" s="397">
        <f t="shared" si="8"/>
        <v>236372175</v>
      </c>
      <c r="F460" s="398" t="s">
        <v>1075</v>
      </c>
      <c r="G460" s="398" t="s">
        <v>324</v>
      </c>
      <c r="H460" s="398" t="s">
        <v>240</v>
      </c>
      <c r="I460" s="398" t="s">
        <v>182</v>
      </c>
    </row>
    <row r="461" spans="1:9" x14ac:dyDescent="0.35">
      <c r="A461" s="395" t="s">
        <v>1076</v>
      </c>
      <c r="B461" s="396" t="s">
        <v>146</v>
      </c>
      <c r="C461" s="395" t="s">
        <v>147</v>
      </c>
      <c r="D461" s="395">
        <v>135</v>
      </c>
      <c r="E461" s="397">
        <f t="shared" si="8"/>
        <v>236372175</v>
      </c>
      <c r="F461" s="398" t="s">
        <v>1077</v>
      </c>
      <c r="G461" s="398" t="s">
        <v>170</v>
      </c>
      <c r="H461" s="398" t="s">
        <v>156</v>
      </c>
      <c r="I461" s="398" t="s">
        <v>156</v>
      </c>
    </row>
    <row r="462" spans="1:9" x14ac:dyDescent="0.35">
      <c r="A462" s="395" t="s">
        <v>1078</v>
      </c>
      <c r="B462" s="396" t="s">
        <v>146</v>
      </c>
      <c r="C462" s="395" t="s">
        <v>147</v>
      </c>
      <c r="D462" s="395">
        <v>135</v>
      </c>
      <c r="E462" s="397">
        <f t="shared" si="8"/>
        <v>236372175</v>
      </c>
      <c r="F462" s="398" t="s">
        <v>1079</v>
      </c>
      <c r="G462" s="398" t="s">
        <v>185</v>
      </c>
      <c r="H462" s="398" t="s">
        <v>156</v>
      </c>
      <c r="I462" s="398" t="s">
        <v>156</v>
      </c>
    </row>
    <row r="463" spans="1:9" x14ac:dyDescent="0.35">
      <c r="A463" s="395" t="s">
        <v>1080</v>
      </c>
      <c r="B463" s="396" t="s">
        <v>160</v>
      </c>
      <c r="C463" s="395" t="s">
        <v>358</v>
      </c>
      <c r="D463" s="395">
        <v>150</v>
      </c>
      <c r="E463" s="397">
        <f t="shared" si="8"/>
        <v>262635750</v>
      </c>
      <c r="F463" s="398" t="s">
        <v>1081</v>
      </c>
      <c r="G463" s="398" t="s">
        <v>178</v>
      </c>
      <c r="H463" s="398" t="s">
        <v>462</v>
      </c>
      <c r="I463" s="398" t="s">
        <v>164</v>
      </c>
    </row>
    <row r="464" spans="1:9" x14ac:dyDescent="0.35">
      <c r="A464" s="395" t="s">
        <v>1082</v>
      </c>
      <c r="B464" s="396" t="s">
        <v>146</v>
      </c>
      <c r="C464" s="395" t="s">
        <v>147</v>
      </c>
      <c r="D464" s="395">
        <v>135</v>
      </c>
      <c r="E464" s="397">
        <f t="shared" si="8"/>
        <v>236372175</v>
      </c>
      <c r="F464" s="398" t="s">
        <v>1083</v>
      </c>
      <c r="G464" s="398" t="s">
        <v>224</v>
      </c>
      <c r="H464" s="398" t="s">
        <v>156</v>
      </c>
      <c r="I464" s="398" t="s">
        <v>156</v>
      </c>
    </row>
    <row r="465" spans="1:9" x14ac:dyDescent="0.35">
      <c r="A465" s="395" t="s">
        <v>1084</v>
      </c>
      <c r="B465" s="396" t="s">
        <v>146</v>
      </c>
      <c r="C465" s="395" t="s">
        <v>147</v>
      </c>
      <c r="D465" s="395">
        <v>135</v>
      </c>
      <c r="E465" s="397">
        <f t="shared" si="8"/>
        <v>236372175</v>
      </c>
      <c r="F465" s="398" t="s">
        <v>1085</v>
      </c>
      <c r="G465" s="398" t="s">
        <v>149</v>
      </c>
      <c r="H465" s="398" t="s">
        <v>240</v>
      </c>
      <c r="I465" s="398" t="s">
        <v>151</v>
      </c>
    </row>
    <row r="466" spans="1:9" x14ac:dyDescent="0.35">
      <c r="A466" s="395" t="s">
        <v>1086</v>
      </c>
      <c r="B466" s="396" t="s">
        <v>146</v>
      </c>
      <c r="C466" s="395" t="s">
        <v>147</v>
      </c>
      <c r="D466" s="395">
        <v>135</v>
      </c>
      <c r="E466" s="397">
        <f t="shared" si="8"/>
        <v>236372175</v>
      </c>
      <c r="F466" s="398" t="s">
        <v>1087</v>
      </c>
      <c r="G466" s="398" t="s">
        <v>272</v>
      </c>
      <c r="H466" s="398" t="s">
        <v>156</v>
      </c>
      <c r="I466" s="398" t="s">
        <v>156</v>
      </c>
    </row>
    <row r="467" spans="1:9" x14ac:dyDescent="0.35">
      <c r="A467" s="395" t="s">
        <v>1088</v>
      </c>
      <c r="B467" s="396" t="s">
        <v>146</v>
      </c>
      <c r="C467" s="395" t="s">
        <v>147</v>
      </c>
      <c r="D467" s="395">
        <v>135</v>
      </c>
      <c r="E467" s="397">
        <f t="shared" si="8"/>
        <v>236372175</v>
      </c>
      <c r="F467" s="398" t="s">
        <v>1089</v>
      </c>
      <c r="G467" s="398" t="s">
        <v>783</v>
      </c>
      <c r="H467" s="398" t="s">
        <v>156</v>
      </c>
      <c r="I467" s="398" t="s">
        <v>156</v>
      </c>
    </row>
    <row r="468" spans="1:9" x14ac:dyDescent="0.35">
      <c r="A468" s="395" t="s">
        <v>1090</v>
      </c>
      <c r="B468" s="396" t="s">
        <v>160</v>
      </c>
      <c r="C468" s="395" t="s">
        <v>147</v>
      </c>
      <c r="D468" s="395">
        <v>135</v>
      </c>
      <c r="E468" s="397">
        <f t="shared" si="8"/>
        <v>236372175</v>
      </c>
      <c r="F468" s="398" t="s">
        <v>1091</v>
      </c>
      <c r="G468" s="398" t="s">
        <v>200</v>
      </c>
      <c r="H468" s="398" t="s">
        <v>156</v>
      </c>
      <c r="I468" s="398" t="s">
        <v>156</v>
      </c>
    </row>
    <row r="469" spans="1:9" x14ac:dyDescent="0.35">
      <c r="A469" s="395" t="s">
        <v>1092</v>
      </c>
      <c r="B469" s="396" t="s">
        <v>146</v>
      </c>
      <c r="C469" s="395" t="s">
        <v>147</v>
      </c>
      <c r="D469" s="395">
        <v>135</v>
      </c>
      <c r="E469" s="397">
        <f t="shared" si="8"/>
        <v>236372175</v>
      </c>
      <c r="F469" s="398" t="s">
        <v>1093</v>
      </c>
      <c r="G469" s="398" t="s">
        <v>209</v>
      </c>
      <c r="H469" s="398" t="s">
        <v>156</v>
      </c>
      <c r="I469" s="398" t="s">
        <v>156</v>
      </c>
    </row>
    <row r="470" spans="1:9" x14ac:dyDescent="0.35">
      <c r="A470" s="395" t="s">
        <v>1094</v>
      </c>
      <c r="B470" s="396" t="s">
        <v>146</v>
      </c>
      <c r="C470" s="395" t="s">
        <v>147</v>
      </c>
      <c r="D470" s="395">
        <v>135</v>
      </c>
      <c r="E470" s="397">
        <f t="shared" si="8"/>
        <v>236372175</v>
      </c>
      <c r="F470" s="398" t="s">
        <v>1095</v>
      </c>
      <c r="G470" s="398" t="s">
        <v>188</v>
      </c>
      <c r="H470" s="398" t="s">
        <v>240</v>
      </c>
      <c r="I470" s="398" t="s">
        <v>249</v>
      </c>
    </row>
    <row r="471" spans="1:9" x14ac:dyDescent="0.35">
      <c r="A471" s="395" t="s">
        <v>1096</v>
      </c>
      <c r="B471" s="396" t="s">
        <v>146</v>
      </c>
      <c r="C471" s="395" t="s">
        <v>147</v>
      </c>
      <c r="D471" s="395">
        <v>135</v>
      </c>
      <c r="E471" s="397">
        <f t="shared" si="8"/>
        <v>236372175</v>
      </c>
      <c r="F471" s="398" t="s">
        <v>1097</v>
      </c>
      <c r="G471" s="398" t="s">
        <v>155</v>
      </c>
      <c r="H471" s="398" t="s">
        <v>156</v>
      </c>
      <c r="I471" s="398" t="s">
        <v>156</v>
      </c>
    </row>
    <row r="472" spans="1:9" x14ac:dyDescent="0.35">
      <c r="A472" s="395" t="s">
        <v>1098</v>
      </c>
      <c r="B472" s="396" t="s">
        <v>146</v>
      </c>
      <c r="C472" s="395" t="s">
        <v>358</v>
      </c>
      <c r="D472" s="395">
        <v>150</v>
      </c>
      <c r="E472" s="397">
        <f t="shared" si="8"/>
        <v>262635750</v>
      </c>
      <c r="F472" s="398" t="s">
        <v>1099</v>
      </c>
      <c r="G472" s="398" t="s">
        <v>149</v>
      </c>
      <c r="H472" s="398" t="s">
        <v>163</v>
      </c>
      <c r="I472" s="398" t="s">
        <v>151</v>
      </c>
    </row>
    <row r="473" spans="1:9" x14ac:dyDescent="0.35">
      <c r="A473" s="395" t="s">
        <v>1100</v>
      </c>
      <c r="B473" s="396" t="s">
        <v>146</v>
      </c>
      <c r="C473" s="395" t="s">
        <v>147</v>
      </c>
      <c r="D473" s="395">
        <v>135</v>
      </c>
      <c r="E473" s="397">
        <f t="shared" si="8"/>
        <v>236372175</v>
      </c>
      <c r="F473" s="398" t="s">
        <v>1101</v>
      </c>
      <c r="G473" s="398" t="s">
        <v>200</v>
      </c>
      <c r="H473" s="398" t="s">
        <v>156</v>
      </c>
      <c r="I473" s="398" t="s">
        <v>156</v>
      </c>
    </row>
    <row r="474" spans="1:9" x14ac:dyDescent="0.35">
      <c r="A474" s="395" t="s">
        <v>1102</v>
      </c>
      <c r="B474" s="396" t="s">
        <v>146</v>
      </c>
      <c r="C474" s="395" t="s">
        <v>147</v>
      </c>
      <c r="D474" s="395">
        <v>135</v>
      </c>
      <c r="E474" s="397">
        <f t="shared" si="8"/>
        <v>236372175</v>
      </c>
      <c r="F474" s="398" t="s">
        <v>1103</v>
      </c>
      <c r="G474" s="398" t="s">
        <v>181</v>
      </c>
      <c r="H474" s="398" t="s">
        <v>156</v>
      </c>
      <c r="I474" s="398" t="s">
        <v>156</v>
      </c>
    </row>
    <row r="475" spans="1:9" x14ac:dyDescent="0.35">
      <c r="A475" s="395" t="s">
        <v>1104</v>
      </c>
      <c r="B475" s="396" t="s">
        <v>146</v>
      </c>
      <c r="C475" s="395" t="s">
        <v>147</v>
      </c>
      <c r="D475" s="395">
        <v>135</v>
      </c>
      <c r="E475" s="397">
        <f t="shared" si="8"/>
        <v>236372175</v>
      </c>
      <c r="F475" s="398" t="s">
        <v>1105</v>
      </c>
      <c r="G475" s="398" t="s">
        <v>356</v>
      </c>
      <c r="H475" s="398" t="s">
        <v>156</v>
      </c>
      <c r="I475" s="398" t="s">
        <v>156</v>
      </c>
    </row>
    <row r="476" spans="1:9" x14ac:dyDescent="0.35">
      <c r="A476" s="395" t="s">
        <v>1106</v>
      </c>
      <c r="B476" s="396" t="s">
        <v>146</v>
      </c>
      <c r="C476" s="395" t="s">
        <v>147</v>
      </c>
      <c r="D476" s="395">
        <v>135</v>
      </c>
      <c r="E476" s="397">
        <f t="shared" si="8"/>
        <v>236372175</v>
      </c>
      <c r="F476" s="398" t="s">
        <v>1107</v>
      </c>
      <c r="G476" s="398" t="s">
        <v>181</v>
      </c>
      <c r="H476" s="398" t="s">
        <v>240</v>
      </c>
      <c r="I476" s="398" t="s">
        <v>182</v>
      </c>
    </row>
    <row r="477" spans="1:9" x14ac:dyDescent="0.35">
      <c r="A477" s="395" t="s">
        <v>1108</v>
      </c>
      <c r="B477" s="396" t="s">
        <v>146</v>
      </c>
      <c r="C477" s="395" t="s">
        <v>147</v>
      </c>
      <c r="D477" s="395">
        <v>135</v>
      </c>
      <c r="E477" s="397">
        <f t="shared" si="8"/>
        <v>236372175</v>
      </c>
      <c r="F477" s="398" t="s">
        <v>1109</v>
      </c>
      <c r="G477" s="398" t="s">
        <v>205</v>
      </c>
      <c r="H477" s="398" t="s">
        <v>156</v>
      </c>
      <c r="I477" s="398" t="s">
        <v>156</v>
      </c>
    </row>
    <row r="478" spans="1:9" x14ac:dyDescent="0.35">
      <c r="A478" s="395" t="s">
        <v>1110</v>
      </c>
      <c r="B478" s="396" t="s">
        <v>146</v>
      </c>
      <c r="C478" s="395" t="s">
        <v>147</v>
      </c>
      <c r="D478" s="395">
        <v>135</v>
      </c>
      <c r="E478" s="397">
        <f t="shared" si="8"/>
        <v>236372175</v>
      </c>
      <c r="F478" s="398" t="s">
        <v>1111</v>
      </c>
      <c r="G478" s="398" t="s">
        <v>200</v>
      </c>
      <c r="H478" s="398" t="s">
        <v>156</v>
      </c>
      <c r="I478" s="398" t="s">
        <v>156</v>
      </c>
    </row>
    <row r="479" spans="1:9" x14ac:dyDescent="0.35">
      <c r="A479" s="395" t="s">
        <v>1112</v>
      </c>
      <c r="B479" s="396" t="s">
        <v>146</v>
      </c>
      <c r="C479" s="395" t="s">
        <v>147</v>
      </c>
      <c r="D479" s="395">
        <v>135</v>
      </c>
      <c r="E479" s="397">
        <f t="shared" si="8"/>
        <v>236372175</v>
      </c>
      <c r="F479" s="398" t="s">
        <v>1113</v>
      </c>
      <c r="G479" s="398" t="s">
        <v>162</v>
      </c>
      <c r="H479" s="398" t="s">
        <v>156</v>
      </c>
      <c r="I479" s="398" t="s">
        <v>156</v>
      </c>
    </row>
    <row r="480" spans="1:9" x14ac:dyDescent="0.35">
      <c r="A480" s="395" t="s">
        <v>1114</v>
      </c>
      <c r="B480" s="396" t="s">
        <v>146</v>
      </c>
      <c r="C480" s="395" t="s">
        <v>147</v>
      </c>
      <c r="D480" s="395">
        <v>135</v>
      </c>
      <c r="E480" s="397">
        <f t="shared" si="8"/>
        <v>236372175</v>
      </c>
      <c r="F480" s="398" t="s">
        <v>1115</v>
      </c>
      <c r="G480" s="398" t="s">
        <v>188</v>
      </c>
      <c r="H480" s="398" t="s">
        <v>156</v>
      </c>
      <c r="I480" s="398" t="s">
        <v>156</v>
      </c>
    </row>
    <row r="481" spans="1:9" x14ac:dyDescent="0.35">
      <c r="A481" s="395" t="s">
        <v>1116</v>
      </c>
      <c r="B481" s="396" t="s">
        <v>146</v>
      </c>
      <c r="C481" s="395" t="s">
        <v>147</v>
      </c>
      <c r="D481" s="395">
        <v>135</v>
      </c>
      <c r="E481" s="397">
        <f t="shared" si="8"/>
        <v>236372175</v>
      </c>
      <c r="F481" s="398" t="s">
        <v>1117</v>
      </c>
      <c r="G481" s="398" t="s">
        <v>178</v>
      </c>
      <c r="H481" s="398" t="s">
        <v>150</v>
      </c>
      <c r="I481" s="398" t="s">
        <v>164</v>
      </c>
    </row>
    <row r="482" spans="1:9" x14ac:dyDescent="0.35">
      <c r="A482" s="395" t="s">
        <v>1118</v>
      </c>
      <c r="B482" s="396" t="s">
        <v>146</v>
      </c>
      <c r="C482" s="395" t="s">
        <v>147</v>
      </c>
      <c r="D482" s="395">
        <v>135</v>
      </c>
      <c r="E482" s="397">
        <f t="shared" si="8"/>
        <v>236372175</v>
      </c>
      <c r="F482" s="398" t="s">
        <v>1119</v>
      </c>
      <c r="G482" s="398" t="s">
        <v>203</v>
      </c>
      <c r="H482" s="398" t="s">
        <v>156</v>
      </c>
      <c r="I482" s="398" t="s">
        <v>156</v>
      </c>
    </row>
    <row r="483" spans="1:9" x14ac:dyDescent="0.35">
      <c r="A483" s="395" t="s">
        <v>1120</v>
      </c>
      <c r="B483" s="396" t="s">
        <v>146</v>
      </c>
      <c r="C483" s="395" t="s">
        <v>147</v>
      </c>
      <c r="D483" s="395">
        <v>135</v>
      </c>
      <c r="E483" s="397">
        <f t="shared" si="8"/>
        <v>236372175</v>
      </c>
      <c r="F483" s="398" t="s">
        <v>1121</v>
      </c>
      <c r="G483" s="398" t="s">
        <v>178</v>
      </c>
      <c r="H483" s="398" t="s">
        <v>156</v>
      </c>
      <c r="I483" s="398" t="s">
        <v>156</v>
      </c>
    </row>
    <row r="484" spans="1:9" x14ac:dyDescent="0.35">
      <c r="A484" s="395" t="s">
        <v>1122</v>
      </c>
      <c r="B484" s="396" t="s">
        <v>146</v>
      </c>
      <c r="C484" s="395" t="s">
        <v>147</v>
      </c>
      <c r="D484" s="395">
        <v>135</v>
      </c>
      <c r="E484" s="397">
        <f t="shared" si="8"/>
        <v>236372175</v>
      </c>
      <c r="F484" s="398" t="s">
        <v>1123</v>
      </c>
      <c r="G484" s="398" t="s">
        <v>181</v>
      </c>
      <c r="H484" s="398" t="s">
        <v>156</v>
      </c>
      <c r="I484" s="398" t="s">
        <v>156</v>
      </c>
    </row>
    <row r="485" spans="1:9" x14ac:dyDescent="0.35">
      <c r="A485" s="395" t="s">
        <v>1124</v>
      </c>
      <c r="B485" s="396" t="s">
        <v>146</v>
      </c>
      <c r="C485" s="395" t="s">
        <v>147</v>
      </c>
      <c r="D485" s="395">
        <v>135</v>
      </c>
      <c r="E485" s="397">
        <f t="shared" si="8"/>
        <v>236372175</v>
      </c>
      <c r="F485" s="398" t="s">
        <v>1123</v>
      </c>
      <c r="G485" s="398" t="s">
        <v>185</v>
      </c>
      <c r="H485" s="398" t="s">
        <v>156</v>
      </c>
      <c r="I485" s="398" t="s">
        <v>156</v>
      </c>
    </row>
    <row r="486" spans="1:9" x14ac:dyDescent="0.35">
      <c r="A486" s="395" t="s">
        <v>1125</v>
      </c>
      <c r="B486" s="396" t="s">
        <v>146</v>
      </c>
      <c r="C486" s="395" t="s">
        <v>147</v>
      </c>
      <c r="D486" s="395">
        <v>135</v>
      </c>
      <c r="E486" s="397">
        <f t="shared" si="8"/>
        <v>236372175</v>
      </c>
      <c r="F486" s="398" t="s">
        <v>1126</v>
      </c>
      <c r="G486" s="398" t="s">
        <v>783</v>
      </c>
      <c r="H486" s="398" t="s">
        <v>156</v>
      </c>
      <c r="I486" s="398" t="s">
        <v>156</v>
      </c>
    </row>
    <row r="487" spans="1:9" x14ac:dyDescent="0.35">
      <c r="A487" s="395" t="s">
        <v>1127</v>
      </c>
      <c r="B487" s="396" t="s">
        <v>146</v>
      </c>
      <c r="C487" s="395" t="s">
        <v>147</v>
      </c>
      <c r="D487" s="395">
        <v>135</v>
      </c>
      <c r="E487" s="397">
        <f t="shared" si="8"/>
        <v>236372175</v>
      </c>
      <c r="F487" s="398" t="s">
        <v>1128</v>
      </c>
      <c r="G487" s="398" t="s">
        <v>178</v>
      </c>
      <c r="H487" s="398" t="s">
        <v>156</v>
      </c>
      <c r="I487" s="398" t="s">
        <v>156</v>
      </c>
    </row>
    <row r="488" spans="1:9" x14ac:dyDescent="0.35">
      <c r="A488" s="395" t="s">
        <v>1129</v>
      </c>
      <c r="B488" s="396" t="s">
        <v>146</v>
      </c>
      <c r="C488" s="395" t="s">
        <v>147</v>
      </c>
      <c r="D488" s="395">
        <v>135</v>
      </c>
      <c r="E488" s="397">
        <f t="shared" si="8"/>
        <v>236372175</v>
      </c>
      <c r="F488" s="398" t="s">
        <v>1130</v>
      </c>
      <c r="G488" s="398" t="s">
        <v>149</v>
      </c>
      <c r="H488" s="398" t="s">
        <v>156</v>
      </c>
      <c r="I488" s="398" t="s">
        <v>156</v>
      </c>
    </row>
    <row r="489" spans="1:9" x14ac:dyDescent="0.35">
      <c r="A489" s="395" t="s">
        <v>1131</v>
      </c>
      <c r="B489" s="396" t="s">
        <v>146</v>
      </c>
      <c r="C489" s="395" t="s">
        <v>147</v>
      </c>
      <c r="D489" s="395">
        <v>135</v>
      </c>
      <c r="E489" s="397">
        <f t="shared" si="8"/>
        <v>236372175</v>
      </c>
      <c r="F489" s="398" t="s">
        <v>1132</v>
      </c>
      <c r="G489" s="398" t="s">
        <v>170</v>
      </c>
      <c r="H489" s="398" t="s">
        <v>240</v>
      </c>
      <c r="I489" s="398" t="s">
        <v>164</v>
      </c>
    </row>
    <row r="490" spans="1:9" x14ac:dyDescent="0.35">
      <c r="A490" s="395" t="s">
        <v>1133</v>
      </c>
      <c r="B490" s="396" t="s">
        <v>146</v>
      </c>
      <c r="C490" s="395" t="s">
        <v>147</v>
      </c>
      <c r="D490" s="395">
        <v>135</v>
      </c>
      <c r="E490" s="397">
        <f t="shared" si="8"/>
        <v>236372175</v>
      </c>
      <c r="F490" s="398" t="s">
        <v>1134</v>
      </c>
      <c r="G490" s="398" t="s">
        <v>155</v>
      </c>
      <c r="H490" s="398" t="s">
        <v>156</v>
      </c>
      <c r="I490" s="398" t="s">
        <v>156</v>
      </c>
    </row>
    <row r="491" spans="1:9" x14ac:dyDescent="0.35">
      <c r="A491" s="395" t="s">
        <v>1135</v>
      </c>
      <c r="B491" s="396" t="s">
        <v>146</v>
      </c>
      <c r="C491" s="395" t="s">
        <v>147</v>
      </c>
      <c r="D491" s="395">
        <v>135</v>
      </c>
      <c r="E491" s="397">
        <f t="shared" si="8"/>
        <v>236372175</v>
      </c>
      <c r="F491" s="398" t="s">
        <v>1136</v>
      </c>
      <c r="G491" s="398" t="s">
        <v>708</v>
      </c>
      <c r="H491" s="398" t="s">
        <v>156</v>
      </c>
      <c r="I491" s="398" t="s">
        <v>156</v>
      </c>
    </row>
    <row r="492" spans="1:9" x14ac:dyDescent="0.35">
      <c r="A492" s="395" t="s">
        <v>1137</v>
      </c>
      <c r="B492" s="396" t="s">
        <v>146</v>
      </c>
      <c r="C492" s="395" t="s">
        <v>147</v>
      </c>
      <c r="D492" s="395">
        <v>135</v>
      </c>
      <c r="E492" s="397">
        <f t="shared" si="8"/>
        <v>236372175</v>
      </c>
      <c r="F492" s="398" t="s">
        <v>1138</v>
      </c>
      <c r="G492" s="398" t="s">
        <v>191</v>
      </c>
      <c r="H492" s="398" t="s">
        <v>156</v>
      </c>
      <c r="I492" s="398" t="s">
        <v>156</v>
      </c>
    </row>
    <row r="493" spans="1:9" x14ac:dyDescent="0.35">
      <c r="A493" s="395" t="s">
        <v>1139</v>
      </c>
      <c r="B493" s="396" t="s">
        <v>146</v>
      </c>
      <c r="C493" s="395" t="s">
        <v>147</v>
      </c>
      <c r="D493" s="395">
        <v>135</v>
      </c>
      <c r="E493" s="397">
        <f t="shared" si="8"/>
        <v>236372175</v>
      </c>
      <c r="F493" s="398" t="s">
        <v>1140</v>
      </c>
      <c r="G493" s="398" t="s">
        <v>221</v>
      </c>
      <c r="H493" s="398" t="s">
        <v>156</v>
      </c>
      <c r="I493" s="398" t="s">
        <v>156</v>
      </c>
    </row>
    <row r="494" spans="1:9" x14ac:dyDescent="0.35">
      <c r="A494" s="395" t="s">
        <v>1141</v>
      </c>
      <c r="B494" s="396" t="s">
        <v>146</v>
      </c>
      <c r="C494" s="395" t="s">
        <v>147</v>
      </c>
      <c r="D494" s="395">
        <v>135</v>
      </c>
      <c r="E494" s="397">
        <f t="shared" si="8"/>
        <v>236372175</v>
      </c>
      <c r="F494" s="398" t="s">
        <v>1142</v>
      </c>
      <c r="G494" s="398" t="s">
        <v>311</v>
      </c>
      <c r="H494" s="398" t="s">
        <v>156</v>
      </c>
      <c r="I494" s="398" t="s">
        <v>156</v>
      </c>
    </row>
    <row r="495" spans="1:9" x14ac:dyDescent="0.35">
      <c r="A495" s="395" t="s">
        <v>1143</v>
      </c>
      <c r="B495" s="396" t="s">
        <v>146</v>
      </c>
      <c r="C495" s="395" t="s">
        <v>147</v>
      </c>
      <c r="D495" s="395">
        <v>135</v>
      </c>
      <c r="E495" s="397">
        <f t="shared" si="8"/>
        <v>236372175</v>
      </c>
      <c r="F495" s="398" t="s">
        <v>1144</v>
      </c>
      <c r="G495" s="398" t="s">
        <v>200</v>
      </c>
      <c r="H495" s="398" t="s">
        <v>156</v>
      </c>
      <c r="I495" s="398" t="s">
        <v>156</v>
      </c>
    </row>
    <row r="496" spans="1:9" x14ac:dyDescent="0.35">
      <c r="A496" s="395" t="s">
        <v>1145</v>
      </c>
      <c r="B496" s="396" t="s">
        <v>146</v>
      </c>
      <c r="C496" s="395" t="s">
        <v>147</v>
      </c>
      <c r="D496" s="395">
        <v>135</v>
      </c>
      <c r="E496" s="397">
        <f t="shared" si="8"/>
        <v>236372175</v>
      </c>
      <c r="F496" s="398" t="s">
        <v>1146</v>
      </c>
      <c r="G496" s="398" t="s">
        <v>149</v>
      </c>
      <c r="H496" s="398" t="s">
        <v>156</v>
      </c>
      <c r="I496" s="398" t="s">
        <v>156</v>
      </c>
    </row>
    <row r="497" spans="1:9" x14ac:dyDescent="0.35">
      <c r="A497" s="395" t="s">
        <v>1147</v>
      </c>
      <c r="B497" s="396" t="s">
        <v>146</v>
      </c>
      <c r="C497" s="395" t="s">
        <v>147</v>
      </c>
      <c r="D497" s="395">
        <v>135</v>
      </c>
      <c r="E497" s="397">
        <f t="shared" si="8"/>
        <v>236372175</v>
      </c>
      <c r="F497" s="398" t="s">
        <v>1146</v>
      </c>
      <c r="G497" s="398" t="s">
        <v>200</v>
      </c>
      <c r="H497" s="398" t="s">
        <v>240</v>
      </c>
      <c r="I497" s="398" t="s">
        <v>249</v>
      </c>
    </row>
    <row r="498" spans="1:9" x14ac:dyDescent="0.35">
      <c r="A498" s="395" t="s">
        <v>1148</v>
      </c>
      <c r="B498" s="396" t="s">
        <v>146</v>
      </c>
      <c r="C498" s="395" t="s">
        <v>147</v>
      </c>
      <c r="D498" s="395">
        <v>135</v>
      </c>
      <c r="E498" s="397">
        <f t="shared" si="8"/>
        <v>236372175</v>
      </c>
      <c r="F498" s="398" t="s">
        <v>1146</v>
      </c>
      <c r="G498" s="398" t="s">
        <v>424</v>
      </c>
      <c r="H498" s="398" t="s">
        <v>156</v>
      </c>
      <c r="I498" s="398" t="s">
        <v>156</v>
      </c>
    </row>
    <row r="499" spans="1:9" x14ac:dyDescent="0.35">
      <c r="A499" s="395" t="s">
        <v>1149</v>
      </c>
      <c r="B499" s="396" t="s">
        <v>146</v>
      </c>
      <c r="C499" s="395" t="s">
        <v>147</v>
      </c>
      <c r="D499" s="395">
        <v>135</v>
      </c>
      <c r="E499" s="397">
        <f t="shared" si="8"/>
        <v>236372175</v>
      </c>
      <c r="F499" s="398" t="s">
        <v>1146</v>
      </c>
      <c r="G499" s="398" t="s">
        <v>209</v>
      </c>
      <c r="H499" s="398" t="s">
        <v>156</v>
      </c>
      <c r="I499" s="398" t="s">
        <v>156</v>
      </c>
    </row>
    <row r="500" spans="1:9" x14ac:dyDescent="0.35">
      <c r="A500" s="395" t="s">
        <v>1150</v>
      </c>
      <c r="B500" s="396" t="s">
        <v>146</v>
      </c>
      <c r="C500" s="395" t="s">
        <v>147</v>
      </c>
      <c r="D500" s="395">
        <v>135</v>
      </c>
      <c r="E500" s="397">
        <f t="shared" si="8"/>
        <v>236372175</v>
      </c>
      <c r="F500" s="398" t="s">
        <v>1151</v>
      </c>
      <c r="G500" s="398" t="s">
        <v>224</v>
      </c>
      <c r="H500" s="398" t="s">
        <v>156</v>
      </c>
      <c r="I500" s="398" t="s">
        <v>156</v>
      </c>
    </row>
    <row r="501" spans="1:9" x14ac:dyDescent="0.35">
      <c r="A501" s="395" t="s">
        <v>1152</v>
      </c>
      <c r="B501" s="396" t="s">
        <v>146</v>
      </c>
      <c r="C501" s="395" t="s">
        <v>147</v>
      </c>
      <c r="D501" s="395">
        <v>135</v>
      </c>
      <c r="E501" s="397">
        <f t="shared" si="8"/>
        <v>236372175</v>
      </c>
      <c r="F501" s="398" t="s">
        <v>1153</v>
      </c>
      <c r="G501" s="398" t="s">
        <v>221</v>
      </c>
      <c r="H501" s="398" t="s">
        <v>156</v>
      </c>
      <c r="I501" s="398" t="s">
        <v>156</v>
      </c>
    </row>
    <row r="502" spans="1:9" x14ac:dyDescent="0.35">
      <c r="A502" s="395" t="s">
        <v>1154</v>
      </c>
      <c r="B502" s="396" t="s">
        <v>146</v>
      </c>
      <c r="C502" s="395" t="s">
        <v>147</v>
      </c>
      <c r="D502" s="395">
        <v>135</v>
      </c>
      <c r="E502" s="397">
        <f t="shared" si="8"/>
        <v>236372175</v>
      </c>
      <c r="F502" s="398" t="s">
        <v>1153</v>
      </c>
      <c r="G502" s="398" t="s">
        <v>178</v>
      </c>
      <c r="H502" s="398" t="s">
        <v>150</v>
      </c>
      <c r="I502" s="398" t="s">
        <v>164</v>
      </c>
    </row>
    <row r="503" spans="1:9" x14ac:dyDescent="0.35">
      <c r="A503" s="395" t="s">
        <v>1155</v>
      </c>
      <c r="B503" s="396" t="s">
        <v>146</v>
      </c>
      <c r="C503" s="395" t="s">
        <v>147</v>
      </c>
      <c r="D503" s="395">
        <v>135</v>
      </c>
      <c r="E503" s="397">
        <f t="shared" si="8"/>
        <v>236372175</v>
      </c>
      <c r="F503" s="398" t="s">
        <v>1156</v>
      </c>
      <c r="G503" s="398" t="s">
        <v>783</v>
      </c>
      <c r="H503" s="398" t="s">
        <v>156</v>
      </c>
      <c r="I503" s="398" t="s">
        <v>156</v>
      </c>
    </row>
    <row r="504" spans="1:9" x14ac:dyDescent="0.35">
      <c r="A504" s="395" t="s">
        <v>1157</v>
      </c>
      <c r="B504" s="396" t="s">
        <v>146</v>
      </c>
      <c r="C504" s="395" t="s">
        <v>147</v>
      </c>
      <c r="D504" s="395">
        <v>135</v>
      </c>
      <c r="E504" s="397">
        <f t="shared" si="8"/>
        <v>236372175</v>
      </c>
      <c r="F504" s="398" t="s">
        <v>1156</v>
      </c>
      <c r="G504" s="398" t="s">
        <v>224</v>
      </c>
      <c r="H504" s="398" t="s">
        <v>156</v>
      </c>
      <c r="I504" s="398" t="s">
        <v>156</v>
      </c>
    </row>
    <row r="505" spans="1:9" x14ac:dyDescent="0.35">
      <c r="A505" s="395" t="s">
        <v>1158</v>
      </c>
      <c r="B505" s="396" t="s">
        <v>146</v>
      </c>
      <c r="C505" s="395" t="s">
        <v>147</v>
      </c>
      <c r="D505" s="395">
        <v>135</v>
      </c>
      <c r="E505" s="397">
        <f t="shared" si="8"/>
        <v>236372175</v>
      </c>
      <c r="F505" s="398" t="s">
        <v>1156</v>
      </c>
      <c r="G505" s="398" t="s">
        <v>209</v>
      </c>
      <c r="H505" s="398" t="s">
        <v>163</v>
      </c>
      <c r="I505" s="398" t="s">
        <v>249</v>
      </c>
    </row>
    <row r="506" spans="1:9" x14ac:dyDescent="0.35">
      <c r="A506" s="395" t="s">
        <v>1159</v>
      </c>
      <c r="B506" s="396" t="s">
        <v>146</v>
      </c>
      <c r="C506" s="395" t="s">
        <v>147</v>
      </c>
      <c r="D506" s="395">
        <v>135</v>
      </c>
      <c r="E506" s="397">
        <f t="shared" si="8"/>
        <v>236372175</v>
      </c>
      <c r="F506" s="398" t="s">
        <v>1160</v>
      </c>
      <c r="G506" s="398" t="s">
        <v>272</v>
      </c>
      <c r="H506" s="398" t="s">
        <v>163</v>
      </c>
      <c r="I506" s="398" t="s">
        <v>249</v>
      </c>
    </row>
    <row r="507" spans="1:9" x14ac:dyDescent="0.35">
      <c r="A507" s="395" t="s">
        <v>1161</v>
      </c>
      <c r="B507" s="396" t="s">
        <v>146</v>
      </c>
      <c r="C507" s="395" t="s">
        <v>147</v>
      </c>
      <c r="D507" s="395">
        <v>135</v>
      </c>
      <c r="E507" s="397">
        <f t="shared" si="8"/>
        <v>236372175</v>
      </c>
      <c r="F507" s="398" t="s">
        <v>1162</v>
      </c>
      <c r="G507" s="398" t="s">
        <v>155</v>
      </c>
      <c r="H507" s="398" t="s">
        <v>156</v>
      </c>
      <c r="I507" s="398" t="s">
        <v>156</v>
      </c>
    </row>
    <row r="508" spans="1:9" x14ac:dyDescent="0.35">
      <c r="A508" s="395" t="s">
        <v>1163</v>
      </c>
      <c r="B508" s="396" t="s">
        <v>146</v>
      </c>
      <c r="C508" s="395" t="s">
        <v>147</v>
      </c>
      <c r="D508" s="395">
        <v>135</v>
      </c>
      <c r="E508" s="397">
        <f t="shared" si="8"/>
        <v>236372175</v>
      </c>
      <c r="F508" s="398" t="s">
        <v>1164</v>
      </c>
      <c r="G508" s="398" t="s">
        <v>224</v>
      </c>
      <c r="H508" s="398" t="s">
        <v>156</v>
      </c>
      <c r="I508" s="398" t="s">
        <v>156</v>
      </c>
    </row>
    <row r="509" spans="1:9" x14ac:dyDescent="0.35">
      <c r="A509" s="395" t="s">
        <v>1165</v>
      </c>
      <c r="B509" s="396" t="s">
        <v>146</v>
      </c>
      <c r="C509" s="395" t="s">
        <v>147</v>
      </c>
      <c r="D509" s="395">
        <v>135</v>
      </c>
      <c r="E509" s="397">
        <f t="shared" si="8"/>
        <v>236372175</v>
      </c>
      <c r="F509" s="398" t="s">
        <v>1166</v>
      </c>
      <c r="G509" s="398" t="s">
        <v>185</v>
      </c>
      <c r="H509" s="398" t="s">
        <v>156</v>
      </c>
      <c r="I509" s="398" t="s">
        <v>156</v>
      </c>
    </row>
    <row r="510" spans="1:9" x14ac:dyDescent="0.35">
      <c r="A510" s="395" t="s">
        <v>1167</v>
      </c>
      <c r="B510" s="396" t="s">
        <v>146</v>
      </c>
      <c r="C510" s="395" t="s">
        <v>147</v>
      </c>
      <c r="D510" s="395">
        <v>135</v>
      </c>
      <c r="E510" s="397">
        <f t="shared" si="8"/>
        <v>236372175</v>
      </c>
      <c r="F510" s="398" t="s">
        <v>1168</v>
      </c>
      <c r="G510" s="398" t="s">
        <v>185</v>
      </c>
      <c r="H510" s="398" t="s">
        <v>156</v>
      </c>
      <c r="I510" s="398" t="s">
        <v>156</v>
      </c>
    </row>
    <row r="511" spans="1:9" x14ac:dyDescent="0.35">
      <c r="A511" s="395" t="s">
        <v>1169</v>
      </c>
      <c r="B511" s="396" t="s">
        <v>146</v>
      </c>
      <c r="C511" s="395" t="s">
        <v>147</v>
      </c>
      <c r="D511" s="395">
        <v>135</v>
      </c>
      <c r="E511" s="397">
        <f t="shared" si="8"/>
        <v>236372175</v>
      </c>
      <c r="F511" s="398" t="s">
        <v>1170</v>
      </c>
      <c r="G511" s="398" t="s">
        <v>637</v>
      </c>
      <c r="H511" s="398" t="s">
        <v>156</v>
      </c>
      <c r="I511" s="398" t="s">
        <v>156</v>
      </c>
    </row>
    <row r="512" spans="1:9" x14ac:dyDescent="0.35">
      <c r="A512" s="395" t="s">
        <v>1171</v>
      </c>
      <c r="B512" s="396" t="s">
        <v>146</v>
      </c>
      <c r="C512" s="395" t="s">
        <v>147</v>
      </c>
      <c r="D512" s="395">
        <v>135</v>
      </c>
      <c r="E512" s="397">
        <f t="shared" si="8"/>
        <v>236372175</v>
      </c>
      <c r="F512" s="398" t="s">
        <v>1172</v>
      </c>
      <c r="G512" s="398" t="s">
        <v>200</v>
      </c>
      <c r="H512" s="398" t="s">
        <v>156</v>
      </c>
      <c r="I512" s="398" t="s">
        <v>156</v>
      </c>
    </row>
    <row r="513" spans="1:9" x14ac:dyDescent="0.35">
      <c r="A513" s="395" t="s">
        <v>1173</v>
      </c>
      <c r="B513" s="396" t="s">
        <v>146</v>
      </c>
      <c r="C513" s="395" t="s">
        <v>147</v>
      </c>
      <c r="D513" s="395">
        <v>135</v>
      </c>
      <c r="E513" s="397">
        <f t="shared" si="8"/>
        <v>236372175</v>
      </c>
      <c r="F513" s="398" t="s">
        <v>1174</v>
      </c>
      <c r="G513" s="398" t="s">
        <v>162</v>
      </c>
      <c r="H513" s="398" t="s">
        <v>156</v>
      </c>
      <c r="I513" s="398" t="s">
        <v>156</v>
      </c>
    </row>
    <row r="514" spans="1:9" x14ac:dyDescent="0.35">
      <c r="A514" s="395" t="s">
        <v>1175</v>
      </c>
      <c r="B514" s="396" t="s">
        <v>146</v>
      </c>
      <c r="C514" s="395" t="s">
        <v>147</v>
      </c>
      <c r="D514" s="395">
        <v>135</v>
      </c>
      <c r="E514" s="397">
        <f t="shared" si="8"/>
        <v>236372175</v>
      </c>
      <c r="F514" s="398" t="s">
        <v>1176</v>
      </c>
      <c r="G514" s="398" t="s">
        <v>178</v>
      </c>
      <c r="H514" s="398" t="s">
        <v>156</v>
      </c>
      <c r="I514" s="398" t="s">
        <v>156</v>
      </c>
    </row>
    <row r="515" spans="1:9" x14ac:dyDescent="0.35">
      <c r="A515" s="395" t="s">
        <v>1177</v>
      </c>
      <c r="B515" s="396" t="s">
        <v>146</v>
      </c>
      <c r="C515" s="395" t="s">
        <v>147</v>
      </c>
      <c r="D515" s="395">
        <v>135</v>
      </c>
      <c r="E515" s="397">
        <f t="shared" ref="E515:E578" si="9">D515*$S$2</f>
        <v>236372175</v>
      </c>
      <c r="F515" s="398" t="s">
        <v>1178</v>
      </c>
      <c r="G515" s="398" t="s">
        <v>227</v>
      </c>
      <c r="H515" s="398" t="s">
        <v>240</v>
      </c>
      <c r="I515" s="398" t="s">
        <v>164</v>
      </c>
    </row>
    <row r="516" spans="1:9" x14ac:dyDescent="0.35">
      <c r="A516" s="395" t="s">
        <v>1179</v>
      </c>
      <c r="B516" s="396" t="s">
        <v>160</v>
      </c>
      <c r="C516" s="395" t="s">
        <v>147</v>
      </c>
      <c r="D516" s="395">
        <v>135</v>
      </c>
      <c r="E516" s="397">
        <f t="shared" si="9"/>
        <v>236372175</v>
      </c>
      <c r="F516" s="398" t="s">
        <v>1180</v>
      </c>
      <c r="G516" s="398" t="s">
        <v>783</v>
      </c>
      <c r="H516" s="398" t="s">
        <v>163</v>
      </c>
      <c r="I516" s="398" t="s">
        <v>164</v>
      </c>
    </row>
    <row r="517" spans="1:9" x14ac:dyDescent="0.35">
      <c r="A517" s="395" t="s">
        <v>1181</v>
      </c>
      <c r="B517" s="396" t="s">
        <v>146</v>
      </c>
      <c r="C517" s="395" t="s">
        <v>147</v>
      </c>
      <c r="D517" s="395">
        <v>135</v>
      </c>
      <c r="E517" s="397">
        <f t="shared" si="9"/>
        <v>236372175</v>
      </c>
      <c r="F517" s="398" t="s">
        <v>1182</v>
      </c>
      <c r="G517" s="398" t="s">
        <v>227</v>
      </c>
      <c r="H517" s="398" t="s">
        <v>150</v>
      </c>
      <c r="I517" s="398" t="s">
        <v>164</v>
      </c>
    </row>
    <row r="518" spans="1:9" x14ac:dyDescent="0.35">
      <c r="A518" s="395" t="s">
        <v>1183</v>
      </c>
      <c r="B518" s="396" t="s">
        <v>146</v>
      </c>
      <c r="C518" s="395" t="s">
        <v>147</v>
      </c>
      <c r="D518" s="395">
        <v>135</v>
      </c>
      <c r="E518" s="397">
        <f t="shared" si="9"/>
        <v>236372175</v>
      </c>
      <c r="F518" s="398" t="s">
        <v>1184</v>
      </c>
      <c r="G518" s="398" t="s">
        <v>149</v>
      </c>
      <c r="H518" s="398" t="s">
        <v>156</v>
      </c>
      <c r="I518" s="398" t="s">
        <v>156</v>
      </c>
    </row>
    <row r="519" spans="1:9" x14ac:dyDescent="0.35">
      <c r="A519" s="395" t="s">
        <v>1185</v>
      </c>
      <c r="B519" s="396" t="s">
        <v>146</v>
      </c>
      <c r="C519" s="395" t="s">
        <v>147</v>
      </c>
      <c r="D519" s="395">
        <v>135</v>
      </c>
      <c r="E519" s="397">
        <f t="shared" si="9"/>
        <v>236372175</v>
      </c>
      <c r="F519" s="398" t="s">
        <v>1186</v>
      </c>
      <c r="G519" s="398" t="s">
        <v>200</v>
      </c>
      <c r="H519" s="398" t="s">
        <v>156</v>
      </c>
      <c r="I519" s="398" t="s">
        <v>156</v>
      </c>
    </row>
    <row r="520" spans="1:9" x14ac:dyDescent="0.35">
      <c r="A520" s="395" t="s">
        <v>1187</v>
      </c>
      <c r="B520" s="396" t="s">
        <v>146</v>
      </c>
      <c r="C520" s="395" t="s">
        <v>147</v>
      </c>
      <c r="D520" s="395">
        <v>135</v>
      </c>
      <c r="E520" s="397">
        <f t="shared" si="9"/>
        <v>236372175</v>
      </c>
      <c r="F520" s="398" t="s">
        <v>1188</v>
      </c>
      <c r="G520" s="398" t="s">
        <v>167</v>
      </c>
      <c r="H520" s="398" t="s">
        <v>156</v>
      </c>
      <c r="I520" s="398" t="s">
        <v>156</v>
      </c>
    </row>
    <row r="521" spans="1:9" x14ac:dyDescent="0.35">
      <c r="A521" s="395" t="s">
        <v>1189</v>
      </c>
      <c r="B521" s="396" t="s">
        <v>146</v>
      </c>
      <c r="C521" s="395" t="s">
        <v>147</v>
      </c>
      <c r="D521" s="395">
        <v>135</v>
      </c>
      <c r="E521" s="397">
        <f t="shared" si="9"/>
        <v>236372175</v>
      </c>
      <c r="F521" s="398" t="s">
        <v>1190</v>
      </c>
      <c r="G521" s="398" t="s">
        <v>221</v>
      </c>
      <c r="H521" s="398" t="s">
        <v>156</v>
      </c>
      <c r="I521" s="398" t="s">
        <v>156</v>
      </c>
    </row>
    <row r="522" spans="1:9" x14ac:dyDescent="0.35">
      <c r="A522" s="395" t="s">
        <v>1191</v>
      </c>
      <c r="B522" s="396" t="s">
        <v>146</v>
      </c>
      <c r="C522" s="395" t="s">
        <v>147</v>
      </c>
      <c r="D522" s="395">
        <v>135</v>
      </c>
      <c r="E522" s="397">
        <f t="shared" si="9"/>
        <v>236372175</v>
      </c>
      <c r="F522" s="398" t="s">
        <v>1192</v>
      </c>
      <c r="G522" s="398" t="s">
        <v>324</v>
      </c>
      <c r="H522" s="398" t="s">
        <v>240</v>
      </c>
      <c r="I522" s="398" t="s">
        <v>151</v>
      </c>
    </row>
    <row r="523" spans="1:9" x14ac:dyDescent="0.35">
      <c r="A523" s="395" t="s">
        <v>1193</v>
      </c>
      <c r="B523" s="396" t="s">
        <v>146</v>
      </c>
      <c r="C523" s="395" t="s">
        <v>147</v>
      </c>
      <c r="D523" s="395">
        <v>135</v>
      </c>
      <c r="E523" s="397">
        <f t="shared" si="9"/>
        <v>236372175</v>
      </c>
      <c r="F523" s="398" t="s">
        <v>1194</v>
      </c>
      <c r="G523" s="398" t="s">
        <v>200</v>
      </c>
      <c r="H523" s="398" t="s">
        <v>156</v>
      </c>
      <c r="I523" s="398" t="s">
        <v>156</v>
      </c>
    </row>
    <row r="524" spans="1:9" x14ac:dyDescent="0.35">
      <c r="A524" s="395" t="s">
        <v>1195</v>
      </c>
      <c r="B524" s="396" t="s">
        <v>146</v>
      </c>
      <c r="C524" s="395" t="s">
        <v>147</v>
      </c>
      <c r="D524" s="395">
        <v>135</v>
      </c>
      <c r="E524" s="397">
        <f t="shared" si="9"/>
        <v>236372175</v>
      </c>
      <c r="F524" s="398" t="s">
        <v>1196</v>
      </c>
      <c r="G524" s="398" t="s">
        <v>324</v>
      </c>
      <c r="H524" s="398" t="s">
        <v>156</v>
      </c>
      <c r="I524" s="398" t="s">
        <v>156</v>
      </c>
    </row>
    <row r="525" spans="1:9" x14ac:dyDescent="0.35">
      <c r="A525" s="395" t="s">
        <v>1197</v>
      </c>
      <c r="B525" s="396" t="s">
        <v>146</v>
      </c>
      <c r="C525" s="395" t="s">
        <v>147</v>
      </c>
      <c r="D525" s="395">
        <v>135</v>
      </c>
      <c r="E525" s="397">
        <f t="shared" si="9"/>
        <v>236372175</v>
      </c>
      <c r="F525" s="398" t="s">
        <v>1198</v>
      </c>
      <c r="G525" s="398" t="s">
        <v>424</v>
      </c>
      <c r="H525" s="398" t="s">
        <v>156</v>
      </c>
      <c r="I525" s="398" t="s">
        <v>156</v>
      </c>
    </row>
    <row r="526" spans="1:9" x14ac:dyDescent="0.35">
      <c r="A526" s="395" t="s">
        <v>1199</v>
      </c>
      <c r="B526" s="396" t="s">
        <v>160</v>
      </c>
      <c r="C526" s="395" t="s">
        <v>358</v>
      </c>
      <c r="D526" s="395">
        <v>150</v>
      </c>
      <c r="E526" s="397">
        <f t="shared" si="9"/>
        <v>262635750</v>
      </c>
      <c r="F526" s="398" t="s">
        <v>1200</v>
      </c>
      <c r="G526" s="398" t="s">
        <v>155</v>
      </c>
      <c r="H526" s="398" t="s">
        <v>163</v>
      </c>
      <c r="I526" s="398" t="s">
        <v>192</v>
      </c>
    </row>
    <row r="527" spans="1:9" x14ac:dyDescent="0.35">
      <c r="A527" s="395" t="s">
        <v>1201</v>
      </c>
      <c r="B527" s="396" t="s">
        <v>146</v>
      </c>
      <c r="C527" s="395" t="s">
        <v>147</v>
      </c>
      <c r="D527" s="395">
        <v>135</v>
      </c>
      <c r="E527" s="397">
        <f t="shared" si="9"/>
        <v>236372175</v>
      </c>
      <c r="F527" s="398" t="s">
        <v>1202</v>
      </c>
      <c r="G527" s="398" t="s">
        <v>185</v>
      </c>
      <c r="H527" s="398" t="s">
        <v>156</v>
      </c>
      <c r="I527" s="398" t="s">
        <v>156</v>
      </c>
    </row>
    <row r="528" spans="1:9" x14ac:dyDescent="0.35">
      <c r="A528" s="395" t="s">
        <v>1203</v>
      </c>
      <c r="B528" s="396" t="s">
        <v>146</v>
      </c>
      <c r="C528" s="395" t="s">
        <v>147</v>
      </c>
      <c r="D528" s="395">
        <v>135</v>
      </c>
      <c r="E528" s="397">
        <f t="shared" si="9"/>
        <v>236372175</v>
      </c>
      <c r="F528" s="398" t="s">
        <v>1204</v>
      </c>
      <c r="G528" s="398" t="s">
        <v>155</v>
      </c>
      <c r="H528" s="398" t="s">
        <v>156</v>
      </c>
      <c r="I528" s="398" t="s">
        <v>156</v>
      </c>
    </row>
    <row r="529" spans="1:9" x14ac:dyDescent="0.35">
      <c r="A529" s="395" t="s">
        <v>1205</v>
      </c>
      <c r="B529" s="396" t="s">
        <v>146</v>
      </c>
      <c r="C529" s="395" t="s">
        <v>147</v>
      </c>
      <c r="D529" s="395">
        <v>135</v>
      </c>
      <c r="E529" s="397">
        <f t="shared" si="9"/>
        <v>236372175</v>
      </c>
      <c r="F529" s="398" t="s">
        <v>1206</v>
      </c>
      <c r="G529" s="398" t="s">
        <v>336</v>
      </c>
      <c r="H529" s="398" t="s">
        <v>156</v>
      </c>
      <c r="I529" s="398" t="s">
        <v>156</v>
      </c>
    </row>
    <row r="530" spans="1:9" x14ac:dyDescent="0.35">
      <c r="A530" s="395" t="s">
        <v>1207</v>
      </c>
      <c r="B530" s="396" t="s">
        <v>146</v>
      </c>
      <c r="C530" s="395" t="s">
        <v>147</v>
      </c>
      <c r="D530" s="395">
        <v>135</v>
      </c>
      <c r="E530" s="397">
        <f t="shared" si="9"/>
        <v>236372175</v>
      </c>
      <c r="F530" s="398" t="s">
        <v>1208</v>
      </c>
      <c r="G530" s="398" t="s">
        <v>224</v>
      </c>
      <c r="H530" s="398" t="s">
        <v>156</v>
      </c>
      <c r="I530" s="398" t="s">
        <v>156</v>
      </c>
    </row>
    <row r="531" spans="1:9" x14ac:dyDescent="0.35">
      <c r="A531" s="395" t="s">
        <v>1209</v>
      </c>
      <c r="B531" s="396" t="s">
        <v>146</v>
      </c>
      <c r="C531" s="395" t="s">
        <v>147</v>
      </c>
      <c r="D531" s="395">
        <v>135</v>
      </c>
      <c r="E531" s="397">
        <f t="shared" si="9"/>
        <v>236372175</v>
      </c>
      <c r="F531" s="398" t="s">
        <v>1210</v>
      </c>
      <c r="G531" s="398" t="s">
        <v>185</v>
      </c>
      <c r="H531" s="398" t="s">
        <v>156</v>
      </c>
      <c r="I531" s="398" t="s">
        <v>156</v>
      </c>
    </row>
    <row r="532" spans="1:9" x14ac:dyDescent="0.35">
      <c r="A532" s="395" t="s">
        <v>1211</v>
      </c>
      <c r="B532" s="396" t="s">
        <v>146</v>
      </c>
      <c r="C532" s="395" t="s">
        <v>147</v>
      </c>
      <c r="D532" s="395">
        <v>135</v>
      </c>
      <c r="E532" s="397">
        <f t="shared" si="9"/>
        <v>236372175</v>
      </c>
      <c r="F532" s="398" t="s">
        <v>1212</v>
      </c>
      <c r="G532" s="398" t="s">
        <v>149</v>
      </c>
      <c r="H532" s="398" t="s">
        <v>156</v>
      </c>
      <c r="I532" s="398" t="s">
        <v>156</v>
      </c>
    </row>
    <row r="533" spans="1:9" x14ac:dyDescent="0.35">
      <c r="A533" s="395" t="s">
        <v>1213</v>
      </c>
      <c r="B533" s="396" t="s">
        <v>146</v>
      </c>
      <c r="C533" s="395" t="s">
        <v>147</v>
      </c>
      <c r="D533" s="395">
        <v>135</v>
      </c>
      <c r="E533" s="397">
        <f t="shared" si="9"/>
        <v>236372175</v>
      </c>
      <c r="F533" s="398" t="s">
        <v>1214</v>
      </c>
      <c r="G533" s="398" t="s">
        <v>178</v>
      </c>
      <c r="H533" s="398" t="s">
        <v>156</v>
      </c>
      <c r="I533" s="398" t="s">
        <v>156</v>
      </c>
    </row>
    <row r="534" spans="1:9" x14ac:dyDescent="0.35">
      <c r="A534" s="395" t="s">
        <v>1215</v>
      </c>
      <c r="B534" s="396" t="s">
        <v>160</v>
      </c>
      <c r="C534" s="395" t="s">
        <v>358</v>
      </c>
      <c r="D534" s="395">
        <v>150</v>
      </c>
      <c r="E534" s="397">
        <f t="shared" si="9"/>
        <v>262635750</v>
      </c>
      <c r="F534" s="398" t="s">
        <v>1216</v>
      </c>
      <c r="G534" s="398" t="s">
        <v>178</v>
      </c>
      <c r="H534" s="398" t="s">
        <v>462</v>
      </c>
      <c r="I534" s="398" t="s">
        <v>164</v>
      </c>
    </row>
    <row r="535" spans="1:9" x14ac:dyDescent="0.35">
      <c r="A535" s="395" t="s">
        <v>1217</v>
      </c>
      <c r="B535" s="396" t="s">
        <v>146</v>
      </c>
      <c r="C535" s="395" t="s">
        <v>147</v>
      </c>
      <c r="D535" s="395">
        <v>135</v>
      </c>
      <c r="E535" s="397">
        <f t="shared" si="9"/>
        <v>236372175</v>
      </c>
      <c r="F535" s="398" t="s">
        <v>1218</v>
      </c>
      <c r="G535" s="398" t="s">
        <v>173</v>
      </c>
      <c r="H535" s="398" t="s">
        <v>150</v>
      </c>
      <c r="I535" s="398" t="s">
        <v>182</v>
      </c>
    </row>
    <row r="536" spans="1:9" x14ac:dyDescent="0.35">
      <c r="A536" s="395" t="s">
        <v>1219</v>
      </c>
      <c r="B536" s="396" t="s">
        <v>146</v>
      </c>
      <c r="C536" s="395" t="s">
        <v>147</v>
      </c>
      <c r="D536" s="395">
        <v>135</v>
      </c>
      <c r="E536" s="397">
        <f t="shared" si="9"/>
        <v>236372175</v>
      </c>
      <c r="F536" s="398" t="s">
        <v>1220</v>
      </c>
      <c r="G536" s="398" t="s">
        <v>200</v>
      </c>
      <c r="H536" s="398" t="s">
        <v>156</v>
      </c>
      <c r="I536" s="398" t="s">
        <v>156</v>
      </c>
    </row>
    <row r="537" spans="1:9" x14ac:dyDescent="0.35">
      <c r="A537" s="395" t="s">
        <v>1221</v>
      </c>
      <c r="B537" s="396" t="s">
        <v>146</v>
      </c>
      <c r="C537" s="395" t="s">
        <v>147</v>
      </c>
      <c r="D537" s="395">
        <v>135</v>
      </c>
      <c r="E537" s="397">
        <f t="shared" si="9"/>
        <v>236372175</v>
      </c>
      <c r="F537" s="398" t="s">
        <v>1222</v>
      </c>
      <c r="G537" s="398" t="s">
        <v>173</v>
      </c>
      <c r="H537" s="398" t="s">
        <v>156</v>
      </c>
      <c r="I537" s="398" t="s">
        <v>156</v>
      </c>
    </row>
    <row r="538" spans="1:9" x14ac:dyDescent="0.35">
      <c r="A538" s="395" t="s">
        <v>1223</v>
      </c>
      <c r="B538" s="396" t="s">
        <v>146</v>
      </c>
      <c r="C538" s="395" t="s">
        <v>147</v>
      </c>
      <c r="D538" s="395">
        <v>135</v>
      </c>
      <c r="E538" s="397">
        <f t="shared" si="9"/>
        <v>236372175</v>
      </c>
      <c r="F538" s="398" t="s">
        <v>1224</v>
      </c>
      <c r="G538" s="398" t="s">
        <v>205</v>
      </c>
      <c r="H538" s="398" t="s">
        <v>156</v>
      </c>
      <c r="I538" s="398" t="s">
        <v>156</v>
      </c>
    </row>
    <row r="539" spans="1:9" x14ac:dyDescent="0.35">
      <c r="A539" s="395" t="s">
        <v>1225</v>
      </c>
      <c r="B539" s="396" t="s">
        <v>160</v>
      </c>
      <c r="C539" s="395" t="s">
        <v>147</v>
      </c>
      <c r="D539" s="395">
        <v>135</v>
      </c>
      <c r="E539" s="397">
        <f t="shared" si="9"/>
        <v>236372175</v>
      </c>
      <c r="F539" s="398" t="s">
        <v>1226</v>
      </c>
      <c r="G539" s="398" t="s">
        <v>424</v>
      </c>
      <c r="H539" s="398" t="s">
        <v>156</v>
      </c>
      <c r="I539" s="398" t="s">
        <v>156</v>
      </c>
    </row>
    <row r="540" spans="1:9" x14ac:dyDescent="0.35">
      <c r="A540" s="395" t="s">
        <v>1227</v>
      </c>
      <c r="B540" s="396" t="s">
        <v>146</v>
      </c>
      <c r="C540" s="395" t="s">
        <v>147</v>
      </c>
      <c r="D540" s="395">
        <v>135</v>
      </c>
      <c r="E540" s="397">
        <f t="shared" si="9"/>
        <v>236372175</v>
      </c>
      <c r="F540" s="398" t="s">
        <v>1228</v>
      </c>
      <c r="G540" s="398" t="s">
        <v>185</v>
      </c>
      <c r="H540" s="398" t="s">
        <v>156</v>
      </c>
      <c r="I540" s="398" t="s">
        <v>156</v>
      </c>
    </row>
    <row r="541" spans="1:9" x14ac:dyDescent="0.35">
      <c r="A541" s="395" t="s">
        <v>1229</v>
      </c>
      <c r="B541" s="396" t="s">
        <v>146</v>
      </c>
      <c r="C541" s="395" t="s">
        <v>358</v>
      </c>
      <c r="D541" s="395">
        <v>150</v>
      </c>
      <c r="E541" s="397">
        <f t="shared" si="9"/>
        <v>262635750</v>
      </c>
      <c r="F541" s="398" t="s">
        <v>1230</v>
      </c>
      <c r="G541" s="398" t="s">
        <v>336</v>
      </c>
      <c r="H541" s="398" t="s">
        <v>163</v>
      </c>
      <c r="I541" s="398" t="s">
        <v>182</v>
      </c>
    </row>
    <row r="542" spans="1:9" x14ac:dyDescent="0.35">
      <c r="A542" s="395" t="s">
        <v>1231</v>
      </c>
      <c r="B542" s="396" t="s">
        <v>146</v>
      </c>
      <c r="C542" s="395" t="s">
        <v>147</v>
      </c>
      <c r="D542" s="395">
        <v>135</v>
      </c>
      <c r="E542" s="397">
        <f t="shared" si="9"/>
        <v>236372175</v>
      </c>
      <c r="F542" s="398" t="s">
        <v>1232</v>
      </c>
      <c r="G542" s="398" t="s">
        <v>200</v>
      </c>
      <c r="H542" s="398" t="s">
        <v>156</v>
      </c>
      <c r="I542" s="398" t="s">
        <v>156</v>
      </c>
    </row>
    <row r="543" spans="1:9" x14ac:dyDescent="0.35">
      <c r="A543" s="395" t="s">
        <v>1233</v>
      </c>
      <c r="B543" s="396" t="s">
        <v>146</v>
      </c>
      <c r="C543" s="395" t="s">
        <v>147</v>
      </c>
      <c r="D543" s="395">
        <v>135</v>
      </c>
      <c r="E543" s="397">
        <f t="shared" si="9"/>
        <v>236372175</v>
      </c>
      <c r="F543" s="398" t="s">
        <v>1234</v>
      </c>
      <c r="G543" s="398" t="s">
        <v>336</v>
      </c>
      <c r="H543" s="398" t="s">
        <v>156</v>
      </c>
      <c r="I543" s="398" t="s">
        <v>156</v>
      </c>
    </row>
    <row r="544" spans="1:9" x14ac:dyDescent="0.35">
      <c r="A544" s="395" t="s">
        <v>1235</v>
      </c>
      <c r="B544" s="396" t="s">
        <v>146</v>
      </c>
      <c r="C544" s="395" t="s">
        <v>147</v>
      </c>
      <c r="D544" s="395">
        <v>135</v>
      </c>
      <c r="E544" s="397">
        <f t="shared" si="9"/>
        <v>236372175</v>
      </c>
      <c r="F544" s="398" t="s">
        <v>1236</v>
      </c>
      <c r="G544" s="398" t="s">
        <v>181</v>
      </c>
      <c r="H544" s="398" t="s">
        <v>156</v>
      </c>
      <c r="I544" s="398" t="s">
        <v>156</v>
      </c>
    </row>
    <row r="545" spans="1:9" x14ac:dyDescent="0.35">
      <c r="A545" s="395" t="s">
        <v>1237</v>
      </c>
      <c r="B545" s="396" t="s">
        <v>146</v>
      </c>
      <c r="C545" s="395" t="s">
        <v>147</v>
      </c>
      <c r="D545" s="395">
        <v>135</v>
      </c>
      <c r="E545" s="397">
        <f t="shared" si="9"/>
        <v>236372175</v>
      </c>
      <c r="F545" s="398" t="s">
        <v>1236</v>
      </c>
      <c r="G545" s="398" t="s">
        <v>205</v>
      </c>
      <c r="H545" s="398" t="s">
        <v>156</v>
      </c>
      <c r="I545" s="398" t="s">
        <v>156</v>
      </c>
    </row>
    <row r="546" spans="1:9" x14ac:dyDescent="0.35">
      <c r="A546" s="395" t="s">
        <v>1238</v>
      </c>
      <c r="B546" s="396" t="s">
        <v>146</v>
      </c>
      <c r="C546" s="395" t="s">
        <v>147</v>
      </c>
      <c r="D546" s="395">
        <v>135</v>
      </c>
      <c r="E546" s="397">
        <f t="shared" si="9"/>
        <v>236372175</v>
      </c>
      <c r="F546" s="398" t="s">
        <v>1239</v>
      </c>
      <c r="G546" s="398" t="s">
        <v>191</v>
      </c>
      <c r="H546" s="398" t="s">
        <v>156</v>
      </c>
      <c r="I546" s="398" t="s">
        <v>156</v>
      </c>
    </row>
    <row r="547" spans="1:9" x14ac:dyDescent="0.35">
      <c r="A547" s="395" t="s">
        <v>1240</v>
      </c>
      <c r="B547" s="396" t="s">
        <v>160</v>
      </c>
      <c r="C547" s="395" t="s">
        <v>147</v>
      </c>
      <c r="D547" s="395">
        <v>135</v>
      </c>
      <c r="E547" s="397">
        <f t="shared" si="9"/>
        <v>236372175</v>
      </c>
      <c r="F547" s="398" t="s">
        <v>1241</v>
      </c>
      <c r="G547" s="398" t="s">
        <v>188</v>
      </c>
      <c r="H547" s="398" t="s">
        <v>163</v>
      </c>
      <c r="I547" s="398" t="s">
        <v>151</v>
      </c>
    </row>
    <row r="548" spans="1:9" x14ac:dyDescent="0.35">
      <c r="A548" s="395" t="s">
        <v>1242</v>
      </c>
      <c r="B548" s="396" t="s">
        <v>146</v>
      </c>
      <c r="C548" s="395" t="s">
        <v>147</v>
      </c>
      <c r="D548" s="395">
        <v>135</v>
      </c>
      <c r="E548" s="397">
        <f t="shared" si="9"/>
        <v>236372175</v>
      </c>
      <c r="F548" s="398" t="s">
        <v>1243</v>
      </c>
      <c r="G548" s="398" t="s">
        <v>178</v>
      </c>
      <c r="H548" s="398" t="s">
        <v>156</v>
      </c>
      <c r="I548" s="398" t="s">
        <v>156</v>
      </c>
    </row>
    <row r="549" spans="1:9" x14ac:dyDescent="0.35">
      <c r="A549" s="395" t="s">
        <v>1244</v>
      </c>
      <c r="B549" s="396" t="s">
        <v>146</v>
      </c>
      <c r="C549" s="395" t="s">
        <v>147</v>
      </c>
      <c r="D549" s="395">
        <v>135</v>
      </c>
      <c r="E549" s="397">
        <f t="shared" si="9"/>
        <v>236372175</v>
      </c>
      <c r="F549" s="398" t="s">
        <v>1245</v>
      </c>
      <c r="G549" s="398" t="s">
        <v>188</v>
      </c>
      <c r="H549" s="398" t="s">
        <v>240</v>
      </c>
      <c r="I549" s="398" t="s">
        <v>249</v>
      </c>
    </row>
    <row r="550" spans="1:9" x14ac:dyDescent="0.35">
      <c r="A550" s="395" t="s">
        <v>1246</v>
      </c>
      <c r="B550" s="396" t="s">
        <v>146</v>
      </c>
      <c r="C550" s="395" t="s">
        <v>147</v>
      </c>
      <c r="D550" s="395">
        <v>135</v>
      </c>
      <c r="E550" s="397">
        <f t="shared" si="9"/>
        <v>236372175</v>
      </c>
      <c r="F550" s="398" t="s">
        <v>1247</v>
      </c>
      <c r="G550" s="398" t="s">
        <v>162</v>
      </c>
      <c r="H550" s="398" t="s">
        <v>156</v>
      </c>
      <c r="I550" s="398" t="s">
        <v>156</v>
      </c>
    </row>
    <row r="551" spans="1:9" x14ac:dyDescent="0.35">
      <c r="A551" s="395" t="s">
        <v>1248</v>
      </c>
      <c r="B551" s="396" t="s">
        <v>146</v>
      </c>
      <c r="C551" s="395" t="s">
        <v>147</v>
      </c>
      <c r="D551" s="395">
        <v>135</v>
      </c>
      <c r="E551" s="397">
        <f t="shared" si="9"/>
        <v>236372175</v>
      </c>
      <c r="F551" s="398" t="s">
        <v>1249</v>
      </c>
      <c r="G551" s="398" t="s">
        <v>356</v>
      </c>
      <c r="H551" s="398" t="s">
        <v>156</v>
      </c>
      <c r="I551" s="398" t="s">
        <v>156</v>
      </c>
    </row>
    <row r="552" spans="1:9" x14ac:dyDescent="0.35">
      <c r="A552" s="395" t="s">
        <v>1250</v>
      </c>
      <c r="B552" s="396" t="s">
        <v>146</v>
      </c>
      <c r="C552" s="395" t="s">
        <v>147</v>
      </c>
      <c r="D552" s="395">
        <v>135</v>
      </c>
      <c r="E552" s="397">
        <f t="shared" si="9"/>
        <v>236372175</v>
      </c>
      <c r="F552" s="398" t="s">
        <v>1251</v>
      </c>
      <c r="G552" s="398" t="s">
        <v>173</v>
      </c>
      <c r="H552" s="398" t="s">
        <v>156</v>
      </c>
      <c r="I552" s="398" t="s">
        <v>156</v>
      </c>
    </row>
    <row r="553" spans="1:9" x14ac:dyDescent="0.35">
      <c r="A553" s="395" t="s">
        <v>1252</v>
      </c>
      <c r="B553" s="396" t="s">
        <v>146</v>
      </c>
      <c r="C553" s="395" t="s">
        <v>147</v>
      </c>
      <c r="D553" s="395">
        <v>135</v>
      </c>
      <c r="E553" s="397">
        <f t="shared" si="9"/>
        <v>236372175</v>
      </c>
      <c r="F553" s="398" t="s">
        <v>1253</v>
      </c>
      <c r="G553" s="398" t="s">
        <v>173</v>
      </c>
      <c r="H553" s="398" t="s">
        <v>156</v>
      </c>
      <c r="I553" s="398" t="s">
        <v>156</v>
      </c>
    </row>
    <row r="554" spans="1:9" x14ac:dyDescent="0.35">
      <c r="A554" s="395" t="s">
        <v>1254</v>
      </c>
      <c r="B554" s="396" t="s">
        <v>146</v>
      </c>
      <c r="C554" s="395" t="s">
        <v>147</v>
      </c>
      <c r="D554" s="395">
        <v>135</v>
      </c>
      <c r="E554" s="397">
        <f t="shared" si="9"/>
        <v>236372175</v>
      </c>
      <c r="F554" s="398" t="s">
        <v>1255</v>
      </c>
      <c r="G554" s="398" t="s">
        <v>149</v>
      </c>
      <c r="H554" s="398" t="s">
        <v>163</v>
      </c>
      <c r="I554" s="398" t="s">
        <v>151</v>
      </c>
    </row>
    <row r="555" spans="1:9" x14ac:dyDescent="0.35">
      <c r="A555" s="395" t="s">
        <v>1256</v>
      </c>
      <c r="B555" s="396" t="s">
        <v>146</v>
      </c>
      <c r="C555" s="395" t="s">
        <v>147</v>
      </c>
      <c r="D555" s="395">
        <v>135</v>
      </c>
      <c r="E555" s="397">
        <f t="shared" si="9"/>
        <v>236372175</v>
      </c>
      <c r="F555" s="398" t="s">
        <v>1257</v>
      </c>
      <c r="G555" s="398" t="s">
        <v>224</v>
      </c>
      <c r="H555" s="398" t="s">
        <v>156</v>
      </c>
      <c r="I555" s="398" t="s">
        <v>156</v>
      </c>
    </row>
    <row r="556" spans="1:9" x14ac:dyDescent="0.35">
      <c r="A556" s="395" t="s">
        <v>1258</v>
      </c>
      <c r="B556" s="396" t="s">
        <v>146</v>
      </c>
      <c r="C556" s="395" t="s">
        <v>147</v>
      </c>
      <c r="D556" s="395">
        <v>135</v>
      </c>
      <c r="E556" s="397">
        <f t="shared" si="9"/>
        <v>236372175</v>
      </c>
      <c r="F556" s="398" t="s">
        <v>1259</v>
      </c>
      <c r="G556" s="398" t="s">
        <v>227</v>
      </c>
      <c r="H556" s="398" t="s">
        <v>240</v>
      </c>
      <c r="I556" s="398" t="s">
        <v>164</v>
      </c>
    </row>
    <row r="557" spans="1:9" x14ac:dyDescent="0.35">
      <c r="A557" s="395" t="s">
        <v>1260</v>
      </c>
      <c r="B557" s="396" t="s">
        <v>146</v>
      </c>
      <c r="C557" s="395" t="s">
        <v>147</v>
      </c>
      <c r="D557" s="395">
        <v>135</v>
      </c>
      <c r="E557" s="397">
        <f t="shared" si="9"/>
        <v>236372175</v>
      </c>
      <c r="F557" s="398" t="s">
        <v>1261</v>
      </c>
      <c r="G557" s="398" t="s">
        <v>188</v>
      </c>
      <c r="H557" s="398" t="s">
        <v>156</v>
      </c>
      <c r="I557" s="398" t="s">
        <v>156</v>
      </c>
    </row>
    <row r="558" spans="1:9" x14ac:dyDescent="0.35">
      <c r="A558" s="395" t="s">
        <v>1262</v>
      </c>
      <c r="B558" s="396" t="s">
        <v>146</v>
      </c>
      <c r="C558" s="395" t="s">
        <v>147</v>
      </c>
      <c r="D558" s="395">
        <v>135</v>
      </c>
      <c r="E558" s="397">
        <f t="shared" si="9"/>
        <v>236372175</v>
      </c>
      <c r="F558" s="398" t="s">
        <v>1263</v>
      </c>
      <c r="G558" s="398" t="s">
        <v>188</v>
      </c>
      <c r="H558" s="398" t="s">
        <v>156</v>
      </c>
      <c r="I558" s="398" t="s">
        <v>156</v>
      </c>
    </row>
    <row r="559" spans="1:9" x14ac:dyDescent="0.35">
      <c r="A559" s="395" t="s">
        <v>1264</v>
      </c>
      <c r="B559" s="396" t="s">
        <v>146</v>
      </c>
      <c r="C559" s="395" t="s">
        <v>147</v>
      </c>
      <c r="D559" s="395">
        <v>135</v>
      </c>
      <c r="E559" s="397">
        <f t="shared" si="9"/>
        <v>236372175</v>
      </c>
      <c r="F559" s="398" t="s">
        <v>1265</v>
      </c>
      <c r="G559" s="398" t="s">
        <v>272</v>
      </c>
      <c r="H559" s="398" t="s">
        <v>156</v>
      </c>
      <c r="I559" s="398" t="s">
        <v>156</v>
      </c>
    </row>
    <row r="560" spans="1:9" x14ac:dyDescent="0.35">
      <c r="A560" s="395" t="s">
        <v>1266</v>
      </c>
      <c r="B560" s="396" t="s">
        <v>146</v>
      </c>
      <c r="C560" s="395" t="s">
        <v>147</v>
      </c>
      <c r="D560" s="395">
        <v>135</v>
      </c>
      <c r="E560" s="397">
        <f t="shared" si="9"/>
        <v>236372175</v>
      </c>
      <c r="F560" s="398" t="s">
        <v>1267</v>
      </c>
      <c r="G560" s="398" t="s">
        <v>188</v>
      </c>
      <c r="H560" s="398" t="s">
        <v>156</v>
      </c>
      <c r="I560" s="398" t="s">
        <v>156</v>
      </c>
    </row>
    <row r="561" spans="1:9" x14ac:dyDescent="0.35">
      <c r="A561" s="395" t="s">
        <v>1268</v>
      </c>
      <c r="B561" s="396" t="s">
        <v>146</v>
      </c>
      <c r="C561" s="395" t="s">
        <v>147</v>
      </c>
      <c r="D561" s="395">
        <v>135</v>
      </c>
      <c r="E561" s="397">
        <f t="shared" si="9"/>
        <v>236372175</v>
      </c>
      <c r="F561" s="398" t="s">
        <v>1269</v>
      </c>
      <c r="G561" s="398" t="s">
        <v>185</v>
      </c>
      <c r="H561" s="398" t="s">
        <v>156</v>
      </c>
      <c r="I561" s="398" t="s">
        <v>156</v>
      </c>
    </row>
    <row r="562" spans="1:9" x14ac:dyDescent="0.35">
      <c r="A562" s="395" t="s">
        <v>1270</v>
      </c>
      <c r="B562" s="396" t="s">
        <v>160</v>
      </c>
      <c r="C562" s="395" t="s">
        <v>358</v>
      </c>
      <c r="D562" s="395">
        <v>150</v>
      </c>
      <c r="E562" s="397">
        <f t="shared" si="9"/>
        <v>262635750</v>
      </c>
      <c r="F562" s="398" t="s">
        <v>1271</v>
      </c>
      <c r="G562" s="398" t="s">
        <v>149</v>
      </c>
      <c r="H562" s="398" t="s">
        <v>163</v>
      </c>
      <c r="I562" s="398" t="s">
        <v>151</v>
      </c>
    </row>
    <row r="563" spans="1:9" x14ac:dyDescent="0.35">
      <c r="A563" s="395" t="s">
        <v>1272</v>
      </c>
      <c r="B563" s="396" t="s">
        <v>146</v>
      </c>
      <c r="C563" s="395" t="s">
        <v>147</v>
      </c>
      <c r="D563" s="395">
        <v>135</v>
      </c>
      <c r="E563" s="397">
        <f t="shared" si="9"/>
        <v>236372175</v>
      </c>
      <c r="F563" s="398" t="s">
        <v>1273</v>
      </c>
      <c r="G563" s="398" t="s">
        <v>178</v>
      </c>
      <c r="H563" s="398" t="s">
        <v>156</v>
      </c>
      <c r="I563" s="398" t="s">
        <v>156</v>
      </c>
    </row>
    <row r="564" spans="1:9" x14ac:dyDescent="0.35">
      <c r="A564" s="395" t="s">
        <v>1274</v>
      </c>
      <c r="B564" s="396" t="s">
        <v>146</v>
      </c>
      <c r="C564" s="395" t="s">
        <v>147</v>
      </c>
      <c r="D564" s="395">
        <v>135</v>
      </c>
      <c r="E564" s="397">
        <f t="shared" si="9"/>
        <v>236372175</v>
      </c>
      <c r="F564" s="398" t="s">
        <v>1275</v>
      </c>
      <c r="G564" s="398" t="s">
        <v>167</v>
      </c>
      <c r="H564" s="398" t="s">
        <v>156</v>
      </c>
      <c r="I564" s="398" t="s">
        <v>156</v>
      </c>
    </row>
    <row r="565" spans="1:9" x14ac:dyDescent="0.35">
      <c r="A565" s="395" t="s">
        <v>1276</v>
      </c>
      <c r="B565" s="396" t="s">
        <v>146</v>
      </c>
      <c r="C565" s="395" t="s">
        <v>147</v>
      </c>
      <c r="D565" s="395">
        <v>135</v>
      </c>
      <c r="E565" s="397">
        <f t="shared" si="9"/>
        <v>236372175</v>
      </c>
      <c r="F565" s="398" t="s">
        <v>1277</v>
      </c>
      <c r="G565" s="398" t="s">
        <v>167</v>
      </c>
      <c r="H565" s="398" t="s">
        <v>156</v>
      </c>
      <c r="I565" s="398" t="s">
        <v>156</v>
      </c>
    </row>
    <row r="566" spans="1:9" x14ac:dyDescent="0.35">
      <c r="A566" s="395" t="s">
        <v>1278</v>
      </c>
      <c r="B566" s="396" t="s">
        <v>146</v>
      </c>
      <c r="C566" s="395" t="s">
        <v>147</v>
      </c>
      <c r="D566" s="395">
        <v>135</v>
      </c>
      <c r="E566" s="397">
        <f t="shared" si="9"/>
        <v>236372175</v>
      </c>
      <c r="F566" s="398" t="s">
        <v>1279</v>
      </c>
      <c r="G566" s="398" t="s">
        <v>167</v>
      </c>
      <c r="H566" s="398" t="s">
        <v>156</v>
      </c>
      <c r="I566" s="398" t="s">
        <v>156</v>
      </c>
    </row>
    <row r="567" spans="1:9" x14ac:dyDescent="0.35">
      <c r="A567" s="395" t="s">
        <v>1280</v>
      </c>
      <c r="B567" s="396" t="s">
        <v>146</v>
      </c>
      <c r="C567" s="395" t="s">
        <v>147</v>
      </c>
      <c r="D567" s="395">
        <v>135</v>
      </c>
      <c r="E567" s="397">
        <f t="shared" si="9"/>
        <v>236372175</v>
      </c>
      <c r="F567" s="398" t="s">
        <v>1281</v>
      </c>
      <c r="G567" s="398" t="s">
        <v>227</v>
      </c>
      <c r="H567" s="398" t="s">
        <v>150</v>
      </c>
      <c r="I567" s="398" t="s">
        <v>164</v>
      </c>
    </row>
    <row r="568" spans="1:9" x14ac:dyDescent="0.35">
      <c r="A568" s="395" t="s">
        <v>1282</v>
      </c>
      <c r="B568" s="396" t="s">
        <v>146</v>
      </c>
      <c r="C568" s="395" t="s">
        <v>147</v>
      </c>
      <c r="D568" s="395">
        <v>135</v>
      </c>
      <c r="E568" s="397">
        <f t="shared" si="9"/>
        <v>236372175</v>
      </c>
      <c r="F568" s="398" t="s">
        <v>1283</v>
      </c>
      <c r="G568" s="398" t="s">
        <v>221</v>
      </c>
      <c r="H568" s="398" t="s">
        <v>156</v>
      </c>
      <c r="I568" s="398" t="s">
        <v>156</v>
      </c>
    </row>
    <row r="569" spans="1:9" x14ac:dyDescent="0.35">
      <c r="A569" s="395" t="s">
        <v>1284</v>
      </c>
      <c r="B569" s="396" t="s">
        <v>146</v>
      </c>
      <c r="C569" s="395" t="s">
        <v>147</v>
      </c>
      <c r="D569" s="395">
        <v>135</v>
      </c>
      <c r="E569" s="397">
        <f t="shared" si="9"/>
        <v>236372175</v>
      </c>
      <c r="F569" s="398" t="s">
        <v>1285</v>
      </c>
      <c r="G569" s="398" t="s">
        <v>162</v>
      </c>
      <c r="H569" s="398" t="s">
        <v>156</v>
      </c>
      <c r="I569" s="398" t="s">
        <v>156</v>
      </c>
    </row>
    <row r="570" spans="1:9" x14ac:dyDescent="0.35">
      <c r="A570" s="395" t="s">
        <v>1286</v>
      </c>
      <c r="B570" s="396" t="s">
        <v>146</v>
      </c>
      <c r="C570" s="395" t="s">
        <v>147</v>
      </c>
      <c r="D570" s="395">
        <v>135</v>
      </c>
      <c r="E570" s="397">
        <f t="shared" si="9"/>
        <v>236372175</v>
      </c>
      <c r="F570" s="398" t="s">
        <v>1287</v>
      </c>
      <c r="G570" s="398" t="s">
        <v>203</v>
      </c>
      <c r="H570" s="398" t="s">
        <v>156</v>
      </c>
      <c r="I570" s="398" t="s">
        <v>156</v>
      </c>
    </row>
    <row r="571" spans="1:9" x14ac:dyDescent="0.35">
      <c r="A571" s="395" t="s">
        <v>1288</v>
      </c>
      <c r="B571" s="396" t="s">
        <v>146</v>
      </c>
      <c r="C571" s="395" t="s">
        <v>147</v>
      </c>
      <c r="D571" s="395">
        <v>135</v>
      </c>
      <c r="E571" s="397">
        <f t="shared" si="9"/>
        <v>236372175</v>
      </c>
      <c r="F571" s="398" t="s">
        <v>1289</v>
      </c>
      <c r="G571" s="398" t="s">
        <v>224</v>
      </c>
      <c r="H571" s="398" t="s">
        <v>156</v>
      </c>
      <c r="I571" s="398" t="s">
        <v>156</v>
      </c>
    </row>
    <row r="572" spans="1:9" x14ac:dyDescent="0.35">
      <c r="A572" s="395" t="s">
        <v>1290</v>
      </c>
      <c r="B572" s="396" t="s">
        <v>146</v>
      </c>
      <c r="C572" s="395" t="s">
        <v>147</v>
      </c>
      <c r="D572" s="395">
        <v>135</v>
      </c>
      <c r="E572" s="397">
        <f t="shared" si="9"/>
        <v>236372175</v>
      </c>
      <c r="F572" s="398" t="s">
        <v>1289</v>
      </c>
      <c r="G572" s="398" t="s">
        <v>466</v>
      </c>
      <c r="H572" s="398" t="s">
        <v>156</v>
      </c>
      <c r="I572" s="398" t="s">
        <v>156</v>
      </c>
    </row>
    <row r="573" spans="1:9" x14ac:dyDescent="0.35">
      <c r="A573" s="395" t="s">
        <v>1291</v>
      </c>
      <c r="B573" s="396" t="s">
        <v>146</v>
      </c>
      <c r="C573" s="395" t="s">
        <v>147</v>
      </c>
      <c r="D573" s="395">
        <v>135</v>
      </c>
      <c r="E573" s="397">
        <f t="shared" si="9"/>
        <v>236372175</v>
      </c>
      <c r="F573" s="398" t="s">
        <v>1292</v>
      </c>
      <c r="G573" s="398" t="s">
        <v>221</v>
      </c>
      <c r="H573" s="398" t="s">
        <v>150</v>
      </c>
      <c r="I573" s="398" t="s">
        <v>249</v>
      </c>
    </row>
    <row r="574" spans="1:9" x14ac:dyDescent="0.35">
      <c r="A574" s="395" t="s">
        <v>1293</v>
      </c>
      <c r="B574" s="396" t="s">
        <v>146</v>
      </c>
      <c r="C574" s="395" t="s">
        <v>147</v>
      </c>
      <c r="D574" s="395">
        <v>135</v>
      </c>
      <c r="E574" s="397">
        <f t="shared" si="9"/>
        <v>236372175</v>
      </c>
      <c r="F574" s="398" t="s">
        <v>1294</v>
      </c>
      <c r="G574" s="398" t="s">
        <v>1295</v>
      </c>
      <c r="H574" s="398" t="s">
        <v>156</v>
      </c>
      <c r="I574" s="398" t="s">
        <v>156</v>
      </c>
    </row>
    <row r="575" spans="1:9" x14ac:dyDescent="0.35">
      <c r="A575" s="395" t="s">
        <v>1296</v>
      </c>
      <c r="B575" s="396" t="s">
        <v>146</v>
      </c>
      <c r="C575" s="395" t="s">
        <v>147</v>
      </c>
      <c r="D575" s="395">
        <v>135</v>
      </c>
      <c r="E575" s="397">
        <f t="shared" si="9"/>
        <v>236372175</v>
      </c>
      <c r="F575" s="398" t="s">
        <v>1297</v>
      </c>
      <c r="G575" s="398" t="s">
        <v>272</v>
      </c>
      <c r="H575" s="398" t="s">
        <v>156</v>
      </c>
      <c r="I575" s="398" t="s">
        <v>156</v>
      </c>
    </row>
    <row r="576" spans="1:9" x14ac:dyDescent="0.35">
      <c r="A576" s="395" t="s">
        <v>1298</v>
      </c>
      <c r="B576" s="396" t="s">
        <v>160</v>
      </c>
      <c r="C576" s="395" t="s">
        <v>147</v>
      </c>
      <c r="D576" s="395">
        <v>135</v>
      </c>
      <c r="E576" s="397">
        <f t="shared" si="9"/>
        <v>236372175</v>
      </c>
      <c r="F576" s="398" t="s">
        <v>1299</v>
      </c>
      <c r="G576" s="398" t="s">
        <v>529</v>
      </c>
      <c r="H576" s="398" t="s">
        <v>156</v>
      </c>
      <c r="I576" s="398" t="s">
        <v>156</v>
      </c>
    </row>
    <row r="577" spans="1:9" x14ac:dyDescent="0.35">
      <c r="A577" s="395" t="s">
        <v>1300</v>
      </c>
      <c r="B577" s="396" t="s">
        <v>160</v>
      </c>
      <c r="C577" s="395" t="s">
        <v>147</v>
      </c>
      <c r="D577" s="395">
        <v>135</v>
      </c>
      <c r="E577" s="397">
        <f t="shared" si="9"/>
        <v>236372175</v>
      </c>
      <c r="F577" s="398" t="s">
        <v>1301</v>
      </c>
      <c r="G577" s="398" t="s">
        <v>637</v>
      </c>
      <c r="H577" s="398" t="s">
        <v>156</v>
      </c>
      <c r="I577" s="398" t="s">
        <v>156</v>
      </c>
    </row>
    <row r="578" spans="1:9" x14ac:dyDescent="0.35">
      <c r="A578" s="395" t="s">
        <v>1302</v>
      </c>
      <c r="B578" s="396" t="s">
        <v>146</v>
      </c>
      <c r="C578" s="395" t="s">
        <v>147</v>
      </c>
      <c r="D578" s="395">
        <v>135</v>
      </c>
      <c r="E578" s="397">
        <f t="shared" si="9"/>
        <v>236372175</v>
      </c>
      <c r="F578" s="398" t="s">
        <v>1303</v>
      </c>
      <c r="G578" s="398" t="s">
        <v>185</v>
      </c>
      <c r="H578" s="398" t="s">
        <v>156</v>
      </c>
      <c r="I578" s="398" t="s">
        <v>156</v>
      </c>
    </row>
    <row r="579" spans="1:9" x14ac:dyDescent="0.35">
      <c r="A579" s="395" t="s">
        <v>1304</v>
      </c>
      <c r="B579" s="396" t="s">
        <v>146</v>
      </c>
      <c r="C579" s="395" t="s">
        <v>147</v>
      </c>
      <c r="D579" s="395">
        <v>135</v>
      </c>
      <c r="E579" s="397">
        <f t="shared" ref="E579:E642" si="10">D579*$S$2</f>
        <v>236372175</v>
      </c>
      <c r="F579" s="398" t="s">
        <v>1305</v>
      </c>
      <c r="G579" s="398" t="s">
        <v>185</v>
      </c>
      <c r="H579" s="398" t="s">
        <v>156</v>
      </c>
      <c r="I579" s="398" t="s">
        <v>156</v>
      </c>
    </row>
    <row r="580" spans="1:9" x14ac:dyDescent="0.35">
      <c r="A580" s="395" t="s">
        <v>1306</v>
      </c>
      <c r="B580" s="396" t="s">
        <v>146</v>
      </c>
      <c r="C580" s="395" t="s">
        <v>147</v>
      </c>
      <c r="D580" s="395">
        <v>135</v>
      </c>
      <c r="E580" s="397">
        <f t="shared" si="10"/>
        <v>236372175</v>
      </c>
      <c r="F580" s="398" t="s">
        <v>1307</v>
      </c>
      <c r="G580" s="398" t="s">
        <v>324</v>
      </c>
      <c r="H580" s="398" t="s">
        <v>156</v>
      </c>
      <c r="I580" s="398" t="s">
        <v>156</v>
      </c>
    </row>
    <row r="581" spans="1:9" x14ac:dyDescent="0.35">
      <c r="A581" s="395" t="s">
        <v>1308</v>
      </c>
      <c r="B581" s="396" t="s">
        <v>146</v>
      </c>
      <c r="C581" s="395" t="s">
        <v>147</v>
      </c>
      <c r="D581" s="395">
        <v>135</v>
      </c>
      <c r="E581" s="397">
        <f t="shared" si="10"/>
        <v>236372175</v>
      </c>
      <c r="F581" s="398" t="s">
        <v>1309</v>
      </c>
      <c r="G581" s="398" t="s">
        <v>173</v>
      </c>
      <c r="H581" s="398" t="s">
        <v>156</v>
      </c>
      <c r="I581" s="398" t="s">
        <v>156</v>
      </c>
    </row>
    <row r="582" spans="1:9" x14ac:dyDescent="0.35">
      <c r="A582" s="395" t="s">
        <v>1310</v>
      </c>
      <c r="B582" s="396" t="s">
        <v>146</v>
      </c>
      <c r="C582" s="395" t="s">
        <v>147</v>
      </c>
      <c r="D582" s="395">
        <v>135</v>
      </c>
      <c r="E582" s="397">
        <f t="shared" si="10"/>
        <v>236372175</v>
      </c>
      <c r="F582" s="398" t="s">
        <v>1311</v>
      </c>
      <c r="G582" s="398" t="s">
        <v>224</v>
      </c>
      <c r="H582" s="398" t="s">
        <v>156</v>
      </c>
      <c r="I582" s="398" t="s">
        <v>156</v>
      </c>
    </row>
    <row r="583" spans="1:9" x14ac:dyDescent="0.35">
      <c r="A583" s="395" t="s">
        <v>1312</v>
      </c>
      <c r="B583" s="396" t="s">
        <v>146</v>
      </c>
      <c r="C583" s="395" t="s">
        <v>147</v>
      </c>
      <c r="D583" s="395">
        <v>135</v>
      </c>
      <c r="E583" s="397">
        <f t="shared" si="10"/>
        <v>236372175</v>
      </c>
      <c r="F583" s="398" t="s">
        <v>1313</v>
      </c>
      <c r="G583" s="398" t="s">
        <v>224</v>
      </c>
      <c r="H583" s="398" t="s">
        <v>156</v>
      </c>
      <c r="I583" s="398" t="s">
        <v>156</v>
      </c>
    </row>
    <row r="584" spans="1:9" x14ac:dyDescent="0.35">
      <c r="A584" s="395" t="s">
        <v>1314</v>
      </c>
      <c r="B584" s="396" t="s">
        <v>146</v>
      </c>
      <c r="C584" s="395" t="s">
        <v>147</v>
      </c>
      <c r="D584" s="395">
        <v>135</v>
      </c>
      <c r="E584" s="397">
        <f t="shared" si="10"/>
        <v>236372175</v>
      </c>
      <c r="F584" s="398" t="s">
        <v>1315</v>
      </c>
      <c r="G584" s="398" t="s">
        <v>224</v>
      </c>
      <c r="H584" s="398" t="s">
        <v>150</v>
      </c>
      <c r="I584" s="398" t="s">
        <v>192</v>
      </c>
    </row>
    <row r="585" spans="1:9" x14ac:dyDescent="0.35">
      <c r="A585" s="395" t="s">
        <v>1316</v>
      </c>
      <c r="B585" s="396" t="s">
        <v>146</v>
      </c>
      <c r="C585" s="395" t="s">
        <v>147</v>
      </c>
      <c r="D585" s="395">
        <v>135</v>
      </c>
      <c r="E585" s="397">
        <f t="shared" si="10"/>
        <v>236372175</v>
      </c>
      <c r="F585" s="398" t="s">
        <v>1317</v>
      </c>
      <c r="G585" s="398" t="s">
        <v>149</v>
      </c>
      <c r="H585" s="398" t="s">
        <v>156</v>
      </c>
      <c r="I585" s="398" t="s">
        <v>156</v>
      </c>
    </row>
    <row r="586" spans="1:9" x14ac:dyDescent="0.35">
      <c r="A586" s="395" t="s">
        <v>1318</v>
      </c>
      <c r="B586" s="396" t="s">
        <v>146</v>
      </c>
      <c r="C586" s="395" t="s">
        <v>147</v>
      </c>
      <c r="D586" s="395">
        <v>135</v>
      </c>
      <c r="E586" s="397">
        <f t="shared" si="10"/>
        <v>236372175</v>
      </c>
      <c r="F586" s="398" t="s">
        <v>1319</v>
      </c>
      <c r="G586" s="398" t="s">
        <v>173</v>
      </c>
      <c r="H586" s="398" t="s">
        <v>156</v>
      </c>
      <c r="I586" s="398" t="s">
        <v>156</v>
      </c>
    </row>
    <row r="587" spans="1:9" x14ac:dyDescent="0.35">
      <c r="A587" s="395" t="s">
        <v>1320</v>
      </c>
      <c r="B587" s="396" t="s">
        <v>146</v>
      </c>
      <c r="C587" s="395" t="s">
        <v>147</v>
      </c>
      <c r="D587" s="395">
        <v>135</v>
      </c>
      <c r="E587" s="397">
        <f t="shared" si="10"/>
        <v>236372175</v>
      </c>
      <c r="F587" s="398" t="s">
        <v>1321</v>
      </c>
      <c r="G587" s="398" t="s">
        <v>324</v>
      </c>
      <c r="H587" s="398" t="s">
        <v>240</v>
      </c>
      <c r="I587" s="398" t="s">
        <v>182</v>
      </c>
    </row>
    <row r="588" spans="1:9" x14ac:dyDescent="0.35">
      <c r="A588" s="395" t="s">
        <v>1322</v>
      </c>
      <c r="B588" s="396" t="s">
        <v>146</v>
      </c>
      <c r="C588" s="395" t="s">
        <v>147</v>
      </c>
      <c r="D588" s="395">
        <v>135</v>
      </c>
      <c r="E588" s="397">
        <f t="shared" si="10"/>
        <v>236372175</v>
      </c>
      <c r="F588" s="398" t="s">
        <v>1323</v>
      </c>
      <c r="G588" s="398" t="s">
        <v>311</v>
      </c>
      <c r="H588" s="398" t="s">
        <v>163</v>
      </c>
      <c r="I588" s="398" t="s">
        <v>151</v>
      </c>
    </row>
    <row r="589" spans="1:9" x14ac:dyDescent="0.35">
      <c r="A589" s="395" t="s">
        <v>1324</v>
      </c>
      <c r="B589" s="396" t="s">
        <v>160</v>
      </c>
      <c r="C589" s="395" t="s">
        <v>147</v>
      </c>
      <c r="D589" s="395">
        <v>135</v>
      </c>
      <c r="E589" s="397">
        <f t="shared" si="10"/>
        <v>236372175</v>
      </c>
      <c r="F589" s="398" t="s">
        <v>1325</v>
      </c>
      <c r="G589" s="398" t="s">
        <v>324</v>
      </c>
      <c r="H589" s="398" t="s">
        <v>163</v>
      </c>
      <c r="I589" s="398" t="s">
        <v>151</v>
      </c>
    </row>
    <row r="590" spans="1:9" x14ac:dyDescent="0.35">
      <c r="A590" s="395" t="s">
        <v>1326</v>
      </c>
      <c r="B590" s="396" t="s">
        <v>146</v>
      </c>
      <c r="C590" s="395" t="s">
        <v>147</v>
      </c>
      <c r="D590" s="395">
        <v>135</v>
      </c>
      <c r="E590" s="397">
        <f t="shared" si="10"/>
        <v>236372175</v>
      </c>
      <c r="F590" s="398" t="s">
        <v>1327</v>
      </c>
      <c r="G590" s="398" t="s">
        <v>191</v>
      </c>
      <c r="H590" s="398" t="s">
        <v>240</v>
      </c>
      <c r="I590" s="398" t="s">
        <v>192</v>
      </c>
    </row>
    <row r="591" spans="1:9" x14ac:dyDescent="0.35">
      <c r="A591" s="395" t="s">
        <v>1328</v>
      </c>
      <c r="B591" s="396" t="s">
        <v>146</v>
      </c>
      <c r="C591" s="395" t="s">
        <v>147</v>
      </c>
      <c r="D591" s="395">
        <v>135</v>
      </c>
      <c r="E591" s="397">
        <f t="shared" si="10"/>
        <v>236372175</v>
      </c>
      <c r="F591" s="398" t="s">
        <v>1329</v>
      </c>
      <c r="G591" s="398" t="s">
        <v>324</v>
      </c>
      <c r="H591" s="398" t="s">
        <v>156</v>
      </c>
      <c r="I591" s="398" t="s">
        <v>156</v>
      </c>
    </row>
    <row r="592" spans="1:9" x14ac:dyDescent="0.35">
      <c r="A592" s="395" t="s">
        <v>1330</v>
      </c>
      <c r="B592" s="396" t="s">
        <v>146</v>
      </c>
      <c r="C592" s="395" t="s">
        <v>147</v>
      </c>
      <c r="D592" s="395">
        <v>135</v>
      </c>
      <c r="E592" s="397">
        <f t="shared" si="10"/>
        <v>236372175</v>
      </c>
      <c r="F592" s="398" t="s">
        <v>1331</v>
      </c>
      <c r="G592" s="398" t="s">
        <v>173</v>
      </c>
      <c r="H592" s="398" t="s">
        <v>156</v>
      </c>
      <c r="I592" s="398" t="s">
        <v>156</v>
      </c>
    </row>
    <row r="593" spans="1:9" x14ac:dyDescent="0.35">
      <c r="A593" s="395" t="s">
        <v>1332</v>
      </c>
      <c r="B593" s="396" t="s">
        <v>146</v>
      </c>
      <c r="C593" s="395" t="s">
        <v>147</v>
      </c>
      <c r="D593" s="395">
        <v>135</v>
      </c>
      <c r="E593" s="397">
        <f t="shared" si="10"/>
        <v>236372175</v>
      </c>
      <c r="F593" s="398" t="s">
        <v>1331</v>
      </c>
      <c r="G593" s="398" t="s">
        <v>221</v>
      </c>
      <c r="H593" s="398" t="s">
        <v>156</v>
      </c>
      <c r="I593" s="398" t="s">
        <v>156</v>
      </c>
    </row>
    <row r="594" spans="1:9" x14ac:dyDescent="0.35">
      <c r="A594" s="395" t="s">
        <v>1333</v>
      </c>
      <c r="B594" s="396" t="s">
        <v>146</v>
      </c>
      <c r="C594" s="395" t="s">
        <v>147</v>
      </c>
      <c r="D594" s="395">
        <v>135</v>
      </c>
      <c r="E594" s="397">
        <f t="shared" si="10"/>
        <v>236372175</v>
      </c>
      <c r="F594" s="398" t="s">
        <v>1334</v>
      </c>
      <c r="G594" s="398" t="s">
        <v>203</v>
      </c>
      <c r="H594" s="398" t="s">
        <v>156</v>
      </c>
      <c r="I594" s="398" t="s">
        <v>156</v>
      </c>
    </row>
    <row r="595" spans="1:9" x14ac:dyDescent="0.35">
      <c r="A595" s="395" t="s">
        <v>1335</v>
      </c>
      <c r="B595" s="396" t="s">
        <v>146</v>
      </c>
      <c r="C595" s="395" t="s">
        <v>147</v>
      </c>
      <c r="D595" s="395">
        <v>135</v>
      </c>
      <c r="E595" s="397">
        <f t="shared" si="10"/>
        <v>236372175</v>
      </c>
      <c r="F595" s="398" t="s">
        <v>1336</v>
      </c>
      <c r="G595" s="398" t="s">
        <v>356</v>
      </c>
      <c r="H595" s="398" t="s">
        <v>156</v>
      </c>
      <c r="I595" s="398" t="s">
        <v>156</v>
      </c>
    </row>
    <row r="596" spans="1:9" x14ac:dyDescent="0.35">
      <c r="A596" s="395" t="s">
        <v>1337</v>
      </c>
      <c r="B596" s="396" t="s">
        <v>146</v>
      </c>
      <c r="C596" s="395" t="s">
        <v>147</v>
      </c>
      <c r="D596" s="395">
        <v>135</v>
      </c>
      <c r="E596" s="397">
        <f t="shared" si="10"/>
        <v>236372175</v>
      </c>
      <c r="F596" s="398" t="s">
        <v>1338</v>
      </c>
      <c r="G596" s="398" t="s">
        <v>424</v>
      </c>
      <c r="H596" s="398" t="s">
        <v>156</v>
      </c>
      <c r="I596" s="398" t="s">
        <v>156</v>
      </c>
    </row>
    <row r="597" spans="1:9" x14ac:dyDescent="0.35">
      <c r="A597" s="395" t="s">
        <v>1339</v>
      </c>
      <c r="B597" s="396" t="s">
        <v>160</v>
      </c>
      <c r="C597" s="395" t="s">
        <v>358</v>
      </c>
      <c r="D597" s="395">
        <v>150</v>
      </c>
      <c r="E597" s="397">
        <f t="shared" si="10"/>
        <v>262635750</v>
      </c>
      <c r="F597" s="398" t="s">
        <v>1340</v>
      </c>
      <c r="G597" s="398" t="s">
        <v>178</v>
      </c>
      <c r="H597" s="398" t="s">
        <v>462</v>
      </c>
      <c r="I597" s="398" t="s">
        <v>164</v>
      </c>
    </row>
    <row r="598" spans="1:9" x14ac:dyDescent="0.35">
      <c r="A598" s="395" t="s">
        <v>1341</v>
      </c>
      <c r="B598" s="396" t="s">
        <v>146</v>
      </c>
      <c r="C598" s="395" t="s">
        <v>147</v>
      </c>
      <c r="D598" s="395">
        <v>135</v>
      </c>
      <c r="E598" s="397">
        <f t="shared" si="10"/>
        <v>236372175</v>
      </c>
      <c r="F598" s="398" t="s">
        <v>1340</v>
      </c>
      <c r="G598" s="398" t="s">
        <v>200</v>
      </c>
      <c r="H598" s="398" t="s">
        <v>156</v>
      </c>
      <c r="I598" s="398" t="s">
        <v>156</v>
      </c>
    </row>
    <row r="599" spans="1:9" x14ac:dyDescent="0.35">
      <c r="A599" s="395" t="s">
        <v>1342</v>
      </c>
      <c r="B599" s="396" t="s">
        <v>146</v>
      </c>
      <c r="C599" s="395" t="s">
        <v>147</v>
      </c>
      <c r="D599" s="395">
        <v>135</v>
      </c>
      <c r="E599" s="397">
        <f t="shared" si="10"/>
        <v>236372175</v>
      </c>
      <c r="F599" s="398" t="s">
        <v>1343</v>
      </c>
      <c r="G599" s="398" t="s">
        <v>224</v>
      </c>
      <c r="H599" s="398" t="s">
        <v>156</v>
      </c>
      <c r="I599" s="398" t="s">
        <v>156</v>
      </c>
    </row>
    <row r="600" spans="1:9" x14ac:dyDescent="0.35">
      <c r="A600" s="395" t="s">
        <v>1344</v>
      </c>
      <c r="B600" s="396" t="s">
        <v>146</v>
      </c>
      <c r="C600" s="395" t="s">
        <v>147</v>
      </c>
      <c r="D600" s="395">
        <v>135</v>
      </c>
      <c r="E600" s="397">
        <f t="shared" si="10"/>
        <v>236372175</v>
      </c>
      <c r="F600" s="398" t="s">
        <v>1345</v>
      </c>
      <c r="G600" s="398" t="s">
        <v>227</v>
      </c>
      <c r="H600" s="398" t="s">
        <v>156</v>
      </c>
      <c r="I600" s="398" t="s">
        <v>156</v>
      </c>
    </row>
    <row r="601" spans="1:9" x14ac:dyDescent="0.35">
      <c r="A601" s="395" t="s">
        <v>1346</v>
      </c>
      <c r="B601" s="396" t="s">
        <v>146</v>
      </c>
      <c r="C601" s="395" t="s">
        <v>147</v>
      </c>
      <c r="D601" s="395">
        <v>135</v>
      </c>
      <c r="E601" s="397">
        <f t="shared" si="10"/>
        <v>236372175</v>
      </c>
      <c r="F601" s="398" t="s">
        <v>1347</v>
      </c>
      <c r="G601" s="398" t="s">
        <v>149</v>
      </c>
      <c r="H601" s="398" t="s">
        <v>156</v>
      </c>
      <c r="I601" s="398" t="s">
        <v>156</v>
      </c>
    </row>
    <row r="602" spans="1:9" x14ac:dyDescent="0.35">
      <c r="A602" s="395" t="s">
        <v>1348</v>
      </c>
      <c r="B602" s="396" t="s">
        <v>146</v>
      </c>
      <c r="C602" s="395" t="s">
        <v>147</v>
      </c>
      <c r="D602" s="395">
        <v>135</v>
      </c>
      <c r="E602" s="397">
        <f t="shared" si="10"/>
        <v>236372175</v>
      </c>
      <c r="F602" s="398" t="s">
        <v>1349</v>
      </c>
      <c r="G602" s="398" t="s">
        <v>149</v>
      </c>
      <c r="H602" s="398" t="s">
        <v>156</v>
      </c>
      <c r="I602" s="398" t="s">
        <v>156</v>
      </c>
    </row>
    <row r="603" spans="1:9" x14ac:dyDescent="0.35">
      <c r="A603" s="395" t="s">
        <v>1350</v>
      </c>
      <c r="B603" s="396" t="s">
        <v>146</v>
      </c>
      <c r="C603" s="395" t="s">
        <v>147</v>
      </c>
      <c r="D603" s="395">
        <v>135</v>
      </c>
      <c r="E603" s="397">
        <f t="shared" si="10"/>
        <v>236372175</v>
      </c>
      <c r="F603" s="398" t="s">
        <v>1351</v>
      </c>
      <c r="G603" s="398" t="s">
        <v>155</v>
      </c>
      <c r="H603" s="398" t="s">
        <v>156</v>
      </c>
      <c r="I603" s="398" t="s">
        <v>156</v>
      </c>
    </row>
    <row r="604" spans="1:9" x14ac:dyDescent="0.35">
      <c r="A604" s="395" t="s">
        <v>1352</v>
      </c>
      <c r="B604" s="396" t="s">
        <v>146</v>
      </c>
      <c r="C604" s="395" t="s">
        <v>147</v>
      </c>
      <c r="D604" s="395">
        <v>135</v>
      </c>
      <c r="E604" s="397">
        <f t="shared" si="10"/>
        <v>236372175</v>
      </c>
      <c r="F604" s="398" t="s">
        <v>1353</v>
      </c>
      <c r="G604" s="398" t="s">
        <v>224</v>
      </c>
      <c r="H604" s="398" t="s">
        <v>156</v>
      </c>
      <c r="I604" s="398" t="s">
        <v>156</v>
      </c>
    </row>
    <row r="605" spans="1:9" x14ac:dyDescent="0.35">
      <c r="A605" s="395" t="s">
        <v>1354</v>
      </c>
      <c r="B605" s="396" t="s">
        <v>146</v>
      </c>
      <c r="C605" s="395" t="s">
        <v>147</v>
      </c>
      <c r="D605" s="395">
        <v>135</v>
      </c>
      <c r="E605" s="397">
        <f t="shared" si="10"/>
        <v>236372175</v>
      </c>
      <c r="F605" s="398" t="s">
        <v>1355</v>
      </c>
      <c r="G605" s="398" t="s">
        <v>149</v>
      </c>
      <c r="H605" s="398" t="s">
        <v>156</v>
      </c>
      <c r="I605" s="398" t="s">
        <v>156</v>
      </c>
    </row>
    <row r="606" spans="1:9" x14ac:dyDescent="0.35">
      <c r="A606" s="395" t="s">
        <v>1356</v>
      </c>
      <c r="B606" s="396" t="s">
        <v>146</v>
      </c>
      <c r="C606" s="395" t="s">
        <v>147</v>
      </c>
      <c r="D606" s="395">
        <v>135</v>
      </c>
      <c r="E606" s="397">
        <f t="shared" si="10"/>
        <v>236372175</v>
      </c>
      <c r="F606" s="398" t="s">
        <v>1355</v>
      </c>
      <c r="G606" s="398" t="s">
        <v>178</v>
      </c>
      <c r="H606" s="398" t="s">
        <v>156</v>
      </c>
      <c r="I606" s="398" t="s">
        <v>156</v>
      </c>
    </row>
    <row r="607" spans="1:9" x14ac:dyDescent="0.35">
      <c r="A607" s="395" t="s">
        <v>1357</v>
      </c>
      <c r="B607" s="396" t="s">
        <v>146</v>
      </c>
      <c r="C607" s="395" t="s">
        <v>147</v>
      </c>
      <c r="D607" s="395">
        <v>135</v>
      </c>
      <c r="E607" s="397">
        <f t="shared" si="10"/>
        <v>236372175</v>
      </c>
      <c r="F607" s="398" t="s">
        <v>1355</v>
      </c>
      <c r="G607" s="398" t="s">
        <v>200</v>
      </c>
      <c r="H607" s="398" t="s">
        <v>156</v>
      </c>
      <c r="I607" s="398" t="s">
        <v>156</v>
      </c>
    </row>
    <row r="608" spans="1:9" x14ac:dyDescent="0.35">
      <c r="A608" s="395" t="s">
        <v>1358</v>
      </c>
      <c r="B608" s="396" t="s">
        <v>146</v>
      </c>
      <c r="C608" s="395" t="s">
        <v>147</v>
      </c>
      <c r="D608" s="395">
        <v>135</v>
      </c>
      <c r="E608" s="397">
        <f t="shared" si="10"/>
        <v>236372175</v>
      </c>
      <c r="F608" s="398" t="s">
        <v>1359</v>
      </c>
      <c r="G608" s="398" t="s">
        <v>170</v>
      </c>
      <c r="H608" s="398" t="s">
        <v>156</v>
      </c>
      <c r="I608" s="398" t="s">
        <v>156</v>
      </c>
    </row>
    <row r="609" spans="1:9" x14ac:dyDescent="0.35">
      <c r="A609" s="395" t="s">
        <v>1360</v>
      </c>
      <c r="B609" s="396" t="s">
        <v>146</v>
      </c>
      <c r="C609" s="395" t="s">
        <v>147</v>
      </c>
      <c r="D609" s="395">
        <v>135</v>
      </c>
      <c r="E609" s="397">
        <f t="shared" si="10"/>
        <v>236372175</v>
      </c>
      <c r="F609" s="398" t="s">
        <v>1361</v>
      </c>
      <c r="G609" s="398" t="s">
        <v>227</v>
      </c>
      <c r="H609" s="398" t="s">
        <v>240</v>
      </c>
      <c r="I609" s="398" t="s">
        <v>164</v>
      </c>
    </row>
    <row r="610" spans="1:9" x14ac:dyDescent="0.35">
      <c r="A610" s="395" t="s">
        <v>1362</v>
      </c>
      <c r="B610" s="396" t="s">
        <v>146</v>
      </c>
      <c r="C610" s="395" t="s">
        <v>147</v>
      </c>
      <c r="D610" s="395">
        <v>135</v>
      </c>
      <c r="E610" s="397">
        <f t="shared" si="10"/>
        <v>236372175</v>
      </c>
      <c r="F610" s="398" t="s">
        <v>1363</v>
      </c>
      <c r="G610" s="398" t="s">
        <v>149</v>
      </c>
      <c r="H610" s="398" t="s">
        <v>156</v>
      </c>
      <c r="I610" s="398" t="s">
        <v>156</v>
      </c>
    </row>
    <row r="611" spans="1:9" x14ac:dyDescent="0.35">
      <c r="A611" s="395" t="s">
        <v>1364</v>
      </c>
      <c r="B611" s="396" t="s">
        <v>146</v>
      </c>
      <c r="C611" s="395" t="s">
        <v>147</v>
      </c>
      <c r="D611" s="395">
        <v>135</v>
      </c>
      <c r="E611" s="397">
        <f t="shared" si="10"/>
        <v>236372175</v>
      </c>
      <c r="F611" s="398" t="s">
        <v>1365</v>
      </c>
      <c r="G611" s="398" t="s">
        <v>149</v>
      </c>
      <c r="H611" s="398" t="s">
        <v>156</v>
      </c>
      <c r="I611" s="398" t="s">
        <v>156</v>
      </c>
    </row>
    <row r="612" spans="1:9" x14ac:dyDescent="0.35">
      <c r="A612" s="395" t="s">
        <v>1366</v>
      </c>
      <c r="B612" s="396" t="s">
        <v>146</v>
      </c>
      <c r="C612" s="395" t="s">
        <v>147</v>
      </c>
      <c r="D612" s="395">
        <v>135</v>
      </c>
      <c r="E612" s="397">
        <f t="shared" si="10"/>
        <v>236372175</v>
      </c>
      <c r="F612" s="398" t="s">
        <v>1367</v>
      </c>
      <c r="G612" s="398" t="s">
        <v>188</v>
      </c>
      <c r="H612" s="398" t="s">
        <v>156</v>
      </c>
      <c r="I612" s="398" t="s">
        <v>156</v>
      </c>
    </row>
    <row r="613" spans="1:9" x14ac:dyDescent="0.35">
      <c r="A613" s="395" t="s">
        <v>1368</v>
      </c>
      <c r="B613" s="396" t="s">
        <v>160</v>
      </c>
      <c r="C613" s="395" t="s">
        <v>147</v>
      </c>
      <c r="D613" s="395">
        <v>135</v>
      </c>
      <c r="E613" s="397">
        <f t="shared" si="10"/>
        <v>236372175</v>
      </c>
      <c r="F613" s="398" t="s">
        <v>1369</v>
      </c>
      <c r="G613" s="398" t="s">
        <v>170</v>
      </c>
      <c r="H613" s="398" t="s">
        <v>163</v>
      </c>
      <c r="I613" s="398" t="s">
        <v>164</v>
      </c>
    </row>
    <row r="614" spans="1:9" x14ac:dyDescent="0.35">
      <c r="A614" s="395" t="s">
        <v>1370</v>
      </c>
      <c r="B614" s="396" t="s">
        <v>146</v>
      </c>
      <c r="C614" s="395" t="s">
        <v>147</v>
      </c>
      <c r="D614" s="395">
        <v>135</v>
      </c>
      <c r="E614" s="397">
        <f t="shared" si="10"/>
        <v>236372175</v>
      </c>
      <c r="F614" s="398" t="s">
        <v>1371</v>
      </c>
      <c r="G614" s="398" t="s">
        <v>178</v>
      </c>
      <c r="H614" s="398" t="s">
        <v>150</v>
      </c>
      <c r="I614" s="398" t="s">
        <v>164</v>
      </c>
    </row>
    <row r="615" spans="1:9" x14ac:dyDescent="0.35">
      <c r="A615" s="395" t="s">
        <v>1372</v>
      </c>
      <c r="B615" s="396" t="s">
        <v>146</v>
      </c>
      <c r="C615" s="395" t="s">
        <v>147</v>
      </c>
      <c r="D615" s="395">
        <v>135</v>
      </c>
      <c r="E615" s="397">
        <f t="shared" si="10"/>
        <v>236372175</v>
      </c>
      <c r="F615" s="398" t="s">
        <v>1373</v>
      </c>
      <c r="G615" s="398" t="s">
        <v>178</v>
      </c>
      <c r="H615" s="398" t="s">
        <v>240</v>
      </c>
      <c r="I615" s="398" t="s">
        <v>164</v>
      </c>
    </row>
    <row r="616" spans="1:9" x14ac:dyDescent="0.35">
      <c r="A616" s="395" t="s">
        <v>1374</v>
      </c>
      <c r="B616" s="396" t="s">
        <v>146</v>
      </c>
      <c r="C616" s="395" t="s">
        <v>147</v>
      </c>
      <c r="D616" s="395">
        <v>135</v>
      </c>
      <c r="E616" s="397">
        <f t="shared" si="10"/>
        <v>236372175</v>
      </c>
      <c r="F616" s="398" t="s">
        <v>1375</v>
      </c>
      <c r="G616" s="398" t="s">
        <v>178</v>
      </c>
      <c r="H616" s="398" t="s">
        <v>156</v>
      </c>
      <c r="I616" s="398" t="s">
        <v>156</v>
      </c>
    </row>
    <row r="617" spans="1:9" x14ac:dyDescent="0.35">
      <c r="A617" s="395" t="s">
        <v>1376</v>
      </c>
      <c r="B617" s="396" t="s">
        <v>146</v>
      </c>
      <c r="C617" s="395" t="s">
        <v>147</v>
      </c>
      <c r="D617" s="395">
        <v>135</v>
      </c>
      <c r="E617" s="397">
        <f t="shared" si="10"/>
        <v>236372175</v>
      </c>
      <c r="F617" s="398" t="s">
        <v>1377</v>
      </c>
      <c r="G617" s="398" t="s">
        <v>224</v>
      </c>
      <c r="H617" s="398" t="s">
        <v>150</v>
      </c>
      <c r="I617" s="398" t="s">
        <v>192</v>
      </c>
    </row>
    <row r="618" spans="1:9" x14ac:dyDescent="0.35">
      <c r="A618" s="395" t="s">
        <v>1378</v>
      </c>
      <c r="B618" s="396" t="s">
        <v>146</v>
      </c>
      <c r="C618" s="395" t="s">
        <v>147</v>
      </c>
      <c r="D618" s="395">
        <v>135</v>
      </c>
      <c r="E618" s="397">
        <f t="shared" si="10"/>
        <v>236372175</v>
      </c>
      <c r="F618" s="398" t="s">
        <v>1379</v>
      </c>
      <c r="G618" s="398" t="s">
        <v>178</v>
      </c>
      <c r="H618" s="398" t="s">
        <v>156</v>
      </c>
      <c r="I618" s="398" t="s">
        <v>156</v>
      </c>
    </row>
    <row r="619" spans="1:9" x14ac:dyDescent="0.35">
      <c r="A619" s="395" t="s">
        <v>1380</v>
      </c>
      <c r="B619" s="396" t="s">
        <v>146</v>
      </c>
      <c r="C619" s="395" t="s">
        <v>147</v>
      </c>
      <c r="D619" s="395">
        <v>135</v>
      </c>
      <c r="E619" s="397">
        <f t="shared" si="10"/>
        <v>236372175</v>
      </c>
      <c r="F619" s="398" t="s">
        <v>1381</v>
      </c>
      <c r="G619" s="398" t="s">
        <v>188</v>
      </c>
      <c r="H619" s="398" t="s">
        <v>156</v>
      </c>
      <c r="I619" s="398" t="s">
        <v>156</v>
      </c>
    </row>
    <row r="620" spans="1:9" x14ac:dyDescent="0.35">
      <c r="A620" s="395" t="s">
        <v>1382</v>
      </c>
      <c r="B620" s="396" t="s">
        <v>146</v>
      </c>
      <c r="C620" s="395" t="s">
        <v>147</v>
      </c>
      <c r="D620" s="395">
        <v>135</v>
      </c>
      <c r="E620" s="397">
        <f t="shared" si="10"/>
        <v>236372175</v>
      </c>
      <c r="F620" s="398" t="s">
        <v>1383</v>
      </c>
      <c r="G620" s="398" t="s">
        <v>167</v>
      </c>
      <c r="H620" s="398" t="s">
        <v>156</v>
      </c>
      <c r="I620" s="398" t="s">
        <v>156</v>
      </c>
    </row>
    <row r="621" spans="1:9" x14ac:dyDescent="0.35">
      <c r="A621" s="395" t="s">
        <v>1384</v>
      </c>
      <c r="B621" s="396" t="s">
        <v>146</v>
      </c>
      <c r="C621" s="395" t="s">
        <v>147</v>
      </c>
      <c r="D621" s="395">
        <v>135</v>
      </c>
      <c r="E621" s="397">
        <f t="shared" si="10"/>
        <v>236372175</v>
      </c>
      <c r="F621" s="398" t="s">
        <v>1385</v>
      </c>
      <c r="G621" s="398" t="s">
        <v>216</v>
      </c>
      <c r="H621" s="398" t="s">
        <v>156</v>
      </c>
      <c r="I621" s="398" t="s">
        <v>156</v>
      </c>
    </row>
    <row r="622" spans="1:9" x14ac:dyDescent="0.35">
      <c r="A622" s="395" t="s">
        <v>1386</v>
      </c>
      <c r="B622" s="396" t="s">
        <v>146</v>
      </c>
      <c r="C622" s="395" t="s">
        <v>147</v>
      </c>
      <c r="D622" s="395">
        <v>135</v>
      </c>
      <c r="E622" s="397">
        <f t="shared" si="10"/>
        <v>236372175</v>
      </c>
      <c r="F622" s="398" t="s">
        <v>1387</v>
      </c>
      <c r="G622" s="398" t="s">
        <v>224</v>
      </c>
      <c r="H622" s="398" t="s">
        <v>156</v>
      </c>
      <c r="I622" s="398" t="s">
        <v>156</v>
      </c>
    </row>
    <row r="623" spans="1:9" x14ac:dyDescent="0.35">
      <c r="A623" s="395" t="s">
        <v>1388</v>
      </c>
      <c r="B623" s="396" t="s">
        <v>146</v>
      </c>
      <c r="C623" s="395" t="s">
        <v>147</v>
      </c>
      <c r="D623" s="395">
        <v>135</v>
      </c>
      <c r="E623" s="397">
        <f t="shared" si="10"/>
        <v>236372175</v>
      </c>
      <c r="F623" s="398" t="s">
        <v>1389</v>
      </c>
      <c r="G623" s="398" t="s">
        <v>191</v>
      </c>
      <c r="H623" s="398" t="s">
        <v>156</v>
      </c>
      <c r="I623" s="398" t="s">
        <v>156</v>
      </c>
    </row>
    <row r="624" spans="1:9" x14ac:dyDescent="0.35">
      <c r="A624" s="395" t="s">
        <v>1390</v>
      </c>
      <c r="B624" s="396" t="s">
        <v>146</v>
      </c>
      <c r="C624" s="395" t="s">
        <v>147</v>
      </c>
      <c r="D624" s="395">
        <v>135</v>
      </c>
      <c r="E624" s="397">
        <f t="shared" si="10"/>
        <v>236372175</v>
      </c>
      <c r="F624" s="398" t="s">
        <v>1391</v>
      </c>
      <c r="G624" s="398" t="s">
        <v>167</v>
      </c>
      <c r="H624" s="398" t="s">
        <v>156</v>
      </c>
      <c r="I624" s="398" t="s">
        <v>156</v>
      </c>
    </row>
    <row r="625" spans="1:9" x14ac:dyDescent="0.35">
      <c r="A625" s="395" t="s">
        <v>1392</v>
      </c>
      <c r="B625" s="396" t="s">
        <v>146</v>
      </c>
      <c r="C625" s="395" t="s">
        <v>147</v>
      </c>
      <c r="D625" s="395">
        <v>135</v>
      </c>
      <c r="E625" s="397">
        <f t="shared" si="10"/>
        <v>236372175</v>
      </c>
      <c r="F625" s="398" t="s">
        <v>1393</v>
      </c>
      <c r="G625" s="398" t="s">
        <v>209</v>
      </c>
      <c r="H625" s="398" t="s">
        <v>156</v>
      </c>
      <c r="I625" s="398" t="s">
        <v>156</v>
      </c>
    </row>
    <row r="626" spans="1:9" x14ac:dyDescent="0.35">
      <c r="A626" s="395" t="s">
        <v>1394</v>
      </c>
      <c r="B626" s="396" t="s">
        <v>146</v>
      </c>
      <c r="C626" s="395" t="s">
        <v>147</v>
      </c>
      <c r="D626" s="395">
        <v>135</v>
      </c>
      <c r="E626" s="397">
        <f t="shared" si="10"/>
        <v>236372175</v>
      </c>
      <c r="F626" s="398" t="s">
        <v>1395</v>
      </c>
      <c r="G626" s="398" t="s">
        <v>185</v>
      </c>
      <c r="H626" s="398" t="s">
        <v>156</v>
      </c>
      <c r="I626" s="398" t="s">
        <v>156</v>
      </c>
    </row>
    <row r="627" spans="1:9" x14ac:dyDescent="0.35">
      <c r="A627" s="395" t="s">
        <v>1396</v>
      </c>
      <c r="B627" s="396" t="s">
        <v>146</v>
      </c>
      <c r="C627" s="395" t="s">
        <v>147</v>
      </c>
      <c r="D627" s="395">
        <v>135</v>
      </c>
      <c r="E627" s="397">
        <f t="shared" si="10"/>
        <v>236372175</v>
      </c>
      <c r="F627" s="398" t="s">
        <v>1397</v>
      </c>
      <c r="G627" s="398" t="s">
        <v>155</v>
      </c>
      <c r="H627" s="398" t="s">
        <v>150</v>
      </c>
      <c r="I627" s="398" t="s">
        <v>192</v>
      </c>
    </row>
    <row r="628" spans="1:9" x14ac:dyDescent="0.35">
      <c r="A628" s="395" t="s">
        <v>1398</v>
      </c>
      <c r="B628" s="396" t="s">
        <v>146</v>
      </c>
      <c r="C628" s="395" t="s">
        <v>147</v>
      </c>
      <c r="D628" s="395">
        <v>135</v>
      </c>
      <c r="E628" s="397">
        <f t="shared" si="10"/>
        <v>236372175</v>
      </c>
      <c r="F628" s="398" t="s">
        <v>1399</v>
      </c>
      <c r="G628" s="398" t="s">
        <v>185</v>
      </c>
      <c r="H628" s="398" t="s">
        <v>156</v>
      </c>
      <c r="I628" s="398" t="s">
        <v>156</v>
      </c>
    </row>
    <row r="629" spans="1:9" x14ac:dyDescent="0.35">
      <c r="A629" s="395" t="s">
        <v>1400</v>
      </c>
      <c r="B629" s="396" t="s">
        <v>146</v>
      </c>
      <c r="C629" s="395" t="s">
        <v>147</v>
      </c>
      <c r="D629" s="395">
        <v>135</v>
      </c>
      <c r="E629" s="397">
        <f t="shared" si="10"/>
        <v>236372175</v>
      </c>
      <c r="F629" s="398" t="s">
        <v>1401</v>
      </c>
      <c r="G629" s="398" t="s">
        <v>224</v>
      </c>
      <c r="H629" s="398" t="s">
        <v>156</v>
      </c>
      <c r="I629" s="398" t="s">
        <v>156</v>
      </c>
    </row>
    <row r="630" spans="1:9" x14ac:dyDescent="0.35">
      <c r="A630" s="395" t="s">
        <v>1402</v>
      </c>
      <c r="B630" s="396" t="s">
        <v>146</v>
      </c>
      <c r="C630" s="395" t="s">
        <v>147</v>
      </c>
      <c r="D630" s="395">
        <v>135</v>
      </c>
      <c r="E630" s="397">
        <f t="shared" si="10"/>
        <v>236372175</v>
      </c>
      <c r="F630" s="398" t="s">
        <v>1403</v>
      </c>
      <c r="G630" s="398" t="s">
        <v>149</v>
      </c>
      <c r="H630" s="398" t="s">
        <v>156</v>
      </c>
      <c r="I630" s="398" t="s">
        <v>156</v>
      </c>
    </row>
    <row r="631" spans="1:9" x14ac:dyDescent="0.35">
      <c r="A631" s="395" t="s">
        <v>1404</v>
      </c>
      <c r="B631" s="396" t="s">
        <v>146</v>
      </c>
      <c r="C631" s="395" t="s">
        <v>147</v>
      </c>
      <c r="D631" s="395">
        <v>135</v>
      </c>
      <c r="E631" s="397">
        <f t="shared" si="10"/>
        <v>236372175</v>
      </c>
      <c r="F631" s="398" t="s">
        <v>1405</v>
      </c>
      <c r="G631" s="398" t="s">
        <v>200</v>
      </c>
      <c r="H631" s="398" t="s">
        <v>156</v>
      </c>
      <c r="I631" s="398" t="s">
        <v>156</v>
      </c>
    </row>
    <row r="632" spans="1:9" x14ac:dyDescent="0.35">
      <c r="A632" s="395" t="s">
        <v>1406</v>
      </c>
      <c r="B632" s="396" t="s">
        <v>146</v>
      </c>
      <c r="C632" s="395" t="s">
        <v>147</v>
      </c>
      <c r="D632" s="395">
        <v>135</v>
      </c>
      <c r="E632" s="397">
        <f t="shared" si="10"/>
        <v>236372175</v>
      </c>
      <c r="F632" s="398" t="s">
        <v>1407</v>
      </c>
      <c r="G632" s="398" t="s">
        <v>185</v>
      </c>
      <c r="H632" s="398" t="s">
        <v>156</v>
      </c>
      <c r="I632" s="398" t="s">
        <v>156</v>
      </c>
    </row>
    <row r="633" spans="1:9" x14ac:dyDescent="0.35">
      <c r="A633" s="395" t="s">
        <v>1408</v>
      </c>
      <c r="B633" s="396" t="s">
        <v>146</v>
      </c>
      <c r="C633" s="395" t="s">
        <v>147</v>
      </c>
      <c r="D633" s="395">
        <v>135</v>
      </c>
      <c r="E633" s="397">
        <f t="shared" si="10"/>
        <v>236372175</v>
      </c>
      <c r="F633" s="398" t="s">
        <v>1409</v>
      </c>
      <c r="G633" s="398" t="s">
        <v>170</v>
      </c>
      <c r="H633" s="398" t="s">
        <v>156</v>
      </c>
      <c r="I633" s="398" t="s">
        <v>156</v>
      </c>
    </row>
    <row r="634" spans="1:9" x14ac:dyDescent="0.35">
      <c r="A634" s="395" t="s">
        <v>1410</v>
      </c>
      <c r="B634" s="396" t="s">
        <v>146</v>
      </c>
      <c r="C634" s="395" t="s">
        <v>147</v>
      </c>
      <c r="D634" s="395">
        <v>135</v>
      </c>
      <c r="E634" s="397">
        <f t="shared" si="10"/>
        <v>236372175</v>
      </c>
      <c r="F634" s="398" t="s">
        <v>1411</v>
      </c>
      <c r="G634" s="398" t="s">
        <v>637</v>
      </c>
      <c r="H634" s="398" t="s">
        <v>240</v>
      </c>
      <c r="I634" s="398" t="s">
        <v>249</v>
      </c>
    </row>
    <row r="635" spans="1:9" x14ac:dyDescent="0.35">
      <c r="A635" s="395" t="s">
        <v>1412</v>
      </c>
      <c r="B635" s="396" t="s">
        <v>146</v>
      </c>
      <c r="C635" s="395" t="s">
        <v>147</v>
      </c>
      <c r="D635" s="395">
        <v>135</v>
      </c>
      <c r="E635" s="397">
        <f t="shared" si="10"/>
        <v>236372175</v>
      </c>
      <c r="F635" s="398" t="s">
        <v>1413</v>
      </c>
      <c r="G635" s="398" t="s">
        <v>191</v>
      </c>
      <c r="H635" s="398" t="s">
        <v>156</v>
      </c>
      <c r="I635" s="398" t="s">
        <v>156</v>
      </c>
    </row>
    <row r="636" spans="1:9" x14ac:dyDescent="0.35">
      <c r="A636" s="395" t="s">
        <v>1414</v>
      </c>
      <c r="B636" s="396" t="s">
        <v>146</v>
      </c>
      <c r="C636" s="395" t="s">
        <v>147</v>
      </c>
      <c r="D636" s="395">
        <v>135</v>
      </c>
      <c r="E636" s="397">
        <f t="shared" si="10"/>
        <v>236372175</v>
      </c>
      <c r="F636" s="398" t="s">
        <v>1415</v>
      </c>
      <c r="G636" s="398" t="s">
        <v>227</v>
      </c>
      <c r="H636" s="398" t="s">
        <v>156</v>
      </c>
      <c r="I636" s="398" t="s">
        <v>156</v>
      </c>
    </row>
    <row r="637" spans="1:9" x14ac:dyDescent="0.35">
      <c r="A637" s="395" t="s">
        <v>1416</v>
      </c>
      <c r="B637" s="396" t="s">
        <v>146</v>
      </c>
      <c r="C637" s="395" t="s">
        <v>147</v>
      </c>
      <c r="D637" s="395">
        <v>135</v>
      </c>
      <c r="E637" s="397">
        <f t="shared" si="10"/>
        <v>236372175</v>
      </c>
      <c r="F637" s="398" t="s">
        <v>1417</v>
      </c>
      <c r="G637" s="398" t="s">
        <v>200</v>
      </c>
      <c r="H637" s="398" t="s">
        <v>156</v>
      </c>
      <c r="I637" s="398" t="s">
        <v>156</v>
      </c>
    </row>
    <row r="638" spans="1:9" x14ac:dyDescent="0.35">
      <c r="A638" s="395" t="s">
        <v>1418</v>
      </c>
      <c r="B638" s="396" t="s">
        <v>146</v>
      </c>
      <c r="C638" s="395" t="s">
        <v>147</v>
      </c>
      <c r="D638" s="395">
        <v>135</v>
      </c>
      <c r="E638" s="397">
        <f t="shared" si="10"/>
        <v>236372175</v>
      </c>
      <c r="F638" s="398" t="s">
        <v>1419</v>
      </c>
      <c r="G638" s="398" t="s">
        <v>224</v>
      </c>
      <c r="H638" s="398" t="s">
        <v>156</v>
      </c>
      <c r="I638" s="398" t="s">
        <v>156</v>
      </c>
    </row>
    <row r="639" spans="1:9" x14ac:dyDescent="0.35">
      <c r="A639" s="395" t="s">
        <v>1420</v>
      </c>
      <c r="B639" s="396" t="s">
        <v>146</v>
      </c>
      <c r="C639" s="395" t="s">
        <v>147</v>
      </c>
      <c r="D639" s="395">
        <v>135</v>
      </c>
      <c r="E639" s="397">
        <f t="shared" si="10"/>
        <v>236372175</v>
      </c>
      <c r="F639" s="398" t="s">
        <v>1421</v>
      </c>
      <c r="G639" s="398" t="s">
        <v>424</v>
      </c>
      <c r="H639" s="398" t="s">
        <v>156</v>
      </c>
      <c r="I639" s="398" t="s">
        <v>156</v>
      </c>
    </row>
    <row r="640" spans="1:9" x14ac:dyDescent="0.35">
      <c r="A640" s="395" t="s">
        <v>1422</v>
      </c>
      <c r="B640" s="396" t="s">
        <v>146</v>
      </c>
      <c r="C640" s="395" t="s">
        <v>147</v>
      </c>
      <c r="D640" s="395">
        <v>135</v>
      </c>
      <c r="E640" s="397">
        <f t="shared" si="10"/>
        <v>236372175</v>
      </c>
      <c r="F640" s="398" t="s">
        <v>1423</v>
      </c>
      <c r="G640" s="398" t="s">
        <v>224</v>
      </c>
      <c r="H640" s="398" t="s">
        <v>156</v>
      </c>
      <c r="I640" s="398" t="s">
        <v>156</v>
      </c>
    </row>
    <row r="641" spans="1:9" x14ac:dyDescent="0.35">
      <c r="A641" s="395" t="s">
        <v>1424</v>
      </c>
      <c r="B641" s="396" t="s">
        <v>146</v>
      </c>
      <c r="C641" s="395" t="s">
        <v>147</v>
      </c>
      <c r="D641" s="395">
        <v>135</v>
      </c>
      <c r="E641" s="397">
        <f t="shared" si="10"/>
        <v>236372175</v>
      </c>
      <c r="F641" s="398" t="s">
        <v>1425</v>
      </c>
      <c r="G641" s="398" t="s">
        <v>178</v>
      </c>
      <c r="H641" s="398" t="s">
        <v>462</v>
      </c>
      <c r="I641" s="398" t="s">
        <v>164</v>
      </c>
    </row>
    <row r="642" spans="1:9" x14ac:dyDescent="0.35">
      <c r="A642" s="395" t="s">
        <v>1426</v>
      </c>
      <c r="B642" s="396" t="s">
        <v>146</v>
      </c>
      <c r="C642" s="395" t="s">
        <v>147</v>
      </c>
      <c r="D642" s="395">
        <v>135</v>
      </c>
      <c r="E642" s="397">
        <f t="shared" si="10"/>
        <v>236372175</v>
      </c>
      <c r="F642" s="398" t="s">
        <v>1427</v>
      </c>
      <c r="G642" s="398" t="s">
        <v>529</v>
      </c>
      <c r="H642" s="398" t="s">
        <v>156</v>
      </c>
      <c r="I642" s="398" t="s">
        <v>156</v>
      </c>
    </row>
    <row r="643" spans="1:9" x14ac:dyDescent="0.35">
      <c r="A643" s="395" t="s">
        <v>1428</v>
      </c>
      <c r="B643" s="396" t="s">
        <v>146</v>
      </c>
      <c r="C643" s="395" t="s">
        <v>147</v>
      </c>
      <c r="D643" s="395">
        <v>135</v>
      </c>
      <c r="E643" s="397">
        <f t="shared" ref="E643:E706" si="11">D643*$S$2</f>
        <v>236372175</v>
      </c>
      <c r="F643" s="398" t="s">
        <v>1429</v>
      </c>
      <c r="G643" s="398" t="s">
        <v>188</v>
      </c>
      <c r="H643" s="398" t="s">
        <v>156</v>
      </c>
      <c r="I643" s="398" t="s">
        <v>156</v>
      </c>
    </row>
    <row r="644" spans="1:9" x14ac:dyDescent="0.35">
      <c r="A644" s="395" t="s">
        <v>1430</v>
      </c>
      <c r="B644" s="396" t="s">
        <v>146</v>
      </c>
      <c r="C644" s="395" t="s">
        <v>147</v>
      </c>
      <c r="D644" s="395">
        <v>135</v>
      </c>
      <c r="E644" s="397">
        <f t="shared" si="11"/>
        <v>236372175</v>
      </c>
      <c r="F644" s="398" t="s">
        <v>1431</v>
      </c>
      <c r="G644" s="398" t="s">
        <v>221</v>
      </c>
      <c r="H644" s="398" t="s">
        <v>156</v>
      </c>
      <c r="I644" s="398" t="s">
        <v>156</v>
      </c>
    </row>
    <row r="645" spans="1:9" x14ac:dyDescent="0.35">
      <c r="A645" s="395" t="s">
        <v>1432</v>
      </c>
      <c r="B645" s="396" t="s">
        <v>146</v>
      </c>
      <c r="C645" s="395" t="s">
        <v>147</v>
      </c>
      <c r="D645" s="395">
        <v>135</v>
      </c>
      <c r="E645" s="397">
        <f t="shared" si="11"/>
        <v>236372175</v>
      </c>
      <c r="F645" s="398" t="s">
        <v>1433</v>
      </c>
      <c r="G645" s="398" t="s">
        <v>224</v>
      </c>
      <c r="H645" s="398" t="s">
        <v>156</v>
      </c>
      <c r="I645" s="398" t="s">
        <v>156</v>
      </c>
    </row>
    <row r="646" spans="1:9" x14ac:dyDescent="0.35">
      <c r="A646" s="395" t="s">
        <v>1434</v>
      </c>
      <c r="B646" s="396" t="s">
        <v>146</v>
      </c>
      <c r="C646" s="395" t="s">
        <v>147</v>
      </c>
      <c r="D646" s="395">
        <v>135</v>
      </c>
      <c r="E646" s="397">
        <f t="shared" si="11"/>
        <v>236372175</v>
      </c>
      <c r="F646" s="398" t="s">
        <v>1435</v>
      </c>
      <c r="G646" s="398" t="s">
        <v>221</v>
      </c>
      <c r="H646" s="398" t="s">
        <v>156</v>
      </c>
      <c r="I646" s="398" t="s">
        <v>156</v>
      </c>
    </row>
    <row r="647" spans="1:9" x14ac:dyDescent="0.35">
      <c r="A647" s="395" t="s">
        <v>1436</v>
      </c>
      <c r="B647" s="396" t="s">
        <v>146</v>
      </c>
      <c r="C647" s="395" t="s">
        <v>147</v>
      </c>
      <c r="D647" s="395">
        <v>135</v>
      </c>
      <c r="E647" s="397">
        <f t="shared" si="11"/>
        <v>236372175</v>
      </c>
      <c r="F647" s="398" t="s">
        <v>1437</v>
      </c>
      <c r="G647" s="398" t="s">
        <v>170</v>
      </c>
      <c r="H647" s="398" t="s">
        <v>156</v>
      </c>
      <c r="I647" s="398" t="s">
        <v>156</v>
      </c>
    </row>
    <row r="648" spans="1:9" x14ac:dyDescent="0.35">
      <c r="A648" s="395" t="s">
        <v>1438</v>
      </c>
      <c r="B648" s="396" t="s">
        <v>146</v>
      </c>
      <c r="C648" s="395" t="s">
        <v>147</v>
      </c>
      <c r="D648" s="395">
        <v>135</v>
      </c>
      <c r="E648" s="397">
        <f t="shared" si="11"/>
        <v>236372175</v>
      </c>
      <c r="F648" s="398" t="s">
        <v>1439</v>
      </c>
      <c r="G648" s="398" t="s">
        <v>181</v>
      </c>
      <c r="H648" s="398" t="s">
        <v>156</v>
      </c>
      <c r="I648" s="398" t="s">
        <v>156</v>
      </c>
    </row>
    <row r="649" spans="1:9" x14ac:dyDescent="0.35">
      <c r="A649" s="395" t="s">
        <v>1440</v>
      </c>
      <c r="B649" s="396" t="s">
        <v>146</v>
      </c>
      <c r="C649" s="395" t="s">
        <v>147</v>
      </c>
      <c r="D649" s="395">
        <v>135</v>
      </c>
      <c r="E649" s="397">
        <f t="shared" si="11"/>
        <v>236372175</v>
      </c>
      <c r="F649" s="398" t="s">
        <v>1441</v>
      </c>
      <c r="G649" s="398" t="s">
        <v>178</v>
      </c>
      <c r="H649" s="398" t="s">
        <v>156</v>
      </c>
      <c r="I649" s="398" t="s">
        <v>156</v>
      </c>
    </row>
    <row r="650" spans="1:9" x14ac:dyDescent="0.35">
      <c r="A650" s="395" t="s">
        <v>1442</v>
      </c>
      <c r="B650" s="396" t="s">
        <v>146</v>
      </c>
      <c r="C650" s="395" t="s">
        <v>147</v>
      </c>
      <c r="D650" s="395">
        <v>135</v>
      </c>
      <c r="E650" s="397">
        <f t="shared" si="11"/>
        <v>236372175</v>
      </c>
      <c r="F650" s="398" t="s">
        <v>1443</v>
      </c>
      <c r="G650" s="398" t="s">
        <v>224</v>
      </c>
      <c r="H650" s="398" t="s">
        <v>163</v>
      </c>
      <c r="I650" s="398" t="s">
        <v>192</v>
      </c>
    </row>
    <row r="651" spans="1:9" x14ac:dyDescent="0.35">
      <c r="A651" s="395" t="s">
        <v>1444</v>
      </c>
      <c r="B651" s="396" t="s">
        <v>146</v>
      </c>
      <c r="C651" s="395" t="s">
        <v>147</v>
      </c>
      <c r="D651" s="395">
        <v>135</v>
      </c>
      <c r="E651" s="397">
        <f t="shared" si="11"/>
        <v>236372175</v>
      </c>
      <c r="F651" s="398" t="s">
        <v>1445</v>
      </c>
      <c r="G651" s="398" t="s">
        <v>224</v>
      </c>
      <c r="H651" s="398" t="s">
        <v>156</v>
      </c>
      <c r="I651" s="398" t="s">
        <v>156</v>
      </c>
    </row>
    <row r="652" spans="1:9" x14ac:dyDescent="0.35">
      <c r="A652" s="395" t="s">
        <v>1446</v>
      </c>
      <c r="B652" s="396" t="s">
        <v>146</v>
      </c>
      <c r="C652" s="395" t="s">
        <v>147</v>
      </c>
      <c r="D652" s="395">
        <v>135</v>
      </c>
      <c r="E652" s="397">
        <f t="shared" si="11"/>
        <v>236372175</v>
      </c>
      <c r="F652" s="398" t="s">
        <v>1447</v>
      </c>
      <c r="G652" s="398" t="s">
        <v>170</v>
      </c>
      <c r="H652" s="398" t="s">
        <v>156</v>
      </c>
      <c r="I652" s="398" t="s">
        <v>156</v>
      </c>
    </row>
    <row r="653" spans="1:9" x14ac:dyDescent="0.35">
      <c r="A653" s="395" t="s">
        <v>1448</v>
      </c>
      <c r="B653" s="396" t="s">
        <v>146</v>
      </c>
      <c r="C653" s="395" t="s">
        <v>147</v>
      </c>
      <c r="D653" s="395">
        <v>135</v>
      </c>
      <c r="E653" s="397">
        <f t="shared" si="11"/>
        <v>236372175</v>
      </c>
      <c r="F653" s="398" t="s">
        <v>1449</v>
      </c>
      <c r="G653" s="398" t="s">
        <v>188</v>
      </c>
      <c r="H653" s="398" t="s">
        <v>156</v>
      </c>
      <c r="I653" s="398" t="s">
        <v>156</v>
      </c>
    </row>
    <row r="654" spans="1:9" x14ac:dyDescent="0.35">
      <c r="A654" s="395" t="s">
        <v>1450</v>
      </c>
      <c r="B654" s="396" t="s">
        <v>146</v>
      </c>
      <c r="C654" s="395" t="s">
        <v>147</v>
      </c>
      <c r="D654" s="395">
        <v>135</v>
      </c>
      <c r="E654" s="397">
        <f t="shared" si="11"/>
        <v>236372175</v>
      </c>
      <c r="F654" s="398" t="s">
        <v>1449</v>
      </c>
      <c r="G654" s="398" t="s">
        <v>170</v>
      </c>
      <c r="H654" s="398" t="s">
        <v>156</v>
      </c>
      <c r="I654" s="398" t="s">
        <v>156</v>
      </c>
    </row>
    <row r="655" spans="1:9" x14ac:dyDescent="0.35">
      <c r="A655" s="395" t="s">
        <v>1451</v>
      </c>
      <c r="B655" s="396" t="s">
        <v>146</v>
      </c>
      <c r="C655" s="395" t="s">
        <v>147</v>
      </c>
      <c r="D655" s="395">
        <v>135</v>
      </c>
      <c r="E655" s="397">
        <f t="shared" si="11"/>
        <v>236372175</v>
      </c>
      <c r="F655" s="398" t="s">
        <v>1452</v>
      </c>
      <c r="G655" s="398" t="s">
        <v>185</v>
      </c>
      <c r="H655" s="398" t="s">
        <v>156</v>
      </c>
      <c r="I655" s="398" t="s">
        <v>156</v>
      </c>
    </row>
    <row r="656" spans="1:9" x14ac:dyDescent="0.35">
      <c r="A656" s="395" t="s">
        <v>1453</v>
      </c>
      <c r="B656" s="396" t="s">
        <v>146</v>
      </c>
      <c r="C656" s="395" t="s">
        <v>358</v>
      </c>
      <c r="D656" s="395">
        <v>150</v>
      </c>
      <c r="E656" s="397">
        <f t="shared" si="11"/>
        <v>262635750</v>
      </c>
      <c r="F656" s="398" t="s">
        <v>1454</v>
      </c>
      <c r="G656" s="398" t="s">
        <v>336</v>
      </c>
      <c r="H656" s="398" t="s">
        <v>156</v>
      </c>
      <c r="I656" s="398" t="s">
        <v>156</v>
      </c>
    </row>
    <row r="657" spans="1:9" x14ac:dyDescent="0.35">
      <c r="A657" s="395" t="s">
        <v>1455</v>
      </c>
      <c r="B657" s="396" t="s">
        <v>146</v>
      </c>
      <c r="C657" s="395" t="s">
        <v>147</v>
      </c>
      <c r="D657" s="395">
        <v>135</v>
      </c>
      <c r="E657" s="397">
        <f t="shared" si="11"/>
        <v>236372175</v>
      </c>
      <c r="F657" s="398" t="s">
        <v>1456</v>
      </c>
      <c r="G657" s="398" t="s">
        <v>185</v>
      </c>
      <c r="H657" s="398" t="s">
        <v>156</v>
      </c>
      <c r="I657" s="398" t="s">
        <v>156</v>
      </c>
    </row>
    <row r="658" spans="1:9" x14ac:dyDescent="0.35">
      <c r="A658" s="395" t="s">
        <v>1457</v>
      </c>
      <c r="B658" s="396" t="s">
        <v>160</v>
      </c>
      <c r="C658" s="395" t="s">
        <v>147</v>
      </c>
      <c r="D658" s="395">
        <v>135</v>
      </c>
      <c r="E658" s="397">
        <f t="shared" si="11"/>
        <v>236372175</v>
      </c>
      <c r="F658" s="398" t="s">
        <v>1458</v>
      </c>
      <c r="G658" s="398" t="s">
        <v>209</v>
      </c>
      <c r="H658" s="398" t="s">
        <v>462</v>
      </c>
      <c r="I658" s="398" t="s">
        <v>249</v>
      </c>
    </row>
    <row r="659" spans="1:9" x14ac:dyDescent="0.35">
      <c r="A659" s="395" t="s">
        <v>1459</v>
      </c>
      <c r="B659" s="396" t="s">
        <v>146</v>
      </c>
      <c r="C659" s="395" t="s">
        <v>147</v>
      </c>
      <c r="D659" s="395">
        <v>135</v>
      </c>
      <c r="E659" s="397">
        <f t="shared" si="11"/>
        <v>236372175</v>
      </c>
      <c r="F659" s="398" t="s">
        <v>1460</v>
      </c>
      <c r="G659" s="398" t="s">
        <v>424</v>
      </c>
      <c r="H659" s="398" t="s">
        <v>156</v>
      </c>
      <c r="I659" s="398" t="s">
        <v>156</v>
      </c>
    </row>
    <row r="660" spans="1:9" x14ac:dyDescent="0.35">
      <c r="A660" s="395" t="s">
        <v>1461</v>
      </c>
      <c r="B660" s="396" t="s">
        <v>146</v>
      </c>
      <c r="C660" s="395" t="s">
        <v>147</v>
      </c>
      <c r="D660" s="395">
        <v>135</v>
      </c>
      <c r="E660" s="397">
        <f t="shared" si="11"/>
        <v>236372175</v>
      </c>
      <c r="F660" s="398" t="s">
        <v>1462</v>
      </c>
      <c r="G660" s="398" t="s">
        <v>227</v>
      </c>
      <c r="H660" s="398" t="s">
        <v>240</v>
      </c>
      <c r="I660" s="398" t="s">
        <v>164</v>
      </c>
    </row>
    <row r="661" spans="1:9" x14ac:dyDescent="0.35">
      <c r="A661" s="395" t="s">
        <v>1463</v>
      </c>
      <c r="B661" s="396" t="s">
        <v>146</v>
      </c>
      <c r="C661" s="395" t="s">
        <v>147</v>
      </c>
      <c r="D661" s="395">
        <v>135</v>
      </c>
      <c r="E661" s="397">
        <f t="shared" si="11"/>
        <v>236372175</v>
      </c>
      <c r="F661" s="398" t="s">
        <v>1464</v>
      </c>
      <c r="G661" s="398" t="s">
        <v>155</v>
      </c>
      <c r="H661" s="398" t="s">
        <v>150</v>
      </c>
      <c r="I661" s="398" t="s">
        <v>192</v>
      </c>
    </row>
    <row r="662" spans="1:9" x14ac:dyDescent="0.35">
      <c r="A662" s="395" t="s">
        <v>1465</v>
      </c>
      <c r="B662" s="396" t="s">
        <v>146</v>
      </c>
      <c r="C662" s="395" t="s">
        <v>147</v>
      </c>
      <c r="D662" s="395">
        <v>135</v>
      </c>
      <c r="E662" s="397">
        <f t="shared" si="11"/>
        <v>236372175</v>
      </c>
      <c r="F662" s="398" t="s">
        <v>1466</v>
      </c>
      <c r="G662" s="398" t="s">
        <v>155</v>
      </c>
      <c r="H662" s="398" t="s">
        <v>156</v>
      </c>
      <c r="I662" s="398" t="s">
        <v>156</v>
      </c>
    </row>
    <row r="663" spans="1:9" x14ac:dyDescent="0.35">
      <c r="A663" s="395" t="s">
        <v>1467</v>
      </c>
      <c r="B663" s="396" t="s">
        <v>146</v>
      </c>
      <c r="C663" s="395" t="s">
        <v>147</v>
      </c>
      <c r="D663" s="395">
        <v>135</v>
      </c>
      <c r="E663" s="397">
        <f t="shared" si="11"/>
        <v>236372175</v>
      </c>
      <c r="F663" s="398" t="s">
        <v>1468</v>
      </c>
      <c r="G663" s="398" t="s">
        <v>356</v>
      </c>
      <c r="H663" s="398" t="s">
        <v>156</v>
      </c>
      <c r="I663" s="398" t="s">
        <v>156</v>
      </c>
    </row>
    <row r="664" spans="1:9" x14ac:dyDescent="0.35">
      <c r="A664" s="395" t="s">
        <v>1469</v>
      </c>
      <c r="B664" s="396" t="s">
        <v>146</v>
      </c>
      <c r="C664" s="395" t="s">
        <v>147</v>
      </c>
      <c r="D664" s="395">
        <v>135</v>
      </c>
      <c r="E664" s="397">
        <f t="shared" si="11"/>
        <v>236372175</v>
      </c>
      <c r="F664" s="398" t="s">
        <v>1470</v>
      </c>
      <c r="G664" s="398" t="s">
        <v>178</v>
      </c>
      <c r="H664" s="398" t="s">
        <v>156</v>
      </c>
      <c r="I664" s="398" t="s">
        <v>156</v>
      </c>
    </row>
    <row r="665" spans="1:9" x14ac:dyDescent="0.35">
      <c r="A665" s="395" t="s">
        <v>1471</v>
      </c>
      <c r="B665" s="396" t="s">
        <v>146</v>
      </c>
      <c r="C665" s="395" t="s">
        <v>147</v>
      </c>
      <c r="D665" s="395">
        <v>135</v>
      </c>
      <c r="E665" s="397">
        <f t="shared" si="11"/>
        <v>236372175</v>
      </c>
      <c r="F665" s="398" t="s">
        <v>1472</v>
      </c>
      <c r="G665" s="398" t="s">
        <v>224</v>
      </c>
      <c r="H665" s="398" t="s">
        <v>156</v>
      </c>
      <c r="I665" s="398" t="s">
        <v>156</v>
      </c>
    </row>
    <row r="666" spans="1:9" x14ac:dyDescent="0.35">
      <c r="A666" s="395" t="s">
        <v>1473</v>
      </c>
      <c r="B666" s="396" t="s">
        <v>146</v>
      </c>
      <c r="C666" s="395" t="s">
        <v>147</v>
      </c>
      <c r="D666" s="395">
        <v>135</v>
      </c>
      <c r="E666" s="397">
        <f t="shared" si="11"/>
        <v>236372175</v>
      </c>
      <c r="F666" s="398" t="s">
        <v>1474</v>
      </c>
      <c r="G666" s="398" t="s">
        <v>529</v>
      </c>
      <c r="H666" s="398" t="s">
        <v>156</v>
      </c>
      <c r="I666" s="398" t="s">
        <v>156</v>
      </c>
    </row>
    <row r="667" spans="1:9" x14ac:dyDescent="0.35">
      <c r="A667" s="395" t="s">
        <v>1475</v>
      </c>
      <c r="B667" s="396" t="s">
        <v>146</v>
      </c>
      <c r="C667" s="395" t="s">
        <v>147</v>
      </c>
      <c r="D667" s="395">
        <v>135</v>
      </c>
      <c r="E667" s="397">
        <f t="shared" si="11"/>
        <v>236372175</v>
      </c>
      <c r="F667" s="398" t="s">
        <v>1476</v>
      </c>
      <c r="G667" s="398" t="s">
        <v>185</v>
      </c>
      <c r="H667" s="398" t="s">
        <v>156</v>
      </c>
      <c r="I667" s="398" t="s">
        <v>156</v>
      </c>
    </row>
    <row r="668" spans="1:9" x14ac:dyDescent="0.35">
      <c r="A668" s="395" t="s">
        <v>1477</v>
      </c>
      <c r="B668" s="396" t="s">
        <v>146</v>
      </c>
      <c r="C668" s="395" t="s">
        <v>147</v>
      </c>
      <c r="D668" s="395">
        <v>135</v>
      </c>
      <c r="E668" s="397">
        <f t="shared" si="11"/>
        <v>236372175</v>
      </c>
      <c r="F668" s="398" t="s">
        <v>1478</v>
      </c>
      <c r="G668" s="398" t="s">
        <v>178</v>
      </c>
      <c r="H668" s="398" t="s">
        <v>240</v>
      </c>
      <c r="I668" s="398" t="s">
        <v>164</v>
      </c>
    </row>
    <row r="669" spans="1:9" x14ac:dyDescent="0.35">
      <c r="A669" s="395" t="s">
        <v>1479</v>
      </c>
      <c r="B669" s="396" t="s">
        <v>146</v>
      </c>
      <c r="C669" s="395" t="s">
        <v>147</v>
      </c>
      <c r="D669" s="395">
        <v>135</v>
      </c>
      <c r="E669" s="397">
        <f t="shared" si="11"/>
        <v>236372175</v>
      </c>
      <c r="F669" s="398" t="s">
        <v>1480</v>
      </c>
      <c r="G669" s="398" t="s">
        <v>178</v>
      </c>
      <c r="H669" s="398" t="s">
        <v>156</v>
      </c>
      <c r="I669" s="398" t="s">
        <v>156</v>
      </c>
    </row>
    <row r="670" spans="1:9" x14ac:dyDescent="0.35">
      <c r="A670" s="395" t="s">
        <v>1481</v>
      </c>
      <c r="B670" s="396" t="s">
        <v>160</v>
      </c>
      <c r="C670" s="395" t="s">
        <v>147</v>
      </c>
      <c r="D670" s="395">
        <v>135</v>
      </c>
      <c r="E670" s="397">
        <f t="shared" si="11"/>
        <v>236372175</v>
      </c>
      <c r="F670" s="398" t="s">
        <v>1482</v>
      </c>
      <c r="G670" s="398" t="s">
        <v>200</v>
      </c>
      <c r="H670" s="398" t="s">
        <v>163</v>
      </c>
      <c r="I670" s="398" t="s">
        <v>249</v>
      </c>
    </row>
    <row r="671" spans="1:9" x14ac:dyDescent="0.35">
      <c r="A671" s="395" t="s">
        <v>1483</v>
      </c>
      <c r="B671" s="396" t="s">
        <v>146</v>
      </c>
      <c r="C671" s="395" t="s">
        <v>147</v>
      </c>
      <c r="D671" s="395">
        <v>135</v>
      </c>
      <c r="E671" s="397">
        <f t="shared" si="11"/>
        <v>236372175</v>
      </c>
      <c r="F671" s="398" t="s">
        <v>1484</v>
      </c>
      <c r="G671" s="398" t="s">
        <v>221</v>
      </c>
      <c r="H671" s="398" t="s">
        <v>156</v>
      </c>
      <c r="I671" s="398" t="s">
        <v>156</v>
      </c>
    </row>
    <row r="672" spans="1:9" x14ac:dyDescent="0.35">
      <c r="A672" s="395" t="s">
        <v>1485</v>
      </c>
      <c r="B672" s="396" t="s">
        <v>146</v>
      </c>
      <c r="C672" s="395" t="s">
        <v>147</v>
      </c>
      <c r="D672" s="395">
        <v>135</v>
      </c>
      <c r="E672" s="397">
        <f t="shared" si="11"/>
        <v>236372175</v>
      </c>
      <c r="F672" s="398" t="s">
        <v>1486</v>
      </c>
      <c r="G672" s="398" t="s">
        <v>224</v>
      </c>
      <c r="H672" s="398" t="s">
        <v>156</v>
      </c>
      <c r="I672" s="398" t="s">
        <v>156</v>
      </c>
    </row>
    <row r="673" spans="1:9" x14ac:dyDescent="0.35">
      <c r="A673" s="395" t="s">
        <v>1487</v>
      </c>
      <c r="B673" s="396" t="s">
        <v>146</v>
      </c>
      <c r="C673" s="395" t="s">
        <v>147</v>
      </c>
      <c r="D673" s="395">
        <v>135</v>
      </c>
      <c r="E673" s="397">
        <f t="shared" si="11"/>
        <v>236372175</v>
      </c>
      <c r="F673" s="398" t="s">
        <v>1488</v>
      </c>
      <c r="G673" s="398" t="s">
        <v>224</v>
      </c>
      <c r="H673" s="398" t="s">
        <v>156</v>
      </c>
      <c r="I673" s="398" t="s">
        <v>156</v>
      </c>
    </row>
    <row r="674" spans="1:9" x14ac:dyDescent="0.35">
      <c r="A674" s="395" t="s">
        <v>1489</v>
      </c>
      <c r="B674" s="396" t="s">
        <v>146</v>
      </c>
      <c r="C674" s="395" t="s">
        <v>147</v>
      </c>
      <c r="D674" s="395">
        <v>135</v>
      </c>
      <c r="E674" s="397">
        <f t="shared" si="11"/>
        <v>236372175</v>
      </c>
      <c r="F674" s="398" t="s">
        <v>1490</v>
      </c>
      <c r="G674" s="398" t="s">
        <v>191</v>
      </c>
      <c r="H674" s="398" t="s">
        <v>156</v>
      </c>
      <c r="I674" s="398" t="s">
        <v>156</v>
      </c>
    </row>
    <row r="675" spans="1:9" x14ac:dyDescent="0.35">
      <c r="A675" s="395" t="s">
        <v>1491</v>
      </c>
      <c r="B675" s="396" t="s">
        <v>146</v>
      </c>
      <c r="C675" s="395" t="s">
        <v>147</v>
      </c>
      <c r="D675" s="395">
        <v>135</v>
      </c>
      <c r="E675" s="397">
        <f t="shared" si="11"/>
        <v>236372175</v>
      </c>
      <c r="F675" s="398" t="s">
        <v>1492</v>
      </c>
      <c r="G675" s="398" t="s">
        <v>224</v>
      </c>
      <c r="H675" s="398" t="s">
        <v>156</v>
      </c>
      <c r="I675" s="398" t="s">
        <v>156</v>
      </c>
    </row>
    <row r="676" spans="1:9" x14ac:dyDescent="0.35">
      <c r="A676" s="395" t="s">
        <v>1493</v>
      </c>
      <c r="B676" s="396" t="s">
        <v>146</v>
      </c>
      <c r="C676" s="395" t="s">
        <v>147</v>
      </c>
      <c r="D676" s="395">
        <v>135</v>
      </c>
      <c r="E676" s="397">
        <f t="shared" si="11"/>
        <v>236372175</v>
      </c>
      <c r="F676" s="398" t="s">
        <v>1494</v>
      </c>
      <c r="G676" s="398" t="s">
        <v>216</v>
      </c>
      <c r="H676" s="398" t="s">
        <v>156</v>
      </c>
      <c r="I676" s="398" t="s">
        <v>156</v>
      </c>
    </row>
    <row r="677" spans="1:9" x14ac:dyDescent="0.35">
      <c r="A677" s="395" t="s">
        <v>1495</v>
      </c>
      <c r="B677" s="396" t="s">
        <v>146</v>
      </c>
      <c r="C677" s="395" t="s">
        <v>147</v>
      </c>
      <c r="D677" s="395">
        <v>135</v>
      </c>
      <c r="E677" s="397">
        <f t="shared" si="11"/>
        <v>236372175</v>
      </c>
      <c r="F677" s="398" t="s">
        <v>1496</v>
      </c>
      <c r="G677" s="398" t="s">
        <v>181</v>
      </c>
      <c r="H677" s="398" t="s">
        <v>156</v>
      </c>
      <c r="I677" s="398" t="s">
        <v>156</v>
      </c>
    </row>
    <row r="678" spans="1:9" x14ac:dyDescent="0.35">
      <c r="A678" s="395" t="s">
        <v>1497</v>
      </c>
      <c r="B678" s="396" t="s">
        <v>146</v>
      </c>
      <c r="C678" s="395" t="s">
        <v>147</v>
      </c>
      <c r="D678" s="395">
        <v>135</v>
      </c>
      <c r="E678" s="397">
        <f t="shared" si="11"/>
        <v>236372175</v>
      </c>
      <c r="F678" s="398" t="s">
        <v>1498</v>
      </c>
      <c r="G678" s="398" t="s">
        <v>188</v>
      </c>
      <c r="H678" s="398" t="s">
        <v>156</v>
      </c>
      <c r="I678" s="398" t="s">
        <v>156</v>
      </c>
    </row>
    <row r="679" spans="1:9" x14ac:dyDescent="0.35">
      <c r="A679" s="395" t="s">
        <v>1499</v>
      </c>
      <c r="B679" s="396" t="s">
        <v>146</v>
      </c>
      <c r="C679" s="395" t="s">
        <v>147</v>
      </c>
      <c r="D679" s="395">
        <v>135</v>
      </c>
      <c r="E679" s="397">
        <f t="shared" si="11"/>
        <v>236372175</v>
      </c>
      <c r="F679" s="398" t="s">
        <v>1500</v>
      </c>
      <c r="G679" s="398" t="s">
        <v>149</v>
      </c>
      <c r="H679" s="398" t="s">
        <v>150</v>
      </c>
      <c r="I679" s="398" t="s">
        <v>151</v>
      </c>
    </row>
    <row r="680" spans="1:9" x14ac:dyDescent="0.35">
      <c r="A680" s="395" t="s">
        <v>1501</v>
      </c>
      <c r="B680" s="396" t="s">
        <v>146</v>
      </c>
      <c r="C680" s="395" t="s">
        <v>147</v>
      </c>
      <c r="D680" s="395">
        <v>135</v>
      </c>
      <c r="E680" s="397">
        <f t="shared" si="11"/>
        <v>236372175</v>
      </c>
      <c r="F680" s="398" t="s">
        <v>1502</v>
      </c>
      <c r="G680" s="398" t="s">
        <v>149</v>
      </c>
      <c r="H680" s="398" t="s">
        <v>156</v>
      </c>
      <c r="I680" s="398" t="s">
        <v>156</v>
      </c>
    </row>
    <row r="681" spans="1:9" x14ac:dyDescent="0.35">
      <c r="A681" s="395" t="s">
        <v>1503</v>
      </c>
      <c r="B681" s="396" t="s">
        <v>160</v>
      </c>
      <c r="C681" s="395" t="s">
        <v>147</v>
      </c>
      <c r="D681" s="395">
        <v>135</v>
      </c>
      <c r="E681" s="397">
        <f t="shared" si="11"/>
        <v>236372175</v>
      </c>
      <c r="F681" s="398" t="s">
        <v>1504</v>
      </c>
      <c r="G681" s="398" t="s">
        <v>272</v>
      </c>
      <c r="H681" s="398" t="s">
        <v>163</v>
      </c>
      <c r="I681" s="398" t="s">
        <v>151</v>
      </c>
    </row>
    <row r="682" spans="1:9" x14ac:dyDescent="0.35">
      <c r="A682" s="395" t="s">
        <v>1505</v>
      </c>
      <c r="B682" s="396" t="s">
        <v>146</v>
      </c>
      <c r="C682" s="395" t="s">
        <v>147</v>
      </c>
      <c r="D682" s="395">
        <v>135</v>
      </c>
      <c r="E682" s="397">
        <f t="shared" si="11"/>
        <v>236372175</v>
      </c>
      <c r="F682" s="398" t="s">
        <v>1506</v>
      </c>
      <c r="G682" s="398" t="s">
        <v>224</v>
      </c>
      <c r="H682" s="398" t="s">
        <v>156</v>
      </c>
      <c r="I682" s="398" t="s">
        <v>156</v>
      </c>
    </row>
    <row r="683" spans="1:9" x14ac:dyDescent="0.35">
      <c r="A683" s="395" t="s">
        <v>1507</v>
      </c>
      <c r="B683" s="396" t="s">
        <v>146</v>
      </c>
      <c r="C683" s="395" t="s">
        <v>147</v>
      </c>
      <c r="D683" s="395">
        <v>135</v>
      </c>
      <c r="E683" s="397">
        <f t="shared" si="11"/>
        <v>236372175</v>
      </c>
      <c r="F683" s="398" t="s">
        <v>1508</v>
      </c>
      <c r="G683" s="398" t="s">
        <v>221</v>
      </c>
      <c r="H683" s="398" t="s">
        <v>156</v>
      </c>
      <c r="I683" s="398" t="s">
        <v>156</v>
      </c>
    </row>
    <row r="684" spans="1:9" x14ac:dyDescent="0.35">
      <c r="A684" s="395" t="s">
        <v>1509</v>
      </c>
      <c r="B684" s="396" t="s">
        <v>146</v>
      </c>
      <c r="C684" s="395" t="s">
        <v>358</v>
      </c>
      <c r="D684" s="395">
        <v>150</v>
      </c>
      <c r="E684" s="397">
        <f t="shared" si="11"/>
        <v>262635750</v>
      </c>
      <c r="F684" s="398" t="s">
        <v>1510</v>
      </c>
      <c r="G684" s="398" t="s">
        <v>185</v>
      </c>
      <c r="H684" s="398" t="s">
        <v>163</v>
      </c>
      <c r="I684" s="398" t="s">
        <v>192</v>
      </c>
    </row>
    <row r="685" spans="1:9" x14ac:dyDescent="0.35">
      <c r="A685" s="395" t="s">
        <v>1511</v>
      </c>
      <c r="B685" s="396" t="s">
        <v>146</v>
      </c>
      <c r="C685" s="395" t="s">
        <v>147</v>
      </c>
      <c r="D685" s="395">
        <v>135</v>
      </c>
      <c r="E685" s="397">
        <f t="shared" si="11"/>
        <v>236372175</v>
      </c>
      <c r="F685" s="398" t="s">
        <v>1512</v>
      </c>
      <c r="G685" s="398" t="s">
        <v>227</v>
      </c>
      <c r="H685" s="398" t="s">
        <v>156</v>
      </c>
      <c r="I685" s="398" t="s">
        <v>156</v>
      </c>
    </row>
    <row r="686" spans="1:9" x14ac:dyDescent="0.35">
      <c r="A686" s="395" t="s">
        <v>1513</v>
      </c>
      <c r="B686" s="396" t="s">
        <v>146</v>
      </c>
      <c r="C686" s="395" t="s">
        <v>147</v>
      </c>
      <c r="D686" s="395">
        <v>135</v>
      </c>
      <c r="E686" s="397">
        <f t="shared" si="11"/>
        <v>236372175</v>
      </c>
      <c r="F686" s="398" t="s">
        <v>1514</v>
      </c>
      <c r="G686" s="398" t="s">
        <v>221</v>
      </c>
      <c r="H686" s="398" t="s">
        <v>156</v>
      </c>
      <c r="I686" s="398" t="s">
        <v>156</v>
      </c>
    </row>
    <row r="687" spans="1:9" x14ac:dyDescent="0.35">
      <c r="A687" s="395" t="s">
        <v>1515</v>
      </c>
      <c r="B687" s="396" t="s">
        <v>146</v>
      </c>
      <c r="C687" s="395" t="s">
        <v>147</v>
      </c>
      <c r="D687" s="395">
        <v>135</v>
      </c>
      <c r="E687" s="397">
        <f t="shared" si="11"/>
        <v>236372175</v>
      </c>
      <c r="F687" s="398" t="s">
        <v>1516</v>
      </c>
      <c r="G687" s="398" t="s">
        <v>311</v>
      </c>
      <c r="H687" s="398" t="s">
        <v>156</v>
      </c>
      <c r="I687" s="398" t="s">
        <v>156</v>
      </c>
    </row>
    <row r="688" spans="1:9" x14ac:dyDescent="0.35">
      <c r="A688" s="395" t="s">
        <v>1517</v>
      </c>
      <c r="B688" s="396" t="s">
        <v>146</v>
      </c>
      <c r="C688" s="395" t="s">
        <v>147</v>
      </c>
      <c r="D688" s="395">
        <v>135</v>
      </c>
      <c r="E688" s="397">
        <f t="shared" si="11"/>
        <v>236372175</v>
      </c>
      <c r="F688" s="398" t="s">
        <v>1518</v>
      </c>
      <c r="G688" s="398" t="s">
        <v>216</v>
      </c>
      <c r="H688" s="398" t="s">
        <v>156</v>
      </c>
      <c r="I688" s="398" t="s">
        <v>156</v>
      </c>
    </row>
    <row r="689" spans="1:9" x14ac:dyDescent="0.35">
      <c r="A689" s="395" t="s">
        <v>1519</v>
      </c>
      <c r="B689" s="396" t="s">
        <v>146</v>
      </c>
      <c r="C689" s="395" t="s">
        <v>147</v>
      </c>
      <c r="D689" s="395">
        <v>135</v>
      </c>
      <c r="E689" s="397">
        <f t="shared" si="11"/>
        <v>236372175</v>
      </c>
      <c r="F689" s="398" t="s">
        <v>1520</v>
      </c>
      <c r="G689" s="398" t="s">
        <v>185</v>
      </c>
      <c r="H689" s="398" t="s">
        <v>156</v>
      </c>
      <c r="I689" s="398" t="s">
        <v>156</v>
      </c>
    </row>
    <row r="690" spans="1:9" x14ac:dyDescent="0.35">
      <c r="A690" s="395" t="s">
        <v>1521</v>
      </c>
      <c r="B690" s="396" t="s">
        <v>146</v>
      </c>
      <c r="C690" s="395" t="s">
        <v>147</v>
      </c>
      <c r="D690" s="395">
        <v>135</v>
      </c>
      <c r="E690" s="397">
        <f t="shared" si="11"/>
        <v>236372175</v>
      </c>
      <c r="F690" s="398" t="s">
        <v>1522</v>
      </c>
      <c r="G690" s="398" t="s">
        <v>173</v>
      </c>
      <c r="H690" s="398" t="s">
        <v>156</v>
      </c>
      <c r="I690" s="398" t="s">
        <v>156</v>
      </c>
    </row>
    <row r="691" spans="1:9" x14ac:dyDescent="0.35">
      <c r="A691" s="395" t="s">
        <v>1523</v>
      </c>
      <c r="B691" s="396" t="s">
        <v>146</v>
      </c>
      <c r="C691" s="395" t="s">
        <v>147</v>
      </c>
      <c r="D691" s="395">
        <v>135</v>
      </c>
      <c r="E691" s="397">
        <f t="shared" si="11"/>
        <v>236372175</v>
      </c>
      <c r="F691" s="398" t="s">
        <v>1524</v>
      </c>
      <c r="G691" s="398" t="s">
        <v>336</v>
      </c>
      <c r="H691" s="398" t="s">
        <v>156</v>
      </c>
      <c r="I691" s="398" t="s">
        <v>156</v>
      </c>
    </row>
    <row r="692" spans="1:9" x14ac:dyDescent="0.35">
      <c r="A692" s="395" t="s">
        <v>1525</v>
      </c>
      <c r="B692" s="396" t="s">
        <v>146</v>
      </c>
      <c r="C692" s="395" t="s">
        <v>147</v>
      </c>
      <c r="D692" s="395">
        <v>135</v>
      </c>
      <c r="E692" s="397">
        <f t="shared" si="11"/>
        <v>236372175</v>
      </c>
      <c r="F692" s="398" t="s">
        <v>1526</v>
      </c>
      <c r="G692" s="398" t="s">
        <v>224</v>
      </c>
      <c r="H692" s="398" t="s">
        <v>156</v>
      </c>
      <c r="I692" s="398" t="s">
        <v>156</v>
      </c>
    </row>
    <row r="693" spans="1:9" x14ac:dyDescent="0.35">
      <c r="A693" s="395" t="s">
        <v>1527</v>
      </c>
      <c r="B693" s="396" t="s">
        <v>146</v>
      </c>
      <c r="C693" s="395" t="s">
        <v>147</v>
      </c>
      <c r="D693" s="395">
        <v>135</v>
      </c>
      <c r="E693" s="397">
        <f t="shared" si="11"/>
        <v>236372175</v>
      </c>
      <c r="F693" s="398" t="s">
        <v>1528</v>
      </c>
      <c r="G693" s="398" t="s">
        <v>170</v>
      </c>
      <c r="H693" s="398" t="s">
        <v>156</v>
      </c>
      <c r="I693" s="398" t="s">
        <v>156</v>
      </c>
    </row>
    <row r="694" spans="1:9" x14ac:dyDescent="0.35">
      <c r="A694" s="395" t="s">
        <v>1529</v>
      </c>
      <c r="B694" s="396" t="s">
        <v>146</v>
      </c>
      <c r="C694" s="395" t="s">
        <v>147</v>
      </c>
      <c r="D694" s="395">
        <v>135</v>
      </c>
      <c r="E694" s="397">
        <f t="shared" si="11"/>
        <v>236372175</v>
      </c>
      <c r="F694" s="398" t="s">
        <v>1530</v>
      </c>
      <c r="G694" s="398" t="s">
        <v>170</v>
      </c>
      <c r="H694" s="398" t="s">
        <v>240</v>
      </c>
      <c r="I694" s="398" t="s">
        <v>164</v>
      </c>
    </row>
    <row r="695" spans="1:9" x14ac:dyDescent="0.35">
      <c r="A695" s="395" t="s">
        <v>1531</v>
      </c>
      <c r="B695" s="396" t="s">
        <v>146</v>
      </c>
      <c r="C695" s="395" t="s">
        <v>147</v>
      </c>
      <c r="D695" s="395">
        <v>135</v>
      </c>
      <c r="E695" s="397">
        <f t="shared" si="11"/>
        <v>236372175</v>
      </c>
      <c r="F695" s="398" t="s">
        <v>1532</v>
      </c>
      <c r="G695" s="398" t="s">
        <v>216</v>
      </c>
      <c r="H695" s="398" t="s">
        <v>150</v>
      </c>
      <c r="I695" s="398" t="s">
        <v>182</v>
      </c>
    </row>
    <row r="696" spans="1:9" x14ac:dyDescent="0.35">
      <c r="A696" s="395" t="s">
        <v>1533</v>
      </c>
      <c r="B696" s="396" t="s">
        <v>146</v>
      </c>
      <c r="C696" s="395" t="s">
        <v>147</v>
      </c>
      <c r="D696" s="395">
        <v>135</v>
      </c>
      <c r="E696" s="397">
        <f t="shared" si="11"/>
        <v>236372175</v>
      </c>
      <c r="F696" s="398" t="s">
        <v>1534</v>
      </c>
      <c r="G696" s="398" t="s">
        <v>227</v>
      </c>
      <c r="H696" s="398" t="s">
        <v>156</v>
      </c>
      <c r="I696" s="398" t="s">
        <v>156</v>
      </c>
    </row>
    <row r="697" spans="1:9" x14ac:dyDescent="0.35">
      <c r="A697" s="395" t="s">
        <v>1535</v>
      </c>
      <c r="B697" s="396" t="s">
        <v>146</v>
      </c>
      <c r="C697" s="395" t="s">
        <v>147</v>
      </c>
      <c r="D697" s="395">
        <v>135</v>
      </c>
      <c r="E697" s="397">
        <f t="shared" si="11"/>
        <v>236372175</v>
      </c>
      <c r="F697" s="398" t="s">
        <v>1536</v>
      </c>
      <c r="G697" s="398" t="s">
        <v>324</v>
      </c>
      <c r="H697" s="398" t="s">
        <v>462</v>
      </c>
      <c r="I697" s="398" t="s">
        <v>151</v>
      </c>
    </row>
    <row r="698" spans="1:9" x14ac:dyDescent="0.35">
      <c r="A698" s="395" t="s">
        <v>1537</v>
      </c>
      <c r="B698" s="396" t="s">
        <v>146</v>
      </c>
      <c r="C698" s="395" t="s">
        <v>147</v>
      </c>
      <c r="D698" s="395">
        <v>135</v>
      </c>
      <c r="E698" s="397">
        <f t="shared" si="11"/>
        <v>236372175</v>
      </c>
      <c r="F698" s="398" t="s">
        <v>1538</v>
      </c>
      <c r="G698" s="398" t="s">
        <v>216</v>
      </c>
      <c r="H698" s="398" t="s">
        <v>156</v>
      </c>
      <c r="I698" s="398" t="s">
        <v>156</v>
      </c>
    </row>
    <row r="699" spans="1:9" x14ac:dyDescent="0.35">
      <c r="A699" s="395" t="s">
        <v>1539</v>
      </c>
      <c r="B699" s="396" t="s">
        <v>146</v>
      </c>
      <c r="C699" s="395" t="s">
        <v>147</v>
      </c>
      <c r="D699" s="395">
        <v>135</v>
      </c>
      <c r="E699" s="397">
        <f t="shared" si="11"/>
        <v>236372175</v>
      </c>
      <c r="F699" s="398" t="s">
        <v>1540</v>
      </c>
      <c r="G699" s="398" t="s">
        <v>200</v>
      </c>
      <c r="H699" s="398" t="s">
        <v>156</v>
      </c>
      <c r="I699" s="398" t="s">
        <v>156</v>
      </c>
    </row>
    <row r="700" spans="1:9" x14ac:dyDescent="0.35">
      <c r="A700" s="395" t="s">
        <v>1541</v>
      </c>
      <c r="B700" s="396" t="s">
        <v>146</v>
      </c>
      <c r="C700" s="395" t="s">
        <v>147</v>
      </c>
      <c r="D700" s="395">
        <v>135</v>
      </c>
      <c r="E700" s="397">
        <f t="shared" si="11"/>
        <v>236372175</v>
      </c>
      <c r="F700" s="398" t="s">
        <v>1542</v>
      </c>
      <c r="G700" s="398" t="s">
        <v>336</v>
      </c>
      <c r="H700" s="398" t="s">
        <v>156</v>
      </c>
      <c r="I700" s="398" t="s">
        <v>156</v>
      </c>
    </row>
    <row r="701" spans="1:9" x14ac:dyDescent="0.35">
      <c r="A701" s="395" t="s">
        <v>1543</v>
      </c>
      <c r="B701" s="396" t="s">
        <v>146</v>
      </c>
      <c r="C701" s="395" t="s">
        <v>358</v>
      </c>
      <c r="D701" s="395">
        <v>150</v>
      </c>
      <c r="E701" s="397">
        <f t="shared" si="11"/>
        <v>262635750</v>
      </c>
      <c r="F701" s="398" t="s">
        <v>1544</v>
      </c>
      <c r="G701" s="398" t="s">
        <v>336</v>
      </c>
      <c r="H701" s="398" t="s">
        <v>156</v>
      </c>
      <c r="I701" s="398" t="s">
        <v>156</v>
      </c>
    </row>
    <row r="702" spans="1:9" x14ac:dyDescent="0.35">
      <c r="A702" s="395" t="s">
        <v>1545</v>
      </c>
      <c r="B702" s="396" t="s">
        <v>160</v>
      </c>
      <c r="C702" s="395" t="s">
        <v>147</v>
      </c>
      <c r="D702" s="395">
        <v>135</v>
      </c>
      <c r="E702" s="397">
        <f t="shared" si="11"/>
        <v>236372175</v>
      </c>
      <c r="F702" s="398" t="s">
        <v>1546</v>
      </c>
      <c r="G702" s="398" t="s">
        <v>221</v>
      </c>
      <c r="H702" s="398" t="s">
        <v>240</v>
      </c>
      <c r="I702" s="398" t="s">
        <v>249</v>
      </c>
    </row>
    <row r="703" spans="1:9" x14ac:dyDescent="0.35">
      <c r="A703" s="395" t="s">
        <v>1547</v>
      </c>
      <c r="B703" s="396" t="s">
        <v>146</v>
      </c>
      <c r="C703" s="395" t="s">
        <v>147</v>
      </c>
      <c r="D703" s="395">
        <v>135</v>
      </c>
      <c r="E703" s="397">
        <f t="shared" si="11"/>
        <v>236372175</v>
      </c>
      <c r="F703" s="398" t="s">
        <v>1548</v>
      </c>
      <c r="G703" s="398" t="s">
        <v>191</v>
      </c>
      <c r="H703" s="398" t="s">
        <v>156</v>
      </c>
      <c r="I703" s="398" t="s">
        <v>156</v>
      </c>
    </row>
    <row r="704" spans="1:9" x14ac:dyDescent="0.35">
      <c r="A704" s="395" t="s">
        <v>1549</v>
      </c>
      <c r="B704" s="396" t="s">
        <v>146</v>
      </c>
      <c r="C704" s="395" t="s">
        <v>147</v>
      </c>
      <c r="D704" s="395">
        <v>135</v>
      </c>
      <c r="E704" s="397">
        <f t="shared" si="11"/>
        <v>236372175</v>
      </c>
      <c r="F704" s="398" t="s">
        <v>1550</v>
      </c>
      <c r="G704" s="398" t="s">
        <v>200</v>
      </c>
      <c r="H704" s="398" t="s">
        <v>156</v>
      </c>
      <c r="I704" s="398" t="s">
        <v>156</v>
      </c>
    </row>
    <row r="705" spans="1:9" x14ac:dyDescent="0.35">
      <c r="A705" s="395" t="s">
        <v>1551</v>
      </c>
      <c r="B705" s="396" t="s">
        <v>146</v>
      </c>
      <c r="C705" s="395" t="s">
        <v>147</v>
      </c>
      <c r="D705" s="395">
        <v>135</v>
      </c>
      <c r="E705" s="397">
        <f t="shared" si="11"/>
        <v>236372175</v>
      </c>
      <c r="F705" s="398" t="s">
        <v>1552</v>
      </c>
      <c r="G705" s="398" t="s">
        <v>209</v>
      </c>
      <c r="H705" s="398" t="s">
        <v>150</v>
      </c>
      <c r="I705" s="398" t="s">
        <v>249</v>
      </c>
    </row>
    <row r="706" spans="1:9" x14ac:dyDescent="0.35">
      <c r="A706" s="395" t="s">
        <v>1553</v>
      </c>
      <c r="B706" s="396" t="s">
        <v>146</v>
      </c>
      <c r="C706" s="395" t="s">
        <v>147</v>
      </c>
      <c r="D706" s="395">
        <v>135</v>
      </c>
      <c r="E706" s="397">
        <f t="shared" si="11"/>
        <v>236372175</v>
      </c>
      <c r="F706" s="398" t="s">
        <v>1554</v>
      </c>
      <c r="G706" s="398" t="s">
        <v>227</v>
      </c>
      <c r="H706" s="398" t="s">
        <v>156</v>
      </c>
      <c r="I706" s="398" t="s">
        <v>156</v>
      </c>
    </row>
    <row r="707" spans="1:9" x14ac:dyDescent="0.35">
      <c r="A707" s="395" t="s">
        <v>1555</v>
      </c>
      <c r="B707" s="396" t="s">
        <v>146</v>
      </c>
      <c r="C707" s="395" t="s">
        <v>147</v>
      </c>
      <c r="D707" s="395">
        <v>135</v>
      </c>
      <c r="E707" s="397">
        <f t="shared" ref="E707:E770" si="12">D707*$S$2</f>
        <v>236372175</v>
      </c>
      <c r="F707" s="398" t="s">
        <v>1556</v>
      </c>
      <c r="G707" s="398" t="s">
        <v>1557</v>
      </c>
      <c r="H707" s="398" t="s">
        <v>163</v>
      </c>
      <c r="I707" s="398" t="s">
        <v>182</v>
      </c>
    </row>
    <row r="708" spans="1:9" x14ac:dyDescent="0.35">
      <c r="A708" s="395" t="s">
        <v>1558</v>
      </c>
      <c r="B708" s="396" t="s">
        <v>146</v>
      </c>
      <c r="C708" s="395" t="s">
        <v>147</v>
      </c>
      <c r="D708" s="395">
        <v>135</v>
      </c>
      <c r="E708" s="397">
        <f t="shared" si="12"/>
        <v>236372175</v>
      </c>
      <c r="F708" s="398" t="s">
        <v>1556</v>
      </c>
      <c r="G708" s="398" t="s">
        <v>200</v>
      </c>
      <c r="H708" s="398" t="s">
        <v>156</v>
      </c>
      <c r="I708" s="398" t="s">
        <v>156</v>
      </c>
    </row>
    <row r="709" spans="1:9" x14ac:dyDescent="0.35">
      <c r="A709" s="395" t="s">
        <v>1559</v>
      </c>
      <c r="B709" s="396" t="s">
        <v>146</v>
      </c>
      <c r="C709" s="395" t="s">
        <v>147</v>
      </c>
      <c r="D709" s="395">
        <v>135</v>
      </c>
      <c r="E709" s="397">
        <f t="shared" si="12"/>
        <v>236372175</v>
      </c>
      <c r="F709" s="398" t="s">
        <v>1560</v>
      </c>
      <c r="G709" s="398" t="s">
        <v>181</v>
      </c>
      <c r="H709" s="398" t="s">
        <v>150</v>
      </c>
      <c r="I709" s="398" t="s">
        <v>182</v>
      </c>
    </row>
    <row r="710" spans="1:9" x14ac:dyDescent="0.35">
      <c r="A710" s="395" t="s">
        <v>1561</v>
      </c>
      <c r="B710" s="396" t="s">
        <v>146</v>
      </c>
      <c r="C710" s="395" t="s">
        <v>147</v>
      </c>
      <c r="D710" s="395">
        <v>135</v>
      </c>
      <c r="E710" s="397">
        <f t="shared" si="12"/>
        <v>236372175</v>
      </c>
      <c r="F710" s="398" t="s">
        <v>1562</v>
      </c>
      <c r="G710" s="398" t="s">
        <v>324</v>
      </c>
      <c r="H710" s="398" t="s">
        <v>150</v>
      </c>
      <c r="I710" s="398" t="s">
        <v>151</v>
      </c>
    </row>
    <row r="711" spans="1:9" x14ac:dyDescent="0.35">
      <c r="A711" s="395" t="s">
        <v>1563</v>
      </c>
      <c r="B711" s="396" t="s">
        <v>146</v>
      </c>
      <c r="C711" s="395" t="s">
        <v>147</v>
      </c>
      <c r="D711" s="395">
        <v>135</v>
      </c>
      <c r="E711" s="397">
        <f t="shared" si="12"/>
        <v>236372175</v>
      </c>
      <c r="F711" s="398" t="s">
        <v>1564</v>
      </c>
      <c r="G711" s="398" t="s">
        <v>272</v>
      </c>
      <c r="H711" s="398" t="s">
        <v>156</v>
      </c>
      <c r="I711" s="398" t="s">
        <v>156</v>
      </c>
    </row>
    <row r="712" spans="1:9" x14ac:dyDescent="0.35">
      <c r="A712" s="395" t="s">
        <v>1565</v>
      </c>
      <c r="B712" s="396" t="s">
        <v>146</v>
      </c>
      <c r="C712" s="395" t="s">
        <v>147</v>
      </c>
      <c r="D712" s="395">
        <v>135</v>
      </c>
      <c r="E712" s="397">
        <f t="shared" si="12"/>
        <v>236372175</v>
      </c>
      <c r="F712" s="398" t="s">
        <v>1566</v>
      </c>
      <c r="G712" s="398" t="s">
        <v>149</v>
      </c>
      <c r="H712" s="398" t="s">
        <v>156</v>
      </c>
      <c r="I712" s="398" t="s">
        <v>156</v>
      </c>
    </row>
    <row r="713" spans="1:9" x14ac:dyDescent="0.35">
      <c r="A713" s="395" t="s">
        <v>1567</v>
      </c>
      <c r="B713" s="396" t="s">
        <v>146</v>
      </c>
      <c r="C713" s="395" t="s">
        <v>147</v>
      </c>
      <c r="D713" s="395">
        <v>135</v>
      </c>
      <c r="E713" s="397">
        <f t="shared" si="12"/>
        <v>236372175</v>
      </c>
      <c r="F713" s="398" t="s">
        <v>1568</v>
      </c>
      <c r="G713" s="398" t="s">
        <v>216</v>
      </c>
      <c r="H713" s="398" t="s">
        <v>156</v>
      </c>
      <c r="I713" s="398" t="s">
        <v>156</v>
      </c>
    </row>
    <row r="714" spans="1:9" x14ac:dyDescent="0.35">
      <c r="A714" s="395" t="s">
        <v>1569</v>
      </c>
      <c r="B714" s="396" t="s">
        <v>146</v>
      </c>
      <c r="C714" s="395" t="s">
        <v>147</v>
      </c>
      <c r="D714" s="395">
        <v>135</v>
      </c>
      <c r="E714" s="397">
        <f t="shared" si="12"/>
        <v>236372175</v>
      </c>
      <c r="F714" s="398" t="s">
        <v>1570</v>
      </c>
      <c r="G714" s="398" t="s">
        <v>185</v>
      </c>
      <c r="H714" s="398" t="s">
        <v>156</v>
      </c>
      <c r="I714" s="398" t="s">
        <v>156</v>
      </c>
    </row>
    <row r="715" spans="1:9" x14ac:dyDescent="0.35">
      <c r="A715" s="395" t="s">
        <v>1571</v>
      </c>
      <c r="B715" s="396" t="s">
        <v>146</v>
      </c>
      <c r="C715" s="395" t="s">
        <v>147</v>
      </c>
      <c r="D715" s="395">
        <v>135</v>
      </c>
      <c r="E715" s="397">
        <f t="shared" si="12"/>
        <v>236372175</v>
      </c>
      <c r="F715" s="398" t="s">
        <v>1572</v>
      </c>
      <c r="G715" s="398" t="s">
        <v>200</v>
      </c>
      <c r="H715" s="398" t="s">
        <v>156</v>
      </c>
      <c r="I715" s="398" t="s">
        <v>156</v>
      </c>
    </row>
    <row r="716" spans="1:9" x14ac:dyDescent="0.35">
      <c r="A716" s="395" t="s">
        <v>1573</v>
      </c>
      <c r="B716" s="396" t="s">
        <v>146</v>
      </c>
      <c r="C716" s="395" t="s">
        <v>147</v>
      </c>
      <c r="D716" s="395">
        <v>135</v>
      </c>
      <c r="E716" s="397">
        <f t="shared" si="12"/>
        <v>236372175</v>
      </c>
      <c r="F716" s="398" t="s">
        <v>1574</v>
      </c>
      <c r="G716" s="398" t="s">
        <v>783</v>
      </c>
      <c r="H716" s="398" t="s">
        <v>156</v>
      </c>
      <c r="I716" s="398" t="s">
        <v>156</v>
      </c>
    </row>
    <row r="717" spans="1:9" x14ac:dyDescent="0.35">
      <c r="A717" s="395" t="s">
        <v>1575</v>
      </c>
      <c r="B717" s="396" t="s">
        <v>146</v>
      </c>
      <c r="C717" s="395" t="s">
        <v>147</v>
      </c>
      <c r="D717" s="395">
        <v>135</v>
      </c>
      <c r="E717" s="397">
        <f t="shared" si="12"/>
        <v>236372175</v>
      </c>
      <c r="F717" s="398" t="s">
        <v>1576</v>
      </c>
      <c r="G717" s="398" t="s">
        <v>783</v>
      </c>
      <c r="H717" s="398" t="s">
        <v>156</v>
      </c>
      <c r="I717" s="398" t="s">
        <v>156</v>
      </c>
    </row>
    <row r="718" spans="1:9" x14ac:dyDescent="0.35">
      <c r="A718" s="395" t="s">
        <v>1577</v>
      </c>
      <c r="B718" s="396" t="s">
        <v>146</v>
      </c>
      <c r="C718" s="395" t="s">
        <v>147</v>
      </c>
      <c r="D718" s="395">
        <v>135</v>
      </c>
      <c r="E718" s="397">
        <f t="shared" si="12"/>
        <v>236372175</v>
      </c>
      <c r="F718" s="398" t="s">
        <v>1578</v>
      </c>
      <c r="G718" s="398" t="s">
        <v>637</v>
      </c>
      <c r="H718" s="398" t="s">
        <v>240</v>
      </c>
      <c r="I718" s="398" t="s">
        <v>164</v>
      </c>
    </row>
    <row r="719" spans="1:9" x14ac:dyDescent="0.35">
      <c r="A719" s="395" t="s">
        <v>1579</v>
      </c>
      <c r="B719" s="396" t="s">
        <v>146</v>
      </c>
      <c r="C719" s="395" t="s">
        <v>147</v>
      </c>
      <c r="D719" s="395">
        <v>135</v>
      </c>
      <c r="E719" s="397">
        <f t="shared" si="12"/>
        <v>236372175</v>
      </c>
      <c r="F719" s="398" t="s">
        <v>1580</v>
      </c>
      <c r="G719" s="398" t="s">
        <v>149</v>
      </c>
      <c r="H719" s="398" t="s">
        <v>240</v>
      </c>
      <c r="I719" s="398" t="s">
        <v>151</v>
      </c>
    </row>
    <row r="720" spans="1:9" x14ac:dyDescent="0.35">
      <c r="A720" s="395" t="s">
        <v>1581</v>
      </c>
      <c r="B720" s="396" t="s">
        <v>146</v>
      </c>
      <c r="C720" s="395" t="s">
        <v>147</v>
      </c>
      <c r="D720" s="395">
        <v>135</v>
      </c>
      <c r="E720" s="397">
        <f t="shared" si="12"/>
        <v>236372175</v>
      </c>
      <c r="F720" s="398" t="s">
        <v>1582</v>
      </c>
      <c r="G720" s="398" t="s">
        <v>224</v>
      </c>
      <c r="H720" s="398" t="s">
        <v>240</v>
      </c>
      <c r="I720" s="398" t="s">
        <v>192</v>
      </c>
    </row>
    <row r="721" spans="1:9" x14ac:dyDescent="0.35">
      <c r="A721" s="395" t="s">
        <v>1583</v>
      </c>
      <c r="B721" s="396" t="s">
        <v>146</v>
      </c>
      <c r="C721" s="395" t="s">
        <v>147</v>
      </c>
      <c r="D721" s="395">
        <v>135</v>
      </c>
      <c r="E721" s="397">
        <f t="shared" si="12"/>
        <v>236372175</v>
      </c>
      <c r="F721" s="398" t="s">
        <v>1584</v>
      </c>
      <c r="G721" s="398" t="s">
        <v>637</v>
      </c>
      <c r="H721" s="398" t="s">
        <v>156</v>
      </c>
      <c r="I721" s="398" t="s">
        <v>156</v>
      </c>
    </row>
    <row r="722" spans="1:9" x14ac:dyDescent="0.35">
      <c r="A722" s="395" t="s">
        <v>1585</v>
      </c>
      <c r="B722" s="396" t="s">
        <v>160</v>
      </c>
      <c r="C722" s="395" t="s">
        <v>147</v>
      </c>
      <c r="D722" s="395">
        <v>135</v>
      </c>
      <c r="E722" s="397">
        <f t="shared" si="12"/>
        <v>236372175</v>
      </c>
      <c r="F722" s="398" t="s">
        <v>1586</v>
      </c>
      <c r="G722" s="398" t="s">
        <v>708</v>
      </c>
      <c r="H722" s="398" t="s">
        <v>240</v>
      </c>
      <c r="I722" s="398" t="s">
        <v>164</v>
      </c>
    </row>
    <row r="723" spans="1:9" x14ac:dyDescent="0.35">
      <c r="A723" s="395" t="s">
        <v>1587</v>
      </c>
      <c r="B723" s="396" t="s">
        <v>146</v>
      </c>
      <c r="C723" s="395" t="s">
        <v>147</v>
      </c>
      <c r="D723" s="395">
        <v>135</v>
      </c>
      <c r="E723" s="397">
        <f t="shared" si="12"/>
        <v>236372175</v>
      </c>
      <c r="F723" s="398" t="s">
        <v>1588</v>
      </c>
      <c r="G723" s="398" t="s">
        <v>336</v>
      </c>
      <c r="H723" s="398" t="s">
        <v>150</v>
      </c>
      <c r="I723" s="398" t="s">
        <v>182</v>
      </c>
    </row>
    <row r="724" spans="1:9" x14ac:dyDescent="0.35">
      <c r="A724" s="395" t="s">
        <v>1589</v>
      </c>
      <c r="B724" s="396" t="s">
        <v>160</v>
      </c>
      <c r="C724" s="395" t="s">
        <v>147</v>
      </c>
      <c r="D724" s="395">
        <v>135</v>
      </c>
      <c r="E724" s="397">
        <f t="shared" si="12"/>
        <v>236372175</v>
      </c>
      <c r="F724" s="398" t="s">
        <v>1588</v>
      </c>
      <c r="G724" s="398" t="s">
        <v>356</v>
      </c>
      <c r="H724" s="398" t="s">
        <v>156</v>
      </c>
      <c r="I724" s="398" t="s">
        <v>156</v>
      </c>
    </row>
    <row r="725" spans="1:9" x14ac:dyDescent="0.35">
      <c r="A725" s="395" t="s">
        <v>1590</v>
      </c>
      <c r="B725" s="396" t="s">
        <v>146</v>
      </c>
      <c r="C725" s="395" t="s">
        <v>147</v>
      </c>
      <c r="D725" s="395">
        <v>135</v>
      </c>
      <c r="E725" s="397">
        <f t="shared" si="12"/>
        <v>236372175</v>
      </c>
      <c r="F725" s="398" t="s">
        <v>1591</v>
      </c>
      <c r="G725" s="398" t="s">
        <v>162</v>
      </c>
      <c r="H725" s="398" t="s">
        <v>156</v>
      </c>
      <c r="I725" s="398" t="s">
        <v>156</v>
      </c>
    </row>
    <row r="726" spans="1:9" x14ac:dyDescent="0.35">
      <c r="A726" s="395" t="s">
        <v>1592</v>
      </c>
      <c r="B726" s="396" t="s">
        <v>146</v>
      </c>
      <c r="C726" s="395" t="s">
        <v>147</v>
      </c>
      <c r="D726" s="395">
        <v>135</v>
      </c>
      <c r="E726" s="397">
        <f t="shared" si="12"/>
        <v>236372175</v>
      </c>
      <c r="F726" s="398" t="s">
        <v>1593</v>
      </c>
      <c r="G726" s="398" t="s">
        <v>324</v>
      </c>
      <c r="H726" s="398" t="s">
        <v>156</v>
      </c>
      <c r="I726" s="398" t="s">
        <v>156</v>
      </c>
    </row>
    <row r="727" spans="1:9" x14ac:dyDescent="0.35">
      <c r="A727" s="395" t="s">
        <v>1594</v>
      </c>
      <c r="B727" s="396" t="s">
        <v>146</v>
      </c>
      <c r="C727" s="395" t="s">
        <v>147</v>
      </c>
      <c r="D727" s="395">
        <v>135</v>
      </c>
      <c r="E727" s="397">
        <f t="shared" si="12"/>
        <v>236372175</v>
      </c>
      <c r="F727" s="398" t="s">
        <v>1595</v>
      </c>
      <c r="G727" s="398" t="s">
        <v>162</v>
      </c>
      <c r="H727" s="398" t="s">
        <v>150</v>
      </c>
      <c r="I727" s="398" t="s">
        <v>164</v>
      </c>
    </row>
    <row r="728" spans="1:9" x14ac:dyDescent="0.35">
      <c r="A728" s="395" t="s">
        <v>1596</v>
      </c>
      <c r="B728" s="396" t="s">
        <v>146</v>
      </c>
      <c r="C728" s="395" t="s">
        <v>147</v>
      </c>
      <c r="D728" s="395">
        <v>135</v>
      </c>
      <c r="E728" s="397">
        <f t="shared" si="12"/>
        <v>236372175</v>
      </c>
      <c r="F728" s="398" t="s">
        <v>1597</v>
      </c>
      <c r="G728" s="398" t="s">
        <v>637</v>
      </c>
      <c r="H728" s="398" t="s">
        <v>156</v>
      </c>
      <c r="I728" s="398" t="s">
        <v>156</v>
      </c>
    </row>
    <row r="729" spans="1:9" x14ac:dyDescent="0.35">
      <c r="A729" s="395" t="s">
        <v>1598</v>
      </c>
      <c r="B729" s="396" t="s">
        <v>146</v>
      </c>
      <c r="C729" s="395" t="s">
        <v>147</v>
      </c>
      <c r="D729" s="395">
        <v>135</v>
      </c>
      <c r="E729" s="397">
        <f t="shared" si="12"/>
        <v>236372175</v>
      </c>
      <c r="F729" s="398" t="s">
        <v>1599</v>
      </c>
      <c r="G729" s="398" t="s">
        <v>324</v>
      </c>
      <c r="H729" s="398" t="s">
        <v>156</v>
      </c>
      <c r="I729" s="398" t="s">
        <v>156</v>
      </c>
    </row>
    <row r="730" spans="1:9" x14ac:dyDescent="0.35">
      <c r="A730" s="395" t="s">
        <v>1600</v>
      </c>
      <c r="B730" s="396" t="s">
        <v>146</v>
      </c>
      <c r="C730" s="395" t="s">
        <v>147</v>
      </c>
      <c r="D730" s="395">
        <v>135</v>
      </c>
      <c r="E730" s="397">
        <f t="shared" si="12"/>
        <v>236372175</v>
      </c>
      <c r="F730" s="398" t="s">
        <v>1601</v>
      </c>
      <c r="G730" s="398" t="s">
        <v>162</v>
      </c>
      <c r="H730" s="398" t="s">
        <v>156</v>
      </c>
      <c r="I730" s="398" t="s">
        <v>156</v>
      </c>
    </row>
    <row r="731" spans="1:9" x14ac:dyDescent="0.35">
      <c r="A731" s="395" t="s">
        <v>1602</v>
      </c>
      <c r="B731" s="396" t="s">
        <v>146</v>
      </c>
      <c r="C731" s="395" t="s">
        <v>147</v>
      </c>
      <c r="D731" s="395">
        <v>135</v>
      </c>
      <c r="E731" s="397">
        <f t="shared" si="12"/>
        <v>236372175</v>
      </c>
      <c r="F731" s="398" t="s">
        <v>1603</v>
      </c>
      <c r="G731" s="398" t="s">
        <v>162</v>
      </c>
      <c r="H731" s="398" t="s">
        <v>150</v>
      </c>
      <c r="I731" s="398" t="s">
        <v>164</v>
      </c>
    </row>
    <row r="732" spans="1:9" x14ac:dyDescent="0.35">
      <c r="A732" s="395" t="s">
        <v>1604</v>
      </c>
      <c r="B732" s="396" t="s">
        <v>146</v>
      </c>
      <c r="C732" s="395" t="s">
        <v>147</v>
      </c>
      <c r="D732" s="395">
        <v>135</v>
      </c>
      <c r="E732" s="397">
        <f t="shared" si="12"/>
        <v>236372175</v>
      </c>
      <c r="F732" s="398" t="s">
        <v>1605</v>
      </c>
      <c r="G732" s="398" t="s">
        <v>149</v>
      </c>
      <c r="H732" s="398" t="s">
        <v>156</v>
      </c>
      <c r="I732" s="398" t="s">
        <v>156</v>
      </c>
    </row>
    <row r="733" spans="1:9" x14ac:dyDescent="0.35">
      <c r="A733" s="395" t="s">
        <v>1606</v>
      </c>
      <c r="B733" s="396" t="s">
        <v>146</v>
      </c>
      <c r="C733" s="395" t="s">
        <v>147</v>
      </c>
      <c r="D733" s="395">
        <v>135</v>
      </c>
      <c r="E733" s="397">
        <f t="shared" si="12"/>
        <v>236372175</v>
      </c>
      <c r="F733" s="398" t="s">
        <v>1607</v>
      </c>
      <c r="G733" s="398" t="s">
        <v>783</v>
      </c>
      <c r="H733" s="398" t="s">
        <v>156</v>
      </c>
      <c r="I733" s="398" t="s">
        <v>156</v>
      </c>
    </row>
    <row r="734" spans="1:9" x14ac:dyDescent="0.35">
      <c r="A734" s="395" t="s">
        <v>1608</v>
      </c>
      <c r="B734" s="396" t="s">
        <v>146</v>
      </c>
      <c r="C734" s="395" t="s">
        <v>147</v>
      </c>
      <c r="D734" s="395">
        <v>135</v>
      </c>
      <c r="E734" s="397">
        <f t="shared" si="12"/>
        <v>236372175</v>
      </c>
      <c r="F734" s="398" t="s">
        <v>1609</v>
      </c>
      <c r="G734" s="398" t="s">
        <v>185</v>
      </c>
      <c r="H734" s="398" t="s">
        <v>156</v>
      </c>
      <c r="I734" s="398" t="s">
        <v>156</v>
      </c>
    </row>
    <row r="735" spans="1:9" x14ac:dyDescent="0.35">
      <c r="A735" s="395" t="s">
        <v>1610</v>
      </c>
      <c r="B735" s="396" t="s">
        <v>146</v>
      </c>
      <c r="C735" s="395" t="s">
        <v>147</v>
      </c>
      <c r="D735" s="395">
        <v>135</v>
      </c>
      <c r="E735" s="397">
        <f t="shared" si="12"/>
        <v>236372175</v>
      </c>
      <c r="F735" s="398" t="s">
        <v>1611</v>
      </c>
      <c r="G735" s="398" t="s">
        <v>203</v>
      </c>
      <c r="H735" s="398" t="s">
        <v>240</v>
      </c>
      <c r="I735" s="398" t="s">
        <v>164</v>
      </c>
    </row>
    <row r="736" spans="1:9" x14ac:dyDescent="0.35">
      <c r="A736" s="395" t="s">
        <v>1612</v>
      </c>
      <c r="B736" s="396" t="s">
        <v>146</v>
      </c>
      <c r="C736" s="395" t="s">
        <v>147</v>
      </c>
      <c r="D736" s="395">
        <v>135</v>
      </c>
      <c r="E736" s="397">
        <f t="shared" si="12"/>
        <v>236372175</v>
      </c>
      <c r="F736" s="398" t="s">
        <v>1611</v>
      </c>
      <c r="G736" s="398" t="s">
        <v>162</v>
      </c>
      <c r="H736" s="398" t="s">
        <v>156</v>
      </c>
      <c r="I736" s="398" t="s">
        <v>156</v>
      </c>
    </row>
    <row r="737" spans="1:9" x14ac:dyDescent="0.35">
      <c r="A737" s="395" t="s">
        <v>1613</v>
      </c>
      <c r="B737" s="396" t="s">
        <v>146</v>
      </c>
      <c r="C737" s="395" t="s">
        <v>147</v>
      </c>
      <c r="D737" s="395">
        <v>135</v>
      </c>
      <c r="E737" s="397">
        <f t="shared" si="12"/>
        <v>236372175</v>
      </c>
      <c r="F737" s="398" t="s">
        <v>1614</v>
      </c>
      <c r="G737" s="398" t="s">
        <v>285</v>
      </c>
      <c r="H737" s="398" t="s">
        <v>156</v>
      </c>
      <c r="I737" s="398" t="s">
        <v>156</v>
      </c>
    </row>
    <row r="738" spans="1:9" x14ac:dyDescent="0.35">
      <c r="A738" s="395" t="s">
        <v>1615</v>
      </c>
      <c r="B738" s="396" t="s">
        <v>146</v>
      </c>
      <c r="C738" s="395" t="s">
        <v>147</v>
      </c>
      <c r="D738" s="395">
        <v>135</v>
      </c>
      <c r="E738" s="397">
        <f t="shared" si="12"/>
        <v>236372175</v>
      </c>
      <c r="F738" s="398" t="s">
        <v>1616</v>
      </c>
      <c r="G738" s="398" t="s">
        <v>178</v>
      </c>
      <c r="H738" s="398" t="s">
        <v>156</v>
      </c>
      <c r="I738" s="398" t="s">
        <v>156</v>
      </c>
    </row>
    <row r="739" spans="1:9" x14ac:dyDescent="0.35">
      <c r="A739" s="395" t="s">
        <v>1617</v>
      </c>
      <c r="B739" s="396" t="s">
        <v>146</v>
      </c>
      <c r="C739" s="395" t="s">
        <v>147</v>
      </c>
      <c r="D739" s="395">
        <v>135</v>
      </c>
      <c r="E739" s="397">
        <f t="shared" si="12"/>
        <v>236372175</v>
      </c>
      <c r="F739" s="398" t="s">
        <v>1618</v>
      </c>
      <c r="G739" s="398" t="s">
        <v>783</v>
      </c>
      <c r="H739" s="398" t="s">
        <v>156</v>
      </c>
      <c r="I739" s="398" t="s">
        <v>156</v>
      </c>
    </row>
    <row r="740" spans="1:9" x14ac:dyDescent="0.35">
      <c r="A740" s="395" t="s">
        <v>1619</v>
      </c>
      <c r="B740" s="396" t="s">
        <v>146</v>
      </c>
      <c r="C740" s="395" t="s">
        <v>147</v>
      </c>
      <c r="D740" s="395">
        <v>135</v>
      </c>
      <c r="E740" s="397">
        <f t="shared" si="12"/>
        <v>236372175</v>
      </c>
      <c r="F740" s="398" t="s">
        <v>1618</v>
      </c>
      <c r="G740" s="398" t="s">
        <v>155</v>
      </c>
      <c r="H740" s="398" t="s">
        <v>156</v>
      </c>
      <c r="I740" s="398" t="s">
        <v>156</v>
      </c>
    </row>
    <row r="741" spans="1:9" x14ac:dyDescent="0.35">
      <c r="A741" s="395" t="s">
        <v>1620</v>
      </c>
      <c r="B741" s="396" t="s">
        <v>146</v>
      </c>
      <c r="C741" s="395" t="s">
        <v>358</v>
      </c>
      <c r="D741" s="395">
        <v>150</v>
      </c>
      <c r="E741" s="397">
        <f t="shared" si="12"/>
        <v>262635750</v>
      </c>
      <c r="F741" s="398" t="s">
        <v>1621</v>
      </c>
      <c r="G741" s="398" t="s">
        <v>221</v>
      </c>
      <c r="H741" s="398" t="s">
        <v>150</v>
      </c>
      <c r="I741" s="398" t="s">
        <v>249</v>
      </c>
    </row>
    <row r="742" spans="1:9" x14ac:dyDescent="0.35">
      <c r="A742" s="395" t="s">
        <v>1622</v>
      </c>
      <c r="B742" s="396" t="s">
        <v>146</v>
      </c>
      <c r="C742" s="395" t="s">
        <v>147</v>
      </c>
      <c r="D742" s="395">
        <v>135</v>
      </c>
      <c r="E742" s="397">
        <f t="shared" si="12"/>
        <v>236372175</v>
      </c>
      <c r="F742" s="398" t="s">
        <v>1623</v>
      </c>
      <c r="G742" s="398" t="s">
        <v>149</v>
      </c>
      <c r="H742" s="398" t="s">
        <v>156</v>
      </c>
      <c r="I742" s="398" t="s">
        <v>156</v>
      </c>
    </row>
    <row r="743" spans="1:9" x14ac:dyDescent="0.35">
      <c r="A743" s="395" t="s">
        <v>1624</v>
      </c>
      <c r="B743" s="396" t="s">
        <v>146</v>
      </c>
      <c r="C743" s="395" t="s">
        <v>147</v>
      </c>
      <c r="D743" s="395">
        <v>135</v>
      </c>
      <c r="E743" s="397">
        <f t="shared" si="12"/>
        <v>236372175</v>
      </c>
      <c r="F743" s="398" t="s">
        <v>1625</v>
      </c>
      <c r="G743" s="398" t="s">
        <v>185</v>
      </c>
      <c r="H743" s="398" t="s">
        <v>150</v>
      </c>
      <c r="I743" s="398" t="s">
        <v>192</v>
      </c>
    </row>
    <row r="744" spans="1:9" x14ac:dyDescent="0.35">
      <c r="A744" s="395" t="s">
        <v>1626</v>
      </c>
      <c r="B744" s="396" t="s">
        <v>146</v>
      </c>
      <c r="C744" s="395" t="s">
        <v>147</v>
      </c>
      <c r="D744" s="395">
        <v>135</v>
      </c>
      <c r="E744" s="397">
        <f t="shared" si="12"/>
        <v>236372175</v>
      </c>
      <c r="F744" s="398" t="s">
        <v>1627</v>
      </c>
      <c r="G744" s="398" t="s">
        <v>178</v>
      </c>
      <c r="H744" s="398" t="s">
        <v>156</v>
      </c>
      <c r="I744" s="398" t="s">
        <v>156</v>
      </c>
    </row>
    <row r="745" spans="1:9" x14ac:dyDescent="0.35">
      <c r="A745" s="395" t="s">
        <v>1628</v>
      </c>
      <c r="B745" s="396" t="s">
        <v>146</v>
      </c>
      <c r="C745" s="395" t="s">
        <v>147</v>
      </c>
      <c r="D745" s="395">
        <v>135</v>
      </c>
      <c r="E745" s="397">
        <f t="shared" si="12"/>
        <v>236372175</v>
      </c>
      <c r="F745" s="398" t="s">
        <v>1629</v>
      </c>
      <c r="G745" s="398" t="s">
        <v>200</v>
      </c>
      <c r="H745" s="398" t="s">
        <v>156</v>
      </c>
      <c r="I745" s="398" t="s">
        <v>156</v>
      </c>
    </row>
    <row r="746" spans="1:9" x14ac:dyDescent="0.35">
      <c r="A746" s="395" t="s">
        <v>1630</v>
      </c>
      <c r="B746" s="396" t="s">
        <v>146</v>
      </c>
      <c r="C746" s="395" t="s">
        <v>147</v>
      </c>
      <c r="D746" s="395">
        <v>135</v>
      </c>
      <c r="E746" s="397">
        <f t="shared" si="12"/>
        <v>236372175</v>
      </c>
      <c r="F746" s="398" t="s">
        <v>1631</v>
      </c>
      <c r="G746" s="398" t="s">
        <v>221</v>
      </c>
      <c r="H746" s="398" t="s">
        <v>156</v>
      </c>
      <c r="I746" s="398" t="s">
        <v>156</v>
      </c>
    </row>
    <row r="747" spans="1:9" x14ac:dyDescent="0.35">
      <c r="A747" s="395" t="s">
        <v>1632</v>
      </c>
      <c r="B747" s="396" t="s">
        <v>146</v>
      </c>
      <c r="C747" s="395" t="s">
        <v>147</v>
      </c>
      <c r="D747" s="395">
        <v>135</v>
      </c>
      <c r="E747" s="397">
        <f t="shared" si="12"/>
        <v>236372175</v>
      </c>
      <c r="F747" s="398" t="s">
        <v>1633</v>
      </c>
      <c r="G747" s="398" t="s">
        <v>227</v>
      </c>
      <c r="H747" s="398" t="s">
        <v>150</v>
      </c>
      <c r="I747" s="398" t="s">
        <v>164</v>
      </c>
    </row>
    <row r="748" spans="1:9" x14ac:dyDescent="0.35">
      <c r="A748" s="395" t="s">
        <v>1634</v>
      </c>
      <c r="B748" s="396" t="s">
        <v>146</v>
      </c>
      <c r="C748" s="395" t="s">
        <v>147</v>
      </c>
      <c r="D748" s="395">
        <v>135</v>
      </c>
      <c r="E748" s="397">
        <f t="shared" si="12"/>
        <v>236372175</v>
      </c>
      <c r="F748" s="398" t="s">
        <v>1635</v>
      </c>
      <c r="G748" s="398" t="s">
        <v>324</v>
      </c>
      <c r="H748" s="398" t="s">
        <v>156</v>
      </c>
      <c r="I748" s="398" t="s">
        <v>156</v>
      </c>
    </row>
    <row r="749" spans="1:9" x14ac:dyDescent="0.35">
      <c r="A749" s="395" t="s">
        <v>1636</v>
      </c>
      <c r="B749" s="396" t="s">
        <v>146</v>
      </c>
      <c r="C749" s="395" t="s">
        <v>147</v>
      </c>
      <c r="D749" s="395">
        <v>135</v>
      </c>
      <c r="E749" s="397">
        <f t="shared" si="12"/>
        <v>236372175</v>
      </c>
      <c r="F749" s="398" t="s">
        <v>1637</v>
      </c>
      <c r="G749" s="398" t="s">
        <v>178</v>
      </c>
      <c r="H749" s="398" t="s">
        <v>156</v>
      </c>
      <c r="I749" s="398" t="s">
        <v>156</v>
      </c>
    </row>
    <row r="750" spans="1:9" x14ac:dyDescent="0.35">
      <c r="A750" s="395" t="s">
        <v>1638</v>
      </c>
      <c r="B750" s="396" t="s">
        <v>146</v>
      </c>
      <c r="C750" s="395" t="s">
        <v>147</v>
      </c>
      <c r="D750" s="395">
        <v>135</v>
      </c>
      <c r="E750" s="397">
        <f t="shared" si="12"/>
        <v>236372175</v>
      </c>
      <c r="F750" s="398" t="s">
        <v>1639</v>
      </c>
      <c r="G750" s="398" t="s">
        <v>178</v>
      </c>
      <c r="H750" s="398" t="s">
        <v>156</v>
      </c>
      <c r="I750" s="398" t="s">
        <v>156</v>
      </c>
    </row>
    <row r="751" spans="1:9" x14ac:dyDescent="0.35">
      <c r="A751" s="395" t="s">
        <v>1640</v>
      </c>
      <c r="B751" s="396" t="s">
        <v>160</v>
      </c>
      <c r="C751" s="395" t="s">
        <v>147</v>
      </c>
      <c r="D751" s="395">
        <v>135</v>
      </c>
      <c r="E751" s="397">
        <f t="shared" si="12"/>
        <v>236372175</v>
      </c>
      <c r="F751" s="398" t="s">
        <v>1641</v>
      </c>
      <c r="G751" s="398" t="s">
        <v>167</v>
      </c>
      <c r="H751" s="398" t="s">
        <v>240</v>
      </c>
      <c r="I751" s="398" t="s">
        <v>151</v>
      </c>
    </row>
    <row r="752" spans="1:9" x14ac:dyDescent="0.35">
      <c r="A752" s="395" t="s">
        <v>1642</v>
      </c>
      <c r="B752" s="396" t="s">
        <v>146</v>
      </c>
      <c r="C752" s="395" t="s">
        <v>147</v>
      </c>
      <c r="D752" s="395">
        <v>135</v>
      </c>
      <c r="E752" s="397">
        <f t="shared" si="12"/>
        <v>236372175</v>
      </c>
      <c r="F752" s="398" t="s">
        <v>1643</v>
      </c>
      <c r="G752" s="398" t="s">
        <v>311</v>
      </c>
      <c r="H752" s="398" t="s">
        <v>240</v>
      </c>
      <c r="I752" s="398" t="s">
        <v>249</v>
      </c>
    </row>
    <row r="753" spans="1:9" x14ac:dyDescent="0.35">
      <c r="A753" s="395" t="s">
        <v>1644</v>
      </c>
      <c r="B753" s="396" t="s">
        <v>146</v>
      </c>
      <c r="C753" s="395" t="s">
        <v>147</v>
      </c>
      <c r="D753" s="395">
        <v>135</v>
      </c>
      <c r="E753" s="397">
        <f t="shared" si="12"/>
        <v>236372175</v>
      </c>
      <c r="F753" s="398" t="s">
        <v>1645</v>
      </c>
      <c r="G753" s="398" t="s">
        <v>272</v>
      </c>
      <c r="H753" s="398" t="s">
        <v>156</v>
      </c>
      <c r="I753" s="398" t="s">
        <v>156</v>
      </c>
    </row>
    <row r="754" spans="1:9" x14ac:dyDescent="0.35">
      <c r="A754" s="395" t="s">
        <v>1646</v>
      </c>
      <c r="B754" s="396" t="s">
        <v>146</v>
      </c>
      <c r="C754" s="395" t="s">
        <v>147</v>
      </c>
      <c r="D754" s="395">
        <v>135</v>
      </c>
      <c r="E754" s="397">
        <f t="shared" si="12"/>
        <v>236372175</v>
      </c>
      <c r="F754" s="398" t="s">
        <v>1647</v>
      </c>
      <c r="G754" s="398" t="s">
        <v>224</v>
      </c>
      <c r="H754" s="398" t="s">
        <v>156</v>
      </c>
      <c r="I754" s="398" t="s">
        <v>156</v>
      </c>
    </row>
    <row r="755" spans="1:9" x14ac:dyDescent="0.35">
      <c r="A755" s="395" t="s">
        <v>1648</v>
      </c>
      <c r="B755" s="396" t="s">
        <v>146</v>
      </c>
      <c r="C755" s="395" t="s">
        <v>147</v>
      </c>
      <c r="D755" s="395">
        <v>135</v>
      </c>
      <c r="E755" s="397">
        <f t="shared" si="12"/>
        <v>236372175</v>
      </c>
      <c r="F755" s="398" t="s">
        <v>1649</v>
      </c>
      <c r="G755" s="398" t="s">
        <v>178</v>
      </c>
      <c r="H755" s="398" t="s">
        <v>156</v>
      </c>
      <c r="I755" s="398" t="s">
        <v>156</v>
      </c>
    </row>
    <row r="756" spans="1:9" x14ac:dyDescent="0.35">
      <c r="A756" s="395" t="s">
        <v>1650</v>
      </c>
      <c r="B756" s="396" t="s">
        <v>146</v>
      </c>
      <c r="C756" s="395" t="s">
        <v>147</v>
      </c>
      <c r="D756" s="395">
        <v>135</v>
      </c>
      <c r="E756" s="397">
        <f t="shared" si="12"/>
        <v>236372175</v>
      </c>
      <c r="F756" s="398" t="s">
        <v>1651</v>
      </c>
      <c r="G756" s="398" t="s">
        <v>155</v>
      </c>
      <c r="H756" s="398" t="s">
        <v>156</v>
      </c>
      <c r="I756" s="398" t="s">
        <v>156</v>
      </c>
    </row>
    <row r="757" spans="1:9" x14ac:dyDescent="0.35">
      <c r="A757" s="395" t="s">
        <v>1652</v>
      </c>
      <c r="B757" s="396" t="s">
        <v>146</v>
      </c>
      <c r="C757" s="395" t="s">
        <v>147</v>
      </c>
      <c r="D757" s="395">
        <v>135</v>
      </c>
      <c r="E757" s="397">
        <f t="shared" si="12"/>
        <v>236372175</v>
      </c>
      <c r="F757" s="398" t="s">
        <v>1653</v>
      </c>
      <c r="G757" s="398" t="s">
        <v>224</v>
      </c>
      <c r="H757" s="398" t="s">
        <v>156</v>
      </c>
      <c r="I757" s="398" t="s">
        <v>156</v>
      </c>
    </row>
    <row r="758" spans="1:9" x14ac:dyDescent="0.35">
      <c r="A758" s="395" t="s">
        <v>1654</v>
      </c>
      <c r="B758" s="396" t="s">
        <v>146</v>
      </c>
      <c r="C758" s="395" t="s">
        <v>147</v>
      </c>
      <c r="D758" s="395">
        <v>135</v>
      </c>
      <c r="E758" s="397">
        <f t="shared" si="12"/>
        <v>236372175</v>
      </c>
      <c r="F758" s="398" t="s">
        <v>1655</v>
      </c>
      <c r="G758" s="398" t="s">
        <v>224</v>
      </c>
      <c r="H758" s="398" t="s">
        <v>156</v>
      </c>
      <c r="I758" s="398" t="s">
        <v>156</v>
      </c>
    </row>
    <row r="759" spans="1:9" x14ac:dyDescent="0.35">
      <c r="A759" s="395" t="s">
        <v>1656</v>
      </c>
      <c r="B759" s="396" t="s">
        <v>146</v>
      </c>
      <c r="C759" s="395" t="s">
        <v>147</v>
      </c>
      <c r="D759" s="395">
        <v>135</v>
      </c>
      <c r="E759" s="397">
        <f t="shared" si="12"/>
        <v>236372175</v>
      </c>
      <c r="F759" s="398" t="s">
        <v>1657</v>
      </c>
      <c r="G759" s="398" t="s">
        <v>191</v>
      </c>
      <c r="H759" s="398" t="s">
        <v>156</v>
      </c>
      <c r="I759" s="398" t="s">
        <v>156</v>
      </c>
    </row>
    <row r="760" spans="1:9" x14ac:dyDescent="0.35">
      <c r="A760" s="395" t="s">
        <v>1658</v>
      </c>
      <c r="B760" s="396" t="s">
        <v>146</v>
      </c>
      <c r="C760" s="395" t="s">
        <v>147</v>
      </c>
      <c r="D760" s="395">
        <v>135</v>
      </c>
      <c r="E760" s="397">
        <f t="shared" si="12"/>
        <v>236372175</v>
      </c>
      <c r="F760" s="398" t="s">
        <v>1659</v>
      </c>
      <c r="G760" s="398" t="s">
        <v>173</v>
      </c>
      <c r="H760" s="398" t="s">
        <v>156</v>
      </c>
      <c r="I760" s="398" t="s">
        <v>156</v>
      </c>
    </row>
    <row r="761" spans="1:9" x14ac:dyDescent="0.35">
      <c r="A761" s="395" t="s">
        <v>1660</v>
      </c>
      <c r="B761" s="396" t="s">
        <v>146</v>
      </c>
      <c r="C761" s="395" t="s">
        <v>147</v>
      </c>
      <c r="D761" s="395">
        <v>135</v>
      </c>
      <c r="E761" s="397">
        <f t="shared" si="12"/>
        <v>236372175</v>
      </c>
      <c r="F761" s="398" t="s">
        <v>1661</v>
      </c>
      <c r="G761" s="398" t="s">
        <v>149</v>
      </c>
      <c r="H761" s="398" t="s">
        <v>150</v>
      </c>
      <c r="I761" s="398" t="s">
        <v>151</v>
      </c>
    </row>
    <row r="762" spans="1:9" x14ac:dyDescent="0.35">
      <c r="A762" s="395" t="s">
        <v>1662</v>
      </c>
      <c r="B762" s="396" t="s">
        <v>146</v>
      </c>
      <c r="C762" s="395" t="s">
        <v>147</v>
      </c>
      <c r="D762" s="395">
        <v>135</v>
      </c>
      <c r="E762" s="397">
        <f t="shared" si="12"/>
        <v>236372175</v>
      </c>
      <c r="F762" s="398" t="s">
        <v>1663</v>
      </c>
      <c r="G762" s="398" t="s">
        <v>216</v>
      </c>
      <c r="H762" s="398" t="s">
        <v>156</v>
      </c>
      <c r="I762" s="398" t="s">
        <v>156</v>
      </c>
    </row>
    <row r="763" spans="1:9" x14ac:dyDescent="0.35">
      <c r="A763" s="395" t="s">
        <v>1664</v>
      </c>
      <c r="B763" s="396" t="s">
        <v>146</v>
      </c>
      <c r="C763" s="395" t="s">
        <v>147</v>
      </c>
      <c r="D763" s="395">
        <v>135</v>
      </c>
      <c r="E763" s="397">
        <f t="shared" si="12"/>
        <v>236372175</v>
      </c>
      <c r="F763" s="398" t="s">
        <v>1665</v>
      </c>
      <c r="G763" s="398" t="s">
        <v>336</v>
      </c>
      <c r="H763" s="398" t="s">
        <v>156</v>
      </c>
      <c r="I763" s="398" t="s">
        <v>156</v>
      </c>
    </row>
    <row r="764" spans="1:9" x14ac:dyDescent="0.35">
      <c r="A764" s="395" t="s">
        <v>1666</v>
      </c>
      <c r="B764" s="396" t="s">
        <v>160</v>
      </c>
      <c r="C764" s="395" t="s">
        <v>147</v>
      </c>
      <c r="D764" s="395">
        <v>135</v>
      </c>
      <c r="E764" s="397">
        <f t="shared" si="12"/>
        <v>236372175</v>
      </c>
      <c r="F764" s="398" t="s">
        <v>1667</v>
      </c>
      <c r="G764" s="398" t="s">
        <v>162</v>
      </c>
      <c r="H764" s="398" t="s">
        <v>163</v>
      </c>
      <c r="I764" s="398" t="s">
        <v>164</v>
      </c>
    </row>
    <row r="765" spans="1:9" x14ac:dyDescent="0.35">
      <c r="A765" s="395" t="s">
        <v>1668</v>
      </c>
      <c r="B765" s="396" t="s">
        <v>146</v>
      </c>
      <c r="C765" s="395" t="s">
        <v>147</v>
      </c>
      <c r="D765" s="395">
        <v>135</v>
      </c>
      <c r="E765" s="397">
        <f t="shared" si="12"/>
        <v>236372175</v>
      </c>
      <c r="F765" s="398" t="s">
        <v>1667</v>
      </c>
      <c r="G765" s="398" t="s">
        <v>209</v>
      </c>
      <c r="H765" s="398" t="s">
        <v>156</v>
      </c>
      <c r="I765" s="398" t="s">
        <v>156</v>
      </c>
    </row>
    <row r="766" spans="1:9" x14ac:dyDescent="0.35">
      <c r="A766" s="395" t="s">
        <v>1669</v>
      </c>
      <c r="B766" s="396" t="s">
        <v>146</v>
      </c>
      <c r="C766" s="395" t="s">
        <v>147</v>
      </c>
      <c r="D766" s="395">
        <v>135</v>
      </c>
      <c r="E766" s="397">
        <f t="shared" si="12"/>
        <v>236372175</v>
      </c>
      <c r="F766" s="398" t="s">
        <v>1670</v>
      </c>
      <c r="G766" s="398" t="s">
        <v>149</v>
      </c>
      <c r="H766" s="398" t="s">
        <v>156</v>
      </c>
      <c r="I766" s="398" t="s">
        <v>156</v>
      </c>
    </row>
    <row r="767" spans="1:9" x14ac:dyDescent="0.35">
      <c r="A767" s="395" t="s">
        <v>1671</v>
      </c>
      <c r="B767" s="396" t="s">
        <v>146</v>
      </c>
      <c r="C767" s="395" t="s">
        <v>147</v>
      </c>
      <c r="D767" s="395">
        <v>135</v>
      </c>
      <c r="E767" s="397">
        <f t="shared" si="12"/>
        <v>236372175</v>
      </c>
      <c r="F767" s="398" t="s">
        <v>1672</v>
      </c>
      <c r="G767" s="398" t="s">
        <v>178</v>
      </c>
      <c r="H767" s="398" t="s">
        <v>163</v>
      </c>
      <c r="I767" s="398" t="s">
        <v>164</v>
      </c>
    </row>
    <row r="768" spans="1:9" x14ac:dyDescent="0.35">
      <c r="A768" s="395" t="s">
        <v>1673</v>
      </c>
      <c r="B768" s="396" t="s">
        <v>146</v>
      </c>
      <c r="C768" s="395" t="s">
        <v>147</v>
      </c>
      <c r="D768" s="395">
        <v>135</v>
      </c>
      <c r="E768" s="397">
        <f t="shared" si="12"/>
        <v>236372175</v>
      </c>
      <c r="F768" s="398" t="s">
        <v>1672</v>
      </c>
      <c r="G768" s="398" t="s">
        <v>200</v>
      </c>
      <c r="H768" s="398" t="s">
        <v>156</v>
      </c>
      <c r="I768" s="398" t="s">
        <v>156</v>
      </c>
    </row>
    <row r="769" spans="1:9" x14ac:dyDescent="0.35">
      <c r="A769" s="395" t="s">
        <v>1674</v>
      </c>
      <c r="B769" s="396" t="s">
        <v>146</v>
      </c>
      <c r="C769" s="395" t="s">
        <v>147</v>
      </c>
      <c r="D769" s="395">
        <v>135</v>
      </c>
      <c r="E769" s="397">
        <f t="shared" si="12"/>
        <v>236372175</v>
      </c>
      <c r="F769" s="398" t="s">
        <v>1675</v>
      </c>
      <c r="G769" s="398" t="s">
        <v>181</v>
      </c>
      <c r="H769" s="398" t="s">
        <v>156</v>
      </c>
      <c r="I769" s="398" t="s">
        <v>156</v>
      </c>
    </row>
    <row r="770" spans="1:9" x14ac:dyDescent="0.35">
      <c r="A770" s="395" t="s">
        <v>1676</v>
      </c>
      <c r="B770" s="396" t="s">
        <v>146</v>
      </c>
      <c r="C770" s="395" t="s">
        <v>147</v>
      </c>
      <c r="D770" s="395">
        <v>135</v>
      </c>
      <c r="E770" s="397">
        <f t="shared" si="12"/>
        <v>236372175</v>
      </c>
      <c r="F770" s="398" t="s">
        <v>1677</v>
      </c>
      <c r="G770" s="398" t="s">
        <v>167</v>
      </c>
      <c r="H770" s="398" t="s">
        <v>156</v>
      </c>
      <c r="I770" s="398" t="s">
        <v>156</v>
      </c>
    </row>
    <row r="771" spans="1:9" x14ac:dyDescent="0.35">
      <c r="A771" s="395" t="s">
        <v>1678</v>
      </c>
      <c r="B771" s="396" t="s">
        <v>146</v>
      </c>
      <c r="C771" s="395" t="s">
        <v>147</v>
      </c>
      <c r="D771" s="395">
        <v>135</v>
      </c>
      <c r="E771" s="397">
        <f t="shared" ref="E771:E834" si="13">D771*$S$2</f>
        <v>236372175</v>
      </c>
      <c r="F771" s="398" t="s">
        <v>1679</v>
      </c>
      <c r="G771" s="398" t="s">
        <v>167</v>
      </c>
      <c r="H771" s="398" t="s">
        <v>156</v>
      </c>
      <c r="I771" s="398" t="s">
        <v>156</v>
      </c>
    </row>
    <row r="772" spans="1:9" x14ac:dyDescent="0.35">
      <c r="A772" s="395" t="s">
        <v>1680</v>
      </c>
      <c r="B772" s="396" t="s">
        <v>146</v>
      </c>
      <c r="C772" s="395" t="s">
        <v>147</v>
      </c>
      <c r="D772" s="395">
        <v>135</v>
      </c>
      <c r="E772" s="397">
        <f t="shared" si="13"/>
        <v>236372175</v>
      </c>
      <c r="F772" s="398" t="s">
        <v>1681</v>
      </c>
      <c r="G772" s="398" t="s">
        <v>173</v>
      </c>
      <c r="H772" s="398" t="s">
        <v>156</v>
      </c>
      <c r="I772" s="398" t="s">
        <v>156</v>
      </c>
    </row>
    <row r="773" spans="1:9" x14ac:dyDescent="0.35">
      <c r="A773" s="395" t="s">
        <v>1682</v>
      </c>
      <c r="B773" s="396" t="s">
        <v>146</v>
      </c>
      <c r="C773" s="395" t="s">
        <v>147</v>
      </c>
      <c r="D773" s="395">
        <v>135</v>
      </c>
      <c r="E773" s="397">
        <f t="shared" si="13"/>
        <v>236372175</v>
      </c>
      <c r="F773" s="398" t="s">
        <v>1683</v>
      </c>
      <c r="G773" s="398" t="s">
        <v>227</v>
      </c>
      <c r="H773" s="398" t="s">
        <v>156</v>
      </c>
      <c r="I773" s="398" t="s">
        <v>156</v>
      </c>
    </row>
    <row r="774" spans="1:9" x14ac:dyDescent="0.35">
      <c r="A774" s="395" t="s">
        <v>1684</v>
      </c>
      <c r="B774" s="396" t="s">
        <v>146</v>
      </c>
      <c r="C774" s="395" t="s">
        <v>147</v>
      </c>
      <c r="D774" s="395">
        <v>135</v>
      </c>
      <c r="E774" s="397">
        <f t="shared" si="13"/>
        <v>236372175</v>
      </c>
      <c r="F774" s="398" t="s">
        <v>1685</v>
      </c>
      <c r="G774" s="398" t="s">
        <v>209</v>
      </c>
      <c r="H774" s="398" t="s">
        <v>156</v>
      </c>
      <c r="I774" s="398" t="s">
        <v>156</v>
      </c>
    </row>
    <row r="775" spans="1:9" x14ac:dyDescent="0.35">
      <c r="A775" s="395" t="s">
        <v>1686</v>
      </c>
      <c r="B775" s="396" t="s">
        <v>160</v>
      </c>
      <c r="C775" s="395" t="s">
        <v>147</v>
      </c>
      <c r="D775" s="395">
        <v>135</v>
      </c>
      <c r="E775" s="397">
        <f t="shared" si="13"/>
        <v>236372175</v>
      </c>
      <c r="F775" s="398" t="s">
        <v>1687</v>
      </c>
      <c r="G775" s="398" t="s">
        <v>205</v>
      </c>
      <c r="H775" s="398" t="s">
        <v>240</v>
      </c>
      <c r="I775" s="398" t="s">
        <v>182</v>
      </c>
    </row>
    <row r="776" spans="1:9" x14ac:dyDescent="0.35">
      <c r="A776" s="395" t="s">
        <v>1688</v>
      </c>
      <c r="B776" s="396" t="s">
        <v>160</v>
      </c>
      <c r="C776" s="395" t="s">
        <v>147</v>
      </c>
      <c r="D776" s="395">
        <v>135</v>
      </c>
      <c r="E776" s="397">
        <f t="shared" si="13"/>
        <v>236372175</v>
      </c>
      <c r="F776" s="398" t="s">
        <v>1689</v>
      </c>
      <c r="G776" s="398" t="s">
        <v>149</v>
      </c>
      <c r="H776" s="398" t="s">
        <v>163</v>
      </c>
      <c r="I776" s="398" t="s">
        <v>151</v>
      </c>
    </row>
    <row r="777" spans="1:9" x14ac:dyDescent="0.35">
      <c r="A777" s="395" t="s">
        <v>1690</v>
      </c>
      <c r="B777" s="396" t="s">
        <v>146</v>
      </c>
      <c r="C777" s="395" t="s">
        <v>147</v>
      </c>
      <c r="D777" s="395">
        <v>135</v>
      </c>
      <c r="E777" s="397">
        <f t="shared" si="13"/>
        <v>236372175</v>
      </c>
      <c r="F777" s="398" t="s">
        <v>1689</v>
      </c>
      <c r="G777" s="398" t="s">
        <v>185</v>
      </c>
      <c r="H777" s="398" t="s">
        <v>163</v>
      </c>
      <c r="I777" s="398" t="s">
        <v>192</v>
      </c>
    </row>
    <row r="778" spans="1:9" x14ac:dyDescent="0.35">
      <c r="A778" s="395" t="s">
        <v>1691</v>
      </c>
      <c r="B778" s="396" t="s">
        <v>146</v>
      </c>
      <c r="C778" s="395" t="s">
        <v>147</v>
      </c>
      <c r="D778" s="395">
        <v>135</v>
      </c>
      <c r="E778" s="397">
        <f t="shared" si="13"/>
        <v>236372175</v>
      </c>
      <c r="F778" s="398" t="s">
        <v>1692</v>
      </c>
      <c r="G778" s="398" t="s">
        <v>188</v>
      </c>
      <c r="H778" s="398" t="s">
        <v>163</v>
      </c>
      <c r="I778" s="398" t="s">
        <v>249</v>
      </c>
    </row>
    <row r="779" spans="1:9" x14ac:dyDescent="0.35">
      <c r="A779" s="395" t="s">
        <v>1693</v>
      </c>
      <c r="B779" s="396" t="s">
        <v>146</v>
      </c>
      <c r="C779" s="395" t="s">
        <v>147</v>
      </c>
      <c r="D779" s="395">
        <v>135</v>
      </c>
      <c r="E779" s="397">
        <f t="shared" si="13"/>
        <v>236372175</v>
      </c>
      <c r="F779" s="398" t="s">
        <v>1692</v>
      </c>
      <c r="G779" s="398" t="s">
        <v>167</v>
      </c>
      <c r="H779" s="398" t="s">
        <v>156</v>
      </c>
      <c r="I779" s="398" t="s">
        <v>156</v>
      </c>
    </row>
    <row r="780" spans="1:9" x14ac:dyDescent="0.35">
      <c r="A780" s="395" t="s">
        <v>1694</v>
      </c>
      <c r="B780" s="396" t="s">
        <v>146</v>
      </c>
      <c r="C780" s="395" t="s">
        <v>147</v>
      </c>
      <c r="D780" s="395">
        <v>135</v>
      </c>
      <c r="E780" s="397">
        <f t="shared" si="13"/>
        <v>236372175</v>
      </c>
      <c r="F780" s="398" t="s">
        <v>1695</v>
      </c>
      <c r="G780" s="398" t="s">
        <v>188</v>
      </c>
      <c r="H780" s="398" t="s">
        <v>156</v>
      </c>
      <c r="I780" s="398" t="s">
        <v>156</v>
      </c>
    </row>
    <row r="781" spans="1:9" x14ac:dyDescent="0.35">
      <c r="A781" s="395" t="s">
        <v>1696</v>
      </c>
      <c r="B781" s="396" t="s">
        <v>146</v>
      </c>
      <c r="C781" s="395" t="s">
        <v>147</v>
      </c>
      <c r="D781" s="395">
        <v>135</v>
      </c>
      <c r="E781" s="397">
        <f t="shared" si="13"/>
        <v>236372175</v>
      </c>
      <c r="F781" s="398" t="s">
        <v>1697</v>
      </c>
      <c r="G781" s="398" t="s">
        <v>170</v>
      </c>
      <c r="H781" s="398" t="s">
        <v>156</v>
      </c>
      <c r="I781" s="398" t="s">
        <v>156</v>
      </c>
    </row>
    <row r="782" spans="1:9" x14ac:dyDescent="0.35">
      <c r="A782" s="395" t="s">
        <v>1698</v>
      </c>
      <c r="B782" s="396" t="s">
        <v>146</v>
      </c>
      <c r="C782" s="395" t="s">
        <v>147</v>
      </c>
      <c r="D782" s="395">
        <v>135</v>
      </c>
      <c r="E782" s="397">
        <f t="shared" si="13"/>
        <v>236372175</v>
      </c>
      <c r="F782" s="398" t="s">
        <v>1699</v>
      </c>
      <c r="G782" s="398" t="s">
        <v>200</v>
      </c>
      <c r="H782" s="398" t="s">
        <v>156</v>
      </c>
      <c r="I782" s="398" t="s">
        <v>156</v>
      </c>
    </row>
    <row r="783" spans="1:9" x14ac:dyDescent="0.35">
      <c r="A783" s="395" t="s">
        <v>1700</v>
      </c>
      <c r="B783" s="396" t="s">
        <v>146</v>
      </c>
      <c r="C783" s="395" t="s">
        <v>147</v>
      </c>
      <c r="D783" s="395">
        <v>135</v>
      </c>
      <c r="E783" s="397">
        <f t="shared" si="13"/>
        <v>236372175</v>
      </c>
      <c r="F783" s="398" t="s">
        <v>1701</v>
      </c>
      <c r="G783" s="398" t="s">
        <v>209</v>
      </c>
      <c r="H783" s="398" t="s">
        <v>156</v>
      </c>
      <c r="I783" s="398" t="s">
        <v>156</v>
      </c>
    </row>
    <row r="784" spans="1:9" x14ac:dyDescent="0.35">
      <c r="A784" s="395" t="s">
        <v>1702</v>
      </c>
      <c r="B784" s="396" t="s">
        <v>146</v>
      </c>
      <c r="C784" s="395" t="s">
        <v>147</v>
      </c>
      <c r="D784" s="395">
        <v>135</v>
      </c>
      <c r="E784" s="397">
        <f t="shared" si="13"/>
        <v>236372175</v>
      </c>
      <c r="F784" s="398" t="s">
        <v>1703</v>
      </c>
      <c r="G784" s="398" t="s">
        <v>227</v>
      </c>
      <c r="H784" s="398" t="s">
        <v>156</v>
      </c>
      <c r="I784" s="398" t="s">
        <v>156</v>
      </c>
    </row>
    <row r="785" spans="1:9" x14ac:dyDescent="0.35">
      <c r="A785" s="395" t="s">
        <v>1704</v>
      </c>
      <c r="B785" s="396" t="s">
        <v>146</v>
      </c>
      <c r="C785" s="395" t="s">
        <v>147</v>
      </c>
      <c r="D785" s="395">
        <v>135</v>
      </c>
      <c r="E785" s="397">
        <f t="shared" si="13"/>
        <v>236372175</v>
      </c>
      <c r="F785" s="398" t="s">
        <v>1705</v>
      </c>
      <c r="G785" s="398" t="s">
        <v>224</v>
      </c>
      <c r="H785" s="398" t="s">
        <v>156</v>
      </c>
      <c r="I785" s="398" t="s">
        <v>156</v>
      </c>
    </row>
    <row r="786" spans="1:9" x14ac:dyDescent="0.35">
      <c r="A786" s="395" t="s">
        <v>1706</v>
      </c>
      <c r="B786" s="396" t="s">
        <v>146</v>
      </c>
      <c r="C786" s="395" t="s">
        <v>147</v>
      </c>
      <c r="D786" s="395">
        <v>135</v>
      </c>
      <c r="E786" s="397">
        <f t="shared" si="13"/>
        <v>236372175</v>
      </c>
      <c r="F786" s="398" t="s">
        <v>1707</v>
      </c>
      <c r="G786" s="398" t="s">
        <v>221</v>
      </c>
      <c r="H786" s="398" t="s">
        <v>156</v>
      </c>
      <c r="I786" s="398" t="s">
        <v>156</v>
      </c>
    </row>
    <row r="787" spans="1:9" x14ac:dyDescent="0.35">
      <c r="A787" s="395" t="s">
        <v>1708</v>
      </c>
      <c r="B787" s="396" t="s">
        <v>146</v>
      </c>
      <c r="C787" s="395" t="s">
        <v>147</v>
      </c>
      <c r="D787" s="395">
        <v>135</v>
      </c>
      <c r="E787" s="397">
        <f t="shared" si="13"/>
        <v>236372175</v>
      </c>
      <c r="F787" s="398" t="s">
        <v>1709</v>
      </c>
      <c r="G787" s="398" t="s">
        <v>227</v>
      </c>
      <c r="H787" s="398" t="s">
        <v>156</v>
      </c>
      <c r="I787" s="398" t="s">
        <v>156</v>
      </c>
    </row>
    <row r="788" spans="1:9" x14ac:dyDescent="0.35">
      <c r="A788" s="395" t="s">
        <v>1710</v>
      </c>
      <c r="B788" s="396" t="s">
        <v>146</v>
      </c>
      <c r="C788" s="395" t="s">
        <v>147</v>
      </c>
      <c r="D788" s="395">
        <v>135</v>
      </c>
      <c r="E788" s="397">
        <f t="shared" si="13"/>
        <v>236372175</v>
      </c>
      <c r="F788" s="398" t="s">
        <v>1711</v>
      </c>
      <c r="G788" s="398" t="s">
        <v>185</v>
      </c>
      <c r="H788" s="398" t="s">
        <v>150</v>
      </c>
      <c r="I788" s="398" t="s">
        <v>192</v>
      </c>
    </row>
    <row r="789" spans="1:9" x14ac:dyDescent="0.35">
      <c r="A789" s="395" t="s">
        <v>1712</v>
      </c>
      <c r="B789" s="396" t="s">
        <v>146</v>
      </c>
      <c r="C789" s="395" t="s">
        <v>358</v>
      </c>
      <c r="D789" s="395">
        <v>150</v>
      </c>
      <c r="E789" s="397">
        <f t="shared" si="13"/>
        <v>262635750</v>
      </c>
      <c r="F789" s="398" t="s">
        <v>1713</v>
      </c>
      <c r="G789" s="398" t="s">
        <v>336</v>
      </c>
      <c r="H789" s="398" t="s">
        <v>156</v>
      </c>
      <c r="I789" s="398" t="s">
        <v>156</v>
      </c>
    </row>
    <row r="790" spans="1:9" x14ac:dyDescent="0.35">
      <c r="A790" s="395" t="s">
        <v>1714</v>
      </c>
      <c r="B790" s="396" t="s">
        <v>146</v>
      </c>
      <c r="C790" s="395" t="s">
        <v>147</v>
      </c>
      <c r="D790" s="395">
        <v>135</v>
      </c>
      <c r="E790" s="397">
        <f t="shared" si="13"/>
        <v>236372175</v>
      </c>
      <c r="F790" s="398" t="s">
        <v>1715</v>
      </c>
      <c r="G790" s="398" t="s">
        <v>149</v>
      </c>
      <c r="H790" s="398" t="s">
        <v>156</v>
      </c>
      <c r="I790" s="398" t="s">
        <v>156</v>
      </c>
    </row>
    <row r="791" spans="1:9" x14ac:dyDescent="0.35">
      <c r="A791" s="395" t="s">
        <v>1716</v>
      </c>
      <c r="B791" s="396" t="s">
        <v>146</v>
      </c>
      <c r="C791" s="395" t="s">
        <v>358</v>
      </c>
      <c r="D791" s="395">
        <v>150</v>
      </c>
      <c r="E791" s="397">
        <f t="shared" si="13"/>
        <v>262635750</v>
      </c>
      <c r="F791" s="398" t="s">
        <v>1715</v>
      </c>
      <c r="G791" s="398" t="s">
        <v>336</v>
      </c>
      <c r="H791" s="398" t="s">
        <v>156</v>
      </c>
      <c r="I791" s="398" t="s">
        <v>156</v>
      </c>
    </row>
    <row r="792" spans="1:9" x14ac:dyDescent="0.35">
      <c r="A792" s="395" t="s">
        <v>1717</v>
      </c>
      <c r="B792" s="396" t="s">
        <v>146</v>
      </c>
      <c r="C792" s="395" t="s">
        <v>147</v>
      </c>
      <c r="D792" s="395">
        <v>135</v>
      </c>
      <c r="E792" s="397">
        <f t="shared" si="13"/>
        <v>236372175</v>
      </c>
      <c r="F792" s="398" t="s">
        <v>1715</v>
      </c>
      <c r="G792" s="398" t="s">
        <v>191</v>
      </c>
      <c r="H792" s="398" t="s">
        <v>156</v>
      </c>
      <c r="I792" s="398" t="s">
        <v>156</v>
      </c>
    </row>
    <row r="793" spans="1:9" x14ac:dyDescent="0.35">
      <c r="A793" s="395" t="s">
        <v>1718</v>
      </c>
      <c r="B793" s="396" t="s">
        <v>146</v>
      </c>
      <c r="C793" s="395" t="s">
        <v>147</v>
      </c>
      <c r="D793" s="395">
        <v>135</v>
      </c>
      <c r="E793" s="397">
        <f t="shared" si="13"/>
        <v>236372175</v>
      </c>
      <c r="F793" s="398" t="s">
        <v>1719</v>
      </c>
      <c r="G793" s="398" t="s">
        <v>216</v>
      </c>
      <c r="H793" s="398" t="s">
        <v>156</v>
      </c>
      <c r="I793" s="398" t="s">
        <v>156</v>
      </c>
    </row>
    <row r="794" spans="1:9" x14ac:dyDescent="0.35">
      <c r="A794" s="395" t="s">
        <v>1720</v>
      </c>
      <c r="B794" s="396" t="s">
        <v>160</v>
      </c>
      <c r="C794" s="395" t="s">
        <v>358</v>
      </c>
      <c r="D794" s="395">
        <v>150</v>
      </c>
      <c r="E794" s="397">
        <f t="shared" si="13"/>
        <v>262635750</v>
      </c>
      <c r="F794" s="398" t="s">
        <v>1721</v>
      </c>
      <c r="G794" s="398" t="s">
        <v>149</v>
      </c>
      <c r="H794" s="398" t="s">
        <v>163</v>
      </c>
      <c r="I794" s="398" t="s">
        <v>151</v>
      </c>
    </row>
    <row r="795" spans="1:9" x14ac:dyDescent="0.35">
      <c r="A795" s="395" t="s">
        <v>1722</v>
      </c>
      <c r="B795" s="396" t="s">
        <v>146</v>
      </c>
      <c r="C795" s="395" t="s">
        <v>147</v>
      </c>
      <c r="D795" s="395">
        <v>135</v>
      </c>
      <c r="E795" s="397">
        <f t="shared" si="13"/>
        <v>236372175</v>
      </c>
      <c r="F795" s="398" t="s">
        <v>1723</v>
      </c>
      <c r="G795" s="398" t="s">
        <v>224</v>
      </c>
      <c r="H795" s="398" t="s">
        <v>156</v>
      </c>
      <c r="I795" s="398" t="s">
        <v>156</v>
      </c>
    </row>
    <row r="796" spans="1:9" x14ac:dyDescent="0.35">
      <c r="A796" s="395" t="s">
        <v>1724</v>
      </c>
      <c r="B796" s="396" t="s">
        <v>146</v>
      </c>
      <c r="C796" s="395" t="s">
        <v>147</v>
      </c>
      <c r="D796" s="395">
        <v>135</v>
      </c>
      <c r="E796" s="397">
        <f t="shared" si="13"/>
        <v>236372175</v>
      </c>
      <c r="F796" s="398" t="s">
        <v>1725</v>
      </c>
      <c r="G796" s="398" t="s">
        <v>191</v>
      </c>
      <c r="H796" s="398" t="s">
        <v>156</v>
      </c>
      <c r="I796" s="398" t="s">
        <v>156</v>
      </c>
    </row>
    <row r="797" spans="1:9" x14ac:dyDescent="0.35">
      <c r="A797" s="395" t="s">
        <v>1726</v>
      </c>
      <c r="B797" s="396" t="s">
        <v>146</v>
      </c>
      <c r="C797" s="395" t="s">
        <v>147</v>
      </c>
      <c r="D797" s="395">
        <v>135</v>
      </c>
      <c r="E797" s="397">
        <f t="shared" si="13"/>
        <v>236372175</v>
      </c>
      <c r="F797" s="398" t="s">
        <v>1727</v>
      </c>
      <c r="G797" s="398" t="s">
        <v>224</v>
      </c>
      <c r="H797" s="398" t="s">
        <v>156</v>
      </c>
      <c r="I797" s="398" t="s">
        <v>156</v>
      </c>
    </row>
    <row r="798" spans="1:9" x14ac:dyDescent="0.35">
      <c r="A798" s="395" t="s">
        <v>1728</v>
      </c>
      <c r="B798" s="396" t="s">
        <v>146</v>
      </c>
      <c r="C798" s="395" t="s">
        <v>147</v>
      </c>
      <c r="D798" s="395">
        <v>135</v>
      </c>
      <c r="E798" s="397">
        <f t="shared" si="13"/>
        <v>236372175</v>
      </c>
      <c r="F798" s="398" t="s">
        <v>1729</v>
      </c>
      <c r="G798" s="398" t="s">
        <v>324</v>
      </c>
      <c r="H798" s="398" t="s">
        <v>150</v>
      </c>
      <c r="I798" s="398" t="s">
        <v>151</v>
      </c>
    </row>
    <row r="799" spans="1:9" x14ac:dyDescent="0.35">
      <c r="A799" s="395" t="s">
        <v>1730</v>
      </c>
      <c r="B799" s="396" t="s">
        <v>146</v>
      </c>
      <c r="C799" s="395" t="s">
        <v>147</v>
      </c>
      <c r="D799" s="395">
        <v>135</v>
      </c>
      <c r="E799" s="397">
        <f t="shared" si="13"/>
        <v>236372175</v>
      </c>
      <c r="F799" s="398" t="s">
        <v>1731</v>
      </c>
      <c r="G799" s="398" t="s">
        <v>170</v>
      </c>
      <c r="H799" s="398" t="s">
        <v>156</v>
      </c>
      <c r="I799" s="398" t="s">
        <v>156</v>
      </c>
    </row>
    <row r="800" spans="1:9" x14ac:dyDescent="0.35">
      <c r="A800" s="395" t="s">
        <v>1732</v>
      </c>
      <c r="B800" s="396" t="s">
        <v>146</v>
      </c>
      <c r="C800" s="395" t="s">
        <v>147</v>
      </c>
      <c r="D800" s="395">
        <v>135</v>
      </c>
      <c r="E800" s="397">
        <f t="shared" si="13"/>
        <v>236372175</v>
      </c>
      <c r="F800" s="398" t="s">
        <v>1733</v>
      </c>
      <c r="G800" s="398" t="s">
        <v>188</v>
      </c>
      <c r="H800" s="398" t="s">
        <v>156</v>
      </c>
      <c r="I800" s="398" t="s">
        <v>156</v>
      </c>
    </row>
    <row r="801" spans="1:9" x14ac:dyDescent="0.35">
      <c r="A801" s="395" t="s">
        <v>1734</v>
      </c>
      <c r="B801" s="396" t="s">
        <v>146</v>
      </c>
      <c r="C801" s="395" t="s">
        <v>147</v>
      </c>
      <c r="D801" s="395">
        <v>135</v>
      </c>
      <c r="E801" s="397">
        <f t="shared" si="13"/>
        <v>236372175</v>
      </c>
      <c r="F801" s="398" t="s">
        <v>1733</v>
      </c>
      <c r="G801" s="398" t="s">
        <v>216</v>
      </c>
      <c r="H801" s="398" t="s">
        <v>156</v>
      </c>
      <c r="I801" s="398" t="s">
        <v>156</v>
      </c>
    </row>
    <row r="802" spans="1:9" x14ac:dyDescent="0.35">
      <c r="A802" s="395" t="s">
        <v>1735</v>
      </c>
      <c r="B802" s="396" t="s">
        <v>146</v>
      </c>
      <c r="C802" s="395" t="s">
        <v>147</v>
      </c>
      <c r="D802" s="395">
        <v>135</v>
      </c>
      <c r="E802" s="397">
        <f t="shared" si="13"/>
        <v>236372175</v>
      </c>
      <c r="F802" s="398" t="s">
        <v>1736</v>
      </c>
      <c r="G802" s="398" t="s">
        <v>155</v>
      </c>
      <c r="H802" s="398" t="s">
        <v>156</v>
      </c>
      <c r="I802" s="398" t="s">
        <v>156</v>
      </c>
    </row>
    <row r="803" spans="1:9" x14ac:dyDescent="0.35">
      <c r="A803" s="395" t="s">
        <v>1737</v>
      </c>
      <c r="B803" s="396" t="s">
        <v>146</v>
      </c>
      <c r="C803" s="395" t="s">
        <v>147</v>
      </c>
      <c r="D803" s="395">
        <v>135</v>
      </c>
      <c r="E803" s="397">
        <f t="shared" si="13"/>
        <v>236372175</v>
      </c>
      <c r="F803" s="398" t="s">
        <v>1738</v>
      </c>
      <c r="G803" s="398" t="s">
        <v>227</v>
      </c>
      <c r="H803" s="398" t="s">
        <v>156</v>
      </c>
      <c r="I803" s="398" t="s">
        <v>156</v>
      </c>
    </row>
    <row r="804" spans="1:9" x14ac:dyDescent="0.35">
      <c r="A804" s="395" t="s">
        <v>1739</v>
      </c>
      <c r="B804" s="396" t="s">
        <v>146</v>
      </c>
      <c r="C804" s="395" t="s">
        <v>147</v>
      </c>
      <c r="D804" s="395">
        <v>135</v>
      </c>
      <c r="E804" s="397">
        <f t="shared" si="13"/>
        <v>236372175</v>
      </c>
      <c r="F804" s="398" t="s">
        <v>1740</v>
      </c>
      <c r="G804" s="398" t="s">
        <v>311</v>
      </c>
      <c r="H804" s="398" t="s">
        <v>156</v>
      </c>
      <c r="I804" s="398" t="s">
        <v>156</v>
      </c>
    </row>
    <row r="805" spans="1:9" x14ac:dyDescent="0.35">
      <c r="A805" s="395" t="s">
        <v>1741</v>
      </c>
      <c r="B805" s="396" t="s">
        <v>146</v>
      </c>
      <c r="C805" s="395" t="s">
        <v>147</v>
      </c>
      <c r="D805" s="395">
        <v>135</v>
      </c>
      <c r="E805" s="397">
        <f t="shared" si="13"/>
        <v>236372175</v>
      </c>
      <c r="F805" s="398" t="s">
        <v>1742</v>
      </c>
      <c r="G805" s="398" t="s">
        <v>149</v>
      </c>
      <c r="H805" s="398" t="s">
        <v>156</v>
      </c>
      <c r="I805" s="398" t="s">
        <v>156</v>
      </c>
    </row>
    <row r="806" spans="1:9" x14ac:dyDescent="0.35">
      <c r="A806" s="395" t="s">
        <v>1743</v>
      </c>
      <c r="B806" s="396" t="s">
        <v>146</v>
      </c>
      <c r="C806" s="395" t="s">
        <v>147</v>
      </c>
      <c r="D806" s="395">
        <v>135</v>
      </c>
      <c r="E806" s="397">
        <f t="shared" si="13"/>
        <v>236372175</v>
      </c>
      <c r="F806" s="398" t="s">
        <v>1744</v>
      </c>
      <c r="G806" s="398" t="s">
        <v>224</v>
      </c>
      <c r="H806" s="398" t="s">
        <v>156</v>
      </c>
      <c r="I806" s="398" t="s">
        <v>156</v>
      </c>
    </row>
    <row r="807" spans="1:9" x14ac:dyDescent="0.35">
      <c r="A807" s="395" t="s">
        <v>1745</v>
      </c>
      <c r="B807" s="396" t="s">
        <v>146</v>
      </c>
      <c r="C807" s="395" t="s">
        <v>147</v>
      </c>
      <c r="D807" s="395">
        <v>135</v>
      </c>
      <c r="E807" s="397">
        <f t="shared" si="13"/>
        <v>236372175</v>
      </c>
      <c r="F807" s="398" t="s">
        <v>1746</v>
      </c>
      <c r="G807" s="398" t="s">
        <v>188</v>
      </c>
      <c r="H807" s="398" t="s">
        <v>156</v>
      </c>
      <c r="I807" s="398" t="s">
        <v>156</v>
      </c>
    </row>
    <row r="808" spans="1:9" x14ac:dyDescent="0.35">
      <c r="A808" s="395" t="s">
        <v>1747</v>
      </c>
      <c r="B808" s="396" t="s">
        <v>146</v>
      </c>
      <c r="C808" s="395" t="s">
        <v>147</v>
      </c>
      <c r="D808" s="395">
        <v>135</v>
      </c>
      <c r="E808" s="397">
        <f t="shared" si="13"/>
        <v>236372175</v>
      </c>
      <c r="F808" s="398" t="s">
        <v>1748</v>
      </c>
      <c r="G808" s="398" t="s">
        <v>200</v>
      </c>
      <c r="H808" s="398" t="s">
        <v>156</v>
      </c>
      <c r="I808" s="398" t="s">
        <v>156</v>
      </c>
    </row>
    <row r="809" spans="1:9" x14ac:dyDescent="0.35">
      <c r="A809" s="395" t="s">
        <v>1749</v>
      </c>
      <c r="B809" s="396" t="s">
        <v>146</v>
      </c>
      <c r="C809" s="395" t="s">
        <v>147</v>
      </c>
      <c r="D809" s="395">
        <v>135</v>
      </c>
      <c r="E809" s="397">
        <f t="shared" si="13"/>
        <v>236372175</v>
      </c>
      <c r="F809" s="398" t="s">
        <v>1750</v>
      </c>
      <c r="G809" s="398" t="s">
        <v>424</v>
      </c>
      <c r="H809" s="398" t="s">
        <v>156</v>
      </c>
      <c r="I809" s="398" t="s">
        <v>156</v>
      </c>
    </row>
    <row r="810" spans="1:9" x14ac:dyDescent="0.35">
      <c r="A810" s="395" t="s">
        <v>1751</v>
      </c>
      <c r="B810" s="396" t="s">
        <v>146</v>
      </c>
      <c r="C810" s="395" t="s">
        <v>147</v>
      </c>
      <c r="D810" s="395">
        <v>135</v>
      </c>
      <c r="E810" s="397">
        <f t="shared" si="13"/>
        <v>236372175</v>
      </c>
      <c r="F810" s="398" t="s">
        <v>1752</v>
      </c>
      <c r="G810" s="398" t="s">
        <v>170</v>
      </c>
      <c r="H810" s="398" t="s">
        <v>156</v>
      </c>
      <c r="I810" s="398" t="s">
        <v>156</v>
      </c>
    </row>
    <row r="811" spans="1:9" x14ac:dyDescent="0.35">
      <c r="A811" s="395" t="s">
        <v>1753</v>
      </c>
      <c r="B811" s="396" t="s">
        <v>146</v>
      </c>
      <c r="C811" s="395" t="s">
        <v>147</v>
      </c>
      <c r="D811" s="395">
        <v>135</v>
      </c>
      <c r="E811" s="397">
        <f t="shared" si="13"/>
        <v>236372175</v>
      </c>
      <c r="F811" s="398" t="s">
        <v>1754</v>
      </c>
      <c r="G811" s="398" t="s">
        <v>181</v>
      </c>
      <c r="H811" s="398" t="s">
        <v>240</v>
      </c>
      <c r="I811" s="398" t="s">
        <v>182</v>
      </c>
    </row>
    <row r="812" spans="1:9" x14ac:dyDescent="0.35">
      <c r="A812" s="395" t="s">
        <v>1755</v>
      </c>
      <c r="B812" s="396" t="s">
        <v>146</v>
      </c>
      <c r="C812" s="395" t="s">
        <v>147</v>
      </c>
      <c r="D812" s="395">
        <v>135</v>
      </c>
      <c r="E812" s="397">
        <f t="shared" si="13"/>
        <v>236372175</v>
      </c>
      <c r="F812" s="398" t="s">
        <v>1756</v>
      </c>
      <c r="G812" s="398" t="s">
        <v>149</v>
      </c>
      <c r="H812" s="398" t="s">
        <v>156</v>
      </c>
      <c r="I812" s="398" t="s">
        <v>156</v>
      </c>
    </row>
    <row r="813" spans="1:9" x14ac:dyDescent="0.35">
      <c r="A813" s="395" t="s">
        <v>1757</v>
      </c>
      <c r="B813" s="396" t="s">
        <v>160</v>
      </c>
      <c r="C813" s="395" t="s">
        <v>147</v>
      </c>
      <c r="D813" s="395">
        <v>135</v>
      </c>
      <c r="E813" s="397">
        <f t="shared" si="13"/>
        <v>236372175</v>
      </c>
      <c r="F813" s="398" t="s">
        <v>1756</v>
      </c>
      <c r="G813" s="398" t="s">
        <v>1557</v>
      </c>
      <c r="H813" s="398" t="s">
        <v>163</v>
      </c>
      <c r="I813" s="398" t="s">
        <v>182</v>
      </c>
    </row>
    <row r="814" spans="1:9" x14ac:dyDescent="0.35">
      <c r="A814" s="395" t="s">
        <v>1758</v>
      </c>
      <c r="B814" s="396" t="s">
        <v>146</v>
      </c>
      <c r="C814" s="395" t="s">
        <v>147</v>
      </c>
      <c r="D814" s="395">
        <v>135</v>
      </c>
      <c r="E814" s="397">
        <f t="shared" si="13"/>
        <v>236372175</v>
      </c>
      <c r="F814" s="398" t="s">
        <v>1756</v>
      </c>
      <c r="G814" s="398" t="s">
        <v>185</v>
      </c>
      <c r="H814" s="398" t="s">
        <v>156</v>
      </c>
      <c r="I814" s="398" t="s">
        <v>156</v>
      </c>
    </row>
    <row r="815" spans="1:9" x14ac:dyDescent="0.35">
      <c r="A815" s="395" t="s">
        <v>1759</v>
      </c>
      <c r="B815" s="396" t="s">
        <v>146</v>
      </c>
      <c r="C815" s="395" t="s">
        <v>147</v>
      </c>
      <c r="D815" s="395">
        <v>135</v>
      </c>
      <c r="E815" s="397">
        <f t="shared" si="13"/>
        <v>236372175</v>
      </c>
      <c r="F815" s="398" t="s">
        <v>1760</v>
      </c>
      <c r="G815" s="398" t="s">
        <v>324</v>
      </c>
      <c r="H815" s="398" t="s">
        <v>156</v>
      </c>
      <c r="I815" s="398" t="s">
        <v>156</v>
      </c>
    </row>
    <row r="816" spans="1:9" x14ac:dyDescent="0.35">
      <c r="A816" s="395" t="s">
        <v>1761</v>
      </c>
      <c r="B816" s="396" t="s">
        <v>146</v>
      </c>
      <c r="C816" s="395" t="s">
        <v>147</v>
      </c>
      <c r="D816" s="395">
        <v>135</v>
      </c>
      <c r="E816" s="397">
        <f t="shared" si="13"/>
        <v>236372175</v>
      </c>
      <c r="F816" s="398" t="s">
        <v>1762</v>
      </c>
      <c r="G816" s="398" t="s">
        <v>324</v>
      </c>
      <c r="H816" s="398" t="s">
        <v>156</v>
      </c>
      <c r="I816" s="398" t="s">
        <v>156</v>
      </c>
    </row>
    <row r="817" spans="1:9" x14ac:dyDescent="0.35">
      <c r="A817" s="395" t="s">
        <v>1763</v>
      </c>
      <c r="B817" s="396" t="s">
        <v>146</v>
      </c>
      <c r="C817" s="395" t="s">
        <v>147</v>
      </c>
      <c r="D817" s="395">
        <v>135</v>
      </c>
      <c r="E817" s="397">
        <f t="shared" si="13"/>
        <v>236372175</v>
      </c>
      <c r="F817" s="398" t="s">
        <v>1764</v>
      </c>
      <c r="G817" s="398" t="s">
        <v>227</v>
      </c>
      <c r="H817" s="398" t="s">
        <v>156</v>
      </c>
      <c r="I817" s="398" t="s">
        <v>156</v>
      </c>
    </row>
    <row r="818" spans="1:9" x14ac:dyDescent="0.35">
      <c r="A818" s="395" t="s">
        <v>1765</v>
      </c>
      <c r="B818" s="396" t="s">
        <v>146</v>
      </c>
      <c r="C818" s="395" t="s">
        <v>147</v>
      </c>
      <c r="D818" s="395">
        <v>135</v>
      </c>
      <c r="E818" s="397">
        <f t="shared" si="13"/>
        <v>236372175</v>
      </c>
      <c r="F818" s="398" t="s">
        <v>1766</v>
      </c>
      <c r="G818" s="398" t="s">
        <v>178</v>
      </c>
      <c r="H818" s="398" t="s">
        <v>156</v>
      </c>
      <c r="I818" s="398" t="s">
        <v>156</v>
      </c>
    </row>
    <row r="819" spans="1:9" x14ac:dyDescent="0.35">
      <c r="A819" s="395" t="s">
        <v>1767</v>
      </c>
      <c r="B819" s="396" t="s">
        <v>146</v>
      </c>
      <c r="C819" s="395" t="s">
        <v>147</v>
      </c>
      <c r="D819" s="395">
        <v>135</v>
      </c>
      <c r="E819" s="397">
        <f t="shared" si="13"/>
        <v>236372175</v>
      </c>
      <c r="F819" s="398" t="s">
        <v>1768</v>
      </c>
      <c r="G819" s="398" t="s">
        <v>185</v>
      </c>
      <c r="H819" s="398" t="s">
        <v>156</v>
      </c>
      <c r="I819" s="398" t="s">
        <v>156</v>
      </c>
    </row>
    <row r="820" spans="1:9" x14ac:dyDescent="0.35">
      <c r="A820" s="395" t="s">
        <v>1769</v>
      </c>
      <c r="B820" s="396" t="s">
        <v>146</v>
      </c>
      <c r="C820" s="395" t="s">
        <v>147</v>
      </c>
      <c r="D820" s="395">
        <v>135</v>
      </c>
      <c r="E820" s="397">
        <f t="shared" si="13"/>
        <v>236372175</v>
      </c>
      <c r="F820" s="398" t="s">
        <v>1770</v>
      </c>
      <c r="G820" s="398" t="s">
        <v>424</v>
      </c>
      <c r="H820" s="398" t="s">
        <v>156</v>
      </c>
      <c r="I820" s="398" t="s">
        <v>156</v>
      </c>
    </row>
    <row r="821" spans="1:9" x14ac:dyDescent="0.35">
      <c r="A821" s="395" t="s">
        <v>1771</v>
      </c>
      <c r="B821" s="396" t="s">
        <v>146</v>
      </c>
      <c r="C821" s="395" t="s">
        <v>147</v>
      </c>
      <c r="D821" s="395">
        <v>135</v>
      </c>
      <c r="E821" s="397">
        <f t="shared" si="13"/>
        <v>236372175</v>
      </c>
      <c r="F821" s="398" t="s">
        <v>1772</v>
      </c>
      <c r="G821" s="398" t="s">
        <v>178</v>
      </c>
      <c r="H821" s="398" t="s">
        <v>156</v>
      </c>
      <c r="I821" s="398" t="s">
        <v>156</v>
      </c>
    </row>
    <row r="822" spans="1:9" x14ac:dyDescent="0.35">
      <c r="A822" s="395" t="s">
        <v>1773</v>
      </c>
      <c r="B822" s="396" t="s">
        <v>146</v>
      </c>
      <c r="C822" s="395" t="s">
        <v>147</v>
      </c>
      <c r="D822" s="395">
        <v>135</v>
      </c>
      <c r="E822" s="397">
        <f t="shared" si="13"/>
        <v>236372175</v>
      </c>
      <c r="F822" s="398" t="s">
        <v>1772</v>
      </c>
      <c r="G822" s="398" t="s">
        <v>200</v>
      </c>
      <c r="H822" s="398" t="s">
        <v>156</v>
      </c>
      <c r="I822" s="398" t="s">
        <v>156</v>
      </c>
    </row>
    <row r="823" spans="1:9" x14ac:dyDescent="0.35">
      <c r="A823" s="395" t="s">
        <v>1774</v>
      </c>
      <c r="B823" s="396" t="s">
        <v>146</v>
      </c>
      <c r="C823" s="395" t="s">
        <v>147</v>
      </c>
      <c r="D823" s="395">
        <v>135</v>
      </c>
      <c r="E823" s="397">
        <f t="shared" si="13"/>
        <v>236372175</v>
      </c>
      <c r="F823" s="398" t="s">
        <v>1775</v>
      </c>
      <c r="G823" s="398" t="s">
        <v>324</v>
      </c>
      <c r="H823" s="398" t="s">
        <v>150</v>
      </c>
      <c r="I823" s="398" t="s">
        <v>151</v>
      </c>
    </row>
    <row r="824" spans="1:9" x14ac:dyDescent="0.35">
      <c r="A824" s="395" t="s">
        <v>1776</v>
      </c>
      <c r="B824" s="396" t="s">
        <v>146</v>
      </c>
      <c r="C824" s="395" t="s">
        <v>147</v>
      </c>
      <c r="D824" s="395">
        <v>135</v>
      </c>
      <c r="E824" s="397">
        <f t="shared" si="13"/>
        <v>236372175</v>
      </c>
      <c r="F824" s="398" t="s">
        <v>1777</v>
      </c>
      <c r="G824" s="398" t="s">
        <v>155</v>
      </c>
      <c r="H824" s="398" t="s">
        <v>156</v>
      </c>
      <c r="I824" s="398" t="s">
        <v>156</v>
      </c>
    </row>
    <row r="825" spans="1:9" x14ac:dyDescent="0.35">
      <c r="A825" s="395" t="s">
        <v>1778</v>
      </c>
      <c r="B825" s="396" t="s">
        <v>146</v>
      </c>
      <c r="C825" s="395" t="s">
        <v>147</v>
      </c>
      <c r="D825" s="395">
        <v>135</v>
      </c>
      <c r="E825" s="397">
        <f t="shared" si="13"/>
        <v>236372175</v>
      </c>
      <c r="F825" s="398" t="s">
        <v>1779</v>
      </c>
      <c r="G825" s="398" t="s">
        <v>149</v>
      </c>
      <c r="H825" s="398" t="s">
        <v>156</v>
      </c>
      <c r="I825" s="398" t="s">
        <v>156</v>
      </c>
    </row>
    <row r="826" spans="1:9" x14ac:dyDescent="0.35">
      <c r="A826" s="395" t="s">
        <v>1780</v>
      </c>
      <c r="B826" s="396" t="s">
        <v>146</v>
      </c>
      <c r="C826" s="395" t="s">
        <v>147</v>
      </c>
      <c r="D826" s="395">
        <v>135</v>
      </c>
      <c r="E826" s="397">
        <f t="shared" si="13"/>
        <v>236372175</v>
      </c>
      <c r="F826" s="398" t="s">
        <v>1779</v>
      </c>
      <c r="G826" s="398" t="s">
        <v>324</v>
      </c>
      <c r="H826" s="398" t="s">
        <v>156</v>
      </c>
      <c r="I826" s="398" t="s">
        <v>156</v>
      </c>
    </row>
    <row r="827" spans="1:9" x14ac:dyDescent="0.35">
      <c r="A827" s="395" t="s">
        <v>1781</v>
      </c>
      <c r="B827" s="396" t="s">
        <v>146</v>
      </c>
      <c r="C827" s="395" t="s">
        <v>147</v>
      </c>
      <c r="D827" s="395">
        <v>135</v>
      </c>
      <c r="E827" s="397">
        <f t="shared" si="13"/>
        <v>236372175</v>
      </c>
      <c r="F827" s="398" t="s">
        <v>1782</v>
      </c>
      <c r="G827" s="398" t="s">
        <v>162</v>
      </c>
      <c r="H827" s="398" t="s">
        <v>156</v>
      </c>
      <c r="I827" s="398" t="s">
        <v>156</v>
      </c>
    </row>
    <row r="828" spans="1:9" x14ac:dyDescent="0.35">
      <c r="A828" s="395" t="s">
        <v>1783</v>
      </c>
      <c r="B828" s="396" t="s">
        <v>146</v>
      </c>
      <c r="C828" s="395" t="s">
        <v>147</v>
      </c>
      <c r="D828" s="395">
        <v>135</v>
      </c>
      <c r="E828" s="397">
        <f t="shared" si="13"/>
        <v>236372175</v>
      </c>
      <c r="F828" s="398" t="s">
        <v>1784</v>
      </c>
      <c r="G828" s="398" t="s">
        <v>178</v>
      </c>
      <c r="H828" s="398" t="s">
        <v>156</v>
      </c>
      <c r="I828" s="398" t="s">
        <v>156</v>
      </c>
    </row>
    <row r="829" spans="1:9" x14ac:dyDescent="0.35">
      <c r="A829" s="395" t="s">
        <v>1785</v>
      </c>
      <c r="B829" s="396" t="s">
        <v>146</v>
      </c>
      <c r="C829" s="395" t="s">
        <v>358</v>
      </c>
      <c r="D829" s="395">
        <v>150</v>
      </c>
      <c r="E829" s="397">
        <f t="shared" si="13"/>
        <v>262635750</v>
      </c>
      <c r="F829" s="398" t="s">
        <v>1784</v>
      </c>
      <c r="G829" s="398" t="s">
        <v>155</v>
      </c>
      <c r="H829" s="398" t="s">
        <v>156</v>
      </c>
      <c r="I829" s="398" t="s">
        <v>156</v>
      </c>
    </row>
    <row r="830" spans="1:9" x14ac:dyDescent="0.35">
      <c r="A830" s="395" t="s">
        <v>1786</v>
      </c>
      <c r="B830" s="396" t="s">
        <v>146</v>
      </c>
      <c r="C830" s="395" t="s">
        <v>147</v>
      </c>
      <c r="D830" s="395">
        <v>135</v>
      </c>
      <c r="E830" s="397">
        <f t="shared" si="13"/>
        <v>236372175</v>
      </c>
      <c r="F830" s="398" t="s">
        <v>1787</v>
      </c>
      <c r="G830" s="398" t="s">
        <v>173</v>
      </c>
      <c r="H830" s="398" t="s">
        <v>156</v>
      </c>
      <c r="I830" s="398" t="s">
        <v>156</v>
      </c>
    </row>
    <row r="831" spans="1:9" x14ac:dyDescent="0.35">
      <c r="A831" s="395" t="s">
        <v>1788</v>
      </c>
      <c r="B831" s="396" t="s">
        <v>146</v>
      </c>
      <c r="C831" s="395" t="s">
        <v>147</v>
      </c>
      <c r="D831" s="395">
        <v>135</v>
      </c>
      <c r="E831" s="397">
        <f t="shared" si="13"/>
        <v>236372175</v>
      </c>
      <c r="F831" s="398" t="s">
        <v>1789</v>
      </c>
      <c r="G831" s="398" t="s">
        <v>181</v>
      </c>
      <c r="H831" s="398" t="s">
        <v>156</v>
      </c>
      <c r="I831" s="398" t="s">
        <v>156</v>
      </c>
    </row>
    <row r="832" spans="1:9" x14ac:dyDescent="0.35">
      <c r="A832" s="395" t="s">
        <v>1790</v>
      </c>
      <c r="B832" s="396" t="s">
        <v>146</v>
      </c>
      <c r="C832" s="395" t="s">
        <v>147</v>
      </c>
      <c r="D832" s="395">
        <v>135</v>
      </c>
      <c r="E832" s="397">
        <f t="shared" si="13"/>
        <v>236372175</v>
      </c>
      <c r="F832" s="398" t="s">
        <v>1791</v>
      </c>
      <c r="G832" s="398" t="s">
        <v>224</v>
      </c>
      <c r="H832" s="398" t="s">
        <v>156</v>
      </c>
      <c r="I832" s="398" t="s">
        <v>156</v>
      </c>
    </row>
    <row r="833" spans="1:9" x14ac:dyDescent="0.35">
      <c r="A833" s="395" t="s">
        <v>1792</v>
      </c>
      <c r="B833" s="396" t="s">
        <v>146</v>
      </c>
      <c r="C833" s="395" t="s">
        <v>147</v>
      </c>
      <c r="D833" s="395">
        <v>135</v>
      </c>
      <c r="E833" s="397">
        <f t="shared" si="13"/>
        <v>236372175</v>
      </c>
      <c r="F833" s="398" t="s">
        <v>1793</v>
      </c>
      <c r="G833" s="398" t="s">
        <v>173</v>
      </c>
      <c r="H833" s="398" t="s">
        <v>156</v>
      </c>
      <c r="I833" s="398" t="s">
        <v>156</v>
      </c>
    </row>
    <row r="834" spans="1:9" x14ac:dyDescent="0.35">
      <c r="A834" s="395" t="s">
        <v>1794</v>
      </c>
      <c r="B834" s="396" t="s">
        <v>146</v>
      </c>
      <c r="C834" s="395" t="s">
        <v>147</v>
      </c>
      <c r="D834" s="395">
        <v>135</v>
      </c>
      <c r="E834" s="397">
        <f t="shared" si="13"/>
        <v>236372175</v>
      </c>
      <c r="F834" s="398" t="s">
        <v>1795</v>
      </c>
      <c r="G834" s="398" t="s">
        <v>356</v>
      </c>
      <c r="H834" s="398" t="s">
        <v>156</v>
      </c>
      <c r="I834" s="398" t="s">
        <v>156</v>
      </c>
    </row>
    <row r="835" spans="1:9" x14ac:dyDescent="0.35">
      <c r="A835" s="395" t="s">
        <v>1796</v>
      </c>
      <c r="B835" s="396" t="s">
        <v>146</v>
      </c>
      <c r="C835" s="395" t="s">
        <v>147</v>
      </c>
      <c r="D835" s="395">
        <v>135</v>
      </c>
      <c r="E835" s="397">
        <f t="shared" ref="E835:E898" si="14">D835*$S$2</f>
        <v>236372175</v>
      </c>
      <c r="F835" s="398" t="s">
        <v>1797</v>
      </c>
      <c r="G835" s="398" t="s">
        <v>173</v>
      </c>
      <c r="H835" s="398" t="s">
        <v>156</v>
      </c>
      <c r="I835" s="398" t="s">
        <v>156</v>
      </c>
    </row>
    <row r="836" spans="1:9" x14ac:dyDescent="0.35">
      <c r="A836" s="395" t="s">
        <v>1798</v>
      </c>
      <c r="B836" s="396" t="s">
        <v>146</v>
      </c>
      <c r="C836" s="395" t="s">
        <v>147</v>
      </c>
      <c r="D836" s="395">
        <v>135</v>
      </c>
      <c r="E836" s="397">
        <f t="shared" si="14"/>
        <v>236372175</v>
      </c>
      <c r="F836" s="398" t="s">
        <v>1799</v>
      </c>
      <c r="G836" s="398" t="s">
        <v>149</v>
      </c>
      <c r="H836" s="398" t="s">
        <v>156</v>
      </c>
      <c r="I836" s="398" t="s">
        <v>156</v>
      </c>
    </row>
    <row r="837" spans="1:9" x14ac:dyDescent="0.35">
      <c r="A837" s="395" t="s">
        <v>1800</v>
      </c>
      <c r="B837" s="396" t="s">
        <v>146</v>
      </c>
      <c r="C837" s="395" t="s">
        <v>147</v>
      </c>
      <c r="D837" s="395">
        <v>135</v>
      </c>
      <c r="E837" s="397">
        <f t="shared" si="14"/>
        <v>236372175</v>
      </c>
      <c r="F837" s="398" t="s">
        <v>1799</v>
      </c>
      <c r="G837" s="398" t="s">
        <v>178</v>
      </c>
      <c r="H837" s="398" t="s">
        <v>156</v>
      </c>
      <c r="I837" s="398" t="s">
        <v>156</v>
      </c>
    </row>
    <row r="838" spans="1:9" x14ac:dyDescent="0.35">
      <c r="A838" s="395" t="s">
        <v>1801</v>
      </c>
      <c r="B838" s="396" t="s">
        <v>146</v>
      </c>
      <c r="C838" s="395" t="s">
        <v>147</v>
      </c>
      <c r="D838" s="395">
        <v>135</v>
      </c>
      <c r="E838" s="397">
        <f t="shared" si="14"/>
        <v>236372175</v>
      </c>
      <c r="F838" s="398" t="s">
        <v>1799</v>
      </c>
      <c r="G838" s="398" t="s">
        <v>637</v>
      </c>
      <c r="H838" s="398" t="s">
        <v>156</v>
      </c>
      <c r="I838" s="398" t="s">
        <v>156</v>
      </c>
    </row>
    <row r="839" spans="1:9" x14ac:dyDescent="0.35">
      <c r="A839" s="395" t="s">
        <v>1802</v>
      </c>
      <c r="B839" s="396" t="s">
        <v>146</v>
      </c>
      <c r="C839" s="395" t="s">
        <v>147</v>
      </c>
      <c r="D839" s="395">
        <v>135</v>
      </c>
      <c r="E839" s="397">
        <f t="shared" si="14"/>
        <v>236372175</v>
      </c>
      <c r="F839" s="398" t="s">
        <v>1803</v>
      </c>
      <c r="G839" s="398" t="s">
        <v>185</v>
      </c>
      <c r="H839" s="398" t="s">
        <v>163</v>
      </c>
      <c r="I839" s="398" t="s">
        <v>192</v>
      </c>
    </row>
    <row r="840" spans="1:9" x14ac:dyDescent="0.35">
      <c r="A840" s="395" t="s">
        <v>1804</v>
      </c>
      <c r="B840" s="396" t="s">
        <v>146</v>
      </c>
      <c r="C840" s="395" t="s">
        <v>147</v>
      </c>
      <c r="D840" s="395">
        <v>135</v>
      </c>
      <c r="E840" s="397">
        <f t="shared" si="14"/>
        <v>236372175</v>
      </c>
      <c r="F840" s="398" t="s">
        <v>1805</v>
      </c>
      <c r="G840" s="398" t="s">
        <v>173</v>
      </c>
      <c r="H840" s="398" t="s">
        <v>156</v>
      </c>
      <c r="I840" s="398" t="s">
        <v>156</v>
      </c>
    </row>
    <row r="841" spans="1:9" x14ac:dyDescent="0.35">
      <c r="A841" s="395" t="s">
        <v>1806</v>
      </c>
      <c r="B841" s="396" t="s">
        <v>146</v>
      </c>
      <c r="C841" s="395" t="s">
        <v>147</v>
      </c>
      <c r="D841" s="395">
        <v>135</v>
      </c>
      <c r="E841" s="397">
        <f t="shared" si="14"/>
        <v>236372175</v>
      </c>
      <c r="F841" s="398" t="s">
        <v>1807</v>
      </c>
      <c r="G841" s="398" t="s">
        <v>173</v>
      </c>
      <c r="H841" s="398" t="s">
        <v>156</v>
      </c>
      <c r="I841" s="398" t="s">
        <v>156</v>
      </c>
    </row>
    <row r="842" spans="1:9" x14ac:dyDescent="0.35">
      <c r="A842" s="395" t="s">
        <v>1808</v>
      </c>
      <c r="B842" s="396" t="s">
        <v>146</v>
      </c>
      <c r="C842" s="395" t="s">
        <v>147</v>
      </c>
      <c r="D842" s="395">
        <v>135</v>
      </c>
      <c r="E842" s="397">
        <f t="shared" si="14"/>
        <v>236372175</v>
      </c>
      <c r="F842" s="398" t="s">
        <v>1809</v>
      </c>
      <c r="G842" s="398" t="s">
        <v>149</v>
      </c>
      <c r="H842" s="398" t="s">
        <v>156</v>
      </c>
      <c r="I842" s="398" t="s">
        <v>156</v>
      </c>
    </row>
    <row r="843" spans="1:9" x14ac:dyDescent="0.35">
      <c r="A843" s="395" t="s">
        <v>1810</v>
      </c>
      <c r="B843" s="396" t="s">
        <v>146</v>
      </c>
      <c r="C843" s="395" t="s">
        <v>147</v>
      </c>
      <c r="D843" s="395">
        <v>135</v>
      </c>
      <c r="E843" s="397">
        <f t="shared" si="14"/>
        <v>236372175</v>
      </c>
      <c r="F843" s="398" t="s">
        <v>1811</v>
      </c>
      <c r="G843" s="398" t="s">
        <v>185</v>
      </c>
      <c r="H843" s="398" t="s">
        <v>156</v>
      </c>
      <c r="I843" s="398" t="s">
        <v>156</v>
      </c>
    </row>
    <row r="844" spans="1:9" x14ac:dyDescent="0.35">
      <c r="A844" s="395" t="s">
        <v>1812</v>
      </c>
      <c r="B844" s="396" t="s">
        <v>146</v>
      </c>
      <c r="C844" s="395" t="s">
        <v>147</v>
      </c>
      <c r="D844" s="395">
        <v>135</v>
      </c>
      <c r="E844" s="397">
        <f t="shared" si="14"/>
        <v>236372175</v>
      </c>
      <c r="F844" s="398" t="s">
        <v>1813</v>
      </c>
      <c r="G844" s="398" t="s">
        <v>188</v>
      </c>
      <c r="H844" s="398" t="s">
        <v>156</v>
      </c>
      <c r="I844" s="398" t="s">
        <v>156</v>
      </c>
    </row>
    <row r="845" spans="1:9" x14ac:dyDescent="0.35">
      <c r="A845" s="395" t="s">
        <v>1814</v>
      </c>
      <c r="B845" s="396" t="s">
        <v>146</v>
      </c>
      <c r="C845" s="395" t="s">
        <v>147</v>
      </c>
      <c r="D845" s="395">
        <v>135</v>
      </c>
      <c r="E845" s="397">
        <f t="shared" si="14"/>
        <v>236372175</v>
      </c>
      <c r="F845" s="398" t="s">
        <v>1815</v>
      </c>
      <c r="G845" s="398" t="s">
        <v>149</v>
      </c>
      <c r="H845" s="398" t="s">
        <v>156</v>
      </c>
      <c r="I845" s="398" t="s">
        <v>156</v>
      </c>
    </row>
    <row r="846" spans="1:9" x14ac:dyDescent="0.35">
      <c r="A846" s="395" t="s">
        <v>1816</v>
      </c>
      <c r="B846" s="396" t="s">
        <v>146</v>
      </c>
      <c r="C846" s="395" t="s">
        <v>147</v>
      </c>
      <c r="D846" s="395">
        <v>135</v>
      </c>
      <c r="E846" s="397">
        <f t="shared" si="14"/>
        <v>236372175</v>
      </c>
      <c r="F846" s="398" t="s">
        <v>1817</v>
      </c>
      <c r="G846" s="398" t="s">
        <v>185</v>
      </c>
      <c r="H846" s="398" t="s">
        <v>156</v>
      </c>
      <c r="I846" s="398" t="s">
        <v>156</v>
      </c>
    </row>
    <row r="847" spans="1:9" x14ac:dyDescent="0.35">
      <c r="A847" s="395" t="s">
        <v>1818</v>
      </c>
      <c r="B847" s="396" t="s">
        <v>146</v>
      </c>
      <c r="C847" s="395" t="s">
        <v>147</v>
      </c>
      <c r="D847" s="395">
        <v>135</v>
      </c>
      <c r="E847" s="397">
        <f t="shared" si="14"/>
        <v>236372175</v>
      </c>
      <c r="F847" s="398" t="s">
        <v>1819</v>
      </c>
      <c r="G847" s="398" t="s">
        <v>224</v>
      </c>
      <c r="H847" s="398" t="s">
        <v>156</v>
      </c>
      <c r="I847" s="398" t="s">
        <v>156</v>
      </c>
    </row>
    <row r="848" spans="1:9" x14ac:dyDescent="0.35">
      <c r="A848" s="395" t="s">
        <v>1820</v>
      </c>
      <c r="B848" s="396" t="s">
        <v>146</v>
      </c>
      <c r="C848" s="395" t="s">
        <v>147</v>
      </c>
      <c r="D848" s="395">
        <v>135</v>
      </c>
      <c r="E848" s="397">
        <f t="shared" si="14"/>
        <v>236372175</v>
      </c>
      <c r="F848" s="398" t="s">
        <v>1821</v>
      </c>
      <c r="G848" s="398" t="s">
        <v>203</v>
      </c>
      <c r="H848" s="398" t="s">
        <v>156</v>
      </c>
      <c r="I848" s="398" t="s">
        <v>156</v>
      </c>
    </row>
    <row r="849" spans="1:9" x14ac:dyDescent="0.35">
      <c r="A849" s="395" t="s">
        <v>1822</v>
      </c>
      <c r="B849" s="396" t="s">
        <v>160</v>
      </c>
      <c r="C849" s="395" t="s">
        <v>147</v>
      </c>
      <c r="D849" s="395">
        <v>135</v>
      </c>
      <c r="E849" s="397">
        <f t="shared" si="14"/>
        <v>236372175</v>
      </c>
      <c r="F849" s="398" t="s">
        <v>1823</v>
      </c>
      <c r="G849" s="398" t="s">
        <v>466</v>
      </c>
      <c r="H849" s="398" t="s">
        <v>240</v>
      </c>
      <c r="I849" s="398" t="s">
        <v>164</v>
      </c>
    </row>
    <row r="850" spans="1:9" x14ac:dyDescent="0.35">
      <c r="A850" s="395" t="s">
        <v>1824</v>
      </c>
      <c r="B850" s="396" t="s">
        <v>146</v>
      </c>
      <c r="C850" s="395" t="s">
        <v>147</v>
      </c>
      <c r="D850" s="395">
        <v>135</v>
      </c>
      <c r="E850" s="397">
        <f t="shared" si="14"/>
        <v>236372175</v>
      </c>
      <c r="F850" s="398" t="s">
        <v>1825</v>
      </c>
      <c r="G850" s="398" t="s">
        <v>167</v>
      </c>
      <c r="H850" s="398" t="s">
        <v>156</v>
      </c>
      <c r="I850" s="398" t="s">
        <v>156</v>
      </c>
    </row>
    <row r="851" spans="1:9" x14ac:dyDescent="0.35">
      <c r="A851" s="395" t="s">
        <v>1826</v>
      </c>
      <c r="B851" s="396" t="s">
        <v>146</v>
      </c>
      <c r="C851" s="395" t="s">
        <v>147</v>
      </c>
      <c r="D851" s="395">
        <v>135</v>
      </c>
      <c r="E851" s="397">
        <f t="shared" si="14"/>
        <v>236372175</v>
      </c>
      <c r="F851" s="398" t="s">
        <v>1827</v>
      </c>
      <c r="G851" s="398" t="s">
        <v>162</v>
      </c>
      <c r="H851" s="398" t="s">
        <v>156</v>
      </c>
      <c r="I851" s="398" t="s">
        <v>156</v>
      </c>
    </row>
    <row r="852" spans="1:9" x14ac:dyDescent="0.35">
      <c r="A852" s="395" t="s">
        <v>1828</v>
      </c>
      <c r="B852" s="396" t="s">
        <v>146</v>
      </c>
      <c r="C852" s="395" t="s">
        <v>147</v>
      </c>
      <c r="D852" s="395">
        <v>135</v>
      </c>
      <c r="E852" s="397">
        <f t="shared" si="14"/>
        <v>236372175</v>
      </c>
      <c r="F852" s="398" t="s">
        <v>1829</v>
      </c>
      <c r="G852" s="398" t="s">
        <v>424</v>
      </c>
      <c r="H852" s="398" t="s">
        <v>156</v>
      </c>
      <c r="I852" s="398" t="s">
        <v>156</v>
      </c>
    </row>
    <row r="853" spans="1:9" x14ac:dyDescent="0.35">
      <c r="A853" s="395" t="s">
        <v>1830</v>
      </c>
      <c r="B853" s="396" t="s">
        <v>146</v>
      </c>
      <c r="C853" s="395" t="s">
        <v>147</v>
      </c>
      <c r="D853" s="395">
        <v>135</v>
      </c>
      <c r="E853" s="397">
        <f t="shared" si="14"/>
        <v>236372175</v>
      </c>
      <c r="F853" s="398" t="s">
        <v>1831</v>
      </c>
      <c r="G853" s="398" t="s">
        <v>178</v>
      </c>
      <c r="H853" s="398" t="s">
        <v>156</v>
      </c>
      <c r="I853" s="398" t="s">
        <v>156</v>
      </c>
    </row>
    <row r="854" spans="1:9" x14ac:dyDescent="0.35">
      <c r="A854" s="395" t="s">
        <v>1832</v>
      </c>
      <c r="B854" s="396" t="s">
        <v>146</v>
      </c>
      <c r="C854" s="395" t="s">
        <v>147</v>
      </c>
      <c r="D854" s="395">
        <v>135</v>
      </c>
      <c r="E854" s="397">
        <f t="shared" si="14"/>
        <v>236372175</v>
      </c>
      <c r="F854" s="398" t="s">
        <v>1833</v>
      </c>
      <c r="G854" s="398" t="s">
        <v>149</v>
      </c>
      <c r="H854" s="398" t="s">
        <v>156</v>
      </c>
      <c r="I854" s="398" t="s">
        <v>156</v>
      </c>
    </row>
    <row r="855" spans="1:9" x14ac:dyDescent="0.35">
      <c r="A855" s="395" t="s">
        <v>1834</v>
      </c>
      <c r="B855" s="396" t="s">
        <v>146</v>
      </c>
      <c r="C855" s="395" t="s">
        <v>147</v>
      </c>
      <c r="D855" s="395">
        <v>135</v>
      </c>
      <c r="E855" s="397">
        <f t="shared" si="14"/>
        <v>236372175</v>
      </c>
      <c r="F855" s="398" t="s">
        <v>1835</v>
      </c>
      <c r="G855" s="398" t="s">
        <v>205</v>
      </c>
      <c r="H855" s="398" t="s">
        <v>150</v>
      </c>
      <c r="I855" s="398" t="s">
        <v>182</v>
      </c>
    </row>
    <row r="856" spans="1:9" x14ac:dyDescent="0.35">
      <c r="A856" s="395" t="s">
        <v>1836</v>
      </c>
      <c r="B856" s="396" t="s">
        <v>146</v>
      </c>
      <c r="C856" s="395" t="s">
        <v>147</v>
      </c>
      <c r="D856" s="395">
        <v>135</v>
      </c>
      <c r="E856" s="397">
        <f t="shared" si="14"/>
        <v>236372175</v>
      </c>
      <c r="F856" s="398" t="s">
        <v>1837</v>
      </c>
      <c r="G856" s="398" t="s">
        <v>173</v>
      </c>
      <c r="H856" s="398" t="s">
        <v>156</v>
      </c>
      <c r="I856" s="398" t="s">
        <v>156</v>
      </c>
    </row>
    <row r="857" spans="1:9" x14ac:dyDescent="0.35">
      <c r="A857" s="395" t="s">
        <v>1838</v>
      </c>
      <c r="B857" s="396" t="s">
        <v>146</v>
      </c>
      <c r="C857" s="395" t="s">
        <v>147</v>
      </c>
      <c r="D857" s="395">
        <v>135</v>
      </c>
      <c r="E857" s="397">
        <f t="shared" si="14"/>
        <v>236372175</v>
      </c>
      <c r="F857" s="398" t="s">
        <v>1839</v>
      </c>
      <c r="G857" s="398" t="s">
        <v>162</v>
      </c>
      <c r="H857" s="398" t="s">
        <v>156</v>
      </c>
      <c r="I857" s="398" t="s">
        <v>156</v>
      </c>
    </row>
    <row r="858" spans="1:9" x14ac:dyDescent="0.35">
      <c r="A858" s="395" t="s">
        <v>1840</v>
      </c>
      <c r="B858" s="396" t="s">
        <v>146</v>
      </c>
      <c r="C858" s="395" t="s">
        <v>147</v>
      </c>
      <c r="D858" s="395">
        <v>135</v>
      </c>
      <c r="E858" s="397">
        <f t="shared" si="14"/>
        <v>236372175</v>
      </c>
      <c r="F858" s="398" t="s">
        <v>1841</v>
      </c>
      <c r="G858" s="398" t="s">
        <v>200</v>
      </c>
      <c r="H858" s="398" t="s">
        <v>156</v>
      </c>
      <c r="I858" s="398" t="s">
        <v>156</v>
      </c>
    </row>
    <row r="859" spans="1:9" x14ac:dyDescent="0.35">
      <c r="A859" s="395" t="s">
        <v>1842</v>
      </c>
      <c r="B859" s="396" t="s">
        <v>146</v>
      </c>
      <c r="C859" s="395" t="s">
        <v>147</v>
      </c>
      <c r="D859" s="395">
        <v>135</v>
      </c>
      <c r="E859" s="397">
        <f t="shared" si="14"/>
        <v>236372175</v>
      </c>
      <c r="F859" s="398" t="s">
        <v>1843</v>
      </c>
      <c r="G859" s="398" t="s">
        <v>149</v>
      </c>
      <c r="H859" s="398" t="s">
        <v>156</v>
      </c>
      <c r="I859" s="398" t="s">
        <v>156</v>
      </c>
    </row>
    <row r="860" spans="1:9" x14ac:dyDescent="0.35">
      <c r="A860" s="395" t="s">
        <v>1844</v>
      </c>
      <c r="B860" s="396" t="s">
        <v>146</v>
      </c>
      <c r="C860" s="395" t="s">
        <v>147</v>
      </c>
      <c r="D860" s="395">
        <v>135</v>
      </c>
      <c r="E860" s="397">
        <f t="shared" si="14"/>
        <v>236372175</v>
      </c>
      <c r="F860" s="398" t="s">
        <v>1843</v>
      </c>
      <c r="G860" s="398" t="s">
        <v>227</v>
      </c>
      <c r="H860" s="398" t="s">
        <v>156</v>
      </c>
      <c r="I860" s="398" t="s">
        <v>156</v>
      </c>
    </row>
    <row r="861" spans="1:9" x14ac:dyDescent="0.35">
      <c r="A861" s="395" t="s">
        <v>1845</v>
      </c>
      <c r="B861" s="396" t="s">
        <v>146</v>
      </c>
      <c r="C861" s="395" t="s">
        <v>147</v>
      </c>
      <c r="D861" s="395">
        <v>135</v>
      </c>
      <c r="E861" s="397">
        <f t="shared" si="14"/>
        <v>236372175</v>
      </c>
      <c r="F861" s="398" t="s">
        <v>1846</v>
      </c>
      <c r="G861" s="398" t="s">
        <v>224</v>
      </c>
      <c r="H861" s="398" t="s">
        <v>156</v>
      </c>
      <c r="I861" s="398" t="s">
        <v>156</v>
      </c>
    </row>
    <row r="862" spans="1:9" x14ac:dyDescent="0.35">
      <c r="A862" s="395" t="s">
        <v>1847</v>
      </c>
      <c r="B862" s="396" t="s">
        <v>146</v>
      </c>
      <c r="C862" s="395" t="s">
        <v>147</v>
      </c>
      <c r="D862" s="395">
        <v>135</v>
      </c>
      <c r="E862" s="397">
        <f t="shared" si="14"/>
        <v>236372175</v>
      </c>
      <c r="F862" s="398" t="s">
        <v>1848</v>
      </c>
      <c r="G862" s="398" t="s">
        <v>191</v>
      </c>
      <c r="H862" s="398" t="s">
        <v>156</v>
      </c>
      <c r="I862" s="398" t="s">
        <v>156</v>
      </c>
    </row>
    <row r="863" spans="1:9" x14ac:dyDescent="0.35">
      <c r="A863" s="395" t="s">
        <v>1849</v>
      </c>
      <c r="B863" s="396" t="s">
        <v>146</v>
      </c>
      <c r="C863" s="395" t="s">
        <v>147</v>
      </c>
      <c r="D863" s="395">
        <v>135</v>
      </c>
      <c r="E863" s="397">
        <f t="shared" si="14"/>
        <v>236372175</v>
      </c>
      <c r="F863" s="398" t="s">
        <v>1850</v>
      </c>
      <c r="G863" s="398" t="s">
        <v>424</v>
      </c>
      <c r="H863" s="398" t="s">
        <v>156</v>
      </c>
      <c r="I863" s="398" t="s">
        <v>156</v>
      </c>
    </row>
    <row r="864" spans="1:9" x14ac:dyDescent="0.35">
      <c r="A864" s="395" t="s">
        <v>1851</v>
      </c>
      <c r="B864" s="396" t="s">
        <v>146</v>
      </c>
      <c r="C864" s="395" t="s">
        <v>147</v>
      </c>
      <c r="D864" s="395">
        <v>135</v>
      </c>
      <c r="E864" s="397">
        <f t="shared" si="14"/>
        <v>236372175</v>
      </c>
      <c r="F864" s="398" t="s">
        <v>1852</v>
      </c>
      <c r="G864" s="398" t="s">
        <v>181</v>
      </c>
      <c r="H864" s="398" t="s">
        <v>240</v>
      </c>
      <c r="I864" s="398" t="s">
        <v>182</v>
      </c>
    </row>
    <row r="865" spans="1:9" x14ac:dyDescent="0.35">
      <c r="A865" s="395" t="s">
        <v>1853</v>
      </c>
      <c r="B865" s="396" t="s">
        <v>146</v>
      </c>
      <c r="C865" s="395" t="s">
        <v>147</v>
      </c>
      <c r="D865" s="395">
        <v>135</v>
      </c>
      <c r="E865" s="397">
        <f t="shared" si="14"/>
        <v>236372175</v>
      </c>
      <c r="F865" s="398" t="s">
        <v>1852</v>
      </c>
      <c r="G865" s="398" t="s">
        <v>162</v>
      </c>
      <c r="H865" s="398" t="s">
        <v>150</v>
      </c>
      <c r="I865" s="398" t="s">
        <v>164</v>
      </c>
    </row>
    <row r="866" spans="1:9" x14ac:dyDescent="0.35">
      <c r="A866" s="395" t="s">
        <v>1854</v>
      </c>
      <c r="B866" s="396" t="s">
        <v>146</v>
      </c>
      <c r="C866" s="395" t="s">
        <v>147</v>
      </c>
      <c r="D866" s="395">
        <v>135</v>
      </c>
      <c r="E866" s="397">
        <f t="shared" si="14"/>
        <v>236372175</v>
      </c>
      <c r="F866" s="398" t="s">
        <v>1855</v>
      </c>
      <c r="G866" s="398" t="s">
        <v>173</v>
      </c>
      <c r="H866" s="398" t="s">
        <v>156</v>
      </c>
      <c r="I866" s="398" t="s">
        <v>156</v>
      </c>
    </row>
    <row r="867" spans="1:9" x14ac:dyDescent="0.35">
      <c r="A867" s="395" t="s">
        <v>1856</v>
      </c>
      <c r="B867" s="396" t="s">
        <v>146</v>
      </c>
      <c r="C867" s="395" t="s">
        <v>147</v>
      </c>
      <c r="D867" s="395">
        <v>135</v>
      </c>
      <c r="E867" s="397">
        <f t="shared" si="14"/>
        <v>236372175</v>
      </c>
      <c r="F867" s="398" t="s">
        <v>1857</v>
      </c>
      <c r="G867" s="398" t="s">
        <v>224</v>
      </c>
      <c r="H867" s="398" t="s">
        <v>156</v>
      </c>
      <c r="I867" s="398" t="s">
        <v>156</v>
      </c>
    </row>
    <row r="868" spans="1:9" x14ac:dyDescent="0.35">
      <c r="A868" s="395" t="s">
        <v>1858</v>
      </c>
      <c r="B868" s="396" t="s">
        <v>146</v>
      </c>
      <c r="C868" s="395" t="s">
        <v>147</v>
      </c>
      <c r="D868" s="395">
        <v>135</v>
      </c>
      <c r="E868" s="397">
        <f t="shared" si="14"/>
        <v>236372175</v>
      </c>
      <c r="F868" s="398" t="s">
        <v>1859</v>
      </c>
      <c r="G868" s="398" t="s">
        <v>637</v>
      </c>
      <c r="H868" s="398" t="s">
        <v>156</v>
      </c>
      <c r="I868" s="398" t="s">
        <v>156</v>
      </c>
    </row>
    <row r="869" spans="1:9" x14ac:dyDescent="0.35">
      <c r="A869" s="395" t="s">
        <v>1860</v>
      </c>
      <c r="B869" s="396" t="s">
        <v>146</v>
      </c>
      <c r="C869" s="395" t="s">
        <v>147</v>
      </c>
      <c r="D869" s="395">
        <v>135</v>
      </c>
      <c r="E869" s="397">
        <f t="shared" si="14"/>
        <v>236372175</v>
      </c>
      <c r="F869" s="398" t="s">
        <v>1859</v>
      </c>
      <c r="G869" s="398" t="s">
        <v>185</v>
      </c>
      <c r="H869" s="398" t="s">
        <v>156</v>
      </c>
      <c r="I869" s="398" t="s">
        <v>156</v>
      </c>
    </row>
    <row r="870" spans="1:9" x14ac:dyDescent="0.35">
      <c r="A870" s="395" t="s">
        <v>1861</v>
      </c>
      <c r="B870" s="396" t="s">
        <v>146</v>
      </c>
      <c r="C870" s="395" t="s">
        <v>147</v>
      </c>
      <c r="D870" s="395">
        <v>135</v>
      </c>
      <c r="E870" s="397">
        <f t="shared" si="14"/>
        <v>236372175</v>
      </c>
      <c r="F870" s="398" t="s">
        <v>1862</v>
      </c>
      <c r="G870" s="398" t="s">
        <v>224</v>
      </c>
      <c r="H870" s="398" t="s">
        <v>156</v>
      </c>
      <c r="I870" s="398" t="s">
        <v>156</v>
      </c>
    </row>
    <row r="871" spans="1:9" x14ac:dyDescent="0.35">
      <c r="A871" s="395" t="s">
        <v>1863</v>
      </c>
      <c r="B871" s="396" t="s">
        <v>146</v>
      </c>
      <c r="C871" s="395" t="s">
        <v>147</v>
      </c>
      <c r="D871" s="395">
        <v>135</v>
      </c>
      <c r="E871" s="397">
        <f t="shared" si="14"/>
        <v>236372175</v>
      </c>
      <c r="F871" s="398" t="s">
        <v>1864</v>
      </c>
      <c r="G871" s="398" t="s">
        <v>424</v>
      </c>
      <c r="H871" s="398" t="s">
        <v>156</v>
      </c>
      <c r="I871" s="398" t="s">
        <v>156</v>
      </c>
    </row>
    <row r="872" spans="1:9" x14ac:dyDescent="0.35">
      <c r="A872" s="395" t="s">
        <v>1865</v>
      </c>
      <c r="B872" s="396" t="s">
        <v>146</v>
      </c>
      <c r="C872" s="395" t="s">
        <v>147</v>
      </c>
      <c r="D872" s="395">
        <v>135</v>
      </c>
      <c r="E872" s="397">
        <f t="shared" si="14"/>
        <v>236372175</v>
      </c>
      <c r="F872" s="398" t="s">
        <v>1866</v>
      </c>
      <c r="G872" s="398" t="s">
        <v>173</v>
      </c>
      <c r="H872" s="398" t="s">
        <v>156</v>
      </c>
      <c r="I872" s="398" t="s">
        <v>156</v>
      </c>
    </row>
    <row r="873" spans="1:9" x14ac:dyDescent="0.35">
      <c r="A873" s="395" t="s">
        <v>1867</v>
      </c>
      <c r="B873" s="396" t="s">
        <v>146</v>
      </c>
      <c r="C873" s="395" t="s">
        <v>147</v>
      </c>
      <c r="D873" s="395">
        <v>135</v>
      </c>
      <c r="E873" s="397">
        <f t="shared" si="14"/>
        <v>236372175</v>
      </c>
      <c r="F873" s="398" t="s">
        <v>1866</v>
      </c>
      <c r="G873" s="398" t="s">
        <v>200</v>
      </c>
      <c r="H873" s="398" t="s">
        <v>156</v>
      </c>
      <c r="I873" s="398" t="s">
        <v>156</v>
      </c>
    </row>
    <row r="874" spans="1:9" x14ac:dyDescent="0.35">
      <c r="A874" s="395" t="s">
        <v>1868</v>
      </c>
      <c r="B874" s="396" t="s">
        <v>146</v>
      </c>
      <c r="C874" s="395" t="s">
        <v>147</v>
      </c>
      <c r="D874" s="395">
        <v>135</v>
      </c>
      <c r="E874" s="397">
        <f t="shared" si="14"/>
        <v>236372175</v>
      </c>
      <c r="F874" s="398" t="s">
        <v>1869</v>
      </c>
      <c r="G874" s="398" t="s">
        <v>224</v>
      </c>
      <c r="H874" s="398" t="s">
        <v>156</v>
      </c>
      <c r="I874" s="398" t="s">
        <v>156</v>
      </c>
    </row>
    <row r="875" spans="1:9" x14ac:dyDescent="0.35">
      <c r="A875" s="395" t="s">
        <v>1870</v>
      </c>
      <c r="B875" s="396" t="s">
        <v>146</v>
      </c>
      <c r="C875" s="395" t="s">
        <v>147</v>
      </c>
      <c r="D875" s="395">
        <v>135</v>
      </c>
      <c r="E875" s="397">
        <f t="shared" si="14"/>
        <v>236372175</v>
      </c>
      <c r="F875" s="398" t="s">
        <v>1871</v>
      </c>
      <c r="G875" s="398" t="s">
        <v>149</v>
      </c>
      <c r="H875" s="398" t="s">
        <v>240</v>
      </c>
      <c r="I875" s="398" t="s">
        <v>151</v>
      </c>
    </row>
    <row r="876" spans="1:9" x14ac:dyDescent="0.35">
      <c r="A876" s="395" t="s">
        <v>1872</v>
      </c>
      <c r="B876" s="396" t="s">
        <v>146</v>
      </c>
      <c r="C876" s="395" t="s">
        <v>147</v>
      </c>
      <c r="D876" s="395">
        <v>135</v>
      </c>
      <c r="E876" s="397">
        <f t="shared" si="14"/>
        <v>236372175</v>
      </c>
      <c r="F876" s="398" t="s">
        <v>1873</v>
      </c>
      <c r="G876" s="398" t="s">
        <v>424</v>
      </c>
      <c r="H876" s="398" t="s">
        <v>156</v>
      </c>
      <c r="I876" s="398" t="s">
        <v>156</v>
      </c>
    </row>
    <row r="877" spans="1:9" x14ac:dyDescent="0.35">
      <c r="A877" s="395" t="s">
        <v>1874</v>
      </c>
      <c r="B877" s="396" t="s">
        <v>146</v>
      </c>
      <c r="C877" s="395" t="s">
        <v>147</v>
      </c>
      <c r="D877" s="395">
        <v>135</v>
      </c>
      <c r="E877" s="397">
        <f t="shared" si="14"/>
        <v>236372175</v>
      </c>
      <c r="F877" s="398" t="s">
        <v>1873</v>
      </c>
      <c r="G877" s="398" t="s">
        <v>209</v>
      </c>
      <c r="H877" s="398" t="s">
        <v>156</v>
      </c>
      <c r="I877" s="398" t="s">
        <v>156</v>
      </c>
    </row>
    <row r="878" spans="1:9" x14ac:dyDescent="0.35">
      <c r="A878" s="395" t="s">
        <v>1875</v>
      </c>
      <c r="B878" s="396" t="s">
        <v>146</v>
      </c>
      <c r="C878" s="395" t="s">
        <v>147</v>
      </c>
      <c r="D878" s="395">
        <v>135</v>
      </c>
      <c r="E878" s="397">
        <f t="shared" si="14"/>
        <v>236372175</v>
      </c>
      <c r="F878" s="398" t="s">
        <v>1876</v>
      </c>
      <c r="G878" s="398" t="s">
        <v>200</v>
      </c>
      <c r="H878" s="398" t="s">
        <v>156</v>
      </c>
      <c r="I878" s="398" t="s">
        <v>156</v>
      </c>
    </row>
    <row r="879" spans="1:9" x14ac:dyDescent="0.35">
      <c r="A879" s="395" t="s">
        <v>1877</v>
      </c>
      <c r="B879" s="396" t="s">
        <v>146</v>
      </c>
      <c r="C879" s="395" t="s">
        <v>147</v>
      </c>
      <c r="D879" s="395">
        <v>135</v>
      </c>
      <c r="E879" s="397">
        <f t="shared" si="14"/>
        <v>236372175</v>
      </c>
      <c r="F879" s="398" t="s">
        <v>1878</v>
      </c>
      <c r="G879" s="398" t="s">
        <v>149</v>
      </c>
      <c r="H879" s="398" t="s">
        <v>156</v>
      </c>
      <c r="I879" s="398" t="s">
        <v>156</v>
      </c>
    </row>
    <row r="880" spans="1:9" x14ac:dyDescent="0.35">
      <c r="A880" s="395" t="s">
        <v>1879</v>
      </c>
      <c r="B880" s="396" t="s">
        <v>146</v>
      </c>
      <c r="C880" s="395" t="s">
        <v>147</v>
      </c>
      <c r="D880" s="395">
        <v>135</v>
      </c>
      <c r="E880" s="397">
        <f t="shared" si="14"/>
        <v>236372175</v>
      </c>
      <c r="F880" s="398" t="s">
        <v>1880</v>
      </c>
      <c r="G880" s="398" t="s">
        <v>324</v>
      </c>
      <c r="H880" s="398" t="s">
        <v>240</v>
      </c>
      <c r="I880" s="398" t="s">
        <v>151</v>
      </c>
    </row>
    <row r="881" spans="1:9" x14ac:dyDescent="0.35">
      <c r="A881" s="395" t="s">
        <v>1881</v>
      </c>
      <c r="B881" s="396" t="s">
        <v>146</v>
      </c>
      <c r="C881" s="395" t="s">
        <v>147</v>
      </c>
      <c r="D881" s="395">
        <v>135</v>
      </c>
      <c r="E881" s="397">
        <f t="shared" si="14"/>
        <v>236372175</v>
      </c>
      <c r="F881" s="398" t="s">
        <v>1882</v>
      </c>
      <c r="G881" s="398" t="s">
        <v>149</v>
      </c>
      <c r="H881" s="398" t="s">
        <v>156</v>
      </c>
      <c r="I881" s="398" t="s">
        <v>156</v>
      </c>
    </row>
    <row r="882" spans="1:9" x14ac:dyDescent="0.35">
      <c r="A882" s="395" t="s">
        <v>1883</v>
      </c>
      <c r="B882" s="396" t="s">
        <v>146</v>
      </c>
      <c r="C882" s="395" t="s">
        <v>147</v>
      </c>
      <c r="D882" s="395">
        <v>135</v>
      </c>
      <c r="E882" s="397">
        <f t="shared" si="14"/>
        <v>236372175</v>
      </c>
      <c r="F882" s="398" t="s">
        <v>1884</v>
      </c>
      <c r="G882" s="398" t="s">
        <v>149</v>
      </c>
      <c r="H882" s="398" t="s">
        <v>156</v>
      </c>
      <c r="I882" s="398" t="s">
        <v>156</v>
      </c>
    </row>
    <row r="883" spans="1:9" x14ac:dyDescent="0.35">
      <c r="A883" s="395" t="s">
        <v>1885</v>
      </c>
      <c r="B883" s="396" t="s">
        <v>146</v>
      </c>
      <c r="C883" s="395" t="s">
        <v>147</v>
      </c>
      <c r="D883" s="395">
        <v>135</v>
      </c>
      <c r="E883" s="397">
        <f t="shared" si="14"/>
        <v>236372175</v>
      </c>
      <c r="F883" s="398" t="s">
        <v>1886</v>
      </c>
      <c r="G883" s="398" t="s">
        <v>221</v>
      </c>
      <c r="H883" s="398" t="s">
        <v>156</v>
      </c>
      <c r="I883" s="398" t="s">
        <v>156</v>
      </c>
    </row>
    <row r="884" spans="1:9" x14ac:dyDescent="0.35">
      <c r="A884" s="395" t="s">
        <v>1887</v>
      </c>
      <c r="B884" s="396" t="s">
        <v>146</v>
      </c>
      <c r="C884" s="395" t="s">
        <v>147</v>
      </c>
      <c r="D884" s="395">
        <v>135</v>
      </c>
      <c r="E884" s="397">
        <f t="shared" si="14"/>
        <v>236372175</v>
      </c>
      <c r="F884" s="398" t="s">
        <v>1888</v>
      </c>
      <c r="G884" s="398" t="s">
        <v>216</v>
      </c>
      <c r="H884" s="398" t="s">
        <v>156</v>
      </c>
      <c r="I884" s="398" t="s">
        <v>156</v>
      </c>
    </row>
    <row r="885" spans="1:9" x14ac:dyDescent="0.35">
      <c r="A885" s="395" t="s">
        <v>1889</v>
      </c>
      <c r="B885" s="396" t="s">
        <v>146</v>
      </c>
      <c r="C885" s="395" t="s">
        <v>147</v>
      </c>
      <c r="D885" s="395">
        <v>135</v>
      </c>
      <c r="E885" s="397">
        <f t="shared" si="14"/>
        <v>236372175</v>
      </c>
      <c r="F885" s="398" t="s">
        <v>1890</v>
      </c>
      <c r="G885" s="398" t="s">
        <v>149</v>
      </c>
      <c r="H885" s="398" t="s">
        <v>156</v>
      </c>
      <c r="I885" s="398" t="s">
        <v>156</v>
      </c>
    </row>
    <row r="886" spans="1:9" x14ac:dyDescent="0.35">
      <c r="A886" s="395" t="s">
        <v>1891</v>
      </c>
      <c r="B886" s="396" t="s">
        <v>146</v>
      </c>
      <c r="C886" s="395" t="s">
        <v>147</v>
      </c>
      <c r="D886" s="395">
        <v>135</v>
      </c>
      <c r="E886" s="397">
        <f t="shared" si="14"/>
        <v>236372175</v>
      </c>
      <c r="F886" s="398" t="s">
        <v>1892</v>
      </c>
      <c r="G886" s="398" t="s">
        <v>185</v>
      </c>
      <c r="H886" s="398" t="s">
        <v>156</v>
      </c>
      <c r="I886" s="398" t="s">
        <v>156</v>
      </c>
    </row>
    <row r="887" spans="1:9" x14ac:dyDescent="0.35">
      <c r="A887" s="395" t="s">
        <v>1893</v>
      </c>
      <c r="B887" s="396" t="s">
        <v>146</v>
      </c>
      <c r="C887" s="395" t="s">
        <v>147</v>
      </c>
      <c r="D887" s="395">
        <v>135</v>
      </c>
      <c r="E887" s="397">
        <f t="shared" si="14"/>
        <v>236372175</v>
      </c>
      <c r="F887" s="398" t="s">
        <v>1894</v>
      </c>
      <c r="G887" s="398" t="s">
        <v>203</v>
      </c>
      <c r="H887" s="398" t="s">
        <v>156</v>
      </c>
      <c r="I887" s="398" t="s">
        <v>156</v>
      </c>
    </row>
    <row r="888" spans="1:9" x14ac:dyDescent="0.35">
      <c r="A888" s="395" t="s">
        <v>1895</v>
      </c>
      <c r="B888" s="396" t="s">
        <v>146</v>
      </c>
      <c r="C888" s="395" t="s">
        <v>147</v>
      </c>
      <c r="D888" s="395">
        <v>135</v>
      </c>
      <c r="E888" s="397">
        <f t="shared" si="14"/>
        <v>236372175</v>
      </c>
      <c r="F888" s="398" t="s">
        <v>1896</v>
      </c>
      <c r="G888" s="398" t="s">
        <v>216</v>
      </c>
      <c r="H888" s="398" t="s">
        <v>156</v>
      </c>
      <c r="I888" s="398" t="s">
        <v>156</v>
      </c>
    </row>
    <row r="889" spans="1:9" x14ac:dyDescent="0.35">
      <c r="A889" s="395" t="s">
        <v>1897</v>
      </c>
      <c r="B889" s="396" t="s">
        <v>146</v>
      </c>
      <c r="C889" s="395" t="s">
        <v>147</v>
      </c>
      <c r="D889" s="395">
        <v>135</v>
      </c>
      <c r="E889" s="397">
        <f t="shared" si="14"/>
        <v>236372175</v>
      </c>
      <c r="F889" s="398" t="s">
        <v>1898</v>
      </c>
      <c r="G889" s="398" t="s">
        <v>200</v>
      </c>
      <c r="H889" s="398" t="s">
        <v>156</v>
      </c>
      <c r="I889" s="398" t="s">
        <v>156</v>
      </c>
    </row>
    <row r="890" spans="1:9" x14ac:dyDescent="0.35">
      <c r="A890" s="395" t="s">
        <v>1899</v>
      </c>
      <c r="B890" s="396" t="s">
        <v>146</v>
      </c>
      <c r="C890" s="395" t="s">
        <v>147</v>
      </c>
      <c r="D890" s="395">
        <v>135</v>
      </c>
      <c r="E890" s="397">
        <f t="shared" si="14"/>
        <v>236372175</v>
      </c>
      <c r="F890" s="398" t="s">
        <v>1900</v>
      </c>
      <c r="G890" s="398" t="s">
        <v>216</v>
      </c>
      <c r="H890" s="398" t="s">
        <v>156</v>
      </c>
      <c r="I890" s="398" t="s">
        <v>156</v>
      </c>
    </row>
    <row r="891" spans="1:9" x14ac:dyDescent="0.35">
      <c r="A891" s="395" t="s">
        <v>1901</v>
      </c>
      <c r="B891" s="396" t="s">
        <v>146</v>
      </c>
      <c r="C891" s="395" t="s">
        <v>147</v>
      </c>
      <c r="D891" s="395">
        <v>135</v>
      </c>
      <c r="E891" s="397">
        <f t="shared" si="14"/>
        <v>236372175</v>
      </c>
      <c r="F891" s="398" t="s">
        <v>1902</v>
      </c>
      <c r="G891" s="398" t="s">
        <v>149</v>
      </c>
      <c r="H891" s="398" t="s">
        <v>156</v>
      </c>
      <c r="I891" s="398" t="s">
        <v>156</v>
      </c>
    </row>
    <row r="892" spans="1:9" x14ac:dyDescent="0.35">
      <c r="A892" s="395" t="s">
        <v>1903</v>
      </c>
      <c r="B892" s="396" t="s">
        <v>146</v>
      </c>
      <c r="C892" s="395" t="s">
        <v>147</v>
      </c>
      <c r="D892" s="395">
        <v>135</v>
      </c>
      <c r="E892" s="397">
        <f t="shared" si="14"/>
        <v>236372175</v>
      </c>
      <c r="F892" s="398" t="s">
        <v>1902</v>
      </c>
      <c r="G892" s="398" t="s">
        <v>200</v>
      </c>
      <c r="H892" s="398" t="s">
        <v>156</v>
      </c>
      <c r="I892" s="398" t="s">
        <v>156</v>
      </c>
    </row>
    <row r="893" spans="1:9" x14ac:dyDescent="0.35">
      <c r="A893" s="395" t="s">
        <v>1904</v>
      </c>
      <c r="B893" s="396" t="s">
        <v>146</v>
      </c>
      <c r="C893" s="395" t="s">
        <v>147</v>
      </c>
      <c r="D893" s="395">
        <v>135</v>
      </c>
      <c r="E893" s="397">
        <f t="shared" si="14"/>
        <v>236372175</v>
      </c>
      <c r="F893" s="398" t="s">
        <v>1902</v>
      </c>
      <c r="G893" s="398" t="s">
        <v>185</v>
      </c>
      <c r="H893" s="398" t="s">
        <v>156</v>
      </c>
      <c r="I893" s="398" t="s">
        <v>156</v>
      </c>
    </row>
    <row r="894" spans="1:9" x14ac:dyDescent="0.35">
      <c r="A894" s="395" t="s">
        <v>1905</v>
      </c>
      <c r="B894" s="396" t="s">
        <v>146</v>
      </c>
      <c r="C894" s="395" t="s">
        <v>147</v>
      </c>
      <c r="D894" s="395">
        <v>135</v>
      </c>
      <c r="E894" s="397">
        <f t="shared" si="14"/>
        <v>236372175</v>
      </c>
      <c r="F894" s="398" t="s">
        <v>1906</v>
      </c>
      <c r="G894" s="398" t="s">
        <v>216</v>
      </c>
      <c r="H894" s="398" t="s">
        <v>156</v>
      </c>
      <c r="I894" s="398" t="s">
        <v>156</v>
      </c>
    </row>
    <row r="895" spans="1:9" x14ac:dyDescent="0.35">
      <c r="A895" s="395" t="s">
        <v>1907</v>
      </c>
      <c r="B895" s="396" t="s">
        <v>146</v>
      </c>
      <c r="C895" s="395" t="s">
        <v>147</v>
      </c>
      <c r="D895" s="395">
        <v>135</v>
      </c>
      <c r="E895" s="397">
        <f t="shared" si="14"/>
        <v>236372175</v>
      </c>
      <c r="F895" s="398" t="s">
        <v>1908</v>
      </c>
      <c r="G895" s="398" t="s">
        <v>173</v>
      </c>
      <c r="H895" s="398" t="s">
        <v>156</v>
      </c>
      <c r="I895" s="398" t="s">
        <v>156</v>
      </c>
    </row>
    <row r="896" spans="1:9" x14ac:dyDescent="0.35">
      <c r="A896" s="395" t="s">
        <v>1909</v>
      </c>
      <c r="B896" s="396" t="s">
        <v>146</v>
      </c>
      <c r="C896" s="395" t="s">
        <v>147</v>
      </c>
      <c r="D896" s="395">
        <v>135</v>
      </c>
      <c r="E896" s="397">
        <f t="shared" si="14"/>
        <v>236372175</v>
      </c>
      <c r="F896" s="398" t="s">
        <v>1910</v>
      </c>
      <c r="G896" s="398" t="s">
        <v>185</v>
      </c>
      <c r="H896" s="398" t="s">
        <v>156</v>
      </c>
      <c r="I896" s="398" t="s">
        <v>156</v>
      </c>
    </row>
    <row r="897" spans="1:9" x14ac:dyDescent="0.35">
      <c r="A897" s="395" t="s">
        <v>1911</v>
      </c>
      <c r="B897" s="396" t="s">
        <v>146</v>
      </c>
      <c r="C897" s="395" t="s">
        <v>147</v>
      </c>
      <c r="D897" s="395">
        <v>135</v>
      </c>
      <c r="E897" s="397">
        <f t="shared" si="14"/>
        <v>236372175</v>
      </c>
      <c r="F897" s="398" t="s">
        <v>1912</v>
      </c>
      <c r="G897" s="398" t="s">
        <v>227</v>
      </c>
      <c r="H897" s="398" t="s">
        <v>156</v>
      </c>
      <c r="I897" s="398" t="s">
        <v>156</v>
      </c>
    </row>
    <row r="898" spans="1:9" x14ac:dyDescent="0.35">
      <c r="A898" s="395" t="s">
        <v>1913</v>
      </c>
      <c r="B898" s="396" t="s">
        <v>146</v>
      </c>
      <c r="C898" s="395" t="s">
        <v>147</v>
      </c>
      <c r="D898" s="395">
        <v>135</v>
      </c>
      <c r="E898" s="397">
        <f t="shared" si="14"/>
        <v>236372175</v>
      </c>
      <c r="F898" s="398" t="s">
        <v>1914</v>
      </c>
      <c r="G898" s="398" t="s">
        <v>336</v>
      </c>
      <c r="H898" s="398" t="s">
        <v>156</v>
      </c>
      <c r="I898" s="398" t="s">
        <v>156</v>
      </c>
    </row>
    <row r="899" spans="1:9" x14ac:dyDescent="0.35">
      <c r="A899" s="395" t="s">
        <v>1915</v>
      </c>
      <c r="B899" s="396" t="s">
        <v>146</v>
      </c>
      <c r="C899" s="395" t="s">
        <v>147</v>
      </c>
      <c r="D899" s="395">
        <v>135</v>
      </c>
      <c r="E899" s="397">
        <f t="shared" ref="E899:E962" si="15">D899*$S$2</f>
        <v>236372175</v>
      </c>
      <c r="F899" s="398" t="s">
        <v>1916</v>
      </c>
      <c r="G899" s="398" t="s">
        <v>224</v>
      </c>
      <c r="H899" s="398" t="s">
        <v>156</v>
      </c>
      <c r="I899" s="398" t="s">
        <v>156</v>
      </c>
    </row>
    <row r="900" spans="1:9" x14ac:dyDescent="0.35">
      <c r="A900" s="395" t="s">
        <v>1917</v>
      </c>
      <c r="B900" s="396" t="s">
        <v>146</v>
      </c>
      <c r="C900" s="395" t="s">
        <v>147</v>
      </c>
      <c r="D900" s="395">
        <v>135</v>
      </c>
      <c r="E900" s="397">
        <f t="shared" si="15"/>
        <v>236372175</v>
      </c>
      <c r="F900" s="398" t="s">
        <v>1916</v>
      </c>
      <c r="G900" s="398" t="s">
        <v>170</v>
      </c>
      <c r="H900" s="398" t="s">
        <v>156</v>
      </c>
      <c r="I900" s="398" t="s">
        <v>156</v>
      </c>
    </row>
    <row r="901" spans="1:9" x14ac:dyDescent="0.35">
      <c r="A901" s="395" t="s">
        <v>1918</v>
      </c>
      <c r="B901" s="396" t="s">
        <v>160</v>
      </c>
      <c r="C901" s="395" t="s">
        <v>147</v>
      </c>
      <c r="D901" s="395">
        <v>135</v>
      </c>
      <c r="E901" s="397">
        <f t="shared" si="15"/>
        <v>236372175</v>
      </c>
      <c r="F901" s="398" t="s">
        <v>1919</v>
      </c>
      <c r="G901" s="398" t="s">
        <v>216</v>
      </c>
      <c r="H901" s="398" t="s">
        <v>163</v>
      </c>
      <c r="I901" s="398" t="s">
        <v>182</v>
      </c>
    </row>
    <row r="902" spans="1:9" x14ac:dyDescent="0.35">
      <c r="A902" s="395" t="s">
        <v>1920</v>
      </c>
      <c r="B902" s="396" t="s">
        <v>146</v>
      </c>
      <c r="C902" s="395" t="s">
        <v>147</v>
      </c>
      <c r="D902" s="395">
        <v>135</v>
      </c>
      <c r="E902" s="397">
        <f t="shared" si="15"/>
        <v>236372175</v>
      </c>
      <c r="F902" s="398" t="s">
        <v>1921</v>
      </c>
      <c r="G902" s="398" t="s">
        <v>173</v>
      </c>
      <c r="H902" s="398" t="s">
        <v>156</v>
      </c>
      <c r="I902" s="398" t="s">
        <v>156</v>
      </c>
    </row>
    <row r="903" spans="1:9" x14ac:dyDescent="0.35">
      <c r="A903" s="395" t="s">
        <v>1922</v>
      </c>
      <c r="B903" s="396" t="s">
        <v>146</v>
      </c>
      <c r="C903" s="395" t="s">
        <v>147</v>
      </c>
      <c r="D903" s="395">
        <v>135</v>
      </c>
      <c r="E903" s="397">
        <f t="shared" si="15"/>
        <v>236372175</v>
      </c>
      <c r="F903" s="398" t="s">
        <v>1921</v>
      </c>
      <c r="G903" s="398" t="s">
        <v>221</v>
      </c>
      <c r="H903" s="398" t="s">
        <v>156</v>
      </c>
      <c r="I903" s="398" t="s">
        <v>156</v>
      </c>
    </row>
    <row r="904" spans="1:9" x14ac:dyDescent="0.35">
      <c r="A904" s="395" t="s">
        <v>1923</v>
      </c>
      <c r="B904" s="396" t="s">
        <v>146</v>
      </c>
      <c r="C904" s="395" t="s">
        <v>147</v>
      </c>
      <c r="D904" s="395">
        <v>135</v>
      </c>
      <c r="E904" s="397">
        <f t="shared" si="15"/>
        <v>236372175</v>
      </c>
      <c r="F904" s="398" t="s">
        <v>1924</v>
      </c>
      <c r="G904" s="398" t="s">
        <v>272</v>
      </c>
      <c r="H904" s="398" t="s">
        <v>163</v>
      </c>
      <c r="I904" s="398" t="s">
        <v>249</v>
      </c>
    </row>
    <row r="905" spans="1:9" x14ac:dyDescent="0.35">
      <c r="A905" s="395" t="s">
        <v>1925</v>
      </c>
      <c r="B905" s="396" t="s">
        <v>146</v>
      </c>
      <c r="C905" s="395" t="s">
        <v>147</v>
      </c>
      <c r="D905" s="395">
        <v>135</v>
      </c>
      <c r="E905" s="397">
        <f t="shared" si="15"/>
        <v>236372175</v>
      </c>
      <c r="F905" s="398" t="s">
        <v>1926</v>
      </c>
      <c r="G905" s="398" t="s">
        <v>149</v>
      </c>
      <c r="H905" s="398" t="s">
        <v>240</v>
      </c>
      <c r="I905" s="398" t="s">
        <v>151</v>
      </c>
    </row>
    <row r="906" spans="1:9" x14ac:dyDescent="0.35">
      <c r="A906" s="395" t="s">
        <v>1927</v>
      </c>
      <c r="B906" s="396" t="s">
        <v>146</v>
      </c>
      <c r="C906" s="395" t="s">
        <v>147</v>
      </c>
      <c r="D906" s="395">
        <v>135</v>
      </c>
      <c r="E906" s="397">
        <f t="shared" si="15"/>
        <v>236372175</v>
      </c>
      <c r="F906" s="398" t="s">
        <v>1928</v>
      </c>
      <c r="G906" s="398" t="s">
        <v>224</v>
      </c>
      <c r="H906" s="398" t="s">
        <v>240</v>
      </c>
      <c r="I906" s="398" t="s">
        <v>192</v>
      </c>
    </row>
    <row r="907" spans="1:9" x14ac:dyDescent="0.35">
      <c r="A907" s="395" t="s">
        <v>1929</v>
      </c>
      <c r="B907" s="396" t="s">
        <v>146</v>
      </c>
      <c r="C907" s="395" t="s">
        <v>147</v>
      </c>
      <c r="D907" s="395">
        <v>135</v>
      </c>
      <c r="E907" s="397">
        <f t="shared" si="15"/>
        <v>236372175</v>
      </c>
      <c r="F907" s="398" t="s">
        <v>1930</v>
      </c>
      <c r="G907" s="398" t="s">
        <v>173</v>
      </c>
      <c r="H907" s="398" t="s">
        <v>156</v>
      </c>
      <c r="I907" s="398" t="s">
        <v>156</v>
      </c>
    </row>
    <row r="908" spans="1:9" x14ac:dyDescent="0.35">
      <c r="A908" s="395" t="s">
        <v>1931</v>
      </c>
      <c r="B908" s="396" t="s">
        <v>146</v>
      </c>
      <c r="C908" s="395" t="s">
        <v>147</v>
      </c>
      <c r="D908" s="395">
        <v>135</v>
      </c>
      <c r="E908" s="397">
        <f t="shared" si="15"/>
        <v>236372175</v>
      </c>
      <c r="F908" s="398" t="s">
        <v>1932</v>
      </c>
      <c r="G908" s="398" t="s">
        <v>708</v>
      </c>
      <c r="H908" s="398" t="s">
        <v>156</v>
      </c>
      <c r="I908" s="398" t="s">
        <v>156</v>
      </c>
    </row>
    <row r="909" spans="1:9" x14ac:dyDescent="0.35">
      <c r="A909" s="395" t="s">
        <v>1933</v>
      </c>
      <c r="B909" s="396" t="s">
        <v>146</v>
      </c>
      <c r="C909" s="395" t="s">
        <v>147</v>
      </c>
      <c r="D909" s="395">
        <v>135</v>
      </c>
      <c r="E909" s="397">
        <f t="shared" si="15"/>
        <v>236372175</v>
      </c>
      <c r="F909" s="398" t="s">
        <v>1934</v>
      </c>
      <c r="G909" s="398" t="s">
        <v>224</v>
      </c>
      <c r="H909" s="398" t="s">
        <v>156</v>
      </c>
      <c r="I909" s="398" t="s">
        <v>156</v>
      </c>
    </row>
    <row r="910" spans="1:9" x14ac:dyDescent="0.35">
      <c r="A910" s="395" t="s">
        <v>1935</v>
      </c>
      <c r="B910" s="396" t="s">
        <v>146</v>
      </c>
      <c r="C910" s="395" t="s">
        <v>147</v>
      </c>
      <c r="D910" s="395">
        <v>135</v>
      </c>
      <c r="E910" s="397">
        <f t="shared" si="15"/>
        <v>236372175</v>
      </c>
      <c r="F910" s="398" t="s">
        <v>1936</v>
      </c>
      <c r="G910" s="398" t="s">
        <v>200</v>
      </c>
      <c r="H910" s="398" t="s">
        <v>156</v>
      </c>
      <c r="I910" s="398" t="s">
        <v>156</v>
      </c>
    </row>
    <row r="911" spans="1:9" x14ac:dyDescent="0.35">
      <c r="A911" s="395" t="s">
        <v>1937</v>
      </c>
      <c r="B911" s="396" t="s">
        <v>146</v>
      </c>
      <c r="C911" s="395" t="s">
        <v>147</v>
      </c>
      <c r="D911" s="395">
        <v>135</v>
      </c>
      <c r="E911" s="397">
        <f t="shared" si="15"/>
        <v>236372175</v>
      </c>
      <c r="F911" s="398" t="s">
        <v>1938</v>
      </c>
      <c r="G911" s="398" t="s">
        <v>149</v>
      </c>
      <c r="H911" s="398" t="s">
        <v>156</v>
      </c>
      <c r="I911" s="398" t="s">
        <v>156</v>
      </c>
    </row>
    <row r="912" spans="1:9" x14ac:dyDescent="0.35">
      <c r="A912" s="395" t="s">
        <v>1939</v>
      </c>
      <c r="B912" s="396" t="s">
        <v>146</v>
      </c>
      <c r="C912" s="395" t="s">
        <v>147</v>
      </c>
      <c r="D912" s="395">
        <v>135</v>
      </c>
      <c r="E912" s="397">
        <f t="shared" si="15"/>
        <v>236372175</v>
      </c>
      <c r="F912" s="398" t="s">
        <v>1940</v>
      </c>
      <c r="G912" s="398" t="s">
        <v>224</v>
      </c>
      <c r="H912" s="398" t="s">
        <v>156</v>
      </c>
      <c r="I912" s="398" t="s">
        <v>156</v>
      </c>
    </row>
    <row r="913" spans="1:9" x14ac:dyDescent="0.35">
      <c r="A913" s="395" t="s">
        <v>1941</v>
      </c>
      <c r="B913" s="396" t="s">
        <v>146</v>
      </c>
      <c r="C913" s="395" t="s">
        <v>147</v>
      </c>
      <c r="D913" s="395">
        <v>135</v>
      </c>
      <c r="E913" s="397">
        <f t="shared" si="15"/>
        <v>236372175</v>
      </c>
      <c r="F913" s="398" t="s">
        <v>1942</v>
      </c>
      <c r="G913" s="398" t="s">
        <v>221</v>
      </c>
      <c r="H913" s="398" t="s">
        <v>150</v>
      </c>
      <c r="I913" s="398" t="s">
        <v>249</v>
      </c>
    </row>
    <row r="914" spans="1:9" x14ac:dyDescent="0.35">
      <c r="A914" s="395" t="s">
        <v>1943</v>
      </c>
      <c r="B914" s="396" t="s">
        <v>146</v>
      </c>
      <c r="C914" s="395" t="s">
        <v>147</v>
      </c>
      <c r="D914" s="395">
        <v>135</v>
      </c>
      <c r="E914" s="397">
        <f t="shared" si="15"/>
        <v>236372175</v>
      </c>
      <c r="F914" s="398" t="s">
        <v>1944</v>
      </c>
      <c r="G914" s="398" t="s">
        <v>155</v>
      </c>
      <c r="H914" s="398" t="s">
        <v>156</v>
      </c>
      <c r="I914" s="398" t="s">
        <v>156</v>
      </c>
    </row>
    <row r="915" spans="1:9" x14ac:dyDescent="0.35">
      <c r="A915" s="395" t="s">
        <v>1945</v>
      </c>
      <c r="B915" s="396" t="s">
        <v>146</v>
      </c>
      <c r="C915" s="395" t="s">
        <v>147</v>
      </c>
      <c r="D915" s="395">
        <v>135</v>
      </c>
      <c r="E915" s="397">
        <f t="shared" si="15"/>
        <v>236372175</v>
      </c>
      <c r="F915" s="398" t="s">
        <v>1944</v>
      </c>
      <c r="G915" s="398" t="s">
        <v>637</v>
      </c>
      <c r="H915" s="398" t="s">
        <v>156</v>
      </c>
      <c r="I915" s="398" t="s">
        <v>156</v>
      </c>
    </row>
    <row r="916" spans="1:9" x14ac:dyDescent="0.35">
      <c r="A916" s="395" t="s">
        <v>1946</v>
      </c>
      <c r="B916" s="396" t="s">
        <v>146</v>
      </c>
      <c r="C916" s="395" t="s">
        <v>147</v>
      </c>
      <c r="D916" s="395">
        <v>135</v>
      </c>
      <c r="E916" s="397">
        <f t="shared" si="15"/>
        <v>236372175</v>
      </c>
      <c r="F916" s="398" t="s">
        <v>1947</v>
      </c>
      <c r="G916" s="398" t="s">
        <v>424</v>
      </c>
      <c r="H916" s="398" t="s">
        <v>156</v>
      </c>
      <c r="I916" s="398" t="s">
        <v>156</v>
      </c>
    </row>
    <row r="917" spans="1:9" x14ac:dyDescent="0.35">
      <c r="A917" s="395" t="s">
        <v>1948</v>
      </c>
      <c r="B917" s="396" t="s">
        <v>146</v>
      </c>
      <c r="C917" s="395" t="s">
        <v>147</v>
      </c>
      <c r="D917" s="395">
        <v>135</v>
      </c>
      <c r="E917" s="397">
        <f t="shared" si="15"/>
        <v>236372175</v>
      </c>
      <c r="F917" s="398" t="s">
        <v>1949</v>
      </c>
      <c r="G917" s="398" t="s">
        <v>149</v>
      </c>
      <c r="H917" s="398" t="s">
        <v>156</v>
      </c>
      <c r="I917" s="398" t="s">
        <v>156</v>
      </c>
    </row>
    <row r="918" spans="1:9" x14ac:dyDescent="0.35">
      <c r="A918" s="395" t="s">
        <v>1950</v>
      </c>
      <c r="B918" s="396" t="s">
        <v>146</v>
      </c>
      <c r="C918" s="395" t="s">
        <v>358</v>
      </c>
      <c r="D918" s="395">
        <v>150</v>
      </c>
      <c r="E918" s="397">
        <f t="shared" si="15"/>
        <v>262635750</v>
      </c>
      <c r="F918" s="398" t="s">
        <v>1951</v>
      </c>
      <c r="G918" s="398" t="s">
        <v>336</v>
      </c>
      <c r="H918" s="398" t="s">
        <v>150</v>
      </c>
      <c r="I918" s="398" t="s">
        <v>182</v>
      </c>
    </row>
    <row r="919" spans="1:9" x14ac:dyDescent="0.35">
      <c r="A919" s="395" t="s">
        <v>1952</v>
      </c>
      <c r="B919" s="396" t="s">
        <v>146</v>
      </c>
      <c r="C919" s="395" t="s">
        <v>147</v>
      </c>
      <c r="D919" s="395">
        <v>135</v>
      </c>
      <c r="E919" s="397">
        <f t="shared" si="15"/>
        <v>236372175</v>
      </c>
      <c r="F919" s="398" t="s">
        <v>1953</v>
      </c>
      <c r="G919" s="398" t="s">
        <v>272</v>
      </c>
      <c r="H919" s="398" t="s">
        <v>150</v>
      </c>
      <c r="I919" s="398" t="s">
        <v>249</v>
      </c>
    </row>
    <row r="920" spans="1:9" x14ac:dyDescent="0.35">
      <c r="A920" s="395" t="s">
        <v>1954</v>
      </c>
      <c r="B920" s="396" t="s">
        <v>146</v>
      </c>
      <c r="C920" s="395" t="s">
        <v>147</v>
      </c>
      <c r="D920" s="395">
        <v>135</v>
      </c>
      <c r="E920" s="397">
        <f t="shared" si="15"/>
        <v>236372175</v>
      </c>
      <c r="F920" s="398" t="s">
        <v>1955</v>
      </c>
      <c r="G920" s="398" t="s">
        <v>200</v>
      </c>
      <c r="H920" s="398" t="s">
        <v>156</v>
      </c>
      <c r="I920" s="398" t="s">
        <v>156</v>
      </c>
    </row>
    <row r="921" spans="1:9" x14ac:dyDescent="0.35">
      <c r="A921" s="395" t="s">
        <v>1956</v>
      </c>
      <c r="B921" s="396" t="s">
        <v>146</v>
      </c>
      <c r="C921" s="395" t="s">
        <v>147</v>
      </c>
      <c r="D921" s="395">
        <v>135</v>
      </c>
      <c r="E921" s="397">
        <f t="shared" si="15"/>
        <v>236372175</v>
      </c>
      <c r="F921" s="398" t="s">
        <v>1957</v>
      </c>
      <c r="G921" s="398" t="s">
        <v>285</v>
      </c>
      <c r="H921" s="398" t="s">
        <v>156</v>
      </c>
      <c r="I921" s="398" t="s">
        <v>156</v>
      </c>
    </row>
    <row r="922" spans="1:9" x14ac:dyDescent="0.35">
      <c r="A922" s="395" t="s">
        <v>1958</v>
      </c>
      <c r="B922" s="396" t="s">
        <v>146</v>
      </c>
      <c r="C922" s="395" t="s">
        <v>147</v>
      </c>
      <c r="D922" s="395">
        <v>135</v>
      </c>
      <c r="E922" s="397">
        <f t="shared" si="15"/>
        <v>236372175</v>
      </c>
      <c r="F922" s="398" t="s">
        <v>1959</v>
      </c>
      <c r="G922" s="398" t="s">
        <v>155</v>
      </c>
      <c r="H922" s="398" t="s">
        <v>156</v>
      </c>
      <c r="I922" s="398" t="s">
        <v>156</v>
      </c>
    </row>
    <row r="923" spans="1:9" x14ac:dyDescent="0.35">
      <c r="A923" s="395" t="s">
        <v>1960</v>
      </c>
      <c r="B923" s="396" t="s">
        <v>146</v>
      </c>
      <c r="C923" s="395" t="s">
        <v>147</v>
      </c>
      <c r="D923" s="395">
        <v>135</v>
      </c>
      <c r="E923" s="397">
        <f t="shared" si="15"/>
        <v>236372175</v>
      </c>
      <c r="F923" s="398" t="s">
        <v>1961</v>
      </c>
      <c r="G923" s="398" t="s">
        <v>178</v>
      </c>
      <c r="H923" s="398" t="s">
        <v>156</v>
      </c>
      <c r="I923" s="398" t="s">
        <v>156</v>
      </c>
    </row>
    <row r="924" spans="1:9" x14ac:dyDescent="0.35">
      <c r="A924" s="395" t="s">
        <v>1962</v>
      </c>
      <c r="B924" s="396" t="s">
        <v>146</v>
      </c>
      <c r="C924" s="395" t="s">
        <v>147</v>
      </c>
      <c r="D924" s="395">
        <v>135</v>
      </c>
      <c r="E924" s="397">
        <f t="shared" si="15"/>
        <v>236372175</v>
      </c>
      <c r="F924" s="398" t="s">
        <v>1963</v>
      </c>
      <c r="G924" s="398" t="s">
        <v>224</v>
      </c>
      <c r="H924" s="398" t="s">
        <v>156</v>
      </c>
      <c r="I924" s="398" t="s">
        <v>156</v>
      </c>
    </row>
    <row r="925" spans="1:9" x14ac:dyDescent="0.35">
      <c r="A925" s="395" t="s">
        <v>1964</v>
      </c>
      <c r="B925" s="396" t="s">
        <v>146</v>
      </c>
      <c r="C925" s="395" t="s">
        <v>147</v>
      </c>
      <c r="D925" s="395">
        <v>135</v>
      </c>
      <c r="E925" s="397">
        <f t="shared" si="15"/>
        <v>236372175</v>
      </c>
      <c r="F925" s="398" t="s">
        <v>1965</v>
      </c>
      <c r="G925" s="398" t="s">
        <v>224</v>
      </c>
      <c r="H925" s="398" t="s">
        <v>156</v>
      </c>
      <c r="I925" s="398" t="s">
        <v>156</v>
      </c>
    </row>
    <row r="926" spans="1:9" x14ac:dyDescent="0.35">
      <c r="A926" s="395" t="s">
        <v>1966</v>
      </c>
      <c r="B926" s="396" t="s">
        <v>146</v>
      </c>
      <c r="C926" s="395" t="s">
        <v>147</v>
      </c>
      <c r="D926" s="395">
        <v>135</v>
      </c>
      <c r="E926" s="397">
        <f t="shared" si="15"/>
        <v>236372175</v>
      </c>
      <c r="F926" s="398" t="s">
        <v>1967</v>
      </c>
      <c r="G926" s="398" t="s">
        <v>149</v>
      </c>
      <c r="H926" s="398" t="s">
        <v>156</v>
      </c>
      <c r="I926" s="398" t="s">
        <v>156</v>
      </c>
    </row>
    <row r="927" spans="1:9" x14ac:dyDescent="0.35">
      <c r="A927" s="395" t="s">
        <v>1968</v>
      </c>
      <c r="B927" s="396" t="s">
        <v>146</v>
      </c>
      <c r="C927" s="395" t="s">
        <v>147</v>
      </c>
      <c r="D927" s="395">
        <v>135</v>
      </c>
      <c r="E927" s="397">
        <f t="shared" si="15"/>
        <v>236372175</v>
      </c>
      <c r="F927" s="398" t="s">
        <v>1969</v>
      </c>
      <c r="G927" s="398" t="s">
        <v>178</v>
      </c>
      <c r="H927" s="398" t="s">
        <v>156</v>
      </c>
      <c r="I927" s="398" t="s">
        <v>156</v>
      </c>
    </row>
    <row r="928" spans="1:9" x14ac:dyDescent="0.35">
      <c r="A928" s="395" t="s">
        <v>1970</v>
      </c>
      <c r="B928" s="396" t="s">
        <v>146</v>
      </c>
      <c r="C928" s="395" t="s">
        <v>147</v>
      </c>
      <c r="D928" s="395">
        <v>135</v>
      </c>
      <c r="E928" s="397">
        <f t="shared" si="15"/>
        <v>236372175</v>
      </c>
      <c r="F928" s="398" t="s">
        <v>1971</v>
      </c>
      <c r="G928" s="398" t="s">
        <v>209</v>
      </c>
      <c r="H928" s="398" t="s">
        <v>150</v>
      </c>
      <c r="I928" s="398" t="s">
        <v>249</v>
      </c>
    </row>
    <row r="929" spans="1:9" x14ac:dyDescent="0.35">
      <c r="A929" s="395" t="s">
        <v>1972</v>
      </c>
      <c r="B929" s="396" t="s">
        <v>146</v>
      </c>
      <c r="C929" s="395" t="s">
        <v>147</v>
      </c>
      <c r="D929" s="395">
        <v>135</v>
      </c>
      <c r="E929" s="397">
        <f t="shared" si="15"/>
        <v>236372175</v>
      </c>
      <c r="F929" s="398" t="s">
        <v>1973</v>
      </c>
      <c r="G929" s="398" t="s">
        <v>224</v>
      </c>
      <c r="H929" s="398" t="s">
        <v>156</v>
      </c>
      <c r="I929" s="398" t="s">
        <v>156</v>
      </c>
    </row>
    <row r="930" spans="1:9" x14ac:dyDescent="0.35">
      <c r="A930" s="395" t="s">
        <v>1974</v>
      </c>
      <c r="B930" s="396" t="s">
        <v>146</v>
      </c>
      <c r="C930" s="395" t="s">
        <v>358</v>
      </c>
      <c r="D930" s="395">
        <v>150</v>
      </c>
      <c r="E930" s="397">
        <f t="shared" si="15"/>
        <v>262635750</v>
      </c>
      <c r="F930" s="398" t="s">
        <v>1975</v>
      </c>
      <c r="G930" s="398" t="s">
        <v>178</v>
      </c>
      <c r="H930" s="398" t="s">
        <v>462</v>
      </c>
      <c r="I930" s="398" t="s">
        <v>164</v>
      </c>
    </row>
    <row r="931" spans="1:9" x14ac:dyDescent="0.35">
      <c r="A931" s="395" t="s">
        <v>1976</v>
      </c>
      <c r="B931" s="396" t="s">
        <v>146</v>
      </c>
      <c r="C931" s="395" t="s">
        <v>147</v>
      </c>
      <c r="D931" s="395">
        <v>135</v>
      </c>
      <c r="E931" s="397">
        <f t="shared" si="15"/>
        <v>236372175</v>
      </c>
      <c r="F931" s="398" t="s">
        <v>1977</v>
      </c>
      <c r="G931" s="398" t="s">
        <v>637</v>
      </c>
      <c r="H931" s="398" t="s">
        <v>156</v>
      </c>
      <c r="I931" s="398" t="s">
        <v>156</v>
      </c>
    </row>
    <row r="932" spans="1:9" x14ac:dyDescent="0.35">
      <c r="A932" s="395" t="s">
        <v>1978</v>
      </c>
      <c r="B932" s="396" t="s">
        <v>146</v>
      </c>
      <c r="C932" s="395" t="s">
        <v>147</v>
      </c>
      <c r="D932" s="395">
        <v>135</v>
      </c>
      <c r="E932" s="397">
        <f t="shared" si="15"/>
        <v>236372175</v>
      </c>
      <c r="F932" s="398" t="s">
        <v>1979</v>
      </c>
      <c r="G932" s="398" t="s">
        <v>155</v>
      </c>
      <c r="H932" s="398" t="s">
        <v>156</v>
      </c>
      <c r="I932" s="398" t="s">
        <v>156</v>
      </c>
    </row>
    <row r="933" spans="1:9" x14ac:dyDescent="0.35">
      <c r="A933" s="395" t="s">
        <v>1980</v>
      </c>
      <c r="B933" s="396" t="s">
        <v>146</v>
      </c>
      <c r="C933" s="395" t="s">
        <v>147</v>
      </c>
      <c r="D933" s="395">
        <v>135</v>
      </c>
      <c r="E933" s="397">
        <f t="shared" si="15"/>
        <v>236372175</v>
      </c>
      <c r="F933" s="398" t="s">
        <v>1981</v>
      </c>
      <c r="G933" s="398" t="s">
        <v>178</v>
      </c>
      <c r="H933" s="398" t="s">
        <v>156</v>
      </c>
      <c r="I933" s="398" t="s">
        <v>156</v>
      </c>
    </row>
    <row r="934" spans="1:9" x14ac:dyDescent="0.35">
      <c r="A934" s="395" t="s">
        <v>1982</v>
      </c>
      <c r="B934" s="396" t="s">
        <v>146</v>
      </c>
      <c r="C934" s="395" t="s">
        <v>147</v>
      </c>
      <c r="D934" s="395">
        <v>135</v>
      </c>
      <c r="E934" s="397">
        <f t="shared" si="15"/>
        <v>236372175</v>
      </c>
      <c r="F934" s="398" t="s">
        <v>1983</v>
      </c>
      <c r="G934" s="398" t="s">
        <v>221</v>
      </c>
      <c r="H934" s="398" t="s">
        <v>156</v>
      </c>
      <c r="I934" s="398" t="s">
        <v>156</v>
      </c>
    </row>
    <row r="935" spans="1:9" x14ac:dyDescent="0.35">
      <c r="A935" s="395" t="s">
        <v>1984</v>
      </c>
      <c r="B935" s="396" t="s">
        <v>146</v>
      </c>
      <c r="C935" s="395" t="s">
        <v>147</v>
      </c>
      <c r="D935" s="395">
        <v>135</v>
      </c>
      <c r="E935" s="397">
        <f t="shared" si="15"/>
        <v>236372175</v>
      </c>
      <c r="F935" s="398" t="s">
        <v>1985</v>
      </c>
      <c r="G935" s="398" t="s">
        <v>185</v>
      </c>
      <c r="H935" s="398" t="s">
        <v>156</v>
      </c>
      <c r="I935" s="398" t="s">
        <v>156</v>
      </c>
    </row>
    <row r="936" spans="1:9" x14ac:dyDescent="0.35">
      <c r="A936" s="395" t="s">
        <v>1986</v>
      </c>
      <c r="B936" s="396" t="s">
        <v>146</v>
      </c>
      <c r="C936" s="395" t="s">
        <v>147</v>
      </c>
      <c r="D936" s="395">
        <v>135</v>
      </c>
      <c r="E936" s="397">
        <f t="shared" si="15"/>
        <v>236372175</v>
      </c>
      <c r="F936" s="398" t="s">
        <v>1987</v>
      </c>
      <c r="G936" s="398" t="s">
        <v>178</v>
      </c>
      <c r="H936" s="398" t="s">
        <v>156</v>
      </c>
      <c r="I936" s="398" t="s">
        <v>156</v>
      </c>
    </row>
    <row r="937" spans="1:9" x14ac:dyDescent="0.35">
      <c r="A937" s="395" t="s">
        <v>1988</v>
      </c>
      <c r="B937" s="396" t="s">
        <v>146</v>
      </c>
      <c r="C937" s="395" t="s">
        <v>147</v>
      </c>
      <c r="D937" s="395">
        <v>135</v>
      </c>
      <c r="E937" s="397">
        <f t="shared" si="15"/>
        <v>236372175</v>
      </c>
      <c r="F937" s="398" t="s">
        <v>1989</v>
      </c>
      <c r="G937" s="398" t="s">
        <v>173</v>
      </c>
      <c r="H937" s="398" t="s">
        <v>156</v>
      </c>
      <c r="I937" s="398" t="s">
        <v>156</v>
      </c>
    </row>
    <row r="938" spans="1:9" x14ac:dyDescent="0.35">
      <c r="A938" s="395" t="s">
        <v>1990</v>
      </c>
      <c r="B938" s="396" t="s">
        <v>146</v>
      </c>
      <c r="C938" s="395" t="s">
        <v>147</v>
      </c>
      <c r="D938" s="395">
        <v>135</v>
      </c>
      <c r="E938" s="397">
        <f t="shared" si="15"/>
        <v>236372175</v>
      </c>
      <c r="F938" s="398" t="s">
        <v>1991</v>
      </c>
      <c r="G938" s="398" t="s">
        <v>424</v>
      </c>
      <c r="H938" s="398" t="s">
        <v>156</v>
      </c>
      <c r="I938" s="398" t="s">
        <v>156</v>
      </c>
    </row>
    <row r="939" spans="1:9" x14ac:dyDescent="0.35">
      <c r="A939" s="395" t="s">
        <v>1992</v>
      </c>
      <c r="B939" s="396" t="s">
        <v>160</v>
      </c>
      <c r="C939" s="395" t="s">
        <v>147</v>
      </c>
      <c r="D939" s="395">
        <v>135</v>
      </c>
      <c r="E939" s="397">
        <f t="shared" si="15"/>
        <v>236372175</v>
      </c>
      <c r="F939" s="398" t="s">
        <v>1993</v>
      </c>
      <c r="G939" s="398" t="s">
        <v>424</v>
      </c>
      <c r="H939" s="398" t="s">
        <v>150</v>
      </c>
      <c r="I939" s="398" t="s">
        <v>182</v>
      </c>
    </row>
    <row r="940" spans="1:9" x14ac:dyDescent="0.35">
      <c r="A940" s="395" t="s">
        <v>1994</v>
      </c>
      <c r="B940" s="396" t="s">
        <v>146</v>
      </c>
      <c r="C940" s="395" t="s">
        <v>147</v>
      </c>
      <c r="D940" s="395">
        <v>135</v>
      </c>
      <c r="E940" s="397">
        <f t="shared" si="15"/>
        <v>236372175</v>
      </c>
      <c r="F940" s="398" t="s">
        <v>1995</v>
      </c>
      <c r="G940" s="398" t="s">
        <v>167</v>
      </c>
      <c r="H940" s="398" t="s">
        <v>156</v>
      </c>
      <c r="I940" s="398" t="s">
        <v>156</v>
      </c>
    </row>
    <row r="941" spans="1:9" x14ac:dyDescent="0.35">
      <c r="A941" s="395" t="s">
        <v>1996</v>
      </c>
      <c r="B941" s="396" t="s">
        <v>146</v>
      </c>
      <c r="C941" s="395" t="s">
        <v>358</v>
      </c>
      <c r="D941" s="395">
        <v>150</v>
      </c>
      <c r="E941" s="397">
        <f t="shared" si="15"/>
        <v>262635750</v>
      </c>
      <c r="F941" s="398" t="s">
        <v>1997</v>
      </c>
      <c r="G941" s="398" t="s">
        <v>216</v>
      </c>
      <c r="H941" s="398" t="s">
        <v>156</v>
      </c>
      <c r="I941" s="398" t="s">
        <v>156</v>
      </c>
    </row>
    <row r="942" spans="1:9" x14ac:dyDescent="0.35">
      <c r="A942" s="395" t="s">
        <v>1998</v>
      </c>
      <c r="B942" s="396" t="s">
        <v>160</v>
      </c>
      <c r="C942" s="395" t="s">
        <v>358</v>
      </c>
      <c r="D942" s="395">
        <v>150</v>
      </c>
      <c r="E942" s="397">
        <f t="shared" si="15"/>
        <v>262635750</v>
      </c>
      <c r="F942" s="398" t="s">
        <v>1999</v>
      </c>
      <c r="G942" s="398" t="s">
        <v>178</v>
      </c>
      <c r="H942" s="398" t="s">
        <v>462</v>
      </c>
      <c r="I942" s="398" t="s">
        <v>164</v>
      </c>
    </row>
    <row r="943" spans="1:9" x14ac:dyDescent="0.35">
      <c r="A943" s="395" t="s">
        <v>2000</v>
      </c>
      <c r="B943" s="396" t="s">
        <v>146</v>
      </c>
      <c r="C943" s="395" t="s">
        <v>147</v>
      </c>
      <c r="D943" s="395">
        <v>135</v>
      </c>
      <c r="E943" s="397">
        <f t="shared" si="15"/>
        <v>236372175</v>
      </c>
      <c r="F943" s="398" t="s">
        <v>2001</v>
      </c>
      <c r="G943" s="398" t="s">
        <v>224</v>
      </c>
      <c r="H943" s="398" t="s">
        <v>156</v>
      </c>
      <c r="I943" s="398" t="s">
        <v>156</v>
      </c>
    </row>
    <row r="944" spans="1:9" x14ac:dyDescent="0.35">
      <c r="A944" s="395" t="s">
        <v>2002</v>
      </c>
      <c r="B944" s="396" t="s">
        <v>146</v>
      </c>
      <c r="C944" s="395" t="s">
        <v>147</v>
      </c>
      <c r="D944" s="395">
        <v>135</v>
      </c>
      <c r="E944" s="397">
        <f t="shared" si="15"/>
        <v>236372175</v>
      </c>
      <c r="F944" s="398" t="s">
        <v>2003</v>
      </c>
      <c r="G944" s="398" t="s">
        <v>224</v>
      </c>
      <c r="H944" s="398" t="s">
        <v>156</v>
      </c>
      <c r="I944" s="398" t="s">
        <v>156</v>
      </c>
    </row>
    <row r="945" spans="1:9" x14ac:dyDescent="0.35">
      <c r="A945" s="395" t="s">
        <v>2004</v>
      </c>
      <c r="B945" s="396" t="s">
        <v>146</v>
      </c>
      <c r="C945" s="395" t="s">
        <v>147</v>
      </c>
      <c r="D945" s="395">
        <v>135</v>
      </c>
      <c r="E945" s="397">
        <f t="shared" si="15"/>
        <v>236372175</v>
      </c>
      <c r="F945" s="398" t="s">
        <v>2005</v>
      </c>
      <c r="G945" s="398" t="s">
        <v>185</v>
      </c>
      <c r="H945" s="398" t="s">
        <v>156</v>
      </c>
      <c r="I945" s="398" t="s">
        <v>156</v>
      </c>
    </row>
    <row r="946" spans="1:9" x14ac:dyDescent="0.35">
      <c r="A946" s="395" t="s">
        <v>2006</v>
      </c>
      <c r="B946" s="396" t="s">
        <v>146</v>
      </c>
      <c r="C946" s="395" t="s">
        <v>147</v>
      </c>
      <c r="D946" s="395">
        <v>135</v>
      </c>
      <c r="E946" s="397">
        <f t="shared" si="15"/>
        <v>236372175</v>
      </c>
      <c r="F946" s="398" t="s">
        <v>2007</v>
      </c>
      <c r="G946" s="398" t="s">
        <v>224</v>
      </c>
      <c r="H946" s="398" t="s">
        <v>156</v>
      </c>
      <c r="I946" s="398" t="s">
        <v>156</v>
      </c>
    </row>
    <row r="947" spans="1:9" x14ac:dyDescent="0.35">
      <c r="A947" s="395" t="s">
        <v>2008</v>
      </c>
      <c r="B947" s="396" t="s">
        <v>146</v>
      </c>
      <c r="C947" s="395" t="s">
        <v>147</v>
      </c>
      <c r="D947" s="395">
        <v>135</v>
      </c>
      <c r="E947" s="397">
        <f t="shared" si="15"/>
        <v>236372175</v>
      </c>
      <c r="F947" s="398" t="s">
        <v>2009</v>
      </c>
      <c r="G947" s="398" t="s">
        <v>224</v>
      </c>
      <c r="H947" s="398" t="s">
        <v>150</v>
      </c>
      <c r="I947" s="398" t="s">
        <v>192</v>
      </c>
    </row>
    <row r="948" spans="1:9" x14ac:dyDescent="0.35">
      <c r="A948" s="395" t="s">
        <v>2010</v>
      </c>
      <c r="B948" s="396" t="s">
        <v>146</v>
      </c>
      <c r="C948" s="395" t="s">
        <v>147</v>
      </c>
      <c r="D948" s="395">
        <v>135</v>
      </c>
      <c r="E948" s="397">
        <f t="shared" si="15"/>
        <v>236372175</v>
      </c>
      <c r="F948" s="398" t="s">
        <v>2011</v>
      </c>
      <c r="G948" s="398" t="s">
        <v>203</v>
      </c>
      <c r="H948" s="398" t="s">
        <v>156</v>
      </c>
      <c r="I948" s="398" t="s">
        <v>156</v>
      </c>
    </row>
    <row r="949" spans="1:9" x14ac:dyDescent="0.35">
      <c r="A949" s="395" t="s">
        <v>2012</v>
      </c>
      <c r="B949" s="396" t="s">
        <v>160</v>
      </c>
      <c r="C949" s="395" t="s">
        <v>358</v>
      </c>
      <c r="D949" s="395">
        <v>150</v>
      </c>
      <c r="E949" s="397">
        <f t="shared" si="15"/>
        <v>262635750</v>
      </c>
      <c r="F949" s="398" t="s">
        <v>2013</v>
      </c>
      <c r="G949" s="398" t="s">
        <v>336</v>
      </c>
      <c r="H949" s="398" t="s">
        <v>163</v>
      </c>
      <c r="I949" s="398" t="s">
        <v>182</v>
      </c>
    </row>
    <row r="950" spans="1:9" x14ac:dyDescent="0.35">
      <c r="A950" s="395" t="s">
        <v>2014</v>
      </c>
      <c r="B950" s="396" t="s">
        <v>146</v>
      </c>
      <c r="C950" s="395" t="s">
        <v>147</v>
      </c>
      <c r="D950" s="395">
        <v>135</v>
      </c>
      <c r="E950" s="397">
        <f t="shared" si="15"/>
        <v>236372175</v>
      </c>
      <c r="F950" s="398" t="s">
        <v>2015</v>
      </c>
      <c r="G950" s="398" t="s">
        <v>203</v>
      </c>
      <c r="H950" s="398" t="s">
        <v>156</v>
      </c>
      <c r="I950" s="398" t="s">
        <v>156</v>
      </c>
    </row>
    <row r="951" spans="1:9" x14ac:dyDescent="0.35">
      <c r="A951" s="395" t="s">
        <v>2016</v>
      </c>
      <c r="B951" s="396" t="s">
        <v>146</v>
      </c>
      <c r="C951" s="395" t="s">
        <v>147</v>
      </c>
      <c r="D951" s="395">
        <v>135</v>
      </c>
      <c r="E951" s="397">
        <f t="shared" si="15"/>
        <v>236372175</v>
      </c>
      <c r="F951" s="398" t="s">
        <v>2017</v>
      </c>
      <c r="G951" s="398" t="s">
        <v>224</v>
      </c>
      <c r="H951" s="398" t="s">
        <v>156</v>
      </c>
      <c r="I951" s="398" t="s">
        <v>156</v>
      </c>
    </row>
    <row r="952" spans="1:9" x14ac:dyDescent="0.35">
      <c r="A952" s="395" t="s">
        <v>2018</v>
      </c>
      <c r="B952" s="396" t="s">
        <v>146</v>
      </c>
      <c r="C952" s="395" t="s">
        <v>147</v>
      </c>
      <c r="D952" s="395">
        <v>135</v>
      </c>
      <c r="E952" s="397">
        <f t="shared" si="15"/>
        <v>236372175</v>
      </c>
      <c r="F952" s="398" t="s">
        <v>2019</v>
      </c>
      <c r="G952" s="398" t="s">
        <v>149</v>
      </c>
      <c r="H952" s="398" t="s">
        <v>156</v>
      </c>
      <c r="I952" s="398" t="s">
        <v>156</v>
      </c>
    </row>
    <row r="953" spans="1:9" x14ac:dyDescent="0.35">
      <c r="A953" s="395" t="s">
        <v>2020</v>
      </c>
      <c r="B953" s="396" t="s">
        <v>146</v>
      </c>
      <c r="C953" s="395" t="s">
        <v>147</v>
      </c>
      <c r="D953" s="395">
        <v>135</v>
      </c>
      <c r="E953" s="397">
        <f t="shared" si="15"/>
        <v>236372175</v>
      </c>
      <c r="F953" s="398" t="s">
        <v>2021</v>
      </c>
      <c r="G953" s="398" t="s">
        <v>149</v>
      </c>
      <c r="H953" s="398" t="s">
        <v>156</v>
      </c>
      <c r="I953" s="398" t="s">
        <v>156</v>
      </c>
    </row>
    <row r="954" spans="1:9" x14ac:dyDescent="0.35">
      <c r="A954" s="395" t="s">
        <v>2022</v>
      </c>
      <c r="B954" s="396" t="s">
        <v>146</v>
      </c>
      <c r="C954" s="395" t="s">
        <v>147</v>
      </c>
      <c r="D954" s="395">
        <v>135</v>
      </c>
      <c r="E954" s="397">
        <f t="shared" si="15"/>
        <v>236372175</v>
      </c>
      <c r="F954" s="398" t="s">
        <v>2023</v>
      </c>
      <c r="G954" s="398" t="s">
        <v>173</v>
      </c>
      <c r="H954" s="398" t="s">
        <v>156</v>
      </c>
      <c r="I954" s="398" t="s">
        <v>156</v>
      </c>
    </row>
    <row r="955" spans="1:9" x14ac:dyDescent="0.35">
      <c r="A955" s="395" t="s">
        <v>2024</v>
      </c>
      <c r="B955" s="396" t="s">
        <v>160</v>
      </c>
      <c r="C955" s="395" t="s">
        <v>147</v>
      </c>
      <c r="D955" s="395">
        <v>135</v>
      </c>
      <c r="E955" s="397">
        <f t="shared" si="15"/>
        <v>236372175</v>
      </c>
      <c r="F955" s="398" t="s">
        <v>2025</v>
      </c>
      <c r="G955" s="398" t="s">
        <v>178</v>
      </c>
      <c r="H955" s="398" t="s">
        <v>150</v>
      </c>
      <c r="I955" s="398" t="s">
        <v>164</v>
      </c>
    </row>
    <row r="956" spans="1:9" x14ac:dyDescent="0.35">
      <c r="A956" s="395" t="s">
        <v>2026</v>
      </c>
      <c r="B956" s="396" t="s">
        <v>146</v>
      </c>
      <c r="C956" s="395" t="s">
        <v>147</v>
      </c>
      <c r="D956" s="395">
        <v>135</v>
      </c>
      <c r="E956" s="397">
        <f t="shared" si="15"/>
        <v>236372175</v>
      </c>
      <c r="F956" s="398" t="s">
        <v>2027</v>
      </c>
      <c r="G956" s="398" t="s">
        <v>224</v>
      </c>
      <c r="H956" s="398" t="s">
        <v>156</v>
      </c>
      <c r="I956" s="398" t="s">
        <v>156</v>
      </c>
    </row>
    <row r="957" spans="1:9" x14ac:dyDescent="0.35">
      <c r="A957" s="395" t="s">
        <v>2028</v>
      </c>
      <c r="B957" s="396" t="s">
        <v>146</v>
      </c>
      <c r="C957" s="395" t="s">
        <v>147</v>
      </c>
      <c r="D957" s="395">
        <v>135</v>
      </c>
      <c r="E957" s="397">
        <f t="shared" si="15"/>
        <v>236372175</v>
      </c>
      <c r="F957" s="398" t="s">
        <v>2029</v>
      </c>
      <c r="G957" s="398" t="s">
        <v>224</v>
      </c>
      <c r="H957" s="398" t="s">
        <v>156</v>
      </c>
      <c r="I957" s="398" t="s">
        <v>156</v>
      </c>
    </row>
    <row r="958" spans="1:9" x14ac:dyDescent="0.35">
      <c r="A958" s="395" t="s">
        <v>2030</v>
      </c>
      <c r="B958" s="396" t="s">
        <v>146</v>
      </c>
      <c r="C958" s="395" t="s">
        <v>147</v>
      </c>
      <c r="D958" s="395">
        <v>135</v>
      </c>
      <c r="E958" s="397">
        <f t="shared" si="15"/>
        <v>236372175</v>
      </c>
      <c r="F958" s="398" t="s">
        <v>2031</v>
      </c>
      <c r="G958" s="398" t="s">
        <v>224</v>
      </c>
      <c r="H958" s="398" t="s">
        <v>156</v>
      </c>
      <c r="I958" s="398" t="s">
        <v>156</v>
      </c>
    </row>
    <row r="959" spans="1:9" x14ac:dyDescent="0.35">
      <c r="A959" s="395" t="s">
        <v>2032</v>
      </c>
      <c r="B959" s="396" t="s">
        <v>146</v>
      </c>
      <c r="C959" s="395" t="s">
        <v>147</v>
      </c>
      <c r="D959" s="395">
        <v>135</v>
      </c>
      <c r="E959" s="397">
        <f t="shared" si="15"/>
        <v>236372175</v>
      </c>
      <c r="F959" s="398" t="s">
        <v>2033</v>
      </c>
      <c r="G959" s="398" t="s">
        <v>221</v>
      </c>
      <c r="H959" s="398" t="s">
        <v>156</v>
      </c>
      <c r="I959" s="398" t="s">
        <v>156</v>
      </c>
    </row>
    <row r="960" spans="1:9" x14ac:dyDescent="0.35">
      <c r="A960" s="395" t="s">
        <v>2034</v>
      </c>
      <c r="B960" s="396" t="s">
        <v>146</v>
      </c>
      <c r="C960" s="395" t="s">
        <v>147</v>
      </c>
      <c r="D960" s="395">
        <v>135</v>
      </c>
      <c r="E960" s="397">
        <f t="shared" si="15"/>
        <v>236372175</v>
      </c>
      <c r="F960" s="398" t="s">
        <v>2035</v>
      </c>
      <c r="G960" s="398" t="s">
        <v>185</v>
      </c>
      <c r="H960" s="398" t="s">
        <v>156</v>
      </c>
      <c r="I960" s="398" t="s">
        <v>156</v>
      </c>
    </row>
    <row r="961" spans="1:9" x14ac:dyDescent="0.35">
      <c r="A961" s="395" t="s">
        <v>2036</v>
      </c>
      <c r="B961" s="396" t="s">
        <v>146</v>
      </c>
      <c r="C961" s="395" t="s">
        <v>147</v>
      </c>
      <c r="D961" s="395">
        <v>135</v>
      </c>
      <c r="E961" s="397">
        <f t="shared" si="15"/>
        <v>236372175</v>
      </c>
      <c r="F961" s="398" t="s">
        <v>2037</v>
      </c>
      <c r="G961" s="398" t="s">
        <v>336</v>
      </c>
      <c r="H961" s="398" t="s">
        <v>156</v>
      </c>
      <c r="I961" s="398" t="s">
        <v>156</v>
      </c>
    </row>
    <row r="962" spans="1:9" x14ac:dyDescent="0.35">
      <c r="A962" s="395" t="s">
        <v>2038</v>
      </c>
      <c r="B962" s="396" t="s">
        <v>146</v>
      </c>
      <c r="C962" s="395" t="s">
        <v>147</v>
      </c>
      <c r="D962" s="395">
        <v>135</v>
      </c>
      <c r="E962" s="397">
        <f t="shared" si="15"/>
        <v>236372175</v>
      </c>
      <c r="F962" s="398" t="s">
        <v>2039</v>
      </c>
      <c r="G962" s="398" t="s">
        <v>221</v>
      </c>
      <c r="H962" s="398" t="s">
        <v>156</v>
      </c>
      <c r="I962" s="398" t="s">
        <v>156</v>
      </c>
    </row>
    <row r="963" spans="1:9" x14ac:dyDescent="0.35">
      <c r="A963" s="395" t="s">
        <v>2040</v>
      </c>
      <c r="B963" s="396" t="s">
        <v>146</v>
      </c>
      <c r="C963" s="395" t="s">
        <v>147</v>
      </c>
      <c r="D963" s="395">
        <v>135</v>
      </c>
      <c r="E963" s="397">
        <f t="shared" ref="E963:E1026" si="16">D963*$S$2</f>
        <v>236372175</v>
      </c>
      <c r="F963" s="398" t="s">
        <v>2039</v>
      </c>
      <c r="G963" s="398" t="s">
        <v>227</v>
      </c>
      <c r="H963" s="398" t="s">
        <v>156</v>
      </c>
      <c r="I963" s="398" t="s">
        <v>156</v>
      </c>
    </row>
    <row r="964" spans="1:9" x14ac:dyDescent="0.35">
      <c r="A964" s="395" t="s">
        <v>2041</v>
      </c>
      <c r="B964" s="396" t="s">
        <v>146</v>
      </c>
      <c r="C964" s="395" t="s">
        <v>147</v>
      </c>
      <c r="D964" s="395">
        <v>135</v>
      </c>
      <c r="E964" s="397">
        <f t="shared" si="16"/>
        <v>236372175</v>
      </c>
      <c r="F964" s="398" t="s">
        <v>2042</v>
      </c>
      <c r="G964" s="398" t="s">
        <v>170</v>
      </c>
      <c r="H964" s="398" t="s">
        <v>156</v>
      </c>
      <c r="I964" s="398" t="s">
        <v>156</v>
      </c>
    </row>
    <row r="965" spans="1:9" x14ac:dyDescent="0.35">
      <c r="A965" s="395" t="s">
        <v>2043</v>
      </c>
      <c r="B965" s="396" t="s">
        <v>146</v>
      </c>
      <c r="C965" s="395" t="s">
        <v>147</v>
      </c>
      <c r="D965" s="395">
        <v>135</v>
      </c>
      <c r="E965" s="397">
        <f t="shared" si="16"/>
        <v>236372175</v>
      </c>
      <c r="F965" s="398" t="s">
        <v>2044</v>
      </c>
      <c r="G965" s="398" t="s">
        <v>178</v>
      </c>
      <c r="H965" s="398" t="s">
        <v>462</v>
      </c>
      <c r="I965" s="398" t="s">
        <v>164</v>
      </c>
    </row>
    <row r="966" spans="1:9" x14ac:dyDescent="0.35">
      <c r="A966" s="395" t="s">
        <v>2045</v>
      </c>
      <c r="B966" s="396" t="s">
        <v>146</v>
      </c>
      <c r="C966" s="395" t="s">
        <v>147</v>
      </c>
      <c r="D966" s="395">
        <v>135</v>
      </c>
      <c r="E966" s="397">
        <f t="shared" si="16"/>
        <v>236372175</v>
      </c>
      <c r="F966" s="398" t="s">
        <v>2046</v>
      </c>
      <c r="G966" s="398" t="s">
        <v>221</v>
      </c>
      <c r="H966" s="398" t="s">
        <v>156</v>
      </c>
      <c r="I966" s="398" t="s">
        <v>156</v>
      </c>
    </row>
    <row r="967" spans="1:9" x14ac:dyDescent="0.35">
      <c r="A967" s="395" t="s">
        <v>2047</v>
      </c>
      <c r="B967" s="396" t="s">
        <v>146</v>
      </c>
      <c r="C967" s="395" t="s">
        <v>147</v>
      </c>
      <c r="D967" s="395">
        <v>135</v>
      </c>
      <c r="E967" s="397">
        <f t="shared" si="16"/>
        <v>236372175</v>
      </c>
      <c r="F967" s="398" t="s">
        <v>2046</v>
      </c>
      <c r="G967" s="398" t="s">
        <v>185</v>
      </c>
      <c r="H967" s="398" t="s">
        <v>156</v>
      </c>
      <c r="I967" s="398" t="s">
        <v>156</v>
      </c>
    </row>
    <row r="968" spans="1:9" x14ac:dyDescent="0.35">
      <c r="A968" s="395" t="s">
        <v>2048</v>
      </c>
      <c r="B968" s="396" t="s">
        <v>146</v>
      </c>
      <c r="C968" s="395" t="s">
        <v>147</v>
      </c>
      <c r="D968" s="395">
        <v>135</v>
      </c>
      <c r="E968" s="397">
        <f t="shared" si="16"/>
        <v>236372175</v>
      </c>
      <c r="F968" s="398" t="s">
        <v>2046</v>
      </c>
      <c r="G968" s="398" t="s">
        <v>424</v>
      </c>
      <c r="H968" s="398" t="s">
        <v>156</v>
      </c>
      <c r="I968" s="398" t="s">
        <v>156</v>
      </c>
    </row>
    <row r="969" spans="1:9" x14ac:dyDescent="0.35">
      <c r="A969" s="395" t="s">
        <v>2049</v>
      </c>
      <c r="B969" s="396" t="s">
        <v>146</v>
      </c>
      <c r="C969" s="395" t="s">
        <v>147</v>
      </c>
      <c r="D969" s="395">
        <v>135</v>
      </c>
      <c r="E969" s="397">
        <f t="shared" si="16"/>
        <v>236372175</v>
      </c>
      <c r="F969" s="398" t="s">
        <v>2050</v>
      </c>
      <c r="G969" s="398" t="s">
        <v>178</v>
      </c>
      <c r="H969" s="398" t="s">
        <v>156</v>
      </c>
      <c r="I969" s="398" t="s">
        <v>156</v>
      </c>
    </row>
    <row r="970" spans="1:9" x14ac:dyDescent="0.35">
      <c r="A970" s="395" t="s">
        <v>2051</v>
      </c>
      <c r="B970" s="396" t="s">
        <v>146</v>
      </c>
      <c r="C970" s="395" t="s">
        <v>147</v>
      </c>
      <c r="D970" s="395">
        <v>135</v>
      </c>
      <c r="E970" s="397">
        <f t="shared" si="16"/>
        <v>236372175</v>
      </c>
      <c r="F970" s="398" t="s">
        <v>2052</v>
      </c>
      <c r="G970" s="398" t="s">
        <v>178</v>
      </c>
      <c r="H970" s="398" t="s">
        <v>156</v>
      </c>
      <c r="I970" s="398" t="s">
        <v>156</v>
      </c>
    </row>
    <row r="971" spans="1:9" x14ac:dyDescent="0.35">
      <c r="A971" s="395" t="s">
        <v>2053</v>
      </c>
      <c r="B971" s="396" t="s">
        <v>146</v>
      </c>
      <c r="C971" s="395" t="s">
        <v>147</v>
      </c>
      <c r="D971" s="395">
        <v>135</v>
      </c>
      <c r="E971" s="397">
        <f t="shared" si="16"/>
        <v>236372175</v>
      </c>
      <c r="F971" s="398" t="s">
        <v>2054</v>
      </c>
      <c r="G971" s="398" t="s">
        <v>188</v>
      </c>
      <c r="H971" s="398" t="s">
        <v>156</v>
      </c>
      <c r="I971" s="398" t="s">
        <v>156</v>
      </c>
    </row>
    <row r="972" spans="1:9" x14ac:dyDescent="0.35">
      <c r="A972" s="395" t="s">
        <v>2055</v>
      </c>
      <c r="B972" s="396" t="s">
        <v>146</v>
      </c>
      <c r="C972" s="395" t="s">
        <v>147</v>
      </c>
      <c r="D972" s="395">
        <v>135</v>
      </c>
      <c r="E972" s="397">
        <f t="shared" si="16"/>
        <v>236372175</v>
      </c>
      <c r="F972" s="398" t="s">
        <v>2056</v>
      </c>
      <c r="G972" s="398" t="s">
        <v>185</v>
      </c>
      <c r="H972" s="398" t="s">
        <v>156</v>
      </c>
      <c r="I972" s="398" t="s">
        <v>156</v>
      </c>
    </row>
    <row r="973" spans="1:9" x14ac:dyDescent="0.35">
      <c r="A973" s="395" t="s">
        <v>2057</v>
      </c>
      <c r="B973" s="396" t="s">
        <v>146</v>
      </c>
      <c r="C973" s="395" t="s">
        <v>147</v>
      </c>
      <c r="D973" s="395">
        <v>135</v>
      </c>
      <c r="E973" s="397">
        <f t="shared" si="16"/>
        <v>236372175</v>
      </c>
      <c r="F973" s="398" t="s">
        <v>2058</v>
      </c>
      <c r="G973" s="398" t="s">
        <v>178</v>
      </c>
      <c r="H973" s="398" t="s">
        <v>156</v>
      </c>
      <c r="I973" s="398" t="s">
        <v>156</v>
      </c>
    </row>
    <row r="974" spans="1:9" x14ac:dyDescent="0.35">
      <c r="A974" s="395" t="s">
        <v>2059</v>
      </c>
      <c r="B974" s="396" t="s">
        <v>146</v>
      </c>
      <c r="C974" s="395" t="s">
        <v>147</v>
      </c>
      <c r="D974" s="395">
        <v>135</v>
      </c>
      <c r="E974" s="397">
        <f t="shared" si="16"/>
        <v>236372175</v>
      </c>
      <c r="F974" s="398" t="s">
        <v>2060</v>
      </c>
      <c r="G974" s="398" t="s">
        <v>224</v>
      </c>
      <c r="H974" s="398" t="s">
        <v>156</v>
      </c>
      <c r="I974" s="398" t="s">
        <v>156</v>
      </c>
    </row>
    <row r="975" spans="1:9" x14ac:dyDescent="0.35">
      <c r="A975" s="395" t="s">
        <v>2061</v>
      </c>
      <c r="B975" s="396" t="s">
        <v>146</v>
      </c>
      <c r="C975" s="395" t="s">
        <v>147</v>
      </c>
      <c r="D975" s="395">
        <v>135</v>
      </c>
      <c r="E975" s="397">
        <f t="shared" si="16"/>
        <v>236372175</v>
      </c>
      <c r="F975" s="398" t="s">
        <v>2062</v>
      </c>
      <c r="G975" s="398" t="s">
        <v>224</v>
      </c>
      <c r="H975" s="398" t="s">
        <v>156</v>
      </c>
      <c r="I975" s="398" t="s">
        <v>156</v>
      </c>
    </row>
    <row r="976" spans="1:9" x14ac:dyDescent="0.35">
      <c r="A976" s="395" t="s">
        <v>2063</v>
      </c>
      <c r="B976" s="396" t="s">
        <v>146</v>
      </c>
      <c r="C976" s="395" t="s">
        <v>147</v>
      </c>
      <c r="D976" s="395">
        <v>135</v>
      </c>
      <c r="E976" s="397">
        <f t="shared" si="16"/>
        <v>236372175</v>
      </c>
      <c r="F976" s="398" t="s">
        <v>2064</v>
      </c>
      <c r="G976" s="398" t="s">
        <v>178</v>
      </c>
      <c r="H976" s="398" t="s">
        <v>156</v>
      </c>
      <c r="I976" s="398" t="s">
        <v>156</v>
      </c>
    </row>
    <row r="977" spans="1:9" x14ac:dyDescent="0.35">
      <c r="A977" s="395" t="s">
        <v>2065</v>
      </c>
      <c r="B977" s="396" t="s">
        <v>146</v>
      </c>
      <c r="C977" s="395" t="s">
        <v>147</v>
      </c>
      <c r="D977" s="395">
        <v>135</v>
      </c>
      <c r="E977" s="397">
        <f t="shared" si="16"/>
        <v>236372175</v>
      </c>
      <c r="F977" s="398" t="s">
        <v>2066</v>
      </c>
      <c r="G977" s="398" t="s">
        <v>224</v>
      </c>
      <c r="H977" s="398" t="s">
        <v>156</v>
      </c>
      <c r="I977" s="398" t="s">
        <v>156</v>
      </c>
    </row>
    <row r="978" spans="1:9" x14ac:dyDescent="0.35">
      <c r="A978" s="395" t="s">
        <v>2067</v>
      </c>
      <c r="B978" s="396" t="s">
        <v>146</v>
      </c>
      <c r="C978" s="395" t="s">
        <v>358</v>
      </c>
      <c r="D978" s="395">
        <v>150</v>
      </c>
      <c r="E978" s="397">
        <f t="shared" si="16"/>
        <v>262635750</v>
      </c>
      <c r="F978" s="398" t="s">
        <v>2068</v>
      </c>
      <c r="G978" s="398" t="s">
        <v>178</v>
      </c>
      <c r="H978" s="398" t="s">
        <v>150</v>
      </c>
      <c r="I978" s="398" t="s">
        <v>164</v>
      </c>
    </row>
    <row r="979" spans="1:9" x14ac:dyDescent="0.35">
      <c r="A979" s="395" t="s">
        <v>2069</v>
      </c>
      <c r="B979" s="396" t="s">
        <v>146</v>
      </c>
      <c r="C979" s="395" t="s">
        <v>147</v>
      </c>
      <c r="D979" s="395">
        <v>135</v>
      </c>
      <c r="E979" s="397">
        <f t="shared" si="16"/>
        <v>236372175</v>
      </c>
      <c r="F979" s="398" t="s">
        <v>2070</v>
      </c>
      <c r="G979" s="398" t="s">
        <v>167</v>
      </c>
      <c r="H979" s="398" t="s">
        <v>156</v>
      </c>
      <c r="I979" s="398" t="s">
        <v>156</v>
      </c>
    </row>
    <row r="980" spans="1:9" x14ac:dyDescent="0.35">
      <c r="A980" s="395" t="s">
        <v>2071</v>
      </c>
      <c r="B980" s="396" t="s">
        <v>146</v>
      </c>
      <c r="C980" s="395" t="s">
        <v>147</v>
      </c>
      <c r="D980" s="395">
        <v>135</v>
      </c>
      <c r="E980" s="397">
        <f t="shared" si="16"/>
        <v>236372175</v>
      </c>
      <c r="F980" s="398" t="s">
        <v>2072</v>
      </c>
      <c r="G980" s="398" t="s">
        <v>173</v>
      </c>
      <c r="H980" s="398" t="s">
        <v>156</v>
      </c>
      <c r="I980" s="398" t="s">
        <v>156</v>
      </c>
    </row>
    <row r="981" spans="1:9" x14ac:dyDescent="0.35">
      <c r="A981" s="395" t="s">
        <v>2073</v>
      </c>
      <c r="B981" s="396" t="s">
        <v>146</v>
      </c>
      <c r="C981" s="395" t="s">
        <v>147</v>
      </c>
      <c r="D981" s="395">
        <v>135</v>
      </c>
      <c r="E981" s="397">
        <f t="shared" si="16"/>
        <v>236372175</v>
      </c>
      <c r="F981" s="398" t="s">
        <v>2074</v>
      </c>
      <c r="G981" s="398" t="s">
        <v>181</v>
      </c>
      <c r="H981" s="398" t="s">
        <v>156</v>
      </c>
      <c r="I981" s="398" t="s">
        <v>156</v>
      </c>
    </row>
    <row r="982" spans="1:9" x14ac:dyDescent="0.35">
      <c r="A982" s="395" t="s">
        <v>2075</v>
      </c>
      <c r="B982" s="396" t="s">
        <v>146</v>
      </c>
      <c r="C982" s="395" t="s">
        <v>147</v>
      </c>
      <c r="D982" s="395">
        <v>135</v>
      </c>
      <c r="E982" s="397">
        <f t="shared" si="16"/>
        <v>236372175</v>
      </c>
      <c r="F982" s="398" t="s">
        <v>2076</v>
      </c>
      <c r="G982" s="398" t="s">
        <v>191</v>
      </c>
      <c r="H982" s="398" t="s">
        <v>156</v>
      </c>
      <c r="I982" s="398" t="s">
        <v>156</v>
      </c>
    </row>
    <row r="983" spans="1:9" x14ac:dyDescent="0.35">
      <c r="A983" s="395" t="s">
        <v>2077</v>
      </c>
      <c r="B983" s="396" t="s">
        <v>146</v>
      </c>
      <c r="C983" s="395" t="s">
        <v>147</v>
      </c>
      <c r="D983" s="395">
        <v>135</v>
      </c>
      <c r="E983" s="397">
        <f t="shared" si="16"/>
        <v>236372175</v>
      </c>
      <c r="F983" s="398" t="s">
        <v>2078</v>
      </c>
      <c r="G983" s="398" t="s">
        <v>285</v>
      </c>
      <c r="H983" s="398" t="s">
        <v>156</v>
      </c>
      <c r="I983" s="398" t="s">
        <v>156</v>
      </c>
    </row>
    <row r="984" spans="1:9" x14ac:dyDescent="0.35">
      <c r="A984" s="395" t="s">
        <v>2079</v>
      </c>
      <c r="B984" s="396" t="s">
        <v>146</v>
      </c>
      <c r="C984" s="395" t="s">
        <v>147</v>
      </c>
      <c r="D984" s="395">
        <v>135</v>
      </c>
      <c r="E984" s="397">
        <f t="shared" si="16"/>
        <v>236372175</v>
      </c>
      <c r="F984" s="398" t="s">
        <v>2080</v>
      </c>
      <c r="G984" s="398" t="s">
        <v>149</v>
      </c>
      <c r="H984" s="398" t="s">
        <v>156</v>
      </c>
      <c r="I984" s="398" t="s">
        <v>156</v>
      </c>
    </row>
    <row r="985" spans="1:9" x14ac:dyDescent="0.35">
      <c r="A985" s="395" t="s">
        <v>2081</v>
      </c>
      <c r="B985" s="396" t="s">
        <v>146</v>
      </c>
      <c r="C985" s="395" t="s">
        <v>147</v>
      </c>
      <c r="D985" s="395">
        <v>135</v>
      </c>
      <c r="E985" s="397">
        <f t="shared" si="16"/>
        <v>236372175</v>
      </c>
      <c r="F985" s="398" t="s">
        <v>2082</v>
      </c>
      <c r="G985" s="398" t="s">
        <v>200</v>
      </c>
      <c r="H985" s="398" t="s">
        <v>156</v>
      </c>
      <c r="I985" s="398" t="s">
        <v>156</v>
      </c>
    </row>
    <row r="986" spans="1:9" x14ac:dyDescent="0.35">
      <c r="A986" s="395" t="s">
        <v>2083</v>
      </c>
      <c r="B986" s="396" t="s">
        <v>146</v>
      </c>
      <c r="C986" s="395" t="s">
        <v>147</v>
      </c>
      <c r="D986" s="395">
        <v>135</v>
      </c>
      <c r="E986" s="397">
        <f t="shared" si="16"/>
        <v>236372175</v>
      </c>
      <c r="F986" s="398" t="s">
        <v>2084</v>
      </c>
      <c r="G986" s="398" t="s">
        <v>200</v>
      </c>
      <c r="H986" s="398" t="s">
        <v>156</v>
      </c>
      <c r="I986" s="398" t="s">
        <v>156</v>
      </c>
    </row>
    <row r="987" spans="1:9" x14ac:dyDescent="0.35">
      <c r="A987" s="395" t="s">
        <v>2085</v>
      </c>
      <c r="B987" s="396" t="s">
        <v>146</v>
      </c>
      <c r="C987" s="395" t="s">
        <v>147</v>
      </c>
      <c r="D987" s="395">
        <v>135</v>
      </c>
      <c r="E987" s="397">
        <f t="shared" si="16"/>
        <v>236372175</v>
      </c>
      <c r="F987" s="398" t="s">
        <v>2086</v>
      </c>
      <c r="G987" s="398" t="s">
        <v>529</v>
      </c>
      <c r="H987" s="398" t="s">
        <v>156</v>
      </c>
      <c r="I987" s="398" t="s">
        <v>156</v>
      </c>
    </row>
    <row r="988" spans="1:9" x14ac:dyDescent="0.35">
      <c r="A988" s="395" t="s">
        <v>2087</v>
      </c>
      <c r="B988" s="396" t="s">
        <v>146</v>
      </c>
      <c r="C988" s="395" t="s">
        <v>147</v>
      </c>
      <c r="D988" s="395">
        <v>135</v>
      </c>
      <c r="E988" s="397">
        <f t="shared" si="16"/>
        <v>236372175</v>
      </c>
      <c r="F988" s="398" t="s">
        <v>2088</v>
      </c>
      <c r="G988" s="398" t="s">
        <v>783</v>
      </c>
      <c r="H988" s="398" t="s">
        <v>156</v>
      </c>
      <c r="I988" s="398" t="s">
        <v>156</v>
      </c>
    </row>
    <row r="989" spans="1:9" x14ac:dyDescent="0.35">
      <c r="A989" s="395" t="s">
        <v>2089</v>
      </c>
      <c r="B989" s="396" t="s">
        <v>146</v>
      </c>
      <c r="C989" s="395" t="s">
        <v>147</v>
      </c>
      <c r="D989" s="395">
        <v>135</v>
      </c>
      <c r="E989" s="397">
        <f t="shared" si="16"/>
        <v>236372175</v>
      </c>
      <c r="F989" s="398" t="s">
        <v>2090</v>
      </c>
      <c r="G989" s="398" t="s">
        <v>149</v>
      </c>
      <c r="H989" s="398" t="s">
        <v>156</v>
      </c>
      <c r="I989" s="398" t="s">
        <v>156</v>
      </c>
    </row>
    <row r="990" spans="1:9" x14ac:dyDescent="0.35">
      <c r="A990" s="395" t="s">
        <v>2091</v>
      </c>
      <c r="B990" s="396" t="s">
        <v>146</v>
      </c>
      <c r="C990" s="395" t="s">
        <v>147</v>
      </c>
      <c r="D990" s="395">
        <v>135</v>
      </c>
      <c r="E990" s="397">
        <f t="shared" si="16"/>
        <v>236372175</v>
      </c>
      <c r="F990" s="398" t="s">
        <v>2092</v>
      </c>
      <c r="G990" s="398" t="s">
        <v>170</v>
      </c>
      <c r="H990" s="398" t="s">
        <v>156</v>
      </c>
      <c r="I990" s="398" t="s">
        <v>156</v>
      </c>
    </row>
    <row r="991" spans="1:9" x14ac:dyDescent="0.35">
      <c r="A991" s="395" t="s">
        <v>2093</v>
      </c>
      <c r="B991" s="396" t="s">
        <v>146</v>
      </c>
      <c r="C991" s="395" t="s">
        <v>147</v>
      </c>
      <c r="D991" s="395">
        <v>135</v>
      </c>
      <c r="E991" s="397">
        <f t="shared" si="16"/>
        <v>236372175</v>
      </c>
      <c r="F991" s="398" t="s">
        <v>2094</v>
      </c>
      <c r="G991" s="398" t="s">
        <v>149</v>
      </c>
      <c r="H991" s="398" t="s">
        <v>156</v>
      </c>
      <c r="I991" s="398" t="s">
        <v>156</v>
      </c>
    </row>
    <row r="992" spans="1:9" x14ac:dyDescent="0.35">
      <c r="A992" s="395" t="s">
        <v>2095</v>
      </c>
      <c r="B992" s="396" t="s">
        <v>146</v>
      </c>
      <c r="C992" s="395" t="s">
        <v>147</v>
      </c>
      <c r="D992" s="395">
        <v>135</v>
      </c>
      <c r="E992" s="397">
        <f t="shared" si="16"/>
        <v>236372175</v>
      </c>
      <c r="F992" s="398" t="s">
        <v>2096</v>
      </c>
      <c r="G992" s="398" t="s">
        <v>224</v>
      </c>
      <c r="H992" s="398" t="s">
        <v>156</v>
      </c>
      <c r="I992" s="398" t="s">
        <v>156</v>
      </c>
    </row>
    <row r="993" spans="1:9" x14ac:dyDescent="0.35">
      <c r="A993" s="395" t="s">
        <v>2097</v>
      </c>
      <c r="B993" s="396" t="s">
        <v>146</v>
      </c>
      <c r="C993" s="395" t="s">
        <v>147</v>
      </c>
      <c r="D993" s="395">
        <v>135</v>
      </c>
      <c r="E993" s="397">
        <f t="shared" si="16"/>
        <v>236372175</v>
      </c>
      <c r="F993" s="398" t="s">
        <v>2098</v>
      </c>
      <c r="G993" s="398" t="s">
        <v>191</v>
      </c>
      <c r="H993" s="398" t="s">
        <v>156</v>
      </c>
      <c r="I993" s="398" t="s">
        <v>156</v>
      </c>
    </row>
    <row r="994" spans="1:9" x14ac:dyDescent="0.35">
      <c r="A994" s="395" t="s">
        <v>2099</v>
      </c>
      <c r="B994" s="396" t="s">
        <v>146</v>
      </c>
      <c r="C994" s="395" t="s">
        <v>147</v>
      </c>
      <c r="D994" s="395">
        <v>135</v>
      </c>
      <c r="E994" s="397">
        <f t="shared" si="16"/>
        <v>236372175</v>
      </c>
      <c r="F994" s="398" t="s">
        <v>2100</v>
      </c>
      <c r="G994" s="398" t="s">
        <v>178</v>
      </c>
      <c r="H994" s="398" t="s">
        <v>156</v>
      </c>
      <c r="I994" s="398" t="s">
        <v>156</v>
      </c>
    </row>
    <row r="995" spans="1:9" x14ac:dyDescent="0.35">
      <c r="A995" s="395" t="s">
        <v>2101</v>
      </c>
      <c r="B995" s="396" t="s">
        <v>146</v>
      </c>
      <c r="C995" s="395" t="s">
        <v>147</v>
      </c>
      <c r="D995" s="395">
        <v>135</v>
      </c>
      <c r="E995" s="397">
        <f t="shared" si="16"/>
        <v>236372175</v>
      </c>
      <c r="F995" s="398" t="s">
        <v>2102</v>
      </c>
      <c r="G995" s="398" t="s">
        <v>170</v>
      </c>
      <c r="H995" s="398" t="s">
        <v>156</v>
      </c>
      <c r="I995" s="398" t="s">
        <v>156</v>
      </c>
    </row>
    <row r="996" spans="1:9" x14ac:dyDescent="0.35">
      <c r="A996" s="395" t="s">
        <v>2103</v>
      </c>
      <c r="B996" s="396" t="s">
        <v>146</v>
      </c>
      <c r="C996" s="395" t="s">
        <v>147</v>
      </c>
      <c r="D996" s="395">
        <v>135</v>
      </c>
      <c r="E996" s="397">
        <f t="shared" si="16"/>
        <v>236372175</v>
      </c>
      <c r="F996" s="398" t="s">
        <v>2104</v>
      </c>
      <c r="G996" s="398" t="s">
        <v>178</v>
      </c>
      <c r="H996" s="398" t="s">
        <v>240</v>
      </c>
      <c r="I996" s="398" t="s">
        <v>164</v>
      </c>
    </row>
    <row r="997" spans="1:9" x14ac:dyDescent="0.35">
      <c r="A997" s="395" t="s">
        <v>2105</v>
      </c>
      <c r="B997" s="396" t="s">
        <v>146</v>
      </c>
      <c r="C997" s="395" t="s">
        <v>147</v>
      </c>
      <c r="D997" s="395">
        <v>135</v>
      </c>
      <c r="E997" s="397">
        <f t="shared" si="16"/>
        <v>236372175</v>
      </c>
      <c r="F997" s="398" t="s">
        <v>2106</v>
      </c>
      <c r="G997" s="398" t="s">
        <v>216</v>
      </c>
      <c r="H997" s="398" t="s">
        <v>156</v>
      </c>
      <c r="I997" s="398" t="s">
        <v>156</v>
      </c>
    </row>
    <row r="998" spans="1:9" x14ac:dyDescent="0.35">
      <c r="A998" s="395" t="s">
        <v>2107</v>
      </c>
      <c r="B998" s="396" t="s">
        <v>146</v>
      </c>
      <c r="C998" s="395" t="s">
        <v>147</v>
      </c>
      <c r="D998" s="395">
        <v>135</v>
      </c>
      <c r="E998" s="397">
        <f t="shared" si="16"/>
        <v>236372175</v>
      </c>
      <c r="F998" s="398" t="s">
        <v>2108</v>
      </c>
      <c r="G998" s="398" t="s">
        <v>178</v>
      </c>
      <c r="H998" s="398" t="s">
        <v>156</v>
      </c>
      <c r="I998" s="398" t="s">
        <v>156</v>
      </c>
    </row>
    <row r="999" spans="1:9" x14ac:dyDescent="0.35">
      <c r="A999" s="395" t="s">
        <v>2109</v>
      </c>
      <c r="B999" s="396" t="s">
        <v>146</v>
      </c>
      <c r="C999" s="395" t="s">
        <v>147</v>
      </c>
      <c r="D999" s="395">
        <v>135</v>
      </c>
      <c r="E999" s="397">
        <f t="shared" si="16"/>
        <v>236372175</v>
      </c>
      <c r="F999" s="398" t="s">
        <v>2110</v>
      </c>
      <c r="G999" s="398" t="s">
        <v>224</v>
      </c>
      <c r="H999" s="398" t="s">
        <v>156</v>
      </c>
      <c r="I999" s="398" t="s">
        <v>156</v>
      </c>
    </row>
    <row r="1000" spans="1:9" x14ac:dyDescent="0.35">
      <c r="A1000" s="395" t="s">
        <v>2111</v>
      </c>
      <c r="B1000" s="396" t="s">
        <v>146</v>
      </c>
      <c r="C1000" s="395" t="s">
        <v>147</v>
      </c>
      <c r="D1000" s="395">
        <v>135</v>
      </c>
      <c r="E1000" s="397">
        <f t="shared" si="16"/>
        <v>236372175</v>
      </c>
      <c r="F1000" s="398" t="s">
        <v>2112</v>
      </c>
      <c r="G1000" s="398" t="s">
        <v>155</v>
      </c>
      <c r="H1000" s="398" t="s">
        <v>156</v>
      </c>
      <c r="I1000" s="398" t="s">
        <v>156</v>
      </c>
    </row>
    <row r="1001" spans="1:9" x14ac:dyDescent="0.35">
      <c r="A1001" s="395" t="s">
        <v>2113</v>
      </c>
      <c r="B1001" s="396" t="s">
        <v>146</v>
      </c>
      <c r="C1001" s="395" t="s">
        <v>147</v>
      </c>
      <c r="D1001" s="395">
        <v>135</v>
      </c>
      <c r="E1001" s="397">
        <f t="shared" si="16"/>
        <v>236372175</v>
      </c>
      <c r="F1001" s="398" t="s">
        <v>2114</v>
      </c>
      <c r="G1001" s="398" t="s">
        <v>170</v>
      </c>
      <c r="H1001" s="398" t="s">
        <v>156</v>
      </c>
      <c r="I1001" s="398" t="s">
        <v>156</v>
      </c>
    </row>
    <row r="1002" spans="1:9" x14ac:dyDescent="0.35">
      <c r="A1002" s="395" t="s">
        <v>2115</v>
      </c>
      <c r="B1002" s="396" t="s">
        <v>146</v>
      </c>
      <c r="C1002" s="395" t="s">
        <v>147</v>
      </c>
      <c r="D1002" s="395">
        <v>135</v>
      </c>
      <c r="E1002" s="397">
        <f t="shared" si="16"/>
        <v>236372175</v>
      </c>
      <c r="F1002" s="398" t="s">
        <v>2116</v>
      </c>
      <c r="G1002" s="398" t="s">
        <v>170</v>
      </c>
      <c r="H1002" s="398" t="s">
        <v>156</v>
      </c>
      <c r="I1002" s="398" t="s">
        <v>156</v>
      </c>
    </row>
    <row r="1003" spans="1:9" x14ac:dyDescent="0.35">
      <c r="A1003" s="395" t="s">
        <v>2117</v>
      </c>
      <c r="B1003" s="396" t="s">
        <v>146</v>
      </c>
      <c r="C1003" s="395" t="s">
        <v>147</v>
      </c>
      <c r="D1003" s="395">
        <v>135</v>
      </c>
      <c r="E1003" s="397">
        <f t="shared" si="16"/>
        <v>236372175</v>
      </c>
      <c r="F1003" s="398" t="s">
        <v>2118</v>
      </c>
      <c r="G1003" s="398" t="s">
        <v>178</v>
      </c>
      <c r="H1003" s="398" t="s">
        <v>156</v>
      </c>
      <c r="I1003" s="398" t="s">
        <v>156</v>
      </c>
    </row>
    <row r="1004" spans="1:9" x14ac:dyDescent="0.35">
      <c r="A1004" s="395" t="s">
        <v>2119</v>
      </c>
      <c r="B1004" s="396" t="s">
        <v>146</v>
      </c>
      <c r="C1004" s="395" t="s">
        <v>147</v>
      </c>
      <c r="D1004" s="395">
        <v>135</v>
      </c>
      <c r="E1004" s="397">
        <f t="shared" si="16"/>
        <v>236372175</v>
      </c>
      <c r="F1004" s="398" t="s">
        <v>2120</v>
      </c>
      <c r="G1004" s="398" t="s">
        <v>224</v>
      </c>
      <c r="H1004" s="398" t="s">
        <v>156</v>
      </c>
      <c r="I1004" s="398" t="s">
        <v>156</v>
      </c>
    </row>
    <row r="1005" spans="1:9" x14ac:dyDescent="0.35">
      <c r="A1005" s="395" t="s">
        <v>2121</v>
      </c>
      <c r="B1005" s="396" t="s">
        <v>146</v>
      </c>
      <c r="C1005" s="395" t="s">
        <v>147</v>
      </c>
      <c r="D1005" s="395">
        <v>135</v>
      </c>
      <c r="E1005" s="397">
        <f t="shared" si="16"/>
        <v>236372175</v>
      </c>
      <c r="F1005" s="398" t="s">
        <v>2122</v>
      </c>
      <c r="G1005" s="398" t="s">
        <v>224</v>
      </c>
      <c r="H1005" s="398" t="s">
        <v>150</v>
      </c>
      <c r="I1005" s="398" t="s">
        <v>192</v>
      </c>
    </row>
    <row r="1006" spans="1:9" x14ac:dyDescent="0.35">
      <c r="A1006" s="395" t="s">
        <v>2123</v>
      </c>
      <c r="B1006" s="396" t="s">
        <v>146</v>
      </c>
      <c r="C1006" s="395" t="s">
        <v>147</v>
      </c>
      <c r="D1006" s="395">
        <v>135</v>
      </c>
      <c r="E1006" s="397">
        <f t="shared" si="16"/>
        <v>236372175</v>
      </c>
      <c r="F1006" s="398" t="s">
        <v>2124</v>
      </c>
      <c r="G1006" s="398" t="s">
        <v>178</v>
      </c>
      <c r="H1006" s="398" t="s">
        <v>156</v>
      </c>
      <c r="I1006" s="398" t="s">
        <v>156</v>
      </c>
    </row>
    <row r="1007" spans="1:9" x14ac:dyDescent="0.35">
      <c r="A1007" s="395" t="s">
        <v>2125</v>
      </c>
      <c r="B1007" s="396" t="s">
        <v>146</v>
      </c>
      <c r="C1007" s="395" t="s">
        <v>147</v>
      </c>
      <c r="D1007" s="395">
        <v>135</v>
      </c>
      <c r="E1007" s="397">
        <f t="shared" si="16"/>
        <v>236372175</v>
      </c>
      <c r="F1007" s="398" t="s">
        <v>2126</v>
      </c>
      <c r="G1007" s="398" t="s">
        <v>155</v>
      </c>
      <c r="H1007" s="398" t="s">
        <v>156</v>
      </c>
      <c r="I1007" s="398" t="s">
        <v>156</v>
      </c>
    </row>
    <row r="1008" spans="1:9" x14ac:dyDescent="0.35">
      <c r="A1008" s="395" t="s">
        <v>2127</v>
      </c>
      <c r="B1008" s="396" t="s">
        <v>146</v>
      </c>
      <c r="C1008" s="395" t="s">
        <v>147</v>
      </c>
      <c r="D1008" s="395">
        <v>135</v>
      </c>
      <c r="E1008" s="397">
        <f t="shared" si="16"/>
        <v>236372175</v>
      </c>
      <c r="F1008" s="398" t="s">
        <v>2128</v>
      </c>
      <c r="G1008" s="398" t="s">
        <v>324</v>
      </c>
      <c r="H1008" s="398" t="s">
        <v>156</v>
      </c>
      <c r="I1008" s="398" t="s">
        <v>156</v>
      </c>
    </row>
    <row r="1009" spans="1:9" x14ac:dyDescent="0.35">
      <c r="A1009" s="395" t="s">
        <v>2129</v>
      </c>
      <c r="B1009" s="396" t="s">
        <v>146</v>
      </c>
      <c r="C1009" s="395" t="s">
        <v>147</v>
      </c>
      <c r="D1009" s="395">
        <v>135</v>
      </c>
      <c r="E1009" s="397">
        <f t="shared" si="16"/>
        <v>236372175</v>
      </c>
      <c r="F1009" s="398" t="s">
        <v>2130</v>
      </c>
      <c r="G1009" s="398" t="s">
        <v>170</v>
      </c>
      <c r="H1009" s="398" t="s">
        <v>240</v>
      </c>
      <c r="I1009" s="398" t="s">
        <v>164</v>
      </c>
    </row>
    <row r="1010" spans="1:9" x14ac:dyDescent="0.35">
      <c r="A1010" s="395" t="s">
        <v>2131</v>
      </c>
      <c r="B1010" s="396" t="s">
        <v>146</v>
      </c>
      <c r="C1010" s="395" t="s">
        <v>147</v>
      </c>
      <c r="D1010" s="395">
        <v>135</v>
      </c>
      <c r="E1010" s="397">
        <f t="shared" si="16"/>
        <v>236372175</v>
      </c>
      <c r="F1010" s="398" t="s">
        <v>2132</v>
      </c>
      <c r="G1010" s="398" t="s">
        <v>221</v>
      </c>
      <c r="H1010" s="398" t="s">
        <v>156</v>
      </c>
      <c r="I1010" s="398" t="s">
        <v>156</v>
      </c>
    </row>
    <row r="1011" spans="1:9" x14ac:dyDescent="0.35">
      <c r="A1011" s="395" t="s">
        <v>2133</v>
      </c>
      <c r="B1011" s="396" t="s">
        <v>146</v>
      </c>
      <c r="C1011" s="395" t="s">
        <v>147</v>
      </c>
      <c r="D1011" s="395">
        <v>135</v>
      </c>
      <c r="E1011" s="397">
        <f t="shared" si="16"/>
        <v>236372175</v>
      </c>
      <c r="F1011" s="398" t="s">
        <v>2134</v>
      </c>
      <c r="G1011" s="398" t="s">
        <v>221</v>
      </c>
      <c r="H1011" s="398" t="s">
        <v>156</v>
      </c>
      <c r="I1011" s="398" t="s">
        <v>156</v>
      </c>
    </row>
    <row r="1012" spans="1:9" x14ac:dyDescent="0.35">
      <c r="A1012" s="395" t="s">
        <v>2135</v>
      </c>
      <c r="B1012" s="396" t="s">
        <v>146</v>
      </c>
      <c r="C1012" s="395" t="s">
        <v>147</v>
      </c>
      <c r="D1012" s="395">
        <v>135</v>
      </c>
      <c r="E1012" s="397">
        <f t="shared" si="16"/>
        <v>236372175</v>
      </c>
      <c r="F1012" s="398" t="s">
        <v>2136</v>
      </c>
      <c r="G1012" s="398" t="s">
        <v>224</v>
      </c>
      <c r="H1012" s="398" t="s">
        <v>156</v>
      </c>
      <c r="I1012" s="398" t="s">
        <v>156</v>
      </c>
    </row>
    <row r="1013" spans="1:9" x14ac:dyDescent="0.35">
      <c r="A1013" s="395" t="s">
        <v>2137</v>
      </c>
      <c r="B1013" s="396" t="s">
        <v>146</v>
      </c>
      <c r="C1013" s="395" t="s">
        <v>147</v>
      </c>
      <c r="D1013" s="395">
        <v>135</v>
      </c>
      <c r="E1013" s="397">
        <f t="shared" si="16"/>
        <v>236372175</v>
      </c>
      <c r="F1013" s="398" t="s">
        <v>2138</v>
      </c>
      <c r="G1013" s="398" t="s">
        <v>224</v>
      </c>
      <c r="H1013" s="398" t="s">
        <v>156</v>
      </c>
      <c r="I1013" s="398" t="s">
        <v>156</v>
      </c>
    </row>
    <row r="1014" spans="1:9" x14ac:dyDescent="0.35">
      <c r="A1014" s="395" t="s">
        <v>2139</v>
      </c>
      <c r="B1014" s="396" t="s">
        <v>146</v>
      </c>
      <c r="C1014" s="395" t="s">
        <v>147</v>
      </c>
      <c r="D1014" s="395">
        <v>135</v>
      </c>
      <c r="E1014" s="397">
        <f t="shared" si="16"/>
        <v>236372175</v>
      </c>
      <c r="F1014" s="398" t="s">
        <v>2140</v>
      </c>
      <c r="G1014" s="398" t="s">
        <v>173</v>
      </c>
      <c r="H1014" s="398" t="s">
        <v>156</v>
      </c>
      <c r="I1014" s="398" t="s">
        <v>156</v>
      </c>
    </row>
    <row r="1015" spans="1:9" x14ac:dyDescent="0.35">
      <c r="A1015" s="395" t="s">
        <v>2141</v>
      </c>
      <c r="B1015" s="396" t="s">
        <v>146</v>
      </c>
      <c r="C1015" s="395" t="s">
        <v>147</v>
      </c>
      <c r="D1015" s="395">
        <v>135</v>
      </c>
      <c r="E1015" s="397">
        <f t="shared" si="16"/>
        <v>236372175</v>
      </c>
      <c r="F1015" s="398" t="s">
        <v>2142</v>
      </c>
      <c r="G1015" s="398" t="s">
        <v>149</v>
      </c>
      <c r="H1015" s="398" t="s">
        <v>156</v>
      </c>
      <c r="I1015" s="398" t="s">
        <v>156</v>
      </c>
    </row>
    <row r="1016" spans="1:9" x14ac:dyDescent="0.35">
      <c r="A1016" s="395" t="s">
        <v>2143</v>
      </c>
      <c r="B1016" s="396" t="s">
        <v>146</v>
      </c>
      <c r="C1016" s="395" t="s">
        <v>147</v>
      </c>
      <c r="D1016" s="395">
        <v>135</v>
      </c>
      <c r="E1016" s="397">
        <f t="shared" si="16"/>
        <v>236372175</v>
      </c>
      <c r="F1016" s="398" t="s">
        <v>2144</v>
      </c>
      <c r="G1016" s="398" t="s">
        <v>224</v>
      </c>
      <c r="H1016" s="398" t="s">
        <v>156</v>
      </c>
      <c r="I1016" s="398" t="s">
        <v>156</v>
      </c>
    </row>
    <row r="1017" spans="1:9" x14ac:dyDescent="0.35">
      <c r="A1017" s="395" t="s">
        <v>2145</v>
      </c>
      <c r="B1017" s="396" t="s">
        <v>146</v>
      </c>
      <c r="C1017" s="395" t="s">
        <v>147</v>
      </c>
      <c r="D1017" s="395">
        <v>135</v>
      </c>
      <c r="E1017" s="397">
        <f t="shared" si="16"/>
        <v>236372175</v>
      </c>
      <c r="F1017" s="398" t="s">
        <v>2146</v>
      </c>
      <c r="G1017" s="398" t="s">
        <v>178</v>
      </c>
      <c r="H1017" s="398" t="s">
        <v>150</v>
      </c>
      <c r="I1017" s="398" t="s">
        <v>164</v>
      </c>
    </row>
    <row r="1018" spans="1:9" x14ac:dyDescent="0.35">
      <c r="A1018" s="395" t="s">
        <v>2147</v>
      </c>
      <c r="B1018" s="396" t="s">
        <v>146</v>
      </c>
      <c r="C1018" s="395" t="s">
        <v>358</v>
      </c>
      <c r="D1018" s="395">
        <v>150</v>
      </c>
      <c r="E1018" s="397">
        <f t="shared" si="16"/>
        <v>262635750</v>
      </c>
      <c r="F1018" s="398" t="s">
        <v>2148</v>
      </c>
      <c r="G1018" s="398" t="s">
        <v>178</v>
      </c>
      <c r="H1018" s="398" t="s">
        <v>462</v>
      </c>
      <c r="I1018" s="398" t="s">
        <v>164</v>
      </c>
    </row>
    <row r="1019" spans="1:9" x14ac:dyDescent="0.35">
      <c r="A1019" s="395" t="s">
        <v>2149</v>
      </c>
      <c r="B1019" s="396" t="s">
        <v>146</v>
      </c>
      <c r="C1019" s="395" t="s">
        <v>147</v>
      </c>
      <c r="D1019" s="395">
        <v>135</v>
      </c>
      <c r="E1019" s="397">
        <f t="shared" si="16"/>
        <v>236372175</v>
      </c>
      <c r="F1019" s="398" t="s">
        <v>2150</v>
      </c>
      <c r="G1019" s="398" t="s">
        <v>224</v>
      </c>
      <c r="H1019" s="398" t="s">
        <v>156</v>
      </c>
      <c r="I1019" s="398" t="s">
        <v>156</v>
      </c>
    </row>
    <row r="1020" spans="1:9" x14ac:dyDescent="0.35">
      <c r="A1020" s="395" t="s">
        <v>2151</v>
      </c>
      <c r="B1020" s="396" t="s">
        <v>146</v>
      </c>
      <c r="C1020" s="395" t="s">
        <v>147</v>
      </c>
      <c r="D1020" s="395">
        <v>135</v>
      </c>
      <c r="E1020" s="397">
        <f t="shared" si="16"/>
        <v>236372175</v>
      </c>
      <c r="F1020" s="398" t="s">
        <v>2152</v>
      </c>
      <c r="G1020" s="398" t="s">
        <v>149</v>
      </c>
      <c r="H1020" s="398" t="s">
        <v>156</v>
      </c>
      <c r="I1020" s="398" t="s">
        <v>156</v>
      </c>
    </row>
    <row r="1021" spans="1:9" x14ac:dyDescent="0.35">
      <c r="A1021" s="395" t="s">
        <v>2153</v>
      </c>
      <c r="B1021" s="396" t="s">
        <v>146</v>
      </c>
      <c r="C1021" s="395" t="s">
        <v>147</v>
      </c>
      <c r="D1021" s="395">
        <v>135</v>
      </c>
      <c r="E1021" s="397">
        <f t="shared" si="16"/>
        <v>236372175</v>
      </c>
      <c r="F1021" s="398" t="s">
        <v>2152</v>
      </c>
      <c r="G1021" s="398" t="s">
        <v>155</v>
      </c>
      <c r="H1021" s="398" t="s">
        <v>156</v>
      </c>
      <c r="I1021" s="398" t="s">
        <v>156</v>
      </c>
    </row>
    <row r="1022" spans="1:9" x14ac:dyDescent="0.35">
      <c r="A1022" s="395" t="s">
        <v>2154</v>
      </c>
      <c r="B1022" s="396" t="s">
        <v>146</v>
      </c>
      <c r="C1022" s="395" t="s">
        <v>147</v>
      </c>
      <c r="D1022" s="395">
        <v>135</v>
      </c>
      <c r="E1022" s="397">
        <f t="shared" si="16"/>
        <v>236372175</v>
      </c>
      <c r="F1022" s="398" t="s">
        <v>2155</v>
      </c>
      <c r="G1022" s="398" t="s">
        <v>424</v>
      </c>
      <c r="H1022" s="398" t="s">
        <v>156</v>
      </c>
      <c r="I1022" s="398" t="s">
        <v>156</v>
      </c>
    </row>
    <row r="1023" spans="1:9" x14ac:dyDescent="0.35">
      <c r="A1023" s="395" t="s">
        <v>2156</v>
      </c>
      <c r="B1023" s="396" t="s">
        <v>146</v>
      </c>
      <c r="C1023" s="395" t="s">
        <v>147</v>
      </c>
      <c r="D1023" s="395">
        <v>135</v>
      </c>
      <c r="E1023" s="397">
        <f t="shared" si="16"/>
        <v>236372175</v>
      </c>
      <c r="F1023" s="398" t="s">
        <v>2157</v>
      </c>
      <c r="G1023" s="398" t="s">
        <v>185</v>
      </c>
      <c r="H1023" s="398" t="s">
        <v>156</v>
      </c>
      <c r="I1023" s="398" t="s">
        <v>156</v>
      </c>
    </row>
    <row r="1024" spans="1:9" x14ac:dyDescent="0.35">
      <c r="A1024" s="395" t="s">
        <v>2158</v>
      </c>
      <c r="B1024" s="396" t="s">
        <v>146</v>
      </c>
      <c r="C1024" s="395" t="s">
        <v>147</v>
      </c>
      <c r="D1024" s="395">
        <v>135</v>
      </c>
      <c r="E1024" s="397">
        <f t="shared" si="16"/>
        <v>236372175</v>
      </c>
      <c r="F1024" s="398" t="s">
        <v>2159</v>
      </c>
      <c r="G1024" s="398" t="s">
        <v>224</v>
      </c>
      <c r="H1024" s="398" t="s">
        <v>156</v>
      </c>
      <c r="I1024" s="398" t="s">
        <v>156</v>
      </c>
    </row>
    <row r="1025" spans="1:9" x14ac:dyDescent="0.35">
      <c r="A1025" s="395" t="s">
        <v>2160</v>
      </c>
      <c r="B1025" s="396" t="s">
        <v>146</v>
      </c>
      <c r="C1025" s="395" t="s">
        <v>147</v>
      </c>
      <c r="D1025" s="395">
        <v>135</v>
      </c>
      <c r="E1025" s="397">
        <f t="shared" si="16"/>
        <v>236372175</v>
      </c>
      <c r="F1025" s="398" t="s">
        <v>2161</v>
      </c>
      <c r="G1025" s="398" t="s">
        <v>178</v>
      </c>
      <c r="H1025" s="398" t="s">
        <v>156</v>
      </c>
      <c r="I1025" s="398" t="s">
        <v>156</v>
      </c>
    </row>
    <row r="1026" spans="1:9" x14ac:dyDescent="0.35">
      <c r="A1026" s="395" t="s">
        <v>2162</v>
      </c>
      <c r="B1026" s="396" t="s">
        <v>146</v>
      </c>
      <c r="C1026" s="395" t="s">
        <v>147</v>
      </c>
      <c r="D1026" s="395">
        <v>135</v>
      </c>
      <c r="E1026" s="397">
        <f t="shared" si="16"/>
        <v>236372175</v>
      </c>
      <c r="F1026" s="398" t="s">
        <v>2163</v>
      </c>
      <c r="G1026" s="398" t="s">
        <v>221</v>
      </c>
      <c r="H1026" s="398" t="s">
        <v>156</v>
      </c>
      <c r="I1026" s="398" t="s">
        <v>156</v>
      </c>
    </row>
    <row r="1027" spans="1:9" x14ac:dyDescent="0.35">
      <c r="A1027" s="395" t="s">
        <v>2164</v>
      </c>
      <c r="B1027" s="396" t="s">
        <v>146</v>
      </c>
      <c r="C1027" s="395" t="s">
        <v>147</v>
      </c>
      <c r="D1027" s="395">
        <v>135</v>
      </c>
      <c r="E1027" s="397">
        <f t="shared" ref="E1027:E1090" si="17">D1027*$S$2</f>
        <v>236372175</v>
      </c>
      <c r="F1027" s="398" t="s">
        <v>2165</v>
      </c>
      <c r="G1027" s="398" t="s">
        <v>209</v>
      </c>
      <c r="H1027" s="398" t="s">
        <v>156</v>
      </c>
      <c r="I1027" s="398" t="s">
        <v>156</v>
      </c>
    </row>
    <row r="1028" spans="1:9" x14ac:dyDescent="0.35">
      <c r="A1028" s="395" t="s">
        <v>2166</v>
      </c>
      <c r="B1028" s="396" t="s">
        <v>146</v>
      </c>
      <c r="C1028" s="395" t="s">
        <v>147</v>
      </c>
      <c r="D1028" s="395">
        <v>135</v>
      </c>
      <c r="E1028" s="397">
        <f t="shared" si="17"/>
        <v>236372175</v>
      </c>
      <c r="F1028" s="398" t="s">
        <v>2167</v>
      </c>
      <c r="G1028" s="398" t="s">
        <v>224</v>
      </c>
      <c r="H1028" s="398" t="s">
        <v>156</v>
      </c>
      <c r="I1028" s="398" t="s">
        <v>156</v>
      </c>
    </row>
    <row r="1029" spans="1:9" x14ac:dyDescent="0.35">
      <c r="A1029" s="395" t="s">
        <v>2168</v>
      </c>
      <c r="B1029" s="396" t="s">
        <v>146</v>
      </c>
      <c r="C1029" s="395" t="s">
        <v>147</v>
      </c>
      <c r="D1029" s="395">
        <v>135</v>
      </c>
      <c r="E1029" s="397">
        <f t="shared" si="17"/>
        <v>236372175</v>
      </c>
      <c r="F1029" s="398" t="s">
        <v>2169</v>
      </c>
      <c r="G1029" s="398" t="s">
        <v>221</v>
      </c>
      <c r="H1029" s="398" t="s">
        <v>156</v>
      </c>
      <c r="I1029" s="398" t="s">
        <v>156</v>
      </c>
    </row>
    <row r="1030" spans="1:9" x14ac:dyDescent="0.35">
      <c r="A1030" s="395" t="s">
        <v>2170</v>
      </c>
      <c r="B1030" s="396" t="s">
        <v>146</v>
      </c>
      <c r="C1030" s="395" t="s">
        <v>147</v>
      </c>
      <c r="D1030" s="395">
        <v>135</v>
      </c>
      <c r="E1030" s="397">
        <f t="shared" si="17"/>
        <v>236372175</v>
      </c>
      <c r="F1030" s="398" t="s">
        <v>2171</v>
      </c>
      <c r="G1030" s="398" t="s">
        <v>191</v>
      </c>
      <c r="H1030" s="398" t="s">
        <v>156</v>
      </c>
      <c r="I1030" s="398" t="s">
        <v>156</v>
      </c>
    </row>
    <row r="1031" spans="1:9" x14ac:dyDescent="0.35">
      <c r="A1031" s="395" t="s">
        <v>2172</v>
      </c>
      <c r="B1031" s="396" t="s">
        <v>146</v>
      </c>
      <c r="C1031" s="395" t="s">
        <v>147</v>
      </c>
      <c r="D1031" s="395">
        <v>135</v>
      </c>
      <c r="E1031" s="397">
        <f t="shared" si="17"/>
        <v>236372175</v>
      </c>
      <c r="F1031" s="398" t="s">
        <v>2173</v>
      </c>
      <c r="G1031" s="398" t="s">
        <v>209</v>
      </c>
      <c r="H1031" s="398" t="s">
        <v>156</v>
      </c>
      <c r="I1031" s="398" t="s">
        <v>156</v>
      </c>
    </row>
    <row r="1032" spans="1:9" x14ac:dyDescent="0.35">
      <c r="A1032" s="395" t="s">
        <v>2174</v>
      </c>
      <c r="B1032" s="396" t="s">
        <v>146</v>
      </c>
      <c r="C1032" s="395" t="s">
        <v>147</v>
      </c>
      <c r="D1032" s="395">
        <v>135</v>
      </c>
      <c r="E1032" s="397">
        <f t="shared" si="17"/>
        <v>236372175</v>
      </c>
      <c r="F1032" s="398" t="s">
        <v>2175</v>
      </c>
      <c r="G1032" s="398" t="s">
        <v>336</v>
      </c>
      <c r="H1032" s="398" t="s">
        <v>156</v>
      </c>
      <c r="I1032" s="398" t="s">
        <v>156</v>
      </c>
    </row>
    <row r="1033" spans="1:9" x14ac:dyDescent="0.35">
      <c r="A1033" s="395" t="s">
        <v>2176</v>
      </c>
      <c r="B1033" s="396" t="s">
        <v>146</v>
      </c>
      <c r="C1033" s="395" t="s">
        <v>147</v>
      </c>
      <c r="D1033" s="395">
        <v>135</v>
      </c>
      <c r="E1033" s="397">
        <f t="shared" si="17"/>
        <v>236372175</v>
      </c>
      <c r="F1033" s="398" t="s">
        <v>2177</v>
      </c>
      <c r="G1033" s="398" t="s">
        <v>209</v>
      </c>
      <c r="H1033" s="398" t="s">
        <v>150</v>
      </c>
      <c r="I1033" s="398" t="s">
        <v>249</v>
      </c>
    </row>
    <row r="1034" spans="1:9" x14ac:dyDescent="0.35">
      <c r="A1034" s="395" t="s">
        <v>2178</v>
      </c>
      <c r="B1034" s="396" t="s">
        <v>146</v>
      </c>
      <c r="C1034" s="395" t="s">
        <v>147</v>
      </c>
      <c r="D1034" s="395">
        <v>135</v>
      </c>
      <c r="E1034" s="397">
        <f t="shared" si="17"/>
        <v>236372175</v>
      </c>
      <c r="F1034" s="398" t="s">
        <v>2179</v>
      </c>
      <c r="G1034" s="398" t="s">
        <v>200</v>
      </c>
      <c r="H1034" s="398" t="s">
        <v>240</v>
      </c>
      <c r="I1034" s="398" t="s">
        <v>249</v>
      </c>
    </row>
    <row r="1035" spans="1:9" x14ac:dyDescent="0.35">
      <c r="A1035" s="395" t="s">
        <v>2180</v>
      </c>
      <c r="B1035" s="396" t="s">
        <v>160</v>
      </c>
      <c r="C1035" s="395" t="s">
        <v>147</v>
      </c>
      <c r="D1035" s="395">
        <v>135</v>
      </c>
      <c r="E1035" s="397">
        <f t="shared" si="17"/>
        <v>236372175</v>
      </c>
      <c r="F1035" s="398" t="s">
        <v>2181</v>
      </c>
      <c r="G1035" s="398" t="s">
        <v>224</v>
      </c>
      <c r="H1035" s="398" t="s">
        <v>150</v>
      </c>
      <c r="I1035" s="398" t="s">
        <v>192</v>
      </c>
    </row>
    <row r="1036" spans="1:9" x14ac:dyDescent="0.35">
      <c r="A1036" s="395" t="s">
        <v>2182</v>
      </c>
      <c r="B1036" s="396" t="s">
        <v>146</v>
      </c>
      <c r="C1036" s="395" t="s">
        <v>147</v>
      </c>
      <c r="D1036" s="395">
        <v>135</v>
      </c>
      <c r="E1036" s="397">
        <f t="shared" si="17"/>
        <v>236372175</v>
      </c>
      <c r="F1036" s="398" t="s">
        <v>2183</v>
      </c>
      <c r="G1036" s="398" t="s">
        <v>224</v>
      </c>
      <c r="H1036" s="398" t="s">
        <v>156</v>
      </c>
      <c r="I1036" s="398" t="s">
        <v>156</v>
      </c>
    </row>
    <row r="1037" spans="1:9" x14ac:dyDescent="0.35">
      <c r="A1037" s="395" t="s">
        <v>2184</v>
      </c>
      <c r="B1037" s="396" t="s">
        <v>146</v>
      </c>
      <c r="C1037" s="395" t="s">
        <v>147</v>
      </c>
      <c r="D1037" s="395">
        <v>135</v>
      </c>
      <c r="E1037" s="397">
        <f t="shared" si="17"/>
        <v>236372175</v>
      </c>
      <c r="F1037" s="398" t="s">
        <v>2185</v>
      </c>
      <c r="G1037" s="398" t="s">
        <v>200</v>
      </c>
      <c r="H1037" s="398" t="s">
        <v>156</v>
      </c>
      <c r="I1037" s="398" t="s">
        <v>156</v>
      </c>
    </row>
    <row r="1038" spans="1:9" x14ac:dyDescent="0.35">
      <c r="A1038" s="395" t="s">
        <v>2186</v>
      </c>
      <c r="B1038" s="396" t="s">
        <v>146</v>
      </c>
      <c r="C1038" s="395" t="s">
        <v>358</v>
      </c>
      <c r="D1038" s="395">
        <v>150</v>
      </c>
      <c r="E1038" s="397">
        <f t="shared" si="17"/>
        <v>262635750</v>
      </c>
      <c r="F1038" s="398" t="s">
        <v>2187</v>
      </c>
      <c r="G1038" s="398" t="s">
        <v>173</v>
      </c>
      <c r="H1038" s="398" t="s">
        <v>156</v>
      </c>
      <c r="I1038" s="398" t="s">
        <v>156</v>
      </c>
    </row>
    <row r="1039" spans="1:9" x14ac:dyDescent="0.35">
      <c r="A1039" s="395" t="s">
        <v>2188</v>
      </c>
      <c r="B1039" s="396" t="s">
        <v>146</v>
      </c>
      <c r="C1039" s="395" t="s">
        <v>147</v>
      </c>
      <c r="D1039" s="395">
        <v>135</v>
      </c>
      <c r="E1039" s="397">
        <f t="shared" si="17"/>
        <v>236372175</v>
      </c>
      <c r="F1039" s="398" t="s">
        <v>2189</v>
      </c>
      <c r="G1039" s="398" t="s">
        <v>173</v>
      </c>
      <c r="H1039" s="398" t="s">
        <v>156</v>
      </c>
      <c r="I1039" s="398" t="s">
        <v>156</v>
      </c>
    </row>
    <row r="1040" spans="1:9" x14ac:dyDescent="0.35">
      <c r="A1040" s="395" t="s">
        <v>2190</v>
      </c>
      <c r="B1040" s="396" t="s">
        <v>146</v>
      </c>
      <c r="C1040" s="395" t="s">
        <v>147</v>
      </c>
      <c r="D1040" s="395">
        <v>135</v>
      </c>
      <c r="E1040" s="397">
        <f t="shared" si="17"/>
        <v>236372175</v>
      </c>
      <c r="F1040" s="398" t="s">
        <v>2191</v>
      </c>
      <c r="G1040" s="398" t="s">
        <v>149</v>
      </c>
      <c r="H1040" s="398" t="s">
        <v>240</v>
      </c>
      <c r="I1040" s="398" t="s">
        <v>151</v>
      </c>
    </row>
    <row r="1041" spans="1:9" x14ac:dyDescent="0.35">
      <c r="A1041" s="395" t="s">
        <v>2192</v>
      </c>
      <c r="B1041" s="396" t="s">
        <v>146</v>
      </c>
      <c r="C1041" s="395" t="s">
        <v>147</v>
      </c>
      <c r="D1041" s="395">
        <v>135</v>
      </c>
      <c r="E1041" s="397">
        <f t="shared" si="17"/>
        <v>236372175</v>
      </c>
      <c r="F1041" s="398" t="s">
        <v>2193</v>
      </c>
      <c r="G1041" s="398" t="s">
        <v>224</v>
      </c>
      <c r="H1041" s="398" t="s">
        <v>156</v>
      </c>
      <c r="I1041" s="398" t="s">
        <v>156</v>
      </c>
    </row>
    <row r="1042" spans="1:9" x14ac:dyDescent="0.35">
      <c r="A1042" s="395" t="s">
        <v>2194</v>
      </c>
      <c r="B1042" s="396" t="s">
        <v>146</v>
      </c>
      <c r="C1042" s="395" t="s">
        <v>147</v>
      </c>
      <c r="D1042" s="395">
        <v>135</v>
      </c>
      <c r="E1042" s="397">
        <f t="shared" si="17"/>
        <v>236372175</v>
      </c>
      <c r="F1042" s="398" t="s">
        <v>2195</v>
      </c>
      <c r="G1042" s="398" t="s">
        <v>224</v>
      </c>
      <c r="H1042" s="398" t="s">
        <v>156</v>
      </c>
      <c r="I1042" s="398" t="s">
        <v>156</v>
      </c>
    </row>
    <row r="1043" spans="1:9" x14ac:dyDescent="0.35">
      <c r="A1043" s="395" t="s">
        <v>2196</v>
      </c>
      <c r="B1043" s="396" t="s">
        <v>146</v>
      </c>
      <c r="C1043" s="395" t="s">
        <v>147</v>
      </c>
      <c r="D1043" s="395">
        <v>135</v>
      </c>
      <c r="E1043" s="397">
        <f t="shared" si="17"/>
        <v>236372175</v>
      </c>
      <c r="F1043" s="398" t="s">
        <v>2197</v>
      </c>
      <c r="G1043" s="398" t="s">
        <v>224</v>
      </c>
      <c r="H1043" s="398" t="s">
        <v>156</v>
      </c>
      <c r="I1043" s="398" t="s">
        <v>156</v>
      </c>
    </row>
    <row r="1044" spans="1:9" x14ac:dyDescent="0.35">
      <c r="A1044" s="395" t="s">
        <v>2198</v>
      </c>
      <c r="B1044" s="396" t="s">
        <v>146</v>
      </c>
      <c r="C1044" s="395" t="s">
        <v>147</v>
      </c>
      <c r="D1044" s="395">
        <v>135</v>
      </c>
      <c r="E1044" s="397">
        <f t="shared" si="17"/>
        <v>236372175</v>
      </c>
      <c r="F1044" s="398" t="s">
        <v>2199</v>
      </c>
      <c r="G1044" s="398" t="s">
        <v>178</v>
      </c>
      <c r="H1044" s="398" t="s">
        <v>156</v>
      </c>
      <c r="I1044" s="398" t="s">
        <v>156</v>
      </c>
    </row>
    <row r="1045" spans="1:9" x14ac:dyDescent="0.35">
      <c r="A1045" s="395" t="s">
        <v>2200</v>
      </c>
      <c r="B1045" s="396" t="s">
        <v>146</v>
      </c>
      <c r="C1045" s="395" t="s">
        <v>147</v>
      </c>
      <c r="D1045" s="395">
        <v>135</v>
      </c>
      <c r="E1045" s="397">
        <f t="shared" si="17"/>
        <v>236372175</v>
      </c>
      <c r="F1045" s="398" t="s">
        <v>2201</v>
      </c>
      <c r="G1045" s="398" t="s">
        <v>178</v>
      </c>
      <c r="H1045" s="398" t="s">
        <v>156</v>
      </c>
      <c r="I1045" s="398" t="s">
        <v>156</v>
      </c>
    </row>
    <row r="1046" spans="1:9" x14ac:dyDescent="0.35">
      <c r="A1046" s="395" t="s">
        <v>2202</v>
      </c>
      <c r="B1046" s="396" t="s">
        <v>146</v>
      </c>
      <c r="C1046" s="395" t="s">
        <v>147</v>
      </c>
      <c r="D1046" s="395">
        <v>135</v>
      </c>
      <c r="E1046" s="397">
        <f t="shared" si="17"/>
        <v>236372175</v>
      </c>
      <c r="F1046" s="398" t="s">
        <v>2203</v>
      </c>
      <c r="G1046" s="398" t="s">
        <v>209</v>
      </c>
      <c r="H1046" s="398" t="s">
        <v>156</v>
      </c>
      <c r="I1046" s="398" t="s">
        <v>156</v>
      </c>
    </row>
    <row r="1047" spans="1:9" x14ac:dyDescent="0.35">
      <c r="A1047" s="395" t="s">
        <v>2204</v>
      </c>
      <c r="B1047" s="396" t="s">
        <v>146</v>
      </c>
      <c r="C1047" s="395" t="s">
        <v>147</v>
      </c>
      <c r="D1047" s="395">
        <v>135</v>
      </c>
      <c r="E1047" s="397">
        <f t="shared" si="17"/>
        <v>236372175</v>
      </c>
      <c r="F1047" s="398" t="s">
        <v>2205</v>
      </c>
      <c r="G1047" s="398" t="s">
        <v>224</v>
      </c>
      <c r="H1047" s="398" t="s">
        <v>156</v>
      </c>
      <c r="I1047" s="398" t="s">
        <v>156</v>
      </c>
    </row>
    <row r="1048" spans="1:9" x14ac:dyDescent="0.35">
      <c r="A1048" s="395" t="s">
        <v>2206</v>
      </c>
      <c r="B1048" s="396" t="s">
        <v>146</v>
      </c>
      <c r="C1048" s="395" t="s">
        <v>147</v>
      </c>
      <c r="D1048" s="395">
        <v>135</v>
      </c>
      <c r="E1048" s="397">
        <f t="shared" si="17"/>
        <v>236372175</v>
      </c>
      <c r="F1048" s="398" t="s">
        <v>2207</v>
      </c>
      <c r="G1048" s="398" t="s">
        <v>178</v>
      </c>
      <c r="H1048" s="398" t="s">
        <v>156</v>
      </c>
      <c r="I1048" s="398" t="s">
        <v>156</v>
      </c>
    </row>
    <row r="1049" spans="1:9" x14ac:dyDescent="0.35">
      <c r="A1049" s="395" t="s">
        <v>2208</v>
      </c>
      <c r="B1049" s="396" t="s">
        <v>146</v>
      </c>
      <c r="C1049" s="395" t="s">
        <v>147</v>
      </c>
      <c r="D1049" s="395">
        <v>135</v>
      </c>
      <c r="E1049" s="397">
        <f t="shared" si="17"/>
        <v>236372175</v>
      </c>
      <c r="F1049" s="398" t="s">
        <v>2209</v>
      </c>
      <c r="G1049" s="398" t="s">
        <v>167</v>
      </c>
      <c r="H1049" s="398" t="s">
        <v>156</v>
      </c>
      <c r="I1049" s="398" t="s">
        <v>156</v>
      </c>
    </row>
    <row r="1050" spans="1:9" x14ac:dyDescent="0.35">
      <c r="A1050" s="395" t="s">
        <v>2210</v>
      </c>
      <c r="B1050" s="396" t="s">
        <v>146</v>
      </c>
      <c r="C1050" s="395" t="s">
        <v>147</v>
      </c>
      <c r="D1050" s="395">
        <v>135</v>
      </c>
      <c r="E1050" s="397">
        <f t="shared" si="17"/>
        <v>236372175</v>
      </c>
      <c r="F1050" s="398" t="s">
        <v>2211</v>
      </c>
      <c r="G1050" s="398" t="s">
        <v>167</v>
      </c>
      <c r="H1050" s="398" t="s">
        <v>156</v>
      </c>
      <c r="I1050" s="398" t="s">
        <v>156</v>
      </c>
    </row>
    <row r="1051" spans="1:9" x14ac:dyDescent="0.35">
      <c r="A1051" s="395" t="s">
        <v>2212</v>
      </c>
      <c r="B1051" s="396" t="s">
        <v>146</v>
      </c>
      <c r="C1051" s="395" t="s">
        <v>147</v>
      </c>
      <c r="D1051" s="395">
        <v>135</v>
      </c>
      <c r="E1051" s="397">
        <f t="shared" si="17"/>
        <v>236372175</v>
      </c>
      <c r="F1051" s="398" t="s">
        <v>2213</v>
      </c>
      <c r="G1051" s="398" t="s">
        <v>149</v>
      </c>
      <c r="H1051" s="398" t="s">
        <v>156</v>
      </c>
      <c r="I1051" s="398" t="s">
        <v>156</v>
      </c>
    </row>
    <row r="1052" spans="1:9" x14ac:dyDescent="0.35">
      <c r="A1052" s="395" t="s">
        <v>2214</v>
      </c>
      <c r="B1052" s="396" t="s">
        <v>146</v>
      </c>
      <c r="C1052" s="395" t="s">
        <v>147</v>
      </c>
      <c r="D1052" s="395">
        <v>135</v>
      </c>
      <c r="E1052" s="397">
        <f t="shared" si="17"/>
        <v>236372175</v>
      </c>
      <c r="F1052" s="398" t="s">
        <v>2215</v>
      </c>
      <c r="G1052" s="398" t="s">
        <v>162</v>
      </c>
      <c r="H1052" s="398" t="s">
        <v>156</v>
      </c>
      <c r="I1052" s="398" t="s">
        <v>156</v>
      </c>
    </row>
    <row r="1053" spans="1:9" x14ac:dyDescent="0.35">
      <c r="A1053" s="395" t="s">
        <v>2216</v>
      </c>
      <c r="B1053" s="396" t="s">
        <v>146</v>
      </c>
      <c r="C1053" s="395" t="s">
        <v>147</v>
      </c>
      <c r="D1053" s="395">
        <v>135</v>
      </c>
      <c r="E1053" s="397">
        <f t="shared" si="17"/>
        <v>236372175</v>
      </c>
      <c r="F1053" s="398" t="s">
        <v>2217</v>
      </c>
      <c r="G1053" s="398" t="s">
        <v>205</v>
      </c>
      <c r="H1053" s="398" t="s">
        <v>156</v>
      </c>
      <c r="I1053" s="398" t="s">
        <v>156</v>
      </c>
    </row>
    <row r="1054" spans="1:9" x14ac:dyDescent="0.35">
      <c r="A1054" s="395" t="s">
        <v>2218</v>
      </c>
      <c r="B1054" s="396" t="s">
        <v>146</v>
      </c>
      <c r="C1054" s="395" t="s">
        <v>147</v>
      </c>
      <c r="D1054" s="395">
        <v>135</v>
      </c>
      <c r="E1054" s="397">
        <f t="shared" si="17"/>
        <v>236372175</v>
      </c>
      <c r="F1054" s="398" t="s">
        <v>2219</v>
      </c>
      <c r="G1054" s="398" t="s">
        <v>149</v>
      </c>
      <c r="H1054" s="398" t="s">
        <v>156</v>
      </c>
      <c r="I1054" s="398" t="s">
        <v>156</v>
      </c>
    </row>
    <row r="1055" spans="1:9" x14ac:dyDescent="0.35">
      <c r="A1055" s="395" t="s">
        <v>2220</v>
      </c>
      <c r="B1055" s="396" t="s">
        <v>146</v>
      </c>
      <c r="C1055" s="395" t="s">
        <v>147</v>
      </c>
      <c r="D1055" s="395">
        <v>135</v>
      </c>
      <c r="E1055" s="397">
        <f t="shared" si="17"/>
        <v>236372175</v>
      </c>
      <c r="F1055" s="398" t="s">
        <v>2221</v>
      </c>
      <c r="G1055" s="398" t="s">
        <v>205</v>
      </c>
      <c r="H1055" s="398" t="s">
        <v>156</v>
      </c>
      <c r="I1055" s="398" t="s">
        <v>156</v>
      </c>
    </row>
    <row r="1056" spans="1:9" x14ac:dyDescent="0.35">
      <c r="A1056" s="395" t="s">
        <v>2222</v>
      </c>
      <c r="B1056" s="396" t="s">
        <v>146</v>
      </c>
      <c r="C1056" s="395" t="s">
        <v>147</v>
      </c>
      <c r="D1056" s="395">
        <v>135</v>
      </c>
      <c r="E1056" s="397">
        <f t="shared" si="17"/>
        <v>236372175</v>
      </c>
      <c r="F1056" s="398" t="s">
        <v>2223</v>
      </c>
      <c r="G1056" s="398" t="s">
        <v>336</v>
      </c>
      <c r="H1056" s="398" t="s">
        <v>156</v>
      </c>
      <c r="I1056" s="398" t="s">
        <v>156</v>
      </c>
    </row>
    <row r="1057" spans="1:9" x14ac:dyDescent="0.35">
      <c r="A1057" s="395" t="s">
        <v>2224</v>
      </c>
      <c r="B1057" s="396" t="s">
        <v>146</v>
      </c>
      <c r="C1057" s="395" t="s">
        <v>147</v>
      </c>
      <c r="D1057" s="395">
        <v>135</v>
      </c>
      <c r="E1057" s="397">
        <f t="shared" si="17"/>
        <v>236372175</v>
      </c>
      <c r="F1057" s="398" t="s">
        <v>2225</v>
      </c>
      <c r="G1057" s="398" t="s">
        <v>178</v>
      </c>
      <c r="H1057" s="398" t="s">
        <v>156</v>
      </c>
      <c r="I1057" s="398" t="s">
        <v>156</v>
      </c>
    </row>
    <row r="1058" spans="1:9" x14ac:dyDescent="0.35">
      <c r="A1058" s="395" t="s">
        <v>2226</v>
      </c>
      <c r="B1058" s="396" t="s">
        <v>146</v>
      </c>
      <c r="C1058" s="395" t="s">
        <v>147</v>
      </c>
      <c r="D1058" s="395">
        <v>135</v>
      </c>
      <c r="E1058" s="397">
        <f t="shared" si="17"/>
        <v>236372175</v>
      </c>
      <c r="F1058" s="398" t="s">
        <v>2227</v>
      </c>
      <c r="G1058" s="398" t="s">
        <v>149</v>
      </c>
      <c r="H1058" s="398" t="s">
        <v>156</v>
      </c>
      <c r="I1058" s="398" t="s">
        <v>156</v>
      </c>
    </row>
    <row r="1059" spans="1:9" x14ac:dyDescent="0.35">
      <c r="A1059" s="395" t="s">
        <v>2228</v>
      </c>
      <c r="B1059" s="396" t="s">
        <v>146</v>
      </c>
      <c r="C1059" s="395" t="s">
        <v>147</v>
      </c>
      <c r="D1059" s="395">
        <v>135</v>
      </c>
      <c r="E1059" s="397">
        <f t="shared" si="17"/>
        <v>236372175</v>
      </c>
      <c r="F1059" s="398" t="s">
        <v>2229</v>
      </c>
      <c r="G1059" s="398" t="s">
        <v>324</v>
      </c>
      <c r="H1059" s="398" t="s">
        <v>156</v>
      </c>
      <c r="I1059" s="398" t="s">
        <v>156</v>
      </c>
    </row>
    <row r="1060" spans="1:9" x14ac:dyDescent="0.35">
      <c r="A1060" s="395" t="s">
        <v>2230</v>
      </c>
      <c r="B1060" s="396" t="s">
        <v>146</v>
      </c>
      <c r="C1060" s="395" t="s">
        <v>147</v>
      </c>
      <c r="D1060" s="395">
        <v>135</v>
      </c>
      <c r="E1060" s="397">
        <f t="shared" si="17"/>
        <v>236372175</v>
      </c>
      <c r="F1060" s="398" t="s">
        <v>2231</v>
      </c>
      <c r="G1060" s="398" t="s">
        <v>185</v>
      </c>
      <c r="H1060" s="398" t="s">
        <v>156</v>
      </c>
      <c r="I1060" s="398" t="s">
        <v>156</v>
      </c>
    </row>
    <row r="1061" spans="1:9" x14ac:dyDescent="0.35">
      <c r="A1061" s="395" t="s">
        <v>2232</v>
      </c>
      <c r="B1061" s="396" t="s">
        <v>146</v>
      </c>
      <c r="C1061" s="395" t="s">
        <v>147</v>
      </c>
      <c r="D1061" s="395">
        <v>135</v>
      </c>
      <c r="E1061" s="397">
        <f t="shared" si="17"/>
        <v>236372175</v>
      </c>
      <c r="F1061" s="398" t="s">
        <v>2233</v>
      </c>
      <c r="G1061" s="398" t="s">
        <v>227</v>
      </c>
      <c r="H1061" s="398" t="s">
        <v>156</v>
      </c>
      <c r="I1061" s="398" t="s">
        <v>156</v>
      </c>
    </row>
    <row r="1062" spans="1:9" x14ac:dyDescent="0.35">
      <c r="A1062" s="395" t="s">
        <v>2234</v>
      </c>
      <c r="B1062" s="396" t="s">
        <v>146</v>
      </c>
      <c r="C1062" s="395" t="s">
        <v>147</v>
      </c>
      <c r="D1062" s="395">
        <v>135</v>
      </c>
      <c r="E1062" s="397">
        <f t="shared" si="17"/>
        <v>236372175</v>
      </c>
      <c r="F1062" s="398" t="s">
        <v>2235</v>
      </c>
      <c r="G1062" s="398" t="s">
        <v>637</v>
      </c>
      <c r="H1062" s="398" t="s">
        <v>156</v>
      </c>
      <c r="I1062" s="398" t="s">
        <v>156</v>
      </c>
    </row>
    <row r="1063" spans="1:9" x14ac:dyDescent="0.35">
      <c r="A1063" s="395" t="s">
        <v>2236</v>
      </c>
      <c r="B1063" s="396" t="s">
        <v>160</v>
      </c>
      <c r="C1063" s="395" t="s">
        <v>147</v>
      </c>
      <c r="D1063" s="395">
        <v>135</v>
      </c>
      <c r="E1063" s="397">
        <f t="shared" si="17"/>
        <v>236372175</v>
      </c>
      <c r="F1063" s="398" t="s">
        <v>2237</v>
      </c>
      <c r="G1063" s="398" t="s">
        <v>181</v>
      </c>
      <c r="H1063" s="398" t="s">
        <v>163</v>
      </c>
      <c r="I1063" s="398" t="s">
        <v>182</v>
      </c>
    </row>
    <row r="1064" spans="1:9" x14ac:dyDescent="0.35">
      <c r="A1064" s="395" t="s">
        <v>2238</v>
      </c>
      <c r="B1064" s="396" t="s">
        <v>146</v>
      </c>
      <c r="C1064" s="395" t="s">
        <v>147</v>
      </c>
      <c r="D1064" s="395">
        <v>135</v>
      </c>
      <c r="E1064" s="397">
        <f t="shared" si="17"/>
        <v>236372175</v>
      </c>
      <c r="F1064" s="398" t="s">
        <v>2239</v>
      </c>
      <c r="G1064" s="398" t="s">
        <v>149</v>
      </c>
      <c r="H1064" s="398" t="s">
        <v>156</v>
      </c>
      <c r="I1064" s="398" t="s">
        <v>156</v>
      </c>
    </row>
    <row r="1065" spans="1:9" x14ac:dyDescent="0.35">
      <c r="A1065" s="395" t="s">
        <v>2240</v>
      </c>
      <c r="B1065" s="396" t="s">
        <v>146</v>
      </c>
      <c r="C1065" s="395" t="s">
        <v>147</v>
      </c>
      <c r="D1065" s="395">
        <v>135</v>
      </c>
      <c r="E1065" s="397">
        <f t="shared" si="17"/>
        <v>236372175</v>
      </c>
      <c r="F1065" s="398" t="s">
        <v>2239</v>
      </c>
      <c r="G1065" s="398" t="s">
        <v>203</v>
      </c>
      <c r="H1065" s="398" t="s">
        <v>156</v>
      </c>
      <c r="I1065" s="398" t="s">
        <v>156</v>
      </c>
    </row>
    <row r="1066" spans="1:9" x14ac:dyDescent="0.35">
      <c r="A1066" s="395" t="s">
        <v>2241</v>
      </c>
      <c r="B1066" s="396" t="s">
        <v>146</v>
      </c>
      <c r="C1066" s="395" t="s">
        <v>147</v>
      </c>
      <c r="D1066" s="395">
        <v>135</v>
      </c>
      <c r="E1066" s="397">
        <f t="shared" si="17"/>
        <v>236372175</v>
      </c>
      <c r="F1066" s="398" t="s">
        <v>2242</v>
      </c>
      <c r="G1066" s="398" t="s">
        <v>149</v>
      </c>
      <c r="H1066" s="398" t="s">
        <v>240</v>
      </c>
      <c r="I1066" s="398" t="s">
        <v>151</v>
      </c>
    </row>
    <row r="1067" spans="1:9" x14ac:dyDescent="0.35">
      <c r="A1067" s="395" t="s">
        <v>2243</v>
      </c>
      <c r="B1067" s="396" t="s">
        <v>146</v>
      </c>
      <c r="C1067" s="395" t="s">
        <v>147</v>
      </c>
      <c r="D1067" s="395">
        <v>135</v>
      </c>
      <c r="E1067" s="397">
        <f t="shared" si="17"/>
        <v>236372175</v>
      </c>
      <c r="F1067" s="398" t="s">
        <v>2244</v>
      </c>
      <c r="G1067" s="398" t="s">
        <v>185</v>
      </c>
      <c r="H1067" s="398" t="s">
        <v>156</v>
      </c>
      <c r="I1067" s="398" t="s">
        <v>156</v>
      </c>
    </row>
    <row r="1068" spans="1:9" x14ac:dyDescent="0.35">
      <c r="A1068" s="395" t="s">
        <v>2245</v>
      </c>
      <c r="B1068" s="396" t="s">
        <v>146</v>
      </c>
      <c r="C1068" s="395" t="s">
        <v>147</v>
      </c>
      <c r="D1068" s="395">
        <v>135</v>
      </c>
      <c r="E1068" s="397">
        <f t="shared" si="17"/>
        <v>236372175</v>
      </c>
      <c r="F1068" s="398" t="s">
        <v>2246</v>
      </c>
      <c r="G1068" s="398" t="s">
        <v>227</v>
      </c>
      <c r="H1068" s="398" t="s">
        <v>156</v>
      </c>
      <c r="I1068" s="398" t="s">
        <v>156</v>
      </c>
    </row>
    <row r="1069" spans="1:9" x14ac:dyDescent="0.35">
      <c r="A1069" s="395" t="s">
        <v>2247</v>
      </c>
      <c r="B1069" s="396" t="s">
        <v>146</v>
      </c>
      <c r="C1069" s="395" t="s">
        <v>147</v>
      </c>
      <c r="D1069" s="395">
        <v>135</v>
      </c>
      <c r="E1069" s="397">
        <f t="shared" si="17"/>
        <v>236372175</v>
      </c>
      <c r="F1069" s="398" t="s">
        <v>2248</v>
      </c>
      <c r="G1069" s="398" t="s">
        <v>149</v>
      </c>
      <c r="H1069" s="398" t="s">
        <v>156</v>
      </c>
      <c r="I1069" s="398" t="s">
        <v>156</v>
      </c>
    </row>
    <row r="1070" spans="1:9" x14ac:dyDescent="0.35">
      <c r="A1070" s="395" t="s">
        <v>2249</v>
      </c>
      <c r="B1070" s="396" t="s">
        <v>146</v>
      </c>
      <c r="C1070" s="395" t="s">
        <v>147</v>
      </c>
      <c r="D1070" s="395">
        <v>135</v>
      </c>
      <c r="E1070" s="397">
        <f t="shared" si="17"/>
        <v>236372175</v>
      </c>
      <c r="F1070" s="398" t="s">
        <v>2248</v>
      </c>
      <c r="G1070" s="398" t="s">
        <v>178</v>
      </c>
      <c r="H1070" s="398" t="s">
        <v>156</v>
      </c>
      <c r="I1070" s="398" t="s">
        <v>156</v>
      </c>
    </row>
    <row r="1071" spans="1:9" x14ac:dyDescent="0.35">
      <c r="A1071" s="395" t="s">
        <v>2250</v>
      </c>
      <c r="B1071" s="396" t="s">
        <v>146</v>
      </c>
      <c r="C1071" s="395" t="s">
        <v>147</v>
      </c>
      <c r="D1071" s="395">
        <v>135</v>
      </c>
      <c r="E1071" s="397">
        <f t="shared" si="17"/>
        <v>236372175</v>
      </c>
      <c r="F1071" s="398" t="s">
        <v>2251</v>
      </c>
      <c r="G1071" s="398" t="s">
        <v>224</v>
      </c>
      <c r="H1071" s="398" t="s">
        <v>156</v>
      </c>
      <c r="I1071" s="398" t="s">
        <v>156</v>
      </c>
    </row>
    <row r="1072" spans="1:9" x14ac:dyDescent="0.35">
      <c r="A1072" s="395" t="s">
        <v>2252</v>
      </c>
      <c r="B1072" s="396" t="s">
        <v>146</v>
      </c>
      <c r="C1072" s="395" t="s">
        <v>147</v>
      </c>
      <c r="D1072" s="395">
        <v>135</v>
      </c>
      <c r="E1072" s="397">
        <f t="shared" si="17"/>
        <v>236372175</v>
      </c>
      <c r="F1072" s="398" t="s">
        <v>2253</v>
      </c>
      <c r="G1072" s="398" t="s">
        <v>178</v>
      </c>
      <c r="H1072" s="398" t="s">
        <v>156</v>
      </c>
      <c r="I1072" s="398" t="s">
        <v>156</v>
      </c>
    </row>
    <row r="1073" spans="1:12" x14ac:dyDescent="0.35">
      <c r="A1073" s="395" t="s">
        <v>2254</v>
      </c>
      <c r="B1073" s="396" t="s">
        <v>146</v>
      </c>
      <c r="C1073" s="395" t="s">
        <v>147</v>
      </c>
      <c r="D1073" s="395">
        <v>135</v>
      </c>
      <c r="E1073" s="397">
        <f t="shared" si="17"/>
        <v>236372175</v>
      </c>
      <c r="F1073" s="398" t="s">
        <v>2255</v>
      </c>
      <c r="G1073" s="398" t="s">
        <v>209</v>
      </c>
      <c r="H1073" s="398" t="s">
        <v>156</v>
      </c>
      <c r="I1073" s="398" t="s">
        <v>156</v>
      </c>
    </row>
    <row r="1074" spans="1:12" x14ac:dyDescent="0.35">
      <c r="A1074" s="395" t="s">
        <v>2256</v>
      </c>
      <c r="B1074" s="396" t="s">
        <v>146</v>
      </c>
      <c r="C1074" s="395" t="s">
        <v>147</v>
      </c>
      <c r="D1074" s="395">
        <v>135</v>
      </c>
      <c r="E1074" s="397">
        <f t="shared" si="17"/>
        <v>236372175</v>
      </c>
      <c r="F1074" s="398" t="s">
        <v>2257</v>
      </c>
      <c r="G1074" s="398" t="s">
        <v>185</v>
      </c>
      <c r="H1074" s="398" t="s">
        <v>156</v>
      </c>
      <c r="I1074" s="398" t="s">
        <v>156</v>
      </c>
    </row>
    <row r="1075" spans="1:12" x14ac:dyDescent="0.35">
      <c r="A1075" s="395" t="s">
        <v>2258</v>
      </c>
      <c r="B1075" s="396" t="s">
        <v>146</v>
      </c>
      <c r="C1075" s="395" t="s">
        <v>147</v>
      </c>
      <c r="D1075" s="395">
        <v>135</v>
      </c>
      <c r="E1075" s="397">
        <f t="shared" si="17"/>
        <v>236372175</v>
      </c>
      <c r="F1075" s="398" t="s">
        <v>2259</v>
      </c>
      <c r="G1075" s="398" t="s">
        <v>178</v>
      </c>
      <c r="H1075" s="398" t="s">
        <v>156</v>
      </c>
      <c r="I1075" s="398" t="s">
        <v>156</v>
      </c>
    </row>
    <row r="1076" spans="1:12" x14ac:dyDescent="0.35">
      <c r="A1076" s="395" t="s">
        <v>2260</v>
      </c>
      <c r="B1076" s="396" t="s">
        <v>146</v>
      </c>
      <c r="C1076" s="395" t="s">
        <v>147</v>
      </c>
      <c r="D1076" s="395">
        <v>135</v>
      </c>
      <c r="E1076" s="397">
        <f t="shared" si="17"/>
        <v>236372175</v>
      </c>
      <c r="F1076" s="398" t="s">
        <v>2261</v>
      </c>
      <c r="G1076" s="398" t="s">
        <v>188</v>
      </c>
      <c r="H1076" s="398" t="s">
        <v>156</v>
      </c>
      <c r="I1076" s="398" t="s">
        <v>156</v>
      </c>
    </row>
    <row r="1077" spans="1:12" x14ac:dyDescent="0.35">
      <c r="A1077" s="395" t="s">
        <v>2262</v>
      </c>
      <c r="B1077" s="396" t="s">
        <v>146</v>
      </c>
      <c r="C1077" s="395" t="s">
        <v>147</v>
      </c>
      <c r="D1077" s="395">
        <v>135</v>
      </c>
      <c r="E1077" s="397">
        <f t="shared" si="17"/>
        <v>236372175</v>
      </c>
      <c r="F1077" s="398" t="s">
        <v>2263</v>
      </c>
      <c r="G1077" s="398" t="s">
        <v>149</v>
      </c>
      <c r="H1077" s="398" t="s">
        <v>156</v>
      </c>
      <c r="I1077" s="398" t="s">
        <v>156</v>
      </c>
    </row>
    <row r="1078" spans="1:12" x14ac:dyDescent="0.35">
      <c r="A1078" s="395" t="s">
        <v>2264</v>
      </c>
      <c r="B1078" s="396" t="s">
        <v>146</v>
      </c>
      <c r="C1078" s="395" t="s">
        <v>147</v>
      </c>
      <c r="D1078" s="395">
        <v>135</v>
      </c>
      <c r="E1078" s="397">
        <f t="shared" si="17"/>
        <v>236372175</v>
      </c>
      <c r="F1078" s="398" t="s">
        <v>2265</v>
      </c>
      <c r="G1078" s="398" t="s">
        <v>209</v>
      </c>
      <c r="H1078" s="398" t="s">
        <v>156</v>
      </c>
      <c r="I1078" s="398" t="s">
        <v>156</v>
      </c>
    </row>
    <row r="1079" spans="1:12" x14ac:dyDescent="0.35">
      <c r="A1079" s="395" t="s">
        <v>2266</v>
      </c>
      <c r="B1079" s="396" t="s">
        <v>146</v>
      </c>
      <c r="C1079" s="395" t="s">
        <v>147</v>
      </c>
      <c r="D1079" s="395">
        <v>135</v>
      </c>
      <c r="E1079" s="397">
        <f t="shared" si="17"/>
        <v>236372175</v>
      </c>
      <c r="F1079" s="398" t="s">
        <v>2267</v>
      </c>
      <c r="G1079" s="398" t="s">
        <v>155</v>
      </c>
      <c r="H1079" s="398" t="s">
        <v>156</v>
      </c>
      <c r="I1079" s="398" t="s">
        <v>156</v>
      </c>
    </row>
    <row r="1080" spans="1:12" x14ac:dyDescent="0.35">
      <c r="A1080" s="395" t="s">
        <v>2268</v>
      </c>
      <c r="B1080" s="396" t="s">
        <v>146</v>
      </c>
      <c r="C1080" s="395" t="s">
        <v>147</v>
      </c>
      <c r="D1080" s="395">
        <v>135</v>
      </c>
      <c r="E1080" s="397">
        <f t="shared" si="17"/>
        <v>236372175</v>
      </c>
      <c r="F1080" s="398" t="s">
        <v>2269</v>
      </c>
      <c r="G1080" s="398" t="s">
        <v>224</v>
      </c>
      <c r="H1080" s="398" t="s">
        <v>150</v>
      </c>
      <c r="I1080" s="398" t="s">
        <v>192</v>
      </c>
    </row>
    <row r="1081" spans="1:12" x14ac:dyDescent="0.35">
      <c r="A1081" s="395" t="s">
        <v>2270</v>
      </c>
      <c r="B1081" s="396" t="s">
        <v>146</v>
      </c>
      <c r="C1081" s="395" t="s">
        <v>147</v>
      </c>
      <c r="D1081" s="395">
        <v>135</v>
      </c>
      <c r="E1081" s="397">
        <f t="shared" si="17"/>
        <v>236372175</v>
      </c>
      <c r="F1081" s="398" t="s">
        <v>2271</v>
      </c>
      <c r="G1081" s="398" t="s">
        <v>178</v>
      </c>
      <c r="H1081" s="398" t="s">
        <v>150</v>
      </c>
      <c r="I1081" s="398" t="s">
        <v>164</v>
      </c>
    </row>
    <row r="1082" spans="1:12" x14ac:dyDescent="0.35">
      <c r="A1082" s="395" t="s">
        <v>2272</v>
      </c>
      <c r="B1082" s="396" t="s">
        <v>160</v>
      </c>
      <c r="C1082" s="395" t="s">
        <v>358</v>
      </c>
      <c r="D1082" s="395">
        <v>150</v>
      </c>
      <c r="E1082" s="397">
        <f t="shared" si="17"/>
        <v>262635750</v>
      </c>
      <c r="F1082" s="398" t="s">
        <v>2273</v>
      </c>
      <c r="G1082" s="398" t="s">
        <v>155</v>
      </c>
      <c r="H1082" s="398" t="s">
        <v>163</v>
      </c>
      <c r="I1082" s="398" t="s">
        <v>192</v>
      </c>
    </row>
    <row r="1083" spans="1:12" x14ac:dyDescent="0.35">
      <c r="A1083" s="395" t="s">
        <v>2274</v>
      </c>
      <c r="B1083" s="396" t="s">
        <v>146</v>
      </c>
      <c r="C1083" s="395" t="s">
        <v>147</v>
      </c>
      <c r="D1083" s="395">
        <v>135</v>
      </c>
      <c r="E1083" s="397">
        <f t="shared" si="17"/>
        <v>236372175</v>
      </c>
      <c r="F1083" s="398" t="s">
        <v>2275</v>
      </c>
      <c r="G1083" s="398" t="s">
        <v>221</v>
      </c>
      <c r="H1083" s="398" t="s">
        <v>156</v>
      </c>
      <c r="I1083" s="398" t="s">
        <v>156</v>
      </c>
    </row>
    <row r="1084" spans="1:12" x14ac:dyDescent="0.35">
      <c r="A1084" s="395" t="s">
        <v>2276</v>
      </c>
      <c r="B1084" s="396" t="s">
        <v>146</v>
      </c>
      <c r="C1084" s="395" t="s">
        <v>147</v>
      </c>
      <c r="D1084" s="395">
        <v>135</v>
      </c>
      <c r="E1084" s="397">
        <f t="shared" si="17"/>
        <v>236372175</v>
      </c>
      <c r="F1084" s="398" t="s">
        <v>2277</v>
      </c>
      <c r="G1084" s="398" t="s">
        <v>637</v>
      </c>
      <c r="H1084" s="398" t="s">
        <v>156</v>
      </c>
      <c r="I1084" s="398" t="s">
        <v>156</v>
      </c>
      <c r="L1084" s="388">
        <v>1073</v>
      </c>
    </row>
    <row r="1085" spans="1:12" x14ac:dyDescent="0.35">
      <c r="A1085" s="395" t="s">
        <v>2278</v>
      </c>
      <c r="B1085" s="396" t="s">
        <v>146</v>
      </c>
      <c r="C1085" s="395" t="s">
        <v>147</v>
      </c>
      <c r="D1085" s="395">
        <v>135</v>
      </c>
      <c r="E1085" s="397">
        <f t="shared" si="17"/>
        <v>236372175</v>
      </c>
      <c r="F1085" s="398" t="s">
        <v>2279</v>
      </c>
      <c r="G1085" s="398" t="s">
        <v>178</v>
      </c>
      <c r="H1085" s="398" t="s">
        <v>156</v>
      </c>
      <c r="I1085" s="398" t="s">
        <v>156</v>
      </c>
    </row>
    <row r="1086" spans="1:12" x14ac:dyDescent="0.35">
      <c r="A1086" s="395" t="s">
        <v>2280</v>
      </c>
      <c r="B1086" s="396" t="s">
        <v>146</v>
      </c>
      <c r="C1086" s="395" t="s">
        <v>147</v>
      </c>
      <c r="D1086" s="395">
        <v>135</v>
      </c>
      <c r="E1086" s="397">
        <f t="shared" si="17"/>
        <v>236372175</v>
      </c>
      <c r="F1086" s="398" t="s">
        <v>2281</v>
      </c>
      <c r="G1086" s="398" t="s">
        <v>227</v>
      </c>
      <c r="H1086" s="398" t="s">
        <v>156</v>
      </c>
      <c r="I1086" s="398" t="s">
        <v>156</v>
      </c>
    </row>
    <row r="1087" spans="1:12" x14ac:dyDescent="0.35">
      <c r="A1087" s="395" t="s">
        <v>2282</v>
      </c>
      <c r="B1087" s="396" t="s">
        <v>160</v>
      </c>
      <c r="C1087" s="395" t="s">
        <v>147</v>
      </c>
      <c r="D1087" s="395">
        <v>135</v>
      </c>
      <c r="E1087" s="397">
        <f t="shared" si="17"/>
        <v>236372175</v>
      </c>
      <c r="F1087" s="398" t="s">
        <v>2283</v>
      </c>
      <c r="G1087" s="398" t="s">
        <v>188</v>
      </c>
      <c r="H1087" s="398" t="s">
        <v>240</v>
      </c>
      <c r="I1087" s="398" t="s">
        <v>249</v>
      </c>
    </row>
    <row r="1088" spans="1:12" x14ac:dyDescent="0.35">
      <c r="A1088" s="395" t="s">
        <v>2284</v>
      </c>
      <c r="B1088" s="396" t="s">
        <v>146</v>
      </c>
      <c r="C1088" s="395" t="s">
        <v>147</v>
      </c>
      <c r="D1088" s="395">
        <v>135</v>
      </c>
      <c r="E1088" s="397">
        <f t="shared" si="17"/>
        <v>236372175</v>
      </c>
      <c r="F1088" s="398" t="s">
        <v>2285</v>
      </c>
      <c r="G1088" s="398" t="s">
        <v>173</v>
      </c>
      <c r="H1088" s="398" t="s">
        <v>156</v>
      </c>
      <c r="I1088" s="398" t="s">
        <v>156</v>
      </c>
    </row>
    <row r="1089" spans="1:9" x14ac:dyDescent="0.35">
      <c r="A1089" s="395" t="s">
        <v>2286</v>
      </c>
      <c r="B1089" s="396" t="s">
        <v>146</v>
      </c>
      <c r="C1089" s="395" t="s">
        <v>147</v>
      </c>
      <c r="D1089" s="395">
        <v>135</v>
      </c>
      <c r="E1089" s="397">
        <f t="shared" si="17"/>
        <v>236372175</v>
      </c>
      <c r="F1089" s="398" t="s">
        <v>2285</v>
      </c>
      <c r="G1089" s="398" t="s">
        <v>191</v>
      </c>
      <c r="H1089" s="398" t="s">
        <v>240</v>
      </c>
      <c r="I1089" s="398" t="s">
        <v>192</v>
      </c>
    </row>
    <row r="1090" spans="1:9" x14ac:dyDescent="0.35">
      <c r="A1090" s="395" t="s">
        <v>2287</v>
      </c>
      <c r="B1090" s="396" t="s">
        <v>146</v>
      </c>
      <c r="C1090" s="395" t="s">
        <v>147</v>
      </c>
      <c r="D1090" s="395">
        <v>135</v>
      </c>
      <c r="E1090" s="397">
        <f t="shared" si="17"/>
        <v>236372175</v>
      </c>
      <c r="F1090" s="398" t="s">
        <v>2285</v>
      </c>
      <c r="G1090" s="398" t="s">
        <v>205</v>
      </c>
      <c r="H1090" s="398" t="s">
        <v>156</v>
      </c>
      <c r="I1090" s="398" t="s">
        <v>156</v>
      </c>
    </row>
    <row r="1091" spans="1:9" x14ac:dyDescent="0.35">
      <c r="A1091" s="395" t="s">
        <v>2288</v>
      </c>
      <c r="B1091" s="396" t="s">
        <v>146</v>
      </c>
      <c r="C1091" s="395" t="s">
        <v>147</v>
      </c>
      <c r="D1091" s="395">
        <v>135</v>
      </c>
      <c r="E1091" s="397">
        <f t="shared" ref="E1091:E1119" si="18">D1091*$S$2</f>
        <v>236372175</v>
      </c>
      <c r="F1091" s="398" t="s">
        <v>2285</v>
      </c>
      <c r="G1091" s="398" t="s">
        <v>185</v>
      </c>
      <c r="H1091" s="398" t="s">
        <v>156</v>
      </c>
      <c r="I1091" s="398" t="s">
        <v>156</v>
      </c>
    </row>
    <row r="1092" spans="1:9" x14ac:dyDescent="0.35">
      <c r="A1092" s="395" t="s">
        <v>2289</v>
      </c>
      <c r="B1092" s="396" t="s">
        <v>146</v>
      </c>
      <c r="C1092" s="395" t="s">
        <v>147</v>
      </c>
      <c r="D1092" s="395">
        <v>135</v>
      </c>
      <c r="E1092" s="397">
        <f t="shared" si="18"/>
        <v>236372175</v>
      </c>
      <c r="F1092" s="398" t="s">
        <v>2290</v>
      </c>
      <c r="G1092" s="398" t="s">
        <v>178</v>
      </c>
      <c r="H1092" s="398" t="s">
        <v>150</v>
      </c>
      <c r="I1092" s="398" t="s">
        <v>164</v>
      </c>
    </row>
    <row r="1093" spans="1:9" x14ac:dyDescent="0.35">
      <c r="A1093" s="395" t="s">
        <v>2291</v>
      </c>
      <c r="B1093" s="396" t="s">
        <v>146</v>
      </c>
      <c r="C1093" s="395" t="s">
        <v>147</v>
      </c>
      <c r="D1093" s="395">
        <v>135</v>
      </c>
      <c r="E1093" s="397">
        <f t="shared" si="18"/>
        <v>236372175</v>
      </c>
      <c r="F1093" s="398" t="s">
        <v>2292</v>
      </c>
      <c r="G1093" s="398" t="s">
        <v>227</v>
      </c>
      <c r="H1093" s="398" t="s">
        <v>156</v>
      </c>
      <c r="I1093" s="398" t="s">
        <v>156</v>
      </c>
    </row>
    <row r="1094" spans="1:9" x14ac:dyDescent="0.35">
      <c r="A1094" s="395" t="s">
        <v>2293</v>
      </c>
      <c r="B1094" s="396" t="s">
        <v>160</v>
      </c>
      <c r="C1094" s="395" t="s">
        <v>147</v>
      </c>
      <c r="D1094" s="395">
        <v>135</v>
      </c>
      <c r="E1094" s="397">
        <f t="shared" si="18"/>
        <v>236372175</v>
      </c>
      <c r="F1094" s="398" t="s">
        <v>2294</v>
      </c>
      <c r="G1094" s="398" t="s">
        <v>162</v>
      </c>
      <c r="H1094" s="398" t="s">
        <v>163</v>
      </c>
      <c r="I1094" s="398" t="s">
        <v>164</v>
      </c>
    </row>
    <row r="1095" spans="1:9" x14ac:dyDescent="0.35">
      <c r="A1095" s="395" t="s">
        <v>2295</v>
      </c>
      <c r="B1095" s="396" t="s">
        <v>146</v>
      </c>
      <c r="C1095" s="395" t="s">
        <v>147</v>
      </c>
      <c r="D1095" s="395">
        <v>135</v>
      </c>
      <c r="E1095" s="397">
        <f t="shared" si="18"/>
        <v>236372175</v>
      </c>
      <c r="F1095" s="398" t="s">
        <v>2296</v>
      </c>
      <c r="G1095" s="398" t="s">
        <v>170</v>
      </c>
      <c r="H1095" s="398" t="s">
        <v>156</v>
      </c>
      <c r="I1095" s="398" t="s">
        <v>156</v>
      </c>
    </row>
    <row r="1096" spans="1:9" x14ac:dyDescent="0.35">
      <c r="A1096" s="395" t="s">
        <v>2297</v>
      </c>
      <c r="B1096" s="396" t="s">
        <v>146</v>
      </c>
      <c r="C1096" s="395" t="s">
        <v>147</v>
      </c>
      <c r="D1096" s="395">
        <v>135</v>
      </c>
      <c r="E1096" s="397">
        <f t="shared" si="18"/>
        <v>236372175</v>
      </c>
      <c r="F1096" s="398" t="s">
        <v>2298</v>
      </c>
      <c r="G1096" s="398" t="s">
        <v>178</v>
      </c>
      <c r="H1096" s="398" t="s">
        <v>150</v>
      </c>
      <c r="I1096" s="398" t="s">
        <v>164</v>
      </c>
    </row>
    <row r="1097" spans="1:9" x14ac:dyDescent="0.35">
      <c r="A1097" s="395" t="s">
        <v>2299</v>
      </c>
      <c r="B1097" s="396" t="s">
        <v>146</v>
      </c>
      <c r="C1097" s="395" t="s">
        <v>147</v>
      </c>
      <c r="D1097" s="395">
        <v>135</v>
      </c>
      <c r="E1097" s="397">
        <f t="shared" si="18"/>
        <v>236372175</v>
      </c>
      <c r="F1097" s="398" t="s">
        <v>2300</v>
      </c>
      <c r="G1097" s="398" t="s">
        <v>178</v>
      </c>
      <c r="H1097" s="398" t="s">
        <v>156</v>
      </c>
      <c r="I1097" s="398" t="s">
        <v>156</v>
      </c>
    </row>
    <row r="1098" spans="1:9" x14ac:dyDescent="0.35">
      <c r="A1098" s="395" t="s">
        <v>2301</v>
      </c>
      <c r="B1098" s="396" t="s">
        <v>146</v>
      </c>
      <c r="C1098" s="395" t="s">
        <v>147</v>
      </c>
      <c r="D1098" s="395">
        <v>135</v>
      </c>
      <c r="E1098" s="397">
        <f t="shared" si="18"/>
        <v>236372175</v>
      </c>
      <c r="F1098" s="398" t="s">
        <v>2302</v>
      </c>
      <c r="G1098" s="398" t="s">
        <v>224</v>
      </c>
      <c r="H1098" s="398" t="s">
        <v>156</v>
      </c>
      <c r="I1098" s="398" t="s">
        <v>156</v>
      </c>
    </row>
    <row r="1099" spans="1:9" x14ac:dyDescent="0.35">
      <c r="A1099" s="395" t="s">
        <v>2303</v>
      </c>
      <c r="B1099" s="396" t="s">
        <v>146</v>
      </c>
      <c r="C1099" s="395" t="s">
        <v>147</v>
      </c>
      <c r="D1099" s="395">
        <v>135</v>
      </c>
      <c r="E1099" s="397">
        <f t="shared" si="18"/>
        <v>236372175</v>
      </c>
      <c r="F1099" s="398" t="s">
        <v>2304</v>
      </c>
      <c r="G1099" s="398" t="s">
        <v>162</v>
      </c>
      <c r="H1099" s="398" t="s">
        <v>156</v>
      </c>
      <c r="I1099" s="398" t="s">
        <v>156</v>
      </c>
    </row>
    <row r="1100" spans="1:9" x14ac:dyDescent="0.35">
      <c r="A1100" s="395" t="s">
        <v>2305</v>
      </c>
      <c r="B1100" s="396" t="s">
        <v>146</v>
      </c>
      <c r="C1100" s="395" t="s">
        <v>147</v>
      </c>
      <c r="D1100" s="395">
        <v>135</v>
      </c>
      <c r="E1100" s="397">
        <f t="shared" si="18"/>
        <v>236372175</v>
      </c>
      <c r="F1100" s="398" t="s">
        <v>2306</v>
      </c>
      <c r="G1100" s="398" t="s">
        <v>188</v>
      </c>
      <c r="H1100" s="398" t="s">
        <v>156</v>
      </c>
      <c r="I1100" s="398" t="s">
        <v>156</v>
      </c>
    </row>
    <row r="1101" spans="1:9" x14ac:dyDescent="0.35">
      <c r="A1101" s="395" t="s">
        <v>2307</v>
      </c>
      <c r="B1101" s="396" t="s">
        <v>146</v>
      </c>
      <c r="C1101" s="395" t="s">
        <v>147</v>
      </c>
      <c r="D1101" s="395">
        <v>135</v>
      </c>
      <c r="E1101" s="397">
        <f t="shared" si="18"/>
        <v>236372175</v>
      </c>
      <c r="F1101" s="398" t="s">
        <v>2308</v>
      </c>
      <c r="G1101" s="398" t="s">
        <v>178</v>
      </c>
      <c r="H1101" s="398" t="s">
        <v>156</v>
      </c>
      <c r="I1101" s="398" t="s">
        <v>156</v>
      </c>
    </row>
    <row r="1102" spans="1:9" x14ac:dyDescent="0.35">
      <c r="A1102" s="395" t="s">
        <v>2309</v>
      </c>
      <c r="B1102" s="396" t="s">
        <v>146</v>
      </c>
      <c r="C1102" s="395" t="s">
        <v>147</v>
      </c>
      <c r="D1102" s="395">
        <v>135</v>
      </c>
      <c r="E1102" s="397">
        <f t="shared" si="18"/>
        <v>236372175</v>
      </c>
      <c r="F1102" s="398" t="s">
        <v>2310</v>
      </c>
      <c r="G1102" s="398" t="s">
        <v>200</v>
      </c>
      <c r="H1102" s="398" t="s">
        <v>156</v>
      </c>
      <c r="I1102" s="398" t="s">
        <v>156</v>
      </c>
    </row>
    <row r="1103" spans="1:9" x14ac:dyDescent="0.35">
      <c r="A1103" s="395" t="s">
        <v>2311</v>
      </c>
      <c r="B1103" s="396" t="s">
        <v>146</v>
      </c>
      <c r="C1103" s="395" t="s">
        <v>147</v>
      </c>
      <c r="D1103" s="395">
        <v>135</v>
      </c>
      <c r="E1103" s="397">
        <f t="shared" si="18"/>
        <v>236372175</v>
      </c>
      <c r="F1103" s="398" t="s">
        <v>2312</v>
      </c>
      <c r="G1103" s="398" t="s">
        <v>170</v>
      </c>
      <c r="H1103" s="398" t="s">
        <v>156</v>
      </c>
      <c r="I1103" s="398" t="s">
        <v>156</v>
      </c>
    </row>
    <row r="1104" spans="1:9" x14ac:dyDescent="0.35">
      <c r="A1104" s="395" t="s">
        <v>2313</v>
      </c>
      <c r="B1104" s="396" t="s">
        <v>146</v>
      </c>
      <c r="C1104" s="395" t="s">
        <v>147</v>
      </c>
      <c r="D1104" s="395">
        <v>135</v>
      </c>
      <c r="E1104" s="397">
        <f t="shared" si="18"/>
        <v>236372175</v>
      </c>
      <c r="F1104" s="398" t="s">
        <v>2314</v>
      </c>
      <c r="G1104" s="398" t="s">
        <v>149</v>
      </c>
      <c r="H1104" s="398" t="s">
        <v>156</v>
      </c>
      <c r="I1104" s="398" t="s">
        <v>156</v>
      </c>
    </row>
    <row r="1105" spans="1:9" x14ac:dyDescent="0.35">
      <c r="A1105" s="395" t="s">
        <v>2315</v>
      </c>
      <c r="B1105" s="396" t="s">
        <v>146</v>
      </c>
      <c r="C1105" s="395" t="s">
        <v>147</v>
      </c>
      <c r="D1105" s="395">
        <v>135</v>
      </c>
      <c r="E1105" s="397">
        <f t="shared" si="18"/>
        <v>236372175</v>
      </c>
      <c r="F1105" s="398" t="s">
        <v>2316</v>
      </c>
      <c r="G1105" s="398" t="s">
        <v>149</v>
      </c>
      <c r="H1105" s="398" t="s">
        <v>240</v>
      </c>
      <c r="I1105" s="398" t="s">
        <v>151</v>
      </c>
    </row>
    <row r="1106" spans="1:9" x14ac:dyDescent="0.35">
      <c r="A1106" s="395" t="s">
        <v>2317</v>
      </c>
      <c r="B1106" s="396" t="s">
        <v>146</v>
      </c>
      <c r="C1106" s="395" t="s">
        <v>147</v>
      </c>
      <c r="D1106" s="395">
        <v>135</v>
      </c>
      <c r="E1106" s="397">
        <f t="shared" si="18"/>
        <v>236372175</v>
      </c>
      <c r="F1106" s="398" t="s">
        <v>2318</v>
      </c>
      <c r="G1106" s="398" t="s">
        <v>529</v>
      </c>
      <c r="H1106" s="398" t="s">
        <v>156</v>
      </c>
      <c r="I1106" s="398" t="s">
        <v>156</v>
      </c>
    </row>
    <row r="1107" spans="1:9" x14ac:dyDescent="0.35">
      <c r="A1107" s="395" t="s">
        <v>2319</v>
      </c>
      <c r="B1107" s="396" t="s">
        <v>146</v>
      </c>
      <c r="C1107" s="395" t="s">
        <v>147</v>
      </c>
      <c r="D1107" s="395">
        <v>135</v>
      </c>
      <c r="E1107" s="397">
        <f t="shared" si="18"/>
        <v>236372175</v>
      </c>
      <c r="F1107" s="398" t="s">
        <v>2320</v>
      </c>
      <c r="G1107" s="398" t="s">
        <v>149</v>
      </c>
      <c r="H1107" s="398" t="s">
        <v>156</v>
      </c>
      <c r="I1107" s="398" t="s">
        <v>156</v>
      </c>
    </row>
    <row r="1108" spans="1:9" x14ac:dyDescent="0.35">
      <c r="A1108" s="395" t="s">
        <v>2321</v>
      </c>
      <c r="B1108" s="396" t="s">
        <v>146</v>
      </c>
      <c r="C1108" s="395" t="s">
        <v>147</v>
      </c>
      <c r="D1108" s="395">
        <v>135</v>
      </c>
      <c r="E1108" s="397">
        <f t="shared" si="18"/>
        <v>236372175</v>
      </c>
      <c r="F1108" s="398" t="s">
        <v>2322</v>
      </c>
      <c r="G1108" s="398" t="s">
        <v>149</v>
      </c>
      <c r="H1108" s="398" t="s">
        <v>150</v>
      </c>
      <c r="I1108" s="398" t="s">
        <v>151</v>
      </c>
    </row>
    <row r="1109" spans="1:9" x14ac:dyDescent="0.35">
      <c r="A1109" s="395" t="s">
        <v>2323</v>
      </c>
      <c r="B1109" s="396" t="s">
        <v>160</v>
      </c>
      <c r="C1109" s="395" t="s">
        <v>147</v>
      </c>
      <c r="D1109" s="395">
        <v>135</v>
      </c>
      <c r="E1109" s="397">
        <f t="shared" si="18"/>
        <v>236372175</v>
      </c>
      <c r="F1109" s="398" t="s">
        <v>2324</v>
      </c>
      <c r="G1109" s="398" t="s">
        <v>191</v>
      </c>
      <c r="H1109" s="398" t="s">
        <v>163</v>
      </c>
      <c r="I1109" s="398" t="s">
        <v>192</v>
      </c>
    </row>
    <row r="1110" spans="1:9" x14ac:dyDescent="0.35">
      <c r="A1110" s="395" t="s">
        <v>2325</v>
      </c>
      <c r="B1110" s="396" t="s">
        <v>146</v>
      </c>
      <c r="C1110" s="395" t="s">
        <v>147</v>
      </c>
      <c r="D1110" s="395">
        <v>135</v>
      </c>
      <c r="E1110" s="397">
        <f t="shared" si="18"/>
        <v>236372175</v>
      </c>
      <c r="F1110" s="398" t="s">
        <v>2326</v>
      </c>
      <c r="G1110" s="398" t="s">
        <v>209</v>
      </c>
      <c r="H1110" s="398" t="s">
        <v>240</v>
      </c>
      <c r="I1110" s="398" t="s">
        <v>249</v>
      </c>
    </row>
    <row r="1111" spans="1:9" x14ac:dyDescent="0.35">
      <c r="A1111" s="395" t="s">
        <v>2327</v>
      </c>
      <c r="B1111" s="396" t="s">
        <v>160</v>
      </c>
      <c r="C1111" s="395" t="s">
        <v>358</v>
      </c>
      <c r="D1111" s="395">
        <v>150</v>
      </c>
      <c r="E1111" s="397">
        <f t="shared" si="18"/>
        <v>262635750</v>
      </c>
      <c r="F1111" s="398" t="s">
        <v>2328</v>
      </c>
      <c r="G1111" s="398" t="s">
        <v>209</v>
      </c>
      <c r="H1111" s="398" t="s">
        <v>150</v>
      </c>
      <c r="I1111" s="398" t="s">
        <v>249</v>
      </c>
    </row>
    <row r="1112" spans="1:9" x14ac:dyDescent="0.35">
      <c r="A1112" s="395" t="s">
        <v>2329</v>
      </c>
      <c r="B1112" s="396" t="s">
        <v>146</v>
      </c>
      <c r="C1112" s="395" t="s">
        <v>147</v>
      </c>
      <c r="D1112" s="395">
        <v>135</v>
      </c>
      <c r="E1112" s="397">
        <f t="shared" si="18"/>
        <v>236372175</v>
      </c>
      <c r="F1112" s="398" t="s">
        <v>2330</v>
      </c>
      <c r="G1112" s="398" t="s">
        <v>173</v>
      </c>
      <c r="H1112" s="398" t="s">
        <v>156</v>
      </c>
      <c r="I1112" s="398" t="s">
        <v>156</v>
      </c>
    </row>
    <row r="1113" spans="1:9" x14ac:dyDescent="0.35">
      <c r="A1113" s="395" t="s">
        <v>2331</v>
      </c>
      <c r="B1113" s="396" t="s">
        <v>146</v>
      </c>
      <c r="C1113" s="395" t="s">
        <v>147</v>
      </c>
      <c r="D1113" s="395">
        <v>135</v>
      </c>
      <c r="E1113" s="397">
        <f t="shared" si="18"/>
        <v>236372175</v>
      </c>
      <c r="F1113" s="398" t="s">
        <v>2332</v>
      </c>
      <c r="G1113" s="398" t="s">
        <v>185</v>
      </c>
      <c r="H1113" s="398" t="s">
        <v>156</v>
      </c>
      <c r="I1113" s="398" t="s">
        <v>156</v>
      </c>
    </row>
    <row r="1114" spans="1:9" x14ac:dyDescent="0.35">
      <c r="A1114" s="395" t="s">
        <v>2333</v>
      </c>
      <c r="B1114" s="396" t="s">
        <v>146</v>
      </c>
      <c r="C1114" s="395" t="s">
        <v>147</v>
      </c>
      <c r="D1114" s="395">
        <v>135</v>
      </c>
      <c r="E1114" s="397">
        <f t="shared" si="18"/>
        <v>236372175</v>
      </c>
      <c r="F1114" s="398" t="s">
        <v>2334</v>
      </c>
      <c r="G1114" s="398" t="s">
        <v>216</v>
      </c>
      <c r="H1114" s="398" t="s">
        <v>156</v>
      </c>
      <c r="I1114" s="398" t="s">
        <v>156</v>
      </c>
    </row>
    <row r="1115" spans="1:9" x14ac:dyDescent="0.35">
      <c r="A1115" s="395" t="s">
        <v>2335</v>
      </c>
      <c r="B1115" s="396" t="s">
        <v>146</v>
      </c>
      <c r="C1115" s="395" t="s">
        <v>147</v>
      </c>
      <c r="D1115" s="395">
        <v>135</v>
      </c>
      <c r="E1115" s="397">
        <f t="shared" si="18"/>
        <v>236372175</v>
      </c>
      <c r="F1115" s="398" t="s">
        <v>2336</v>
      </c>
      <c r="G1115" s="398" t="s">
        <v>149</v>
      </c>
      <c r="H1115" s="398" t="s">
        <v>156</v>
      </c>
      <c r="I1115" s="398" t="s">
        <v>156</v>
      </c>
    </row>
    <row r="1116" spans="1:9" x14ac:dyDescent="0.35">
      <c r="A1116" s="395" t="s">
        <v>2337</v>
      </c>
      <c r="B1116" s="396" t="s">
        <v>146</v>
      </c>
      <c r="C1116" s="395" t="s">
        <v>147</v>
      </c>
      <c r="D1116" s="395">
        <v>135</v>
      </c>
      <c r="E1116" s="397">
        <f t="shared" si="18"/>
        <v>236372175</v>
      </c>
      <c r="F1116" s="398" t="s">
        <v>2338</v>
      </c>
      <c r="G1116" s="398" t="s">
        <v>209</v>
      </c>
      <c r="H1116" s="398" t="s">
        <v>150</v>
      </c>
      <c r="I1116" s="398" t="s">
        <v>249</v>
      </c>
    </row>
    <row r="1117" spans="1:9" x14ac:dyDescent="0.35">
      <c r="A1117" s="395" t="s">
        <v>2339</v>
      </c>
      <c r="B1117" s="396" t="s">
        <v>146</v>
      </c>
      <c r="C1117" s="395" t="s">
        <v>147</v>
      </c>
      <c r="D1117" s="395">
        <v>135</v>
      </c>
      <c r="E1117" s="397">
        <f t="shared" si="18"/>
        <v>236372175</v>
      </c>
      <c r="F1117" s="398" t="s">
        <v>2340</v>
      </c>
      <c r="G1117" s="398" t="s">
        <v>224</v>
      </c>
      <c r="H1117" s="398" t="s">
        <v>156</v>
      </c>
      <c r="I1117" s="398" t="s">
        <v>156</v>
      </c>
    </row>
    <row r="1118" spans="1:9" x14ac:dyDescent="0.35">
      <c r="A1118" s="395" t="s">
        <v>2341</v>
      </c>
      <c r="B1118" s="396" t="s">
        <v>146</v>
      </c>
      <c r="C1118" s="395" t="s">
        <v>147</v>
      </c>
      <c r="D1118" s="395">
        <v>135</v>
      </c>
      <c r="E1118" s="397">
        <f t="shared" si="18"/>
        <v>236372175</v>
      </c>
      <c r="F1118" s="398" t="s">
        <v>2342</v>
      </c>
      <c r="G1118" s="398" t="s">
        <v>178</v>
      </c>
      <c r="H1118" s="398" t="s">
        <v>156</v>
      </c>
      <c r="I1118" s="398" t="s">
        <v>156</v>
      </c>
    </row>
    <row r="1119" spans="1:9" x14ac:dyDescent="0.35">
      <c r="A1119" s="395" t="s">
        <v>2343</v>
      </c>
      <c r="B1119" s="396" t="s">
        <v>160</v>
      </c>
      <c r="C1119" s="395" t="s">
        <v>358</v>
      </c>
      <c r="D1119" s="395">
        <v>150</v>
      </c>
      <c r="E1119" s="397">
        <f t="shared" si="18"/>
        <v>262635750</v>
      </c>
      <c r="F1119" s="398" t="s">
        <v>2344</v>
      </c>
      <c r="G1119" s="398" t="s">
        <v>178</v>
      </c>
      <c r="H1119" s="398" t="s">
        <v>150</v>
      </c>
      <c r="I1119" s="398" t="s">
        <v>164</v>
      </c>
    </row>
    <row r="1127" spans="1:1" x14ac:dyDescent="0.35">
      <c r="A1127" s="388" t="s">
        <v>2345</v>
      </c>
    </row>
    <row r="1143" spans="6:6" x14ac:dyDescent="0.35">
      <c r="F1143" s="392"/>
    </row>
    <row r="1148" spans="6:6" x14ac:dyDescent="0.35">
      <c r="F1148" s="392"/>
    </row>
    <row r="1185" spans="6:6" x14ac:dyDescent="0.35">
      <c r="F1185" s="392"/>
    </row>
  </sheetData>
  <sheetProtection algorithmName="SHA-512" hashValue="yDLnHzFj/BAnkcbx+oagUvkZhirwUuZ3KD0easNr4grS9YVCxr2HUpY9DM91E2X8jDBj5kKVtg0rREdrVejfSQ==" saltValue="KxJEy5xyndRIZFrzWvCxXQ==" spinCount="100000" sheet="1" objects="1" scenarios="1"/>
  <phoneticPr fontId="10" type="noConversion"/>
  <conditionalFormatting sqref="A1:A1126 A1128:A1048576">
    <cfRule type="duplicateValues" dxfId="107" priority="1"/>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80605-F71E-4250-84DE-D4926BBABBE6}">
  <dimension ref="A1:M31"/>
  <sheetViews>
    <sheetView showGridLines="0" zoomScale="80" zoomScaleNormal="80" workbookViewId="0">
      <selection activeCell="B24" sqref="B24"/>
    </sheetView>
  </sheetViews>
  <sheetFormatPr baseColWidth="10" defaultColWidth="11.453125" defaultRowHeight="14.5" x14ac:dyDescent="0.35"/>
  <cols>
    <col min="2" max="2" width="29.1796875" customWidth="1"/>
    <col min="3" max="3" width="25.453125" customWidth="1"/>
    <col min="4" max="4" width="6.7265625" customWidth="1"/>
    <col min="5" max="5" width="6.54296875" bestFit="1" customWidth="1"/>
    <col min="6" max="6" width="7.453125" bestFit="1" customWidth="1"/>
    <col min="7" max="7" width="23.7265625" customWidth="1"/>
    <col min="8" max="8" width="13" customWidth="1"/>
    <col min="9" max="9" width="12.54296875" bestFit="1" customWidth="1"/>
    <col min="10" max="10" width="10.7265625" bestFit="1" customWidth="1"/>
    <col min="11" max="11" width="11.1796875" bestFit="1" customWidth="1"/>
    <col min="12" max="12" width="15.26953125" bestFit="1" customWidth="1"/>
  </cols>
  <sheetData>
    <row r="1" spans="1:13" ht="23.15" customHeight="1" x14ac:dyDescent="0.35">
      <c r="A1" s="2"/>
      <c r="B1" s="2"/>
      <c r="C1" s="61"/>
      <c r="D1" s="61"/>
      <c r="E1" s="61"/>
      <c r="F1" s="61"/>
      <c r="G1" s="61"/>
      <c r="H1" s="430" t="str">
        <f>Pantalla_Inicio!J1</f>
        <v>Código: PCV_FOR_006
Versión: V02
Fecha de actualización: 04/05/2026</v>
      </c>
      <c r="I1" s="431"/>
      <c r="J1" s="112"/>
      <c r="K1" s="112"/>
    </row>
    <row r="2" spans="1:13" ht="23.15" customHeight="1" x14ac:dyDescent="0.55000000000000004">
      <c r="A2" s="2"/>
      <c r="B2" s="2"/>
      <c r="C2" s="143"/>
      <c r="D2" s="143"/>
      <c r="E2" s="143"/>
      <c r="F2" s="143"/>
      <c r="G2" s="143"/>
      <c r="H2" s="432"/>
      <c r="I2" s="433"/>
      <c r="J2" s="112"/>
      <c r="K2" s="112"/>
    </row>
    <row r="3" spans="1:13" ht="23.15" customHeight="1" x14ac:dyDescent="0.35">
      <c r="A3" s="69"/>
      <c r="B3" s="69"/>
      <c r="C3" s="69"/>
      <c r="D3" s="69"/>
      <c r="E3" s="69"/>
      <c r="F3" s="69"/>
      <c r="G3" s="69"/>
      <c r="H3" s="434"/>
      <c r="I3" s="435"/>
      <c r="J3" s="96" t="s">
        <v>2346</v>
      </c>
      <c r="K3" s="112"/>
    </row>
    <row r="5" spans="1:13" ht="47.15" customHeight="1" x14ac:dyDescent="0.55000000000000004">
      <c r="B5" s="465" t="s">
        <v>2347</v>
      </c>
      <c r="C5" s="465"/>
      <c r="D5" s="409"/>
    </row>
    <row r="6" spans="1:13" ht="21" x14ac:dyDescent="0.35">
      <c r="B6" s="466" t="s">
        <v>2348</v>
      </c>
      <c r="C6" s="466"/>
      <c r="D6" s="410"/>
    </row>
    <row r="7" spans="1:13" ht="16.5" x14ac:dyDescent="0.35">
      <c r="B7" s="467" t="s">
        <v>2349</v>
      </c>
      <c r="C7" s="467"/>
      <c r="D7" s="411"/>
      <c r="E7" s="403"/>
      <c r="F7" s="403"/>
      <c r="G7" s="403"/>
      <c r="H7" s="403"/>
      <c r="I7" s="403"/>
      <c r="J7" s="403"/>
      <c r="K7" s="403"/>
      <c r="L7" s="403"/>
      <c r="M7" s="403"/>
    </row>
    <row r="8" spans="1:13" x14ac:dyDescent="0.35">
      <c r="E8" s="403"/>
      <c r="F8" s="403"/>
      <c r="G8" s="403"/>
      <c r="H8" s="403"/>
      <c r="I8" s="403"/>
      <c r="J8" s="403"/>
      <c r="K8" s="403"/>
      <c r="L8" s="403"/>
      <c r="M8" s="403"/>
    </row>
    <row r="9" spans="1:13" ht="15.5" x14ac:dyDescent="0.35">
      <c r="B9" s="401" t="s">
        <v>2350</v>
      </c>
      <c r="C9" s="399"/>
      <c r="E9" s="403"/>
      <c r="F9" s="403"/>
      <c r="G9" s="407" t="s">
        <v>2351</v>
      </c>
      <c r="H9" s="407" t="s">
        <v>2352</v>
      </c>
      <c r="I9" s="407" t="s">
        <v>2353</v>
      </c>
      <c r="J9" s="403"/>
      <c r="K9" s="407" t="s">
        <v>2354</v>
      </c>
      <c r="L9" s="408">
        <v>700000000</v>
      </c>
      <c r="M9" s="403"/>
    </row>
    <row r="10" spans="1:13" ht="15.5" x14ac:dyDescent="0.35">
      <c r="B10" s="401" t="str">
        <f>+IF(C9="Crédito Directo","Tipo de Vivienda",IF(C9="Leasing Habitacional","Tipo de Vivienda",""))</f>
        <v/>
      </c>
      <c r="C10" s="399"/>
      <c r="E10" s="403"/>
      <c r="F10" s="403"/>
      <c r="G10" s="407" t="s">
        <v>2355</v>
      </c>
      <c r="H10" s="407" t="s">
        <v>2356</v>
      </c>
      <c r="I10" s="407" t="s">
        <v>2357</v>
      </c>
      <c r="J10" s="403"/>
      <c r="K10" s="407" t="s">
        <v>2358</v>
      </c>
      <c r="L10" s="408">
        <v>500000000</v>
      </c>
      <c r="M10" s="403"/>
    </row>
    <row r="11" spans="1:13" ht="15.5" x14ac:dyDescent="0.35">
      <c r="B11" s="401" t="str">
        <f>+IF(C10="Nueva",IF(C9="Crédito Directo","Tipo de Proyecto",IF(C9="Leasing Habitacional","Tipo de Proyecto","")),"")</f>
        <v/>
      </c>
      <c r="C11" s="399"/>
      <c r="E11" s="403"/>
      <c r="F11" s="403"/>
      <c r="G11" s="407" t="s">
        <v>2359</v>
      </c>
      <c r="H11" s="403"/>
      <c r="I11" s="403"/>
      <c r="J11" s="403"/>
      <c r="K11" s="403" t="s">
        <v>2360</v>
      </c>
      <c r="L11" s="408">
        <v>1900000000</v>
      </c>
      <c r="M11" s="403"/>
    </row>
    <row r="12" spans="1:13" ht="15.5" x14ac:dyDescent="0.35">
      <c r="B12" s="401" t="s">
        <v>2361</v>
      </c>
      <c r="C12" s="399"/>
      <c r="E12" s="403"/>
      <c r="F12" s="403"/>
      <c r="G12" s="407" t="s">
        <v>2362</v>
      </c>
      <c r="H12" s="403"/>
      <c r="I12" s="403"/>
      <c r="J12" s="403"/>
      <c r="K12" s="403"/>
      <c r="L12" s="403"/>
      <c r="M12" s="403"/>
    </row>
    <row r="13" spans="1:13" ht="15.5" x14ac:dyDescent="0.35">
      <c r="B13" s="401" t="s">
        <v>2363</v>
      </c>
      <c r="C13" s="399"/>
      <c r="E13" s="403"/>
      <c r="F13" s="403">
        <f>+_xlfn.XLOOKUP(C13,'Ciudades y SMMLV'!A:A,'Ciudades y SMMLV'!H:H,"",0)</f>
        <v>0</v>
      </c>
      <c r="G13" s="407" t="s">
        <v>2364</v>
      </c>
      <c r="H13" s="403"/>
      <c r="I13" s="403"/>
      <c r="J13" s="403"/>
      <c r="K13" s="403"/>
      <c r="L13" s="403"/>
      <c r="M13" s="403"/>
    </row>
    <row r="14" spans="1:13" ht="15.5" x14ac:dyDescent="0.35">
      <c r="B14" s="401" t="s">
        <v>2365</v>
      </c>
      <c r="C14" s="99"/>
      <c r="E14" s="403"/>
      <c r="F14" s="403"/>
      <c r="G14" s="403"/>
      <c r="H14" s="403"/>
      <c r="I14" s="403"/>
      <c r="J14" s="403"/>
      <c r="K14" s="403"/>
      <c r="L14" s="403"/>
      <c r="M14" s="403"/>
    </row>
    <row r="15" spans="1:13" ht="15.5" x14ac:dyDescent="0.35">
      <c r="B15" s="401" t="str">
        <f>+IF(C9&lt;&gt;G13,"Tipo de inmueble","")</f>
        <v>Tipo de inmueble</v>
      </c>
      <c r="C15" s="113" t="str">
        <f>IF(C9&lt;&gt;G13,_xlfn.IFNA(IF(C14&gt;(VLOOKUP(C13,'Ciudades y SMMLV'!A1:E1119,5,0)),"NO VIS","VIS"),""),"")</f>
        <v/>
      </c>
      <c r="E15" s="403"/>
      <c r="F15" s="403"/>
      <c r="G15" s="407" t="s">
        <v>52</v>
      </c>
      <c r="H15" s="403"/>
      <c r="I15" s="403"/>
      <c r="J15" s="403"/>
      <c r="K15" s="403"/>
      <c r="L15" s="403"/>
      <c r="M15" s="403"/>
    </row>
    <row r="16" spans="1:13" x14ac:dyDescent="0.35">
      <c r="E16" s="403"/>
      <c r="F16" s="403"/>
      <c r="G16" s="407" t="s">
        <v>61</v>
      </c>
      <c r="H16" s="403"/>
      <c r="I16" s="403" t="str">
        <f>+IF(C9=G13,IF(C14&lt;=L11,'Tarifas avalúos y ET 2026'!B51,'Tarifas avalúos y ET 2026'!B52),IF(C9=G12,IF(C14&lt;=L10,'Tarifas avalúos y ET 2026'!B42,'Tarifas avalúos y ET 2026'!B43),IF(C15="VIS",'Tarifas avalúos y ET 2026'!B22,IF(C14&lt;=L9,'Tarifas avalúos y ET 2026'!B23,'Tarifas avalúos y ET 2026'!B24))))</f>
        <v>NO VIS 1</v>
      </c>
      <c r="J16" s="403"/>
      <c r="K16" s="403"/>
      <c r="L16" s="403"/>
      <c r="M16" s="403"/>
    </row>
    <row r="17" spans="2:13" x14ac:dyDescent="0.35">
      <c r="E17" s="403"/>
      <c r="F17" s="403"/>
      <c r="G17" s="403"/>
      <c r="H17" s="403"/>
      <c r="I17" s="403"/>
      <c r="J17" s="403"/>
      <c r="K17" s="403"/>
      <c r="L17" s="403"/>
      <c r="M17" s="403"/>
    </row>
    <row r="18" spans="2:13" ht="15.5" x14ac:dyDescent="0.35">
      <c r="B18" s="401" t="s">
        <v>2366</v>
      </c>
      <c r="C18" s="402" t="str">
        <f>IF(AND(C9&lt;&gt;"",C12&lt;&gt;"",C13&lt;&gt;"",C14&lt;&gt;""),IF(AND(OR(C9=G9,C9=G10),C10="Nueva",C11="Financiado"),VLOOKUP(I16,'Tarifas avalúos y ET 2026'!B22:K24,2+H18,FALSE),IF(AND(OR(C9=G9,C9=G10),OR(C10="Usada",C11="No Financiado")),VLOOKUP(I16,'Tarifas avalúos y ET 2026'!B32:K34,2+H18,FALSE),IF(C9=G11,VLOOKUP(I16,'Tarifas avalúos y ET 2026'!B32:K34,2+H18,FALSE),IF(C9=G12,VLOOKUP(I16,'Tarifas avalúos y ET 2026'!B42:K43,2+H18,FALSE),IF(C9=G13,VLOOKUP(I16,'Tarifas avalúos y ET 2026'!B51:K52,2+H18),""))))),"")</f>
        <v/>
      </c>
      <c r="E18" s="403"/>
      <c r="F18" s="403"/>
      <c r="G18" s="403" t="str">
        <f>+C12&amp;" - "&amp;F13</f>
        <v xml:space="preserve"> - 0</v>
      </c>
      <c r="H18" s="403" t="e">
        <f>+VLOOKUP(G18,$G$19:$H$28,2,FALSE)</f>
        <v>#N/A</v>
      </c>
      <c r="I18" s="403"/>
      <c r="J18" s="403"/>
      <c r="K18" s="403"/>
      <c r="L18" s="403"/>
      <c r="M18" s="403"/>
    </row>
    <row r="19" spans="2:13" x14ac:dyDescent="0.35">
      <c r="E19" s="403"/>
      <c r="F19" s="403"/>
      <c r="G19" s="403" t="s">
        <v>2367</v>
      </c>
      <c r="H19" s="403">
        <v>1</v>
      </c>
      <c r="I19" s="403"/>
      <c r="J19" s="403"/>
      <c r="K19" s="403" t="s">
        <v>2368</v>
      </c>
      <c r="L19" s="403"/>
      <c r="M19" s="403"/>
    </row>
    <row r="20" spans="2:13" ht="15.5" x14ac:dyDescent="0.35">
      <c r="B20" s="401" t="s">
        <v>2369</v>
      </c>
      <c r="C20" s="402" t="str">
        <f>+_xlfn.IFNA(VLOOKUP(C9,'Tarifas avalúos y ET 2026'!Q5:S5,3,FALSE),_xlfn.IFNA(IF(C10&lt;&gt;"",VLOOKUP(C9,'Tarifas avalúos y ET 2026'!M5:O8,1+K20,FALSE),""),VLOOKUP('Simulador Avalúo y ET'!C10,'Tarifas avalúos y ET 2026'!M5:O8,1+K20,FALSE)))</f>
        <v/>
      </c>
      <c r="E20" s="403"/>
      <c r="F20" s="403"/>
      <c r="G20" s="403" t="s">
        <v>2370</v>
      </c>
      <c r="H20" s="403">
        <v>2</v>
      </c>
      <c r="I20" s="403"/>
      <c r="J20" s="403"/>
      <c r="K20" s="403">
        <f>+IF(C15="VIS",1,2)</f>
        <v>2</v>
      </c>
      <c r="L20" s="403"/>
      <c r="M20" s="403"/>
    </row>
    <row r="21" spans="2:13" x14ac:dyDescent="0.35">
      <c r="E21" s="403"/>
      <c r="F21" s="403"/>
      <c r="G21" s="403" t="s">
        <v>2371</v>
      </c>
      <c r="H21" s="403">
        <v>3</v>
      </c>
      <c r="I21" s="403"/>
      <c r="J21" s="403"/>
      <c r="K21" s="403"/>
      <c r="L21" s="403"/>
      <c r="M21" s="403"/>
    </row>
    <row r="22" spans="2:13" x14ac:dyDescent="0.35">
      <c r="E22" s="403"/>
      <c r="F22" s="403"/>
      <c r="G22" s="403" t="s">
        <v>2372</v>
      </c>
      <c r="H22" s="403">
        <v>4</v>
      </c>
      <c r="I22" s="403"/>
      <c r="J22" s="403"/>
      <c r="K22" s="403"/>
      <c r="L22" s="403"/>
      <c r="M22" s="403"/>
    </row>
    <row r="23" spans="2:13" x14ac:dyDescent="0.35">
      <c r="E23" s="403"/>
      <c r="F23" s="403"/>
      <c r="G23" s="403" t="s">
        <v>2373</v>
      </c>
      <c r="H23" s="403">
        <v>4</v>
      </c>
      <c r="I23" s="403"/>
      <c r="J23" s="403"/>
      <c r="K23" s="403"/>
      <c r="L23" s="403"/>
      <c r="M23" s="403"/>
    </row>
    <row r="24" spans="2:13" x14ac:dyDescent="0.35">
      <c r="E24" s="403"/>
      <c r="F24" s="403"/>
      <c r="G24" s="403" t="s">
        <v>2374</v>
      </c>
      <c r="H24" s="403">
        <v>5</v>
      </c>
      <c r="I24" s="403"/>
      <c r="J24" s="403"/>
      <c r="K24" s="403"/>
      <c r="L24" s="403"/>
      <c r="M24" s="403"/>
    </row>
    <row r="25" spans="2:13" x14ac:dyDescent="0.35">
      <c r="E25" s="403"/>
      <c r="F25" s="403"/>
      <c r="G25" s="403" t="s">
        <v>2375</v>
      </c>
      <c r="H25" s="403">
        <v>6</v>
      </c>
      <c r="I25" s="403"/>
      <c r="J25" s="403"/>
      <c r="K25" s="403"/>
      <c r="L25" s="403"/>
      <c r="M25" s="403"/>
    </row>
    <row r="26" spans="2:13" x14ac:dyDescent="0.35">
      <c r="E26" s="403"/>
      <c r="F26" s="403"/>
      <c r="G26" s="403" t="s">
        <v>2376</v>
      </c>
      <c r="H26" s="403">
        <v>7</v>
      </c>
      <c r="I26" s="403"/>
      <c r="J26" s="403"/>
      <c r="K26" s="403"/>
      <c r="L26" s="403"/>
      <c r="M26" s="403"/>
    </row>
    <row r="27" spans="2:13" x14ac:dyDescent="0.35">
      <c r="E27" s="403"/>
      <c r="F27" s="403"/>
      <c r="G27" s="403" t="s">
        <v>2377</v>
      </c>
      <c r="H27" s="403">
        <v>8</v>
      </c>
      <c r="I27" s="403"/>
      <c r="J27" s="403"/>
      <c r="K27" s="403"/>
      <c r="L27" s="403"/>
      <c r="M27" s="403"/>
    </row>
    <row r="28" spans="2:13" x14ac:dyDescent="0.35">
      <c r="E28" s="403"/>
      <c r="F28" s="403"/>
      <c r="G28" s="403" t="s">
        <v>2378</v>
      </c>
      <c r="H28" s="403">
        <v>8</v>
      </c>
      <c r="I28" s="403"/>
      <c r="J28" s="403"/>
      <c r="K28" s="403"/>
      <c r="L28" s="403"/>
      <c r="M28" s="403"/>
    </row>
    <row r="29" spans="2:13" x14ac:dyDescent="0.35">
      <c r="E29" s="403"/>
      <c r="F29" s="403"/>
      <c r="G29" s="403"/>
      <c r="H29" s="403"/>
      <c r="I29" s="403"/>
      <c r="J29" s="403"/>
      <c r="K29" s="403"/>
      <c r="L29" s="403"/>
      <c r="M29" s="403"/>
    </row>
    <row r="30" spans="2:13" x14ac:dyDescent="0.35">
      <c r="E30" s="403"/>
      <c r="F30" s="403"/>
      <c r="G30" s="403"/>
      <c r="H30" s="403"/>
      <c r="I30" s="403"/>
      <c r="J30" s="403"/>
      <c r="K30" s="403"/>
      <c r="L30" s="403"/>
      <c r="M30" s="403"/>
    </row>
    <row r="31" spans="2:13" x14ac:dyDescent="0.35">
      <c r="E31" s="403"/>
      <c r="F31" s="403"/>
      <c r="G31" s="403"/>
      <c r="H31" s="403"/>
      <c r="I31" s="403"/>
      <c r="J31" s="403"/>
      <c r="K31" s="403"/>
      <c r="L31" s="403"/>
      <c r="M31" s="403"/>
    </row>
  </sheetData>
  <sheetProtection algorithmName="SHA-512" hashValue="mJyhP2dm2esFT+eSdyzzECgsgRkcQkXgXHeXZ0/+m06y5w9++7B0nAnKKLU2u0Ah9BTXRDJP/Y+u4HzV0fVv1Q==" saltValue="LOJbaMrp1SxR3Df8uyaoug==" spinCount="100000" sheet="1" objects="1" scenarios="1"/>
  <protectedRanges>
    <protectedRange sqref="C9:C14" name="Simulador Avalúo y ET"/>
  </protectedRanges>
  <mergeCells count="4">
    <mergeCell ref="H1:I3"/>
    <mergeCell ref="B5:C5"/>
    <mergeCell ref="B6:C6"/>
    <mergeCell ref="B7:C7"/>
  </mergeCells>
  <conditionalFormatting sqref="B10:C10">
    <cfRule type="expression" dxfId="106" priority="4">
      <formula>COUNTIF($C$9,"Crédito Directo")+COUNTIF($C$9,"Leasing Habitacional")=0</formula>
    </cfRule>
  </conditionalFormatting>
  <conditionalFormatting sqref="B11:C11">
    <cfRule type="expression" dxfId="105" priority="3">
      <formula>COUNTIF($C$10,"Nueva")=0</formula>
    </cfRule>
  </conditionalFormatting>
  <conditionalFormatting sqref="B15:C15">
    <cfRule type="expression" dxfId="104" priority="1">
      <formula>+COUNTIF($C$9,"Crédito Constructor")=1</formula>
    </cfRule>
  </conditionalFormatting>
  <dataValidations count="4">
    <dataValidation type="list" allowBlank="1" showInputMessage="1" showErrorMessage="1" sqref="C11" xr:uid="{8856466F-6212-4D48-A54D-BD1DD549FC81}">
      <formula1>IF($B$11="Tipo de Proyecto",Tipo_proyecto,"")</formula1>
    </dataValidation>
    <dataValidation type="list" allowBlank="1" showInputMessage="1" showErrorMessage="1" sqref="C10" xr:uid="{41E5A213-FAA7-4040-8933-5730B5289677}">
      <formula1>IF($B$10="Tipo de Vivienda",Vivien,"")</formula1>
    </dataValidation>
    <dataValidation type="list" allowBlank="1" showInputMessage="1" showErrorMessage="1" sqref="C9" xr:uid="{C697050C-7B1E-4DFA-9B50-CBFAF1D3EA65}">
      <formula1>Portaf</formula1>
    </dataValidation>
    <dataValidation type="list" allowBlank="1" showInputMessage="1" showErrorMessage="1" sqref="C12" xr:uid="{831D24A1-9390-4742-A7FA-72870639349C}">
      <formula1>$G$15:$G$16</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27577964-E438-4BD7-9C63-07D2D63D00F7}">
          <x14:formula1>
            <xm:f>'Ciudades y SMMLV'!$A$2:$A$1119</xm:f>
          </x14:formula1>
          <xm:sqref>C13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74A17-782D-44F4-9CB1-63DF1B7F7951}">
  <dimension ref="B1:S52"/>
  <sheetViews>
    <sheetView showGridLines="0" topLeftCell="C1" workbookViewId="0">
      <selection activeCell="C1" sqref="A1:XFD1048576"/>
    </sheetView>
  </sheetViews>
  <sheetFormatPr baseColWidth="10" defaultColWidth="11.453125" defaultRowHeight="14.5" x14ac:dyDescent="0.35"/>
  <cols>
    <col min="1" max="1" width="3.453125" customWidth="1"/>
    <col min="2" max="2" width="12.81640625" style="403" customWidth="1"/>
    <col min="3" max="3" width="56" style="381" bestFit="1" customWidth="1"/>
    <col min="4" max="6" width="11" bestFit="1" customWidth="1"/>
    <col min="7" max="7" width="11.1796875" bestFit="1" customWidth="1"/>
    <col min="8" max="10" width="11" bestFit="1" customWidth="1"/>
    <col min="11" max="11" width="11.1796875" bestFit="1" customWidth="1"/>
    <col min="13" max="13" width="22.453125" customWidth="1"/>
    <col min="14" max="15" width="11.1796875" bestFit="1" customWidth="1"/>
    <col min="17" max="17" width="17.54296875" bestFit="1" customWidth="1"/>
    <col min="19" max="19" width="12.1796875" bestFit="1" customWidth="1"/>
  </cols>
  <sheetData>
    <row r="1" spans="2:19" s="403" customFormat="1" ht="15" thickBot="1" x14ac:dyDescent="0.4">
      <c r="C1" s="405"/>
      <c r="D1" s="403">
        <v>1</v>
      </c>
      <c r="E1" s="403">
        <v>2</v>
      </c>
      <c r="F1" s="403">
        <v>3</v>
      </c>
      <c r="G1" s="403">
        <v>4</v>
      </c>
      <c r="H1" s="403">
        <v>5</v>
      </c>
      <c r="I1" s="403">
        <v>6</v>
      </c>
      <c r="J1" s="403">
        <v>7</v>
      </c>
      <c r="K1" s="403">
        <v>8</v>
      </c>
    </row>
    <row r="2" spans="2:19" ht="27.65" customHeight="1" x14ac:dyDescent="0.35">
      <c r="C2" s="479" t="s">
        <v>2379</v>
      </c>
      <c r="D2" s="480"/>
      <c r="E2" s="480"/>
      <c r="F2" s="480"/>
      <c r="G2" s="480"/>
      <c r="H2" s="480"/>
      <c r="I2" s="480"/>
      <c r="J2" s="480"/>
      <c r="K2" s="481"/>
      <c r="M2" s="478" t="s">
        <v>2380</v>
      </c>
      <c r="N2" s="478"/>
      <c r="O2" s="478"/>
      <c r="Q2" s="478" t="s">
        <v>2381</v>
      </c>
      <c r="R2" s="478"/>
      <c r="S2" s="478"/>
    </row>
    <row r="3" spans="2:19" x14ac:dyDescent="0.35">
      <c r="C3" s="382"/>
      <c r="K3" s="367"/>
    </row>
    <row r="4" spans="2:19" x14ac:dyDescent="0.35">
      <c r="C4" s="468" t="s">
        <v>2382</v>
      </c>
      <c r="D4" s="469"/>
      <c r="E4" s="469"/>
      <c r="F4" s="469"/>
      <c r="G4" s="469"/>
      <c r="H4" s="469"/>
      <c r="I4" s="469"/>
      <c r="J4" s="469"/>
      <c r="K4" s="470"/>
      <c r="M4" s="412" t="s">
        <v>2383</v>
      </c>
      <c r="N4" s="412" t="s">
        <v>66</v>
      </c>
      <c r="O4" s="412" t="s">
        <v>51</v>
      </c>
      <c r="Q4" s="412" t="s">
        <v>2384</v>
      </c>
      <c r="R4" s="412" t="s">
        <v>2385</v>
      </c>
      <c r="S4" s="412" t="s">
        <v>2386</v>
      </c>
    </row>
    <row r="5" spans="2:19" x14ac:dyDescent="0.35">
      <c r="C5" s="474" t="s">
        <v>2387</v>
      </c>
      <c r="D5" s="471" t="s">
        <v>2388</v>
      </c>
      <c r="E5" s="471"/>
      <c r="F5" s="471"/>
      <c r="G5" s="471"/>
      <c r="H5" s="472" t="s">
        <v>2389</v>
      </c>
      <c r="I5" s="472"/>
      <c r="J5" s="472"/>
      <c r="K5" s="473"/>
      <c r="M5" s="413" t="s">
        <v>2352</v>
      </c>
      <c r="N5" s="365">
        <v>147250</v>
      </c>
      <c r="O5" s="365">
        <v>176700</v>
      </c>
      <c r="Q5" s="400" t="s">
        <v>2364</v>
      </c>
      <c r="R5" s="415" t="s">
        <v>2390</v>
      </c>
      <c r="S5" s="414">
        <v>570000</v>
      </c>
    </row>
    <row r="6" spans="2:19" x14ac:dyDescent="0.35">
      <c r="C6" s="474"/>
      <c r="D6" s="471" t="s">
        <v>2391</v>
      </c>
      <c r="E6" s="471"/>
      <c r="F6" s="471"/>
      <c r="G6" s="471"/>
      <c r="H6" s="472" t="s">
        <v>2391</v>
      </c>
      <c r="I6" s="472"/>
      <c r="J6" s="472"/>
      <c r="K6" s="473"/>
      <c r="M6" s="413" t="s">
        <v>2356</v>
      </c>
      <c r="N6" s="365">
        <v>256500</v>
      </c>
      <c r="O6" s="365">
        <v>303050</v>
      </c>
    </row>
    <row r="7" spans="2:19" x14ac:dyDescent="0.35">
      <c r="C7" s="474"/>
      <c r="D7" s="363" t="s">
        <v>163</v>
      </c>
      <c r="E7" s="363" t="s">
        <v>462</v>
      </c>
      <c r="F7" s="363" t="s">
        <v>150</v>
      </c>
      <c r="G7" s="363" t="s">
        <v>240</v>
      </c>
      <c r="H7" s="364" t="s">
        <v>163</v>
      </c>
      <c r="I7" s="364" t="s">
        <v>462</v>
      </c>
      <c r="J7" s="364" t="s">
        <v>150</v>
      </c>
      <c r="K7" s="368" t="s">
        <v>240</v>
      </c>
      <c r="M7" s="413" t="s">
        <v>2359</v>
      </c>
      <c r="N7" s="365">
        <v>256500</v>
      </c>
      <c r="O7" s="365">
        <v>303050</v>
      </c>
    </row>
    <row r="8" spans="2:19" x14ac:dyDescent="0.35">
      <c r="B8" s="403" t="s">
        <v>66</v>
      </c>
      <c r="C8" s="372" t="s">
        <v>2392</v>
      </c>
      <c r="D8" s="365">
        <v>132449</v>
      </c>
      <c r="E8" s="365">
        <v>139071</v>
      </c>
      <c r="F8" s="365">
        <v>145693.9</v>
      </c>
      <c r="G8" s="365">
        <v>152316</v>
      </c>
      <c r="H8" s="365">
        <v>139071.45000000001</v>
      </c>
      <c r="I8" s="365">
        <v>146024.54999999999</v>
      </c>
      <c r="J8" s="365">
        <v>152978.595</v>
      </c>
      <c r="K8" s="369">
        <v>159931.79999999999</v>
      </c>
      <c r="M8" s="413" t="s">
        <v>2362</v>
      </c>
      <c r="N8" s="365">
        <v>99000</v>
      </c>
      <c r="O8" s="365">
        <v>99000</v>
      </c>
    </row>
    <row r="9" spans="2:19" x14ac:dyDescent="0.35">
      <c r="B9" s="403" t="s">
        <v>66</v>
      </c>
      <c r="C9" s="372" t="s">
        <v>2393</v>
      </c>
      <c r="D9" s="365">
        <v>135700</v>
      </c>
      <c r="E9" s="365">
        <v>145700</v>
      </c>
      <c r="F9" s="365">
        <v>155700</v>
      </c>
      <c r="G9" s="365">
        <v>165700</v>
      </c>
      <c r="H9" s="365">
        <v>142485</v>
      </c>
      <c r="I9" s="365">
        <v>152985</v>
      </c>
      <c r="J9" s="365">
        <v>163485</v>
      </c>
      <c r="K9" s="369">
        <v>173985</v>
      </c>
      <c r="M9" s="406"/>
    </row>
    <row r="10" spans="2:19" x14ac:dyDescent="0.35">
      <c r="B10" s="403" t="s">
        <v>2394</v>
      </c>
      <c r="C10" s="372" t="s">
        <v>2395</v>
      </c>
      <c r="D10" s="365">
        <v>241578</v>
      </c>
      <c r="E10" s="365">
        <v>286578</v>
      </c>
      <c r="F10" s="365">
        <v>326578</v>
      </c>
      <c r="G10" s="365">
        <v>362000</v>
      </c>
      <c r="H10" s="365">
        <v>253656.9</v>
      </c>
      <c r="I10" s="365">
        <v>300906.90000000002</v>
      </c>
      <c r="J10" s="365">
        <v>342906.9</v>
      </c>
      <c r="K10" s="369">
        <v>380100</v>
      </c>
    </row>
    <row r="11" spans="2:19" x14ac:dyDescent="0.35">
      <c r="B11" s="403" t="s">
        <v>2396</v>
      </c>
      <c r="C11" s="372" t="s">
        <v>2397</v>
      </c>
      <c r="D11" s="365">
        <v>366969</v>
      </c>
      <c r="E11" s="365">
        <v>411969</v>
      </c>
      <c r="F11" s="365">
        <v>451969</v>
      </c>
      <c r="G11" s="365">
        <v>486969</v>
      </c>
      <c r="H11" s="365">
        <v>385317.45</v>
      </c>
      <c r="I11" s="365">
        <v>432567.45</v>
      </c>
      <c r="J11" s="365">
        <v>474567.45</v>
      </c>
      <c r="K11" s="369">
        <v>511317.45</v>
      </c>
    </row>
    <row r="12" spans="2:19" x14ac:dyDescent="0.35">
      <c r="B12" s="403" t="s">
        <v>2398</v>
      </c>
      <c r="C12" s="372" t="s">
        <v>2399</v>
      </c>
      <c r="D12" s="365">
        <v>443295</v>
      </c>
      <c r="E12" s="365">
        <v>488295</v>
      </c>
      <c r="F12" s="365">
        <v>528295</v>
      </c>
      <c r="G12" s="365">
        <v>563295</v>
      </c>
      <c r="H12" s="365">
        <v>465459.75</v>
      </c>
      <c r="I12" s="365">
        <v>512709.75</v>
      </c>
      <c r="J12" s="365">
        <v>554709.75</v>
      </c>
      <c r="K12" s="369">
        <v>591459.75</v>
      </c>
    </row>
    <row r="13" spans="2:19" x14ac:dyDescent="0.35">
      <c r="B13" s="403" t="s">
        <v>2400</v>
      </c>
      <c r="C13" s="372" t="s">
        <v>2401</v>
      </c>
      <c r="D13" s="365">
        <v>661883</v>
      </c>
      <c r="E13" s="365">
        <v>720000</v>
      </c>
      <c r="F13" s="365">
        <v>770000</v>
      </c>
      <c r="G13" s="365">
        <v>820000</v>
      </c>
      <c r="H13" s="365">
        <v>694977.15</v>
      </c>
      <c r="I13" s="365">
        <v>756000</v>
      </c>
      <c r="J13" s="365">
        <v>808500</v>
      </c>
      <c r="K13" s="369">
        <v>861000</v>
      </c>
    </row>
    <row r="14" spans="2:19" x14ac:dyDescent="0.35">
      <c r="B14" s="403" t="s">
        <v>2402</v>
      </c>
      <c r="C14" s="372" t="s">
        <v>2403</v>
      </c>
      <c r="D14" s="365">
        <v>966000.94500000007</v>
      </c>
      <c r="E14" s="365">
        <v>1014300.9922500001</v>
      </c>
      <c r="F14" s="365">
        <v>1065016.0418625001</v>
      </c>
      <c r="G14" s="365">
        <v>1118266.8439556251</v>
      </c>
      <c r="H14" s="365">
        <v>1014300.9922500001</v>
      </c>
      <c r="I14" s="365">
        <v>1065016.0418625001</v>
      </c>
      <c r="J14" s="365">
        <v>1118266.8439556251</v>
      </c>
      <c r="K14" s="369">
        <v>1174180.1861534063</v>
      </c>
    </row>
    <row r="15" spans="2:19" x14ac:dyDescent="0.35">
      <c r="B15" s="403" t="s">
        <v>2404</v>
      </c>
      <c r="C15" s="372" t="s">
        <v>2405</v>
      </c>
      <c r="D15" s="365">
        <v>1296000</v>
      </c>
      <c r="E15" s="365">
        <v>1296000</v>
      </c>
      <c r="F15" s="365">
        <v>1445850</v>
      </c>
      <c r="G15" s="365">
        <v>1516253.0909090908</v>
      </c>
      <c r="H15" s="365">
        <v>1360800</v>
      </c>
      <c r="I15" s="365">
        <v>1360800</v>
      </c>
      <c r="J15" s="365">
        <v>1518142.5</v>
      </c>
      <c r="K15" s="369">
        <v>1592065.7454545454</v>
      </c>
    </row>
    <row r="16" spans="2:19" x14ac:dyDescent="0.35">
      <c r="C16" s="382" t="s">
        <v>2406</v>
      </c>
      <c r="D16" s="362"/>
      <c r="E16" s="362"/>
      <c r="F16" s="362"/>
      <c r="G16" s="362"/>
      <c r="H16" s="362"/>
      <c r="I16" s="362"/>
      <c r="J16" s="362"/>
      <c r="K16" s="370"/>
    </row>
    <row r="17" spans="2:11" x14ac:dyDescent="0.35">
      <c r="C17" s="383"/>
      <c r="D17" s="371"/>
      <c r="E17" s="362"/>
      <c r="F17" s="362"/>
      <c r="G17" s="362"/>
      <c r="H17" s="362"/>
      <c r="I17" s="362"/>
      <c r="J17" s="362"/>
      <c r="K17" s="370"/>
    </row>
    <row r="18" spans="2:11" x14ac:dyDescent="0.35">
      <c r="C18" s="468" t="s">
        <v>2407</v>
      </c>
      <c r="D18" s="469"/>
      <c r="E18" s="469"/>
      <c r="F18" s="469"/>
      <c r="G18" s="469"/>
      <c r="H18" s="469"/>
      <c r="I18" s="469"/>
      <c r="J18" s="469"/>
      <c r="K18" s="470"/>
    </row>
    <row r="19" spans="2:11" x14ac:dyDescent="0.35">
      <c r="C19" s="474" t="s">
        <v>2387</v>
      </c>
      <c r="D19" s="471" t="s">
        <v>2388</v>
      </c>
      <c r="E19" s="471"/>
      <c r="F19" s="471"/>
      <c r="G19" s="471"/>
      <c r="H19" s="472" t="s">
        <v>2389</v>
      </c>
      <c r="I19" s="472"/>
      <c r="J19" s="472"/>
      <c r="K19" s="473"/>
    </row>
    <row r="20" spans="2:11" x14ac:dyDescent="0.35">
      <c r="C20" s="474"/>
      <c r="D20" s="471" t="s">
        <v>2391</v>
      </c>
      <c r="E20" s="471"/>
      <c r="F20" s="471"/>
      <c r="G20" s="471"/>
      <c r="H20" s="472" t="s">
        <v>2391</v>
      </c>
      <c r="I20" s="472"/>
      <c r="J20" s="472"/>
      <c r="K20" s="473"/>
    </row>
    <row r="21" spans="2:11" x14ac:dyDescent="0.35">
      <c r="C21" s="474"/>
      <c r="D21" s="363" t="s">
        <v>163</v>
      </c>
      <c r="E21" s="363" t="s">
        <v>462</v>
      </c>
      <c r="F21" s="363" t="s">
        <v>150</v>
      </c>
      <c r="G21" s="363" t="s">
        <v>240</v>
      </c>
      <c r="H21" s="364" t="s">
        <v>163</v>
      </c>
      <c r="I21" s="364" t="s">
        <v>462</v>
      </c>
      <c r="J21" s="364" t="s">
        <v>150</v>
      </c>
      <c r="K21" s="368" t="s">
        <v>240</v>
      </c>
    </row>
    <row r="22" spans="2:11" s="362" customFormat="1" x14ac:dyDescent="0.35">
      <c r="B22" s="404" t="s">
        <v>66</v>
      </c>
      <c r="C22" s="372" t="s">
        <v>2408</v>
      </c>
      <c r="D22" s="365">
        <v>127562.295</v>
      </c>
      <c r="E22" s="365">
        <v>133940.40974999999</v>
      </c>
      <c r="F22" s="365">
        <v>140637.4302375</v>
      </c>
      <c r="G22" s="365">
        <v>147669.30174937501</v>
      </c>
      <c r="H22" s="365">
        <v>133940.40974999999</v>
      </c>
      <c r="I22" s="365">
        <v>140637.4302375</v>
      </c>
      <c r="J22" s="365">
        <v>147669.30174937501</v>
      </c>
      <c r="K22" s="369">
        <v>155052.76683684374</v>
      </c>
    </row>
    <row r="23" spans="2:11" s="362" customFormat="1" x14ac:dyDescent="0.35">
      <c r="B23" s="404" t="s">
        <v>2394</v>
      </c>
      <c r="C23" s="372" t="s">
        <v>2409</v>
      </c>
      <c r="D23" s="365">
        <v>404170</v>
      </c>
      <c r="E23" s="365">
        <v>459010</v>
      </c>
      <c r="F23" s="365">
        <v>568438</v>
      </c>
      <c r="G23" s="365">
        <v>603438</v>
      </c>
      <c r="H23" s="365">
        <v>530398.30724999995</v>
      </c>
      <c r="I23" s="365">
        <v>556918.22261249996</v>
      </c>
      <c r="J23" s="365">
        <v>584764.13374312501</v>
      </c>
      <c r="K23" s="369">
        <v>614002.34043028124</v>
      </c>
    </row>
    <row r="24" spans="2:11" s="362" customFormat="1" x14ac:dyDescent="0.35">
      <c r="B24" s="404" t="s">
        <v>2396</v>
      </c>
      <c r="C24" s="372" t="s">
        <v>2410</v>
      </c>
      <c r="D24" s="365">
        <v>797044.3</v>
      </c>
      <c r="E24" s="365">
        <v>836896.51500000001</v>
      </c>
      <c r="F24" s="365">
        <v>876748.73</v>
      </c>
      <c r="G24" s="365">
        <v>958994</v>
      </c>
      <c r="H24" s="365">
        <v>883982.99784374994</v>
      </c>
      <c r="I24" s="365">
        <v>928182.1477359375</v>
      </c>
      <c r="J24" s="365">
        <v>974591.25512273435</v>
      </c>
      <c r="K24" s="369">
        <v>1023320.8178788711</v>
      </c>
    </row>
    <row r="25" spans="2:11" s="362" customFormat="1" ht="29" x14ac:dyDescent="0.35">
      <c r="B25" s="404"/>
      <c r="C25" s="373" t="s">
        <v>2411</v>
      </c>
      <c r="D25" s="365">
        <v>120750</v>
      </c>
      <c r="E25" s="365">
        <v>120750</v>
      </c>
      <c r="F25" s="365">
        <v>126787.5</v>
      </c>
      <c r="G25" s="365">
        <v>133126.875</v>
      </c>
      <c r="H25" s="365">
        <v>126787.5</v>
      </c>
      <c r="I25" s="365">
        <v>126787.5</v>
      </c>
      <c r="J25" s="365">
        <v>133126.875</v>
      </c>
      <c r="K25" s="369">
        <v>139783.21875</v>
      </c>
    </row>
    <row r="26" spans="2:11" x14ac:dyDescent="0.35">
      <c r="C26" s="382" t="s">
        <v>2412</v>
      </c>
      <c r="D26" s="371"/>
      <c r="E26" s="362"/>
      <c r="F26" s="362"/>
      <c r="G26" s="362"/>
      <c r="H26" s="362"/>
      <c r="I26" s="362"/>
      <c r="J26" s="362"/>
      <c r="K26" s="370"/>
    </row>
    <row r="27" spans="2:11" x14ac:dyDescent="0.35">
      <c r="C27" s="382"/>
      <c r="D27" s="362"/>
      <c r="E27" s="362"/>
      <c r="F27" s="362"/>
      <c r="G27" s="362"/>
      <c r="H27" s="362"/>
      <c r="I27" s="362"/>
      <c r="J27" s="362"/>
      <c r="K27" s="370"/>
    </row>
    <row r="28" spans="2:11" x14ac:dyDescent="0.35">
      <c r="C28" s="468" t="s">
        <v>2413</v>
      </c>
      <c r="D28" s="469"/>
      <c r="E28" s="469"/>
      <c r="F28" s="469"/>
      <c r="G28" s="469"/>
      <c r="H28" s="469"/>
      <c r="I28" s="469"/>
      <c r="J28" s="469"/>
      <c r="K28" s="470"/>
    </row>
    <row r="29" spans="2:11" x14ac:dyDescent="0.35">
      <c r="C29" s="474" t="s">
        <v>2387</v>
      </c>
      <c r="D29" s="471" t="s">
        <v>2388</v>
      </c>
      <c r="E29" s="471"/>
      <c r="F29" s="471"/>
      <c r="G29" s="471"/>
      <c r="H29" s="472" t="s">
        <v>2389</v>
      </c>
      <c r="I29" s="472"/>
      <c r="J29" s="472"/>
      <c r="K29" s="473"/>
    </row>
    <row r="30" spans="2:11" x14ac:dyDescent="0.35">
      <c r="C30" s="474"/>
      <c r="D30" s="471" t="s">
        <v>2391</v>
      </c>
      <c r="E30" s="471"/>
      <c r="F30" s="471"/>
      <c r="G30" s="471"/>
      <c r="H30" s="472" t="s">
        <v>2391</v>
      </c>
      <c r="I30" s="472"/>
      <c r="J30" s="472"/>
      <c r="K30" s="473"/>
    </row>
    <row r="31" spans="2:11" x14ac:dyDescent="0.35">
      <c r="C31" s="474"/>
      <c r="D31" s="363" t="s">
        <v>163</v>
      </c>
      <c r="E31" s="363" t="s">
        <v>462</v>
      </c>
      <c r="F31" s="363" t="s">
        <v>150</v>
      </c>
      <c r="G31" s="363" t="s">
        <v>240</v>
      </c>
      <c r="H31" s="364" t="s">
        <v>163</v>
      </c>
      <c r="I31" s="364" t="s">
        <v>462</v>
      </c>
      <c r="J31" s="364" t="s">
        <v>150</v>
      </c>
      <c r="K31" s="368" t="s">
        <v>240</v>
      </c>
    </row>
    <row r="32" spans="2:11" x14ac:dyDescent="0.35">
      <c r="B32" s="404" t="s">
        <v>66</v>
      </c>
      <c r="C32" s="384" t="s">
        <v>2408</v>
      </c>
      <c r="D32" s="366">
        <v>143264.94</v>
      </c>
      <c r="E32" s="366">
        <v>150428.18700000001</v>
      </c>
      <c r="F32" s="366">
        <v>157949.59635000001</v>
      </c>
      <c r="G32" s="366">
        <v>165847.0761675</v>
      </c>
      <c r="H32" s="366">
        <v>150428.18700000001</v>
      </c>
      <c r="I32" s="366">
        <v>157949.59635000001</v>
      </c>
      <c r="J32" s="366">
        <v>165847.0761675</v>
      </c>
      <c r="K32" s="374">
        <v>174139.42997587498</v>
      </c>
    </row>
    <row r="33" spans="2:11" x14ac:dyDescent="0.35">
      <c r="B33" s="404" t="s">
        <v>2394</v>
      </c>
      <c r="C33" s="375" t="s">
        <v>2409</v>
      </c>
      <c r="D33" s="366">
        <v>428400</v>
      </c>
      <c r="E33" s="366">
        <v>483180</v>
      </c>
      <c r="F33" s="366">
        <v>598630</v>
      </c>
      <c r="G33" s="366">
        <v>665579.19999999995</v>
      </c>
      <c r="H33" s="366">
        <v>550442.80000000005</v>
      </c>
      <c r="I33" s="366">
        <v>591191.99999999988</v>
      </c>
      <c r="J33" s="366">
        <v>706000</v>
      </c>
      <c r="K33" s="374">
        <v>736000</v>
      </c>
    </row>
    <row r="34" spans="2:11" x14ac:dyDescent="0.35">
      <c r="B34" s="404" t="s">
        <v>2396</v>
      </c>
      <c r="C34" s="384" t="s">
        <v>2410</v>
      </c>
      <c r="D34" s="366">
        <v>1109816.5050000001</v>
      </c>
      <c r="E34" s="366">
        <v>1165307.3302500001</v>
      </c>
      <c r="F34" s="366">
        <v>1223572.6967625001</v>
      </c>
      <c r="G34" s="366">
        <v>1284751.3316006251</v>
      </c>
      <c r="H34" s="366">
        <v>1165307.3302500001</v>
      </c>
      <c r="I34" s="366">
        <v>1223572.6967625001</v>
      </c>
      <c r="J34" s="366">
        <v>1284751.3316006251</v>
      </c>
      <c r="K34" s="374">
        <v>1348988.8981806564</v>
      </c>
    </row>
    <row r="35" spans="2:11" s="362" customFormat="1" ht="29" x14ac:dyDescent="0.35">
      <c r="B35" s="404"/>
      <c r="C35" s="373" t="s">
        <v>2414</v>
      </c>
      <c r="D35" s="366">
        <v>120750</v>
      </c>
      <c r="E35" s="366">
        <v>120750</v>
      </c>
      <c r="F35" s="366">
        <v>126787.5</v>
      </c>
      <c r="G35" s="366">
        <v>133126.875</v>
      </c>
      <c r="H35" s="366">
        <v>126787.5</v>
      </c>
      <c r="I35" s="366">
        <v>126787.5</v>
      </c>
      <c r="J35" s="366">
        <v>133126.875</v>
      </c>
      <c r="K35" s="374">
        <v>139783.21875</v>
      </c>
    </row>
    <row r="36" spans="2:11" x14ac:dyDescent="0.35">
      <c r="C36" s="382" t="s">
        <v>2412</v>
      </c>
      <c r="D36" s="371"/>
      <c r="E36" s="362"/>
      <c r="F36" s="362"/>
      <c r="G36" s="362"/>
      <c r="H36" s="362"/>
      <c r="I36" s="362"/>
      <c r="J36" s="362"/>
      <c r="K36" s="370"/>
    </row>
    <row r="37" spans="2:11" x14ac:dyDescent="0.35">
      <c r="C37" s="382"/>
      <c r="D37" s="362"/>
      <c r="E37" s="362"/>
      <c r="F37" s="362"/>
      <c r="G37" s="362"/>
      <c r="H37" s="362"/>
      <c r="I37" s="362"/>
      <c r="J37" s="362"/>
      <c r="K37" s="370"/>
    </row>
    <row r="38" spans="2:11" x14ac:dyDescent="0.35">
      <c r="C38" s="468" t="s">
        <v>2415</v>
      </c>
      <c r="D38" s="469"/>
      <c r="E38" s="469"/>
      <c r="F38" s="469"/>
      <c r="G38" s="469"/>
      <c r="H38" s="469"/>
      <c r="I38" s="469"/>
      <c r="J38" s="469"/>
      <c r="K38" s="470"/>
    </row>
    <row r="39" spans="2:11" x14ac:dyDescent="0.35">
      <c r="C39" s="474" t="s">
        <v>2387</v>
      </c>
      <c r="D39" s="471" t="s">
        <v>2388</v>
      </c>
      <c r="E39" s="471"/>
      <c r="F39" s="471"/>
      <c r="G39" s="471"/>
      <c r="H39" s="472" t="s">
        <v>2389</v>
      </c>
      <c r="I39" s="472"/>
      <c r="J39" s="472"/>
      <c r="K39" s="473"/>
    </row>
    <row r="40" spans="2:11" x14ac:dyDescent="0.35">
      <c r="C40" s="474"/>
      <c r="D40" s="471" t="s">
        <v>2416</v>
      </c>
      <c r="E40" s="471"/>
      <c r="F40" s="471"/>
      <c r="G40" s="471"/>
      <c r="H40" s="472" t="s">
        <v>2391</v>
      </c>
      <c r="I40" s="472"/>
      <c r="J40" s="472"/>
      <c r="K40" s="473"/>
    </row>
    <row r="41" spans="2:11" x14ac:dyDescent="0.35">
      <c r="C41" s="474"/>
      <c r="D41" s="363" t="s">
        <v>163</v>
      </c>
      <c r="E41" s="363" t="s">
        <v>462</v>
      </c>
      <c r="F41" s="363" t="s">
        <v>150</v>
      </c>
      <c r="G41" s="363" t="s">
        <v>240</v>
      </c>
      <c r="H41" s="364" t="s">
        <v>163</v>
      </c>
      <c r="I41" s="364" t="s">
        <v>462</v>
      </c>
      <c r="J41" s="364" t="s">
        <v>150</v>
      </c>
      <c r="K41" s="368" t="s">
        <v>240</v>
      </c>
    </row>
    <row r="42" spans="2:11" x14ac:dyDescent="0.35">
      <c r="B42" s="404" t="s">
        <v>2417</v>
      </c>
      <c r="C42" s="384" t="s">
        <v>2418</v>
      </c>
      <c r="D42" s="365">
        <v>195520.9725</v>
      </c>
      <c r="E42" s="365">
        <v>205297.021125</v>
      </c>
      <c r="F42" s="365">
        <v>215561.87218125002</v>
      </c>
      <c r="G42" s="365">
        <v>226339.9657903125</v>
      </c>
      <c r="H42" s="365">
        <v>205297.021125</v>
      </c>
      <c r="I42" s="365">
        <v>215561.87218125002</v>
      </c>
      <c r="J42" s="365">
        <v>226339.9657903125</v>
      </c>
      <c r="K42" s="369">
        <v>237656.96407982812</v>
      </c>
    </row>
    <row r="43" spans="2:11" x14ac:dyDescent="0.35">
      <c r="B43" s="404" t="s">
        <v>2419</v>
      </c>
      <c r="C43" s="375" t="s">
        <v>2420</v>
      </c>
      <c r="D43" s="365">
        <v>436210.45</v>
      </c>
      <c r="E43" s="365">
        <v>456800.00000000006</v>
      </c>
      <c r="F43" s="365">
        <v>506800.00000000006</v>
      </c>
      <c r="G43" s="365">
        <v>556800</v>
      </c>
      <c r="H43" s="365">
        <v>542460</v>
      </c>
      <c r="I43" s="365">
        <v>559520.97249999992</v>
      </c>
      <c r="J43" s="365">
        <v>568831.495</v>
      </c>
      <c r="K43" s="369">
        <v>578142.01750000007</v>
      </c>
    </row>
    <row r="44" spans="2:11" x14ac:dyDescent="0.35">
      <c r="B44" s="404"/>
      <c r="C44" s="384" t="s">
        <v>2421</v>
      </c>
      <c r="D44" s="365">
        <v>182466</v>
      </c>
      <c r="E44" s="365">
        <v>227466</v>
      </c>
      <c r="F44" s="365">
        <v>267466</v>
      </c>
      <c r="G44" s="365">
        <v>302466</v>
      </c>
      <c r="H44" s="365">
        <v>287342.7</v>
      </c>
      <c r="I44" s="365">
        <v>296009.83499999996</v>
      </c>
      <c r="J44" s="365">
        <v>304676.96999999997</v>
      </c>
      <c r="K44" s="369">
        <v>320500</v>
      </c>
    </row>
    <row r="45" spans="2:11" ht="15" thickBot="1" x14ac:dyDescent="0.4">
      <c r="C45" s="385" t="s">
        <v>2412</v>
      </c>
      <c r="D45" s="376"/>
      <c r="E45" s="376"/>
      <c r="F45" s="376"/>
      <c r="G45" s="376"/>
      <c r="H45" s="376"/>
      <c r="I45" s="376"/>
      <c r="J45" s="376"/>
      <c r="K45" s="377"/>
    </row>
    <row r="46" spans="2:11" ht="15" thickBot="1" x14ac:dyDescent="0.4">
      <c r="D46" s="362"/>
      <c r="E46" s="362"/>
      <c r="F46" s="362"/>
      <c r="G46" s="362"/>
      <c r="H46" s="362"/>
      <c r="I46" s="362"/>
      <c r="J46" s="362"/>
      <c r="K46" s="362"/>
    </row>
    <row r="47" spans="2:11" ht="31" customHeight="1" x14ac:dyDescent="0.35">
      <c r="C47" s="475" t="s">
        <v>2422</v>
      </c>
      <c r="D47" s="476"/>
      <c r="E47" s="476"/>
      <c r="F47" s="476"/>
      <c r="G47" s="476"/>
      <c r="H47" s="476"/>
      <c r="I47" s="476"/>
      <c r="J47" s="476"/>
      <c r="K47" s="477"/>
    </row>
    <row r="48" spans="2:11" x14ac:dyDescent="0.35">
      <c r="C48" s="474" t="s">
        <v>2423</v>
      </c>
      <c r="D48" s="471" t="s">
        <v>2388</v>
      </c>
      <c r="E48" s="471"/>
      <c r="F48" s="471"/>
      <c r="G48" s="471"/>
      <c r="H48" s="472" t="s">
        <v>2389</v>
      </c>
      <c r="I48" s="472"/>
      <c r="J48" s="472"/>
      <c r="K48" s="473"/>
    </row>
    <row r="49" spans="2:11" x14ac:dyDescent="0.35">
      <c r="C49" s="474"/>
      <c r="D49" s="471" t="s">
        <v>2391</v>
      </c>
      <c r="E49" s="471"/>
      <c r="F49" s="471"/>
      <c r="G49" s="471"/>
      <c r="H49" s="472" t="s">
        <v>2391</v>
      </c>
      <c r="I49" s="472"/>
      <c r="J49" s="472"/>
      <c r="K49" s="473"/>
    </row>
    <row r="50" spans="2:11" x14ac:dyDescent="0.35">
      <c r="C50" s="474"/>
      <c r="D50" s="363" t="s">
        <v>163</v>
      </c>
      <c r="E50" s="363" t="s">
        <v>462</v>
      </c>
      <c r="F50" s="363" t="s">
        <v>150</v>
      </c>
      <c r="G50" s="363" t="s">
        <v>240</v>
      </c>
      <c r="H50" s="364" t="s">
        <v>163</v>
      </c>
      <c r="I50" s="364" t="s">
        <v>462</v>
      </c>
      <c r="J50" s="364" t="s">
        <v>150</v>
      </c>
      <c r="K50" s="368" t="s">
        <v>240</v>
      </c>
    </row>
    <row r="51" spans="2:11" x14ac:dyDescent="0.35">
      <c r="B51" s="403" t="s">
        <v>2424</v>
      </c>
      <c r="C51" s="386" t="s">
        <v>2425</v>
      </c>
      <c r="D51" s="365">
        <v>778376.65500000003</v>
      </c>
      <c r="E51" s="365">
        <v>817295.48775000009</v>
      </c>
      <c r="F51" s="365">
        <v>858160.2621375001</v>
      </c>
      <c r="G51" s="365">
        <v>901068.27524437511</v>
      </c>
      <c r="H51" s="365">
        <v>817295.48775000009</v>
      </c>
      <c r="I51" s="365">
        <v>858160.2621375001</v>
      </c>
      <c r="J51" s="365">
        <v>901068.27524437511</v>
      </c>
      <c r="K51" s="369">
        <v>946121.68900659389</v>
      </c>
    </row>
    <row r="52" spans="2:11" ht="15" thickBot="1" x14ac:dyDescent="0.4">
      <c r="B52" s="403" t="s">
        <v>2426</v>
      </c>
      <c r="C52" s="378" t="s">
        <v>2427</v>
      </c>
      <c r="D52" s="379">
        <v>2249807.8050000002</v>
      </c>
      <c r="E52" s="379">
        <v>2362298.1952500003</v>
      </c>
      <c r="F52" s="379">
        <v>2480413.1050125002</v>
      </c>
      <c r="G52" s="379">
        <v>2604433.7602631254</v>
      </c>
      <c r="H52" s="379">
        <v>2362298.1952500003</v>
      </c>
      <c r="I52" s="379">
        <v>2480413.1050125002</v>
      </c>
      <c r="J52" s="379">
        <v>2604433.7602631254</v>
      </c>
      <c r="K52" s="380">
        <v>2734655.4482762818</v>
      </c>
    </row>
  </sheetData>
  <sheetProtection algorithmName="SHA-512" hashValue="JIn8R9Bn+eTIXXnQfnUifWXIFoAFvzdn6+gxAbP/NgyEkxmZPkkJlNp6WnSgoWv9I2ssjhcLONL/R33mMsSRaQ==" saltValue="HgkH6sJ5hAIMGhObwVvAmQ==" spinCount="100000" sheet="1" objects="1" scenarios="1"/>
  <mergeCells count="33">
    <mergeCell ref="M2:O2"/>
    <mergeCell ref="Q2:S2"/>
    <mergeCell ref="C4:K4"/>
    <mergeCell ref="D5:G5"/>
    <mergeCell ref="H5:K5"/>
    <mergeCell ref="C2:K2"/>
    <mergeCell ref="D6:G6"/>
    <mergeCell ref="H6:K6"/>
    <mergeCell ref="C5:C7"/>
    <mergeCell ref="D30:G30"/>
    <mergeCell ref="H30:K30"/>
    <mergeCell ref="C29:C31"/>
    <mergeCell ref="C18:K18"/>
    <mergeCell ref="D19:G19"/>
    <mergeCell ref="H19:K19"/>
    <mergeCell ref="D20:G20"/>
    <mergeCell ref="H20:K20"/>
    <mergeCell ref="C19:C21"/>
    <mergeCell ref="C28:K28"/>
    <mergeCell ref="D29:G29"/>
    <mergeCell ref="H29:K29"/>
    <mergeCell ref="C47:K47"/>
    <mergeCell ref="D48:G48"/>
    <mergeCell ref="H48:K48"/>
    <mergeCell ref="D49:G49"/>
    <mergeCell ref="H49:K49"/>
    <mergeCell ref="C48:C50"/>
    <mergeCell ref="C38:K38"/>
    <mergeCell ref="D39:G39"/>
    <mergeCell ref="H39:K39"/>
    <mergeCell ref="D40:G40"/>
    <mergeCell ref="H40:K40"/>
    <mergeCell ref="C39:C41"/>
  </mergeCells>
  <phoneticPr fontId="1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CEAB5-54D3-432D-99F6-4D76E1AEBEC3}">
  <sheetPr codeName="Hoja10"/>
  <dimension ref="A1:B114"/>
  <sheetViews>
    <sheetView view="pageBreakPreview" topLeftCell="A16" zoomScale="80" zoomScaleNormal="70" zoomScaleSheetLayoutView="80" workbookViewId="0">
      <selection activeCell="E39" sqref="E39"/>
    </sheetView>
  </sheetViews>
  <sheetFormatPr baseColWidth="10" defaultColWidth="11.453125" defaultRowHeight="14.5" x14ac:dyDescent="0.35"/>
  <cols>
    <col min="1" max="1" width="62.453125" customWidth="1"/>
    <col min="2" max="2" width="31.54296875" customWidth="1"/>
  </cols>
  <sheetData>
    <row r="1" spans="1:2" ht="48" customHeight="1" thickBot="1" x14ac:dyDescent="0.4">
      <c r="A1" s="498" t="s">
        <v>2428</v>
      </c>
      <c r="B1" s="501"/>
    </row>
    <row r="2" spans="1:2" ht="18.75" customHeight="1" thickBot="1" x14ac:dyDescent="0.4">
      <c r="A2" s="498" t="s">
        <v>2429</v>
      </c>
      <c r="B2" s="499"/>
    </row>
    <row r="3" spans="1:2" ht="25.5" customHeight="1" x14ac:dyDescent="0.35">
      <c r="A3" s="245" t="s">
        <v>2430</v>
      </c>
      <c r="B3" s="246" t="s">
        <v>2431</v>
      </c>
    </row>
    <row r="4" spans="1:2" ht="27.75" customHeight="1" x14ac:dyDescent="0.35">
      <c r="A4" s="247" t="s">
        <v>2432</v>
      </c>
      <c r="B4" s="248">
        <v>134403.98199999999</v>
      </c>
    </row>
    <row r="5" spans="1:2" ht="30" customHeight="1" x14ac:dyDescent="0.35">
      <c r="A5" s="247" t="s">
        <v>2433</v>
      </c>
      <c r="B5" s="249" t="s">
        <v>2434</v>
      </c>
    </row>
    <row r="6" spans="1:2" ht="22.5" customHeight="1" thickBot="1" x14ac:dyDescent="0.4">
      <c r="A6" s="250" t="s">
        <v>2435</v>
      </c>
      <c r="B6" s="251">
        <v>881782.6939999999</v>
      </c>
    </row>
    <row r="7" spans="1:2" ht="16" thickBot="1" x14ac:dyDescent="0.4">
      <c r="A7" s="252"/>
      <c r="B7" s="252"/>
    </row>
    <row r="8" spans="1:2" ht="18.75" customHeight="1" thickBot="1" x14ac:dyDescent="0.4">
      <c r="A8" s="498" t="s">
        <v>2436</v>
      </c>
      <c r="B8" s="499"/>
    </row>
    <row r="9" spans="1:2" ht="21.75" customHeight="1" x14ac:dyDescent="0.35">
      <c r="A9" s="245" t="s">
        <v>2437</v>
      </c>
      <c r="B9" s="253" t="s">
        <v>2431</v>
      </c>
    </row>
    <row r="10" spans="1:2" ht="25.5" customHeight="1" x14ac:dyDescent="0.35">
      <c r="A10" s="254" t="s">
        <v>2438</v>
      </c>
      <c r="B10" s="255">
        <v>150948.82399999999</v>
      </c>
    </row>
    <row r="11" spans="1:2" ht="32.25" customHeight="1" x14ac:dyDescent="0.35">
      <c r="A11" s="254" t="s">
        <v>2409</v>
      </c>
      <c r="B11" s="249" t="s">
        <v>2439</v>
      </c>
    </row>
    <row r="12" spans="1:2" ht="24.75" customHeight="1" thickBot="1" x14ac:dyDescent="0.4">
      <c r="A12" s="256" t="s">
        <v>2440</v>
      </c>
      <c r="B12" s="257">
        <v>1169339.4469999999</v>
      </c>
    </row>
    <row r="13" spans="1:2" ht="16" thickBot="1" x14ac:dyDescent="0.4">
      <c r="A13" s="258"/>
      <c r="B13" s="258"/>
    </row>
    <row r="14" spans="1:2" ht="16" thickBot="1" x14ac:dyDescent="0.4">
      <c r="A14" s="500" t="s">
        <v>2441</v>
      </c>
      <c r="B14" s="501"/>
    </row>
    <row r="15" spans="1:2" ht="25.5" customHeight="1" x14ac:dyDescent="0.35">
      <c r="A15" s="245" t="s">
        <v>2430</v>
      </c>
      <c r="B15" s="253" t="s">
        <v>2431</v>
      </c>
    </row>
    <row r="16" spans="1:2" ht="25.5" customHeight="1" x14ac:dyDescent="0.35">
      <c r="A16" s="259" t="s">
        <v>2442</v>
      </c>
      <c r="B16" s="255">
        <v>206007.56099999999</v>
      </c>
    </row>
    <row r="17" spans="1:2" ht="31" x14ac:dyDescent="0.35">
      <c r="A17" s="247" t="s">
        <v>2443</v>
      </c>
      <c r="B17" s="260" t="s">
        <v>2444</v>
      </c>
    </row>
    <row r="18" spans="1:2" ht="23.25" customHeight="1" thickBot="1" x14ac:dyDescent="0.4">
      <c r="A18" s="261" t="s">
        <v>2445</v>
      </c>
      <c r="B18" s="257">
        <v>191770.715</v>
      </c>
    </row>
    <row r="19" spans="1:2" ht="16" thickBot="1" x14ac:dyDescent="0.4">
      <c r="A19" s="262"/>
      <c r="B19" s="262"/>
    </row>
    <row r="20" spans="1:2" x14ac:dyDescent="0.35">
      <c r="A20" s="510" t="s">
        <v>2446</v>
      </c>
      <c r="B20" s="511"/>
    </row>
    <row r="21" spans="1:2" x14ac:dyDescent="0.35">
      <c r="A21" s="508" t="s">
        <v>2447</v>
      </c>
      <c r="B21" s="509"/>
    </row>
    <row r="22" spans="1:2" ht="71.25" customHeight="1" x14ac:dyDescent="0.35">
      <c r="A22" s="492" t="s">
        <v>2448</v>
      </c>
      <c r="B22" s="493"/>
    </row>
    <row r="23" spans="1:2" ht="15" thickBot="1" x14ac:dyDescent="0.4">
      <c r="A23" s="263"/>
      <c r="B23" s="263"/>
    </row>
    <row r="24" spans="1:2" ht="15.5" x14ac:dyDescent="0.35">
      <c r="A24" s="494" t="s">
        <v>2449</v>
      </c>
      <c r="B24" s="495"/>
    </row>
    <row r="25" spans="1:2" ht="17.5" customHeight="1" x14ac:dyDescent="0.35">
      <c r="A25" s="264" t="s">
        <v>2450</v>
      </c>
      <c r="B25" s="265" t="s">
        <v>2451</v>
      </c>
    </row>
    <row r="26" spans="1:2" ht="18.649999999999999" customHeight="1" x14ac:dyDescent="0.35">
      <c r="A26" s="264" t="s">
        <v>2452</v>
      </c>
      <c r="B26" s="265" t="s">
        <v>2453</v>
      </c>
    </row>
    <row r="27" spans="1:2" ht="19.5" customHeight="1" x14ac:dyDescent="0.35">
      <c r="A27" s="264" t="s">
        <v>2454</v>
      </c>
      <c r="B27" s="265" t="s">
        <v>2455</v>
      </c>
    </row>
    <row r="28" spans="1:2" ht="19.5" customHeight="1" x14ac:dyDescent="0.35">
      <c r="A28" s="264" t="s">
        <v>2456</v>
      </c>
      <c r="B28" s="265" t="s">
        <v>2457</v>
      </c>
    </row>
    <row r="29" spans="1:2" ht="19.5" customHeight="1" x14ac:dyDescent="0.35">
      <c r="A29" s="264" t="s">
        <v>2458</v>
      </c>
      <c r="B29" s="265" t="s">
        <v>2459</v>
      </c>
    </row>
    <row r="30" spans="1:2" ht="21.75" customHeight="1" x14ac:dyDescent="0.35">
      <c r="A30" s="266"/>
      <c r="B30" s="266"/>
    </row>
    <row r="31" spans="1:2" ht="16" thickBot="1" x14ac:dyDescent="0.4">
      <c r="A31" s="267"/>
      <c r="B31" s="267"/>
    </row>
    <row r="32" spans="1:2" ht="33" customHeight="1" x14ac:dyDescent="0.35">
      <c r="A32" s="494" t="s">
        <v>2460</v>
      </c>
      <c r="B32" s="495"/>
    </row>
    <row r="33" spans="1:2" ht="18.75" customHeight="1" thickBot="1" x14ac:dyDescent="0.4">
      <c r="A33" s="496" t="s">
        <v>2461</v>
      </c>
      <c r="B33" s="497"/>
    </row>
    <row r="34" spans="1:2" ht="27" customHeight="1" x14ac:dyDescent="0.35">
      <c r="A34" s="245" t="s">
        <v>2430</v>
      </c>
      <c r="B34" s="253" t="s">
        <v>2431</v>
      </c>
    </row>
    <row r="35" spans="1:2" ht="24.75" customHeight="1" x14ac:dyDescent="0.35">
      <c r="A35" s="268" t="s">
        <v>2462</v>
      </c>
      <c r="B35" s="269">
        <v>127000</v>
      </c>
    </row>
    <row r="36" spans="1:2" ht="26.15" customHeight="1" thickBot="1" x14ac:dyDescent="0.4">
      <c r="A36" s="250" t="s">
        <v>2463</v>
      </c>
      <c r="B36" s="269">
        <v>127000</v>
      </c>
    </row>
    <row r="37" spans="1:2" ht="16" thickBot="1" x14ac:dyDescent="0.4">
      <c r="A37" s="270"/>
      <c r="B37" s="270"/>
    </row>
    <row r="38" spans="1:2" ht="18.75" customHeight="1" thickBot="1" x14ac:dyDescent="0.4">
      <c r="A38" s="498" t="s">
        <v>2464</v>
      </c>
      <c r="B38" s="499"/>
    </row>
    <row r="39" spans="1:2" ht="30" customHeight="1" x14ac:dyDescent="0.35">
      <c r="A39" s="271" t="s">
        <v>2465</v>
      </c>
      <c r="B39" s="272" t="s">
        <v>2431</v>
      </c>
    </row>
    <row r="40" spans="1:2" ht="15.5" x14ac:dyDescent="0.35">
      <c r="A40" s="254" t="s">
        <v>2466</v>
      </c>
      <c r="B40" s="269">
        <v>170000</v>
      </c>
    </row>
    <row r="41" spans="1:2" ht="15.5" x14ac:dyDescent="0.35">
      <c r="A41" s="254" t="s">
        <v>2467</v>
      </c>
      <c r="B41" s="255">
        <v>330000</v>
      </c>
    </row>
    <row r="42" spans="1:2" ht="16" thickBot="1" x14ac:dyDescent="0.4">
      <c r="A42" s="256" t="s">
        <v>2468</v>
      </c>
      <c r="B42" s="257">
        <v>136000</v>
      </c>
    </row>
    <row r="43" spans="1:2" ht="16" thickBot="1" x14ac:dyDescent="0.4">
      <c r="A43" s="256" t="s">
        <v>2469</v>
      </c>
      <c r="B43" s="257">
        <v>213000</v>
      </c>
    </row>
    <row r="44" spans="1:2" ht="16" thickBot="1" x14ac:dyDescent="0.4">
      <c r="A44" s="270"/>
      <c r="B44" s="270"/>
    </row>
    <row r="45" spans="1:2" ht="29.15" customHeight="1" thickBot="1" x14ac:dyDescent="0.4">
      <c r="A45" s="500" t="s">
        <v>2470</v>
      </c>
      <c r="B45" s="501"/>
    </row>
    <row r="46" spans="1:2" ht="24" customHeight="1" x14ac:dyDescent="0.35">
      <c r="A46" s="245" t="s">
        <v>2430</v>
      </c>
      <c r="B46" s="253" t="s">
        <v>2431</v>
      </c>
    </row>
    <row r="47" spans="1:2" ht="20.149999999999999" customHeight="1" thickBot="1" x14ac:dyDescent="0.4">
      <c r="A47" s="261" t="s">
        <v>2441</v>
      </c>
      <c r="B47" s="257">
        <v>100000</v>
      </c>
    </row>
    <row r="48" spans="1:2" ht="16" thickBot="1" x14ac:dyDescent="0.4">
      <c r="A48" s="273"/>
      <c r="B48" s="274"/>
    </row>
    <row r="49" spans="1:2" ht="23.15" customHeight="1" thickBot="1" x14ac:dyDescent="0.4">
      <c r="A49" s="500" t="s">
        <v>2471</v>
      </c>
      <c r="B49" s="501"/>
    </row>
    <row r="50" spans="1:2" ht="22.5" customHeight="1" x14ac:dyDescent="0.35">
      <c r="A50" s="245" t="s">
        <v>2430</v>
      </c>
      <c r="B50" s="253" t="s">
        <v>2431</v>
      </c>
    </row>
    <row r="51" spans="1:2" ht="21.65" customHeight="1" thickBot="1" x14ac:dyDescent="0.4">
      <c r="A51" s="261" t="s">
        <v>2471</v>
      </c>
      <c r="B51" s="257">
        <v>100000</v>
      </c>
    </row>
    <row r="52" spans="1:2" ht="16" thickBot="1" x14ac:dyDescent="0.4">
      <c r="A52" s="273"/>
      <c r="B52" s="274"/>
    </row>
    <row r="53" spans="1:2" x14ac:dyDescent="0.35">
      <c r="A53" s="502" t="s">
        <v>2446</v>
      </c>
      <c r="B53" s="503"/>
    </row>
    <row r="54" spans="1:2" x14ac:dyDescent="0.35">
      <c r="A54" s="504" t="s">
        <v>2472</v>
      </c>
      <c r="B54" s="505"/>
    </row>
    <row r="55" spans="1:2" ht="32.15" customHeight="1" x14ac:dyDescent="0.35">
      <c r="A55" s="506" t="s">
        <v>2473</v>
      </c>
      <c r="B55" s="507"/>
    </row>
    <row r="56" spans="1:2" ht="31" customHeight="1" x14ac:dyDescent="0.35">
      <c r="A56" s="506" t="s">
        <v>2474</v>
      </c>
      <c r="B56" s="507"/>
    </row>
    <row r="57" spans="1:2" ht="41.15" customHeight="1" x14ac:dyDescent="0.35">
      <c r="A57" s="486" t="s">
        <v>2475</v>
      </c>
      <c r="B57" s="487"/>
    </row>
    <row r="58" spans="1:2" x14ac:dyDescent="0.35">
      <c r="A58" s="486" t="s">
        <v>2476</v>
      </c>
      <c r="B58" s="487"/>
    </row>
    <row r="59" spans="1:2" x14ac:dyDescent="0.35">
      <c r="A59" s="275"/>
      <c r="B59" s="275"/>
    </row>
    <row r="60" spans="1:2" x14ac:dyDescent="0.35">
      <c r="A60" s="275"/>
      <c r="B60" s="275"/>
    </row>
    <row r="61" spans="1:2" x14ac:dyDescent="0.35">
      <c r="A61" s="275"/>
      <c r="B61" s="275"/>
    </row>
    <row r="62" spans="1:2" x14ac:dyDescent="0.35">
      <c r="A62" s="275"/>
      <c r="B62" s="275"/>
    </row>
    <row r="63" spans="1:2" x14ac:dyDescent="0.35">
      <c r="A63" s="275"/>
      <c r="B63" s="275"/>
    </row>
    <row r="64" spans="1:2" ht="34" customHeight="1" thickBot="1" x14ac:dyDescent="0.4">
      <c r="A64" s="488" t="s">
        <v>2477</v>
      </c>
      <c r="B64" s="489"/>
    </row>
    <row r="65" spans="1:2" ht="16" thickBot="1" x14ac:dyDescent="0.4">
      <c r="A65" s="490" t="s">
        <v>2478</v>
      </c>
      <c r="B65" s="491"/>
    </row>
    <row r="66" spans="1:2" ht="15.5" x14ac:dyDescent="0.35">
      <c r="A66" s="485" t="s">
        <v>2479</v>
      </c>
      <c r="B66" s="276" t="s">
        <v>2480</v>
      </c>
    </row>
    <row r="67" spans="1:2" ht="15.5" x14ac:dyDescent="0.35">
      <c r="A67" s="483"/>
      <c r="B67" s="277" t="s">
        <v>2481</v>
      </c>
    </row>
    <row r="68" spans="1:2" ht="15.5" x14ac:dyDescent="0.35">
      <c r="A68" s="483"/>
      <c r="B68" s="277" t="s">
        <v>2482</v>
      </c>
    </row>
    <row r="69" spans="1:2" ht="15.5" x14ac:dyDescent="0.35">
      <c r="A69" s="483"/>
      <c r="B69" s="277" t="s">
        <v>2479</v>
      </c>
    </row>
    <row r="70" spans="1:2" ht="15.5" x14ac:dyDescent="0.35">
      <c r="A70" s="483"/>
      <c r="B70" s="277" t="s">
        <v>2483</v>
      </c>
    </row>
    <row r="71" spans="1:2" ht="15.5" x14ac:dyDescent="0.35">
      <c r="A71" s="483"/>
      <c r="B71" s="277" t="s">
        <v>2484</v>
      </c>
    </row>
    <row r="72" spans="1:2" ht="15.5" x14ac:dyDescent="0.35">
      <c r="A72" s="483"/>
      <c r="B72" s="277" t="s">
        <v>2485</v>
      </c>
    </row>
    <row r="73" spans="1:2" ht="15.5" x14ac:dyDescent="0.35">
      <c r="A73" s="483"/>
      <c r="B73" s="277" t="s">
        <v>2486</v>
      </c>
    </row>
    <row r="74" spans="1:2" ht="15.5" x14ac:dyDescent="0.35">
      <c r="A74" s="483"/>
      <c r="B74" s="277" t="s">
        <v>2487</v>
      </c>
    </row>
    <row r="75" spans="1:2" ht="15.5" x14ac:dyDescent="0.35">
      <c r="A75" s="483"/>
      <c r="B75" s="277" t="s">
        <v>2488</v>
      </c>
    </row>
    <row r="76" spans="1:2" ht="15.5" x14ac:dyDescent="0.35">
      <c r="A76" s="485" t="s">
        <v>2489</v>
      </c>
      <c r="B76" s="276" t="s">
        <v>2490</v>
      </c>
    </row>
    <row r="77" spans="1:2" ht="15.5" x14ac:dyDescent="0.35">
      <c r="A77" s="483"/>
      <c r="B77" s="277" t="s">
        <v>2491</v>
      </c>
    </row>
    <row r="78" spans="1:2" ht="15.5" x14ac:dyDescent="0.35">
      <c r="A78" s="483"/>
      <c r="B78" s="277" t="s">
        <v>2492</v>
      </c>
    </row>
    <row r="79" spans="1:2" ht="15.5" x14ac:dyDescent="0.35">
      <c r="A79" s="483"/>
      <c r="B79" s="277" t="s">
        <v>2493</v>
      </c>
    </row>
    <row r="80" spans="1:2" ht="15.5" x14ac:dyDescent="0.35">
      <c r="A80" s="483"/>
      <c r="B80" s="277" t="s">
        <v>2494</v>
      </c>
    </row>
    <row r="81" spans="1:2" ht="15.5" x14ac:dyDescent="0.35">
      <c r="A81" s="483"/>
      <c r="B81" s="277" t="s">
        <v>2495</v>
      </c>
    </row>
    <row r="82" spans="1:2" ht="15.5" x14ac:dyDescent="0.35">
      <c r="A82" s="483"/>
      <c r="B82" s="277" t="s">
        <v>2496</v>
      </c>
    </row>
    <row r="83" spans="1:2" ht="15.5" x14ac:dyDescent="0.35">
      <c r="A83" s="483"/>
      <c r="B83" s="277" t="s">
        <v>2497</v>
      </c>
    </row>
    <row r="84" spans="1:2" ht="15.5" x14ac:dyDescent="0.35">
      <c r="A84" s="483"/>
      <c r="B84" s="277" t="s">
        <v>2498</v>
      </c>
    </row>
    <row r="85" spans="1:2" ht="15.5" x14ac:dyDescent="0.35">
      <c r="A85" s="483"/>
      <c r="B85" s="277" t="s">
        <v>2499</v>
      </c>
    </row>
    <row r="86" spans="1:2" ht="15.5" x14ac:dyDescent="0.35">
      <c r="A86" s="483"/>
      <c r="B86" s="277" t="s">
        <v>2500</v>
      </c>
    </row>
    <row r="87" spans="1:2" ht="15.5" x14ac:dyDescent="0.35">
      <c r="A87" s="483"/>
      <c r="B87" s="277" t="s">
        <v>2501</v>
      </c>
    </row>
    <row r="88" spans="1:2" ht="15.5" x14ac:dyDescent="0.35">
      <c r="A88" s="483"/>
      <c r="B88" s="277" t="s">
        <v>2502</v>
      </c>
    </row>
    <row r="89" spans="1:2" ht="16" thickBot="1" x14ac:dyDescent="0.4">
      <c r="A89" s="484"/>
      <c r="B89" s="278" t="s">
        <v>2489</v>
      </c>
    </row>
    <row r="90" spans="1:2" ht="15.5" x14ac:dyDescent="0.35">
      <c r="A90" s="485" t="s">
        <v>2503</v>
      </c>
      <c r="B90" s="276" t="s">
        <v>2504</v>
      </c>
    </row>
    <row r="91" spans="1:2" ht="15.5" x14ac:dyDescent="0.35">
      <c r="A91" s="483"/>
      <c r="B91" s="277" t="s">
        <v>2505</v>
      </c>
    </row>
    <row r="92" spans="1:2" ht="15.5" x14ac:dyDescent="0.35">
      <c r="A92" s="483"/>
      <c r="B92" s="277" t="s">
        <v>2506</v>
      </c>
    </row>
    <row r="93" spans="1:2" ht="16" thickBot="1" x14ac:dyDescent="0.4">
      <c r="A93" s="484"/>
      <c r="B93" s="278" t="s">
        <v>2503</v>
      </c>
    </row>
    <row r="94" spans="1:2" ht="15.5" x14ac:dyDescent="0.35">
      <c r="A94" s="482" t="s">
        <v>2507</v>
      </c>
      <c r="B94" s="279" t="s">
        <v>2508</v>
      </c>
    </row>
    <row r="95" spans="1:2" ht="15.5" x14ac:dyDescent="0.35">
      <c r="A95" s="483"/>
      <c r="B95" s="277" t="s">
        <v>2509</v>
      </c>
    </row>
    <row r="96" spans="1:2" ht="15.5" x14ac:dyDescent="0.35">
      <c r="A96" s="483"/>
      <c r="B96" s="277" t="s">
        <v>2510</v>
      </c>
    </row>
    <row r="97" spans="1:2" ht="15.5" x14ac:dyDescent="0.35">
      <c r="A97" s="483"/>
      <c r="B97" s="277" t="s">
        <v>2511</v>
      </c>
    </row>
    <row r="98" spans="1:2" ht="16" thickBot="1" x14ac:dyDescent="0.4">
      <c r="A98" s="484"/>
      <c r="B98" s="278" t="s">
        <v>2507</v>
      </c>
    </row>
    <row r="99" spans="1:2" ht="15.5" x14ac:dyDescent="0.35">
      <c r="A99" s="482" t="s">
        <v>2512</v>
      </c>
      <c r="B99" s="279" t="s">
        <v>2513</v>
      </c>
    </row>
    <row r="100" spans="1:2" ht="15.5" x14ac:dyDescent="0.35">
      <c r="A100" s="483"/>
      <c r="B100" s="277" t="s">
        <v>2514</v>
      </c>
    </row>
    <row r="101" spans="1:2" ht="16" thickBot="1" x14ac:dyDescent="0.4">
      <c r="A101" s="484"/>
      <c r="B101" s="278" t="s">
        <v>2512</v>
      </c>
    </row>
    <row r="102" spans="1:2" ht="15.5" x14ac:dyDescent="0.35">
      <c r="A102" s="485" t="s">
        <v>2515</v>
      </c>
      <c r="B102" s="276" t="s">
        <v>2516</v>
      </c>
    </row>
    <row r="103" spans="1:2" ht="15.5" x14ac:dyDescent="0.35">
      <c r="A103" s="483"/>
      <c r="B103" s="277" t="s">
        <v>2517</v>
      </c>
    </row>
    <row r="104" spans="1:2" ht="15.5" x14ac:dyDescent="0.35">
      <c r="A104" s="483"/>
      <c r="B104" s="277" t="s">
        <v>2518</v>
      </c>
    </row>
    <row r="105" spans="1:2" ht="15.5" x14ac:dyDescent="0.35">
      <c r="A105" s="483"/>
      <c r="B105" s="277" t="s">
        <v>2519</v>
      </c>
    </row>
    <row r="106" spans="1:2" ht="15.5" x14ac:dyDescent="0.35">
      <c r="A106" s="483"/>
      <c r="B106" s="277" t="s">
        <v>2520</v>
      </c>
    </row>
    <row r="107" spans="1:2" ht="15.5" x14ac:dyDescent="0.35">
      <c r="A107" s="483"/>
      <c r="B107" s="277" t="s">
        <v>2521</v>
      </c>
    </row>
    <row r="108" spans="1:2" ht="15.5" x14ac:dyDescent="0.35">
      <c r="A108" s="483"/>
      <c r="B108" s="277" t="s">
        <v>2522</v>
      </c>
    </row>
    <row r="109" spans="1:2" ht="15.5" x14ac:dyDescent="0.35">
      <c r="A109" s="483"/>
      <c r="B109" s="277" t="s">
        <v>2523</v>
      </c>
    </row>
    <row r="110" spans="1:2" ht="16" thickBot="1" x14ac:dyDescent="0.4">
      <c r="A110" s="484"/>
      <c r="B110" s="278" t="s">
        <v>2515</v>
      </c>
    </row>
    <row r="111" spans="1:2" ht="15.5" x14ac:dyDescent="0.35">
      <c r="A111" s="485" t="s">
        <v>2524</v>
      </c>
      <c r="B111" s="277" t="s">
        <v>2524</v>
      </c>
    </row>
    <row r="112" spans="1:2" ht="15.5" x14ac:dyDescent="0.35">
      <c r="A112" s="483"/>
      <c r="B112" s="277" t="s">
        <v>2525</v>
      </c>
    </row>
    <row r="113" spans="1:2" ht="15.5" x14ac:dyDescent="0.35">
      <c r="A113" s="483"/>
      <c r="B113" s="277" t="s">
        <v>2526</v>
      </c>
    </row>
    <row r="114" spans="1:2" ht="15.5" x14ac:dyDescent="0.35">
      <c r="A114" s="483"/>
      <c r="B114" s="277" t="s">
        <v>2527</v>
      </c>
    </row>
  </sheetData>
  <sheetProtection algorithmName="SHA-512" hashValue="XpA03eEuhf60imnbCVOu2XCoKw+AEfWnBWlyib7J9B+25ZxQQzGEmI24PUuzdy7uuRyoDLrsG/Q/MAv2nrxbBw==" saltValue="XlTMOLA5zkDd9Rr7vPPIQQ==" spinCount="100000" sheet="1" objects="1" scenarios="1"/>
  <mergeCells count="28">
    <mergeCell ref="A21:B21"/>
    <mergeCell ref="A1:B1"/>
    <mergeCell ref="A2:B2"/>
    <mergeCell ref="A8:B8"/>
    <mergeCell ref="A14:B14"/>
    <mergeCell ref="A20:B20"/>
    <mergeCell ref="A57:B57"/>
    <mergeCell ref="A22:B22"/>
    <mergeCell ref="A24:B24"/>
    <mergeCell ref="A32:B32"/>
    <mergeCell ref="A33:B33"/>
    <mergeCell ref="A38:B38"/>
    <mergeCell ref="A45:B45"/>
    <mergeCell ref="A49:B49"/>
    <mergeCell ref="A53:B53"/>
    <mergeCell ref="A54:B54"/>
    <mergeCell ref="A55:B55"/>
    <mergeCell ref="A56:B56"/>
    <mergeCell ref="A94:A98"/>
    <mergeCell ref="A99:A101"/>
    <mergeCell ref="A102:A110"/>
    <mergeCell ref="A111:A114"/>
    <mergeCell ref="A58:B58"/>
    <mergeCell ref="A64:B64"/>
    <mergeCell ref="A65:B65"/>
    <mergeCell ref="A66:A75"/>
    <mergeCell ref="A76:A89"/>
    <mergeCell ref="A90:A93"/>
  </mergeCells>
  <hyperlinks>
    <hyperlink ref="A25" r:id="rId1" tooltip="https://micrositios.goupagos.com.co/c-i-c-sas-ma" xr:uid="{346629CD-8F7D-499A-83D2-7421AAB71C4D}"/>
    <hyperlink ref="A26" r:id="rId2" tooltip="https://www.avalpaycenter.com/nombre%20del%20convenio%20isa%20avaluos" xr:uid="{594C4F82-FB71-4510-AE0A-02C2E64515F3}"/>
    <hyperlink ref="A27" r:id="rId3" tooltip="https://checkout.wompi.co/l/qazino" xr:uid="{3E633BE9-10E3-44F6-8C9B-F0A6EED81136}"/>
    <hyperlink ref="A28" r:id="rId4" xr:uid="{271FF3A1-14FA-4099-ACC4-F93F1CABBDED}"/>
    <hyperlink ref="A29" r:id="rId5" xr:uid="{EF2A3F45-F7E6-4ADD-9087-B616C1312706}"/>
  </hyperlinks>
  <pageMargins left="0.7" right="0.7" top="0.75" bottom="0.75" header="0.3" footer="0.3"/>
  <pageSetup scale="84" orientation="portrait" r:id="rId6"/>
  <rowBreaks count="2" manualBreakCount="2">
    <brk id="30" max="16383" man="1"/>
    <brk id="63" max="1" man="1"/>
  </rowBreaks>
  <drawing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47563-907E-417B-98D4-BA9005A475D4}">
  <sheetPr codeName="Hoja25"/>
  <dimension ref="A1:AA32"/>
  <sheetViews>
    <sheetView showGridLines="0" zoomScale="80" zoomScaleNormal="80" workbookViewId="0">
      <selection activeCell="B24" sqref="B24:C24"/>
    </sheetView>
  </sheetViews>
  <sheetFormatPr baseColWidth="10" defaultColWidth="11.453125" defaultRowHeight="14.5" x14ac:dyDescent="0.35"/>
  <cols>
    <col min="1" max="1" width="4.453125" style="2" customWidth="1"/>
    <col min="2" max="2" width="43.26953125" style="2" customWidth="1"/>
    <col min="3" max="3" width="11.54296875" style="2" customWidth="1"/>
    <col min="4" max="4" width="20.26953125" style="2" customWidth="1"/>
    <col min="5" max="5" width="5.81640625" style="2" customWidth="1"/>
    <col min="6" max="6" width="17.7265625" style="2" customWidth="1"/>
    <col min="7" max="7" width="17.54296875" style="2" customWidth="1"/>
    <col min="8" max="8" width="10.1796875" style="2" customWidth="1"/>
    <col min="9" max="9" width="15.1796875" style="2" customWidth="1"/>
    <col min="10" max="10" width="11.26953125" style="2" customWidth="1"/>
    <col min="11" max="11" width="16.453125" style="2" customWidth="1"/>
    <col min="12" max="12" width="11.7265625" style="2" hidden="1" customWidth="1"/>
    <col min="13" max="19" width="15.1796875" style="2" hidden="1" customWidth="1"/>
    <col min="20" max="27" width="11.453125" style="2" hidden="1" customWidth="1"/>
    <col min="28" max="28" width="11.453125" style="2" customWidth="1"/>
    <col min="29" max="16384" width="11.453125" style="2"/>
  </cols>
  <sheetData>
    <row r="1" spans="1:27" ht="15" customHeight="1" x14ac:dyDescent="0.35">
      <c r="C1" s="61"/>
      <c r="D1" s="61"/>
      <c r="E1" s="61"/>
      <c r="F1" s="61"/>
      <c r="G1" s="61"/>
      <c r="H1" s="430" t="str">
        <f>Pantalla_Inicio!J1</f>
        <v>Código: PCV_FOR_006
Versión: V02
Fecha de actualización: 04/05/2026</v>
      </c>
      <c r="I1" s="431"/>
      <c r="J1" s="112"/>
      <c r="K1" s="112"/>
      <c r="L1" s="112"/>
    </row>
    <row r="2" spans="1:27" ht="30.75" customHeight="1" x14ac:dyDescent="0.55000000000000004">
      <c r="C2" s="143"/>
      <c r="D2" s="143"/>
      <c r="E2" s="143"/>
      <c r="F2" s="143"/>
      <c r="G2" s="143"/>
      <c r="H2" s="432"/>
      <c r="I2" s="433"/>
      <c r="J2" s="112"/>
      <c r="K2" s="112"/>
      <c r="L2" s="112"/>
      <c r="N2" s="111" t="s">
        <v>37</v>
      </c>
      <c r="O2" s="111"/>
      <c r="P2" s="111"/>
      <c r="Q2" s="111" t="s">
        <v>38</v>
      </c>
      <c r="R2" s="111"/>
      <c r="S2" s="111"/>
      <c r="T2" s="111" t="s">
        <v>39</v>
      </c>
      <c r="U2" s="111"/>
      <c r="V2" s="111"/>
      <c r="W2" s="111" t="s">
        <v>41</v>
      </c>
      <c r="X2" s="111"/>
      <c r="Y2" s="111"/>
      <c r="Z2" s="111"/>
      <c r="AA2" s="111" t="s">
        <v>2528</v>
      </c>
    </row>
    <row r="3" spans="1:27" ht="24.75" customHeight="1" x14ac:dyDescent="0.35">
      <c r="A3" s="69"/>
      <c r="B3" s="69"/>
      <c r="C3" s="69"/>
      <c r="D3" s="69"/>
      <c r="E3" s="69"/>
      <c r="F3" s="69"/>
      <c r="G3" s="69"/>
      <c r="H3" s="434"/>
      <c r="I3" s="435"/>
      <c r="J3" s="96" t="s">
        <v>2346</v>
      </c>
      <c r="K3" s="112"/>
      <c r="L3" s="112"/>
      <c r="M3" s="11"/>
      <c r="N3" s="2" t="s">
        <v>50</v>
      </c>
      <c r="Q3" s="2" t="s">
        <v>51</v>
      </c>
      <c r="T3" s="2" t="s">
        <v>52</v>
      </c>
      <c r="W3" s="2" t="s">
        <v>2529</v>
      </c>
      <c r="AA3" s="2" t="s">
        <v>31</v>
      </c>
    </row>
    <row r="4" spans="1:27" ht="10.5" customHeight="1" x14ac:dyDescent="0.35">
      <c r="A4" s="11"/>
      <c r="B4" s="11"/>
      <c r="C4" s="11"/>
      <c r="D4" s="11"/>
      <c r="E4" s="11"/>
      <c r="F4" s="11"/>
      <c r="G4" s="11"/>
      <c r="H4" s="144"/>
      <c r="I4" s="144"/>
      <c r="J4" s="112"/>
      <c r="K4" s="112"/>
      <c r="L4" s="144"/>
      <c r="M4" s="11"/>
      <c r="N4" s="2" t="s">
        <v>75</v>
      </c>
      <c r="Q4" s="2" t="s">
        <v>66</v>
      </c>
      <c r="T4" s="2" t="s">
        <v>61</v>
      </c>
      <c r="W4" s="2" t="s">
        <v>2530</v>
      </c>
      <c r="AA4" s="2" t="str">
        <f>IF(D14="NO VIS","Leasing Habitacional Familiar","")</f>
        <v/>
      </c>
    </row>
    <row r="5" spans="1:27" ht="17.5" customHeight="1" x14ac:dyDescent="0.55000000000000004">
      <c r="A5" s="11"/>
      <c r="B5" s="515" t="s">
        <v>36</v>
      </c>
      <c r="C5" s="515"/>
      <c r="D5" s="515"/>
      <c r="E5" s="16"/>
      <c r="F5" s="11"/>
      <c r="G5" s="11"/>
      <c r="H5" s="11"/>
      <c r="I5" s="11"/>
      <c r="J5" s="11"/>
      <c r="K5" s="144"/>
      <c r="L5" s="112"/>
      <c r="M5" s="11"/>
      <c r="N5" s="2" t="s">
        <v>92</v>
      </c>
      <c r="W5" s="2" t="s">
        <v>56</v>
      </c>
      <c r="AA5" s="2" t="s">
        <v>34</v>
      </c>
    </row>
    <row r="6" spans="1:27" ht="23.25" customHeight="1" x14ac:dyDescent="0.35">
      <c r="A6" s="145"/>
      <c r="B6" s="516" t="s">
        <v>2348</v>
      </c>
      <c r="C6" s="516"/>
      <c r="D6" s="516"/>
      <c r="E6" s="79"/>
      <c r="F6" s="59"/>
      <c r="G6" s="59"/>
      <c r="H6" s="59"/>
      <c r="I6" s="59"/>
      <c r="J6" s="59"/>
      <c r="K6" s="112"/>
      <c r="L6" s="112"/>
      <c r="M6" s="11"/>
      <c r="AA6" s="2" t="s">
        <v>2441</v>
      </c>
    </row>
    <row r="7" spans="1:27" ht="19.5" customHeight="1" x14ac:dyDescent="0.35">
      <c r="A7" s="145"/>
      <c r="B7" s="517" t="s">
        <v>2349</v>
      </c>
      <c r="C7" s="518"/>
      <c r="D7" s="519"/>
      <c r="E7" s="79"/>
      <c r="F7" s="59"/>
      <c r="G7" s="59"/>
      <c r="H7" s="59"/>
      <c r="I7" s="59"/>
      <c r="J7" s="59"/>
      <c r="K7" s="112"/>
      <c r="L7" s="112"/>
      <c r="M7" s="11"/>
    </row>
    <row r="8" spans="1:27" ht="14.25" customHeight="1" x14ac:dyDescent="0.35">
      <c r="A8" s="145"/>
      <c r="E8" s="79"/>
      <c r="F8" s="295"/>
      <c r="G8" s="59"/>
      <c r="H8" s="59"/>
      <c r="I8" s="59"/>
      <c r="J8" s="59"/>
      <c r="K8" s="112"/>
      <c r="L8" s="14"/>
      <c r="M8" s="14"/>
    </row>
    <row r="9" spans="1:27" ht="19.5" customHeight="1" x14ac:dyDescent="0.35">
      <c r="A9" s="145"/>
      <c r="B9" s="520" t="s">
        <v>2531</v>
      </c>
      <c r="C9" s="521"/>
      <c r="D9" s="522"/>
      <c r="E9" s="79"/>
      <c r="F9" s="523" t="s">
        <v>2532</v>
      </c>
      <c r="G9" s="523"/>
      <c r="H9" s="523"/>
      <c r="I9" s="59"/>
      <c r="J9" s="59"/>
      <c r="K9" s="14"/>
      <c r="L9" s="14"/>
      <c r="M9" s="14"/>
    </row>
    <row r="10" spans="1:27" ht="6" customHeight="1" x14ac:dyDescent="0.35">
      <c r="A10" s="145"/>
      <c r="B10" s="54"/>
      <c r="C10" s="54"/>
      <c r="D10" s="54"/>
      <c r="E10" s="79"/>
      <c r="F10" s="293"/>
      <c r="G10" s="293"/>
      <c r="H10" s="293"/>
      <c r="I10" s="59"/>
      <c r="J10" s="59"/>
      <c r="K10" s="14"/>
      <c r="L10" s="120">
        <f>D11</f>
        <v>0</v>
      </c>
      <c r="M10" s="59"/>
      <c r="N10" s="111" t="s">
        <v>40</v>
      </c>
      <c r="P10" s="111"/>
    </row>
    <row r="11" spans="1:27" ht="16.5" customHeight="1" x14ac:dyDescent="0.35">
      <c r="A11" s="145"/>
      <c r="B11" s="524" t="s">
        <v>2533</v>
      </c>
      <c r="C11" s="525"/>
      <c r="D11" s="98"/>
      <c r="E11" s="79"/>
      <c r="F11" s="294" t="s">
        <v>2534</v>
      </c>
      <c r="G11" s="294"/>
      <c r="H11" s="317" t="s">
        <v>61</v>
      </c>
      <c r="I11" s="106"/>
      <c r="K11" s="59"/>
      <c r="L11" s="79">
        <f>C12</f>
        <v>0</v>
      </c>
      <c r="M11" s="59"/>
      <c r="N11" s="2">
        <v>0</v>
      </c>
      <c r="O11" s="2">
        <v>788</v>
      </c>
      <c r="P11" s="2" t="s">
        <v>58</v>
      </c>
    </row>
    <row r="12" spans="1:27" ht="16.5" customHeight="1" x14ac:dyDescent="0.35">
      <c r="A12" s="145"/>
      <c r="B12" s="71" t="s">
        <v>2363</v>
      </c>
      <c r="C12" s="526"/>
      <c r="D12" s="527"/>
      <c r="E12" s="79"/>
      <c r="F12" s="528" t="str">
        <f>IF(H11="Si","Indica tasa especial en terminos E.A.","")</f>
        <v/>
      </c>
      <c r="G12" s="528"/>
      <c r="H12" s="318"/>
      <c r="I12" s="106"/>
      <c r="K12" s="59"/>
      <c r="L12" s="120">
        <f>D13</f>
        <v>0</v>
      </c>
      <c r="M12" s="59"/>
      <c r="N12" s="2">
        <v>789</v>
      </c>
      <c r="P12" s="2" t="s">
        <v>53</v>
      </c>
    </row>
    <row r="13" spans="1:27" ht="15.75" customHeight="1" x14ac:dyDescent="0.35">
      <c r="A13" s="145"/>
      <c r="B13" s="529" t="s">
        <v>2365</v>
      </c>
      <c r="C13" s="530"/>
      <c r="D13" s="99"/>
      <c r="E13" s="155"/>
      <c r="I13" s="106"/>
      <c r="K13" s="59"/>
      <c r="L13" s="120" t="str">
        <f>D14</f>
        <v/>
      </c>
      <c r="M13" s="59"/>
    </row>
    <row r="14" spans="1:27" ht="15.65" customHeight="1" x14ac:dyDescent="0.35">
      <c r="A14" s="145"/>
      <c r="B14" s="531" t="s">
        <v>2535</v>
      </c>
      <c r="C14" s="531"/>
      <c r="D14" s="113" t="str">
        <f>_xlfn.IFNA(IF(D13&gt;(VLOOKUP(C12,'Ciudades y SMMLV'!A1:E1119,5,0)),"NO VIS","VIS"),"")</f>
        <v/>
      </c>
      <c r="E14" s="79"/>
      <c r="F14" s="79" t="e" cm="1">
        <f t="array" ref="F14">_xlfn.IFS(D19=O16,P16,((D19&gt;=N17)*AND(D19&lt;=O17)),P17,((D19&gt;=N18)*AND(D19&lt;=O18)),P18,((D19&gt;=N19)*AND(D19&lt;=O19)),P19,((D19&gt;=N20)*AND(D19&lt;=O20)),P20,((D19&gt;=N21)*AND(D19&lt;=O21)),P21)</f>
        <v>#N/A</v>
      </c>
      <c r="G14" s="59"/>
      <c r="H14" s="59"/>
      <c r="I14" s="59"/>
      <c r="J14" s="59"/>
      <c r="K14" s="59"/>
      <c r="L14" s="120"/>
      <c r="M14" s="59"/>
    </row>
    <row r="15" spans="1:27" ht="15" customHeight="1" thickBot="1" x14ac:dyDescent="0.4">
      <c r="A15" s="145"/>
      <c r="B15" s="15"/>
      <c r="C15" s="15"/>
      <c r="D15" s="15"/>
      <c r="E15" s="109"/>
      <c r="F15" s="59"/>
      <c r="G15" s="59"/>
      <c r="H15" s="59"/>
      <c r="I15" s="59"/>
      <c r="J15" s="59"/>
      <c r="K15" s="59"/>
      <c r="L15" s="79"/>
      <c r="M15" s="59"/>
      <c r="N15" s="111" t="s">
        <v>2536</v>
      </c>
    </row>
    <row r="16" spans="1:27" ht="21" x14ac:dyDescent="0.5">
      <c r="A16" s="145"/>
      <c r="B16" s="512" t="s">
        <v>2537</v>
      </c>
      <c r="C16" s="513"/>
      <c r="D16" s="514"/>
      <c r="E16" s="79"/>
      <c r="F16" s="153"/>
      <c r="G16" s="153"/>
      <c r="H16" s="153"/>
      <c r="I16" s="153"/>
      <c r="J16" s="153"/>
      <c r="K16" s="59"/>
      <c r="L16" s="120">
        <f t="shared" ref="L16" si="0">D17</f>
        <v>0</v>
      </c>
      <c r="M16" s="59"/>
      <c r="N16" s="111">
        <v>0</v>
      </c>
      <c r="O16" s="2">
        <v>60</v>
      </c>
      <c r="P16" s="2" t="s">
        <v>42</v>
      </c>
    </row>
    <row r="17" spans="1:22" ht="6" customHeight="1" thickBot="1" x14ac:dyDescent="0.4">
      <c r="A17" s="145"/>
      <c r="B17" s="13"/>
      <c r="C17" s="13"/>
      <c r="D17" s="13"/>
      <c r="E17" s="79"/>
      <c r="K17" s="59"/>
      <c r="L17" s="121">
        <f>D18</f>
        <v>0</v>
      </c>
      <c r="M17" s="59"/>
      <c r="N17" s="111">
        <v>61</v>
      </c>
      <c r="O17" s="2">
        <v>84</v>
      </c>
      <c r="P17" s="2" t="s">
        <v>43</v>
      </c>
    </row>
    <row r="18" spans="1:22" ht="17.5" customHeight="1" thickBot="1" x14ac:dyDescent="0.45">
      <c r="A18" s="145"/>
      <c r="B18" s="534" t="s">
        <v>2538</v>
      </c>
      <c r="C18" s="535"/>
      <c r="D18" s="99"/>
      <c r="E18" s="104">
        <f>_xlfn.IFNA(IF(D14="VIS",D13*80%,D13*70%),0)</f>
        <v>0</v>
      </c>
      <c r="F18" s="536" t="s">
        <v>2539</v>
      </c>
      <c r="G18" s="537"/>
      <c r="H18" s="325" t="str">
        <f>IF(I18="","","UVR +")</f>
        <v/>
      </c>
      <c r="I18" s="324" t="str">
        <f>IF(H11="No",IFERROR(INDEX('TI CV UVR'!A5:M55,MATCH('TI CV UVR'!A3,'TI CV UVR'!A5:A55,0),MATCH('TI CV UVR'!A2,'TI CV UVR'!A5:M5,0)),""),"")</f>
        <v/>
      </c>
      <c r="J18" s="119"/>
      <c r="K18" s="59"/>
      <c r="L18" s="122">
        <f t="shared" ref="L18" si="1">D19</f>
        <v>0</v>
      </c>
      <c r="M18" s="59"/>
      <c r="N18" s="2">
        <v>85</v>
      </c>
      <c r="O18" s="2">
        <v>120</v>
      </c>
      <c r="P18" s="2" t="s">
        <v>44</v>
      </c>
    </row>
    <row r="19" spans="1:22" ht="15.65" customHeight="1" thickBot="1" x14ac:dyDescent="0.45">
      <c r="A19" s="145"/>
      <c r="B19" s="534" t="s">
        <v>2540</v>
      </c>
      <c r="C19" s="535"/>
      <c r="D19" s="326"/>
      <c r="E19" s="79" t="e" cm="1">
        <f t="array" ref="E19">_xlfn.IFS(D14="VIS",360,D14="NO VIS",240)</f>
        <v>#N/A</v>
      </c>
      <c r="G19" s="87" t="s">
        <v>2541</v>
      </c>
      <c r="H19" s="115" t="str">
        <f>IFERROR(NOMINAL(I18,12)/12,"")</f>
        <v/>
      </c>
      <c r="I19" s="135" t="str">
        <f>IFERROR(NOMINAL(#REF!,12)/12,"")</f>
        <v/>
      </c>
      <c r="J19" s="119"/>
      <c r="K19" s="59"/>
      <c r="L19" s="79" t="str">
        <f>IF(B5="Crédito de Vivienda","Leasing Habitacional Familiar","Crédito de Vivienda")</f>
        <v>Crédito de Vivienda</v>
      </c>
      <c r="M19" s="11"/>
      <c r="N19" s="2">
        <f>O18+1</f>
        <v>121</v>
      </c>
      <c r="O19" s="2">
        <v>180</v>
      </c>
      <c r="P19" s="2" t="s">
        <v>45</v>
      </c>
    </row>
    <row r="20" spans="1:22" ht="17.25" customHeight="1" thickBot="1" x14ac:dyDescent="0.4">
      <c r="A20" s="145"/>
      <c r="B20" s="13"/>
      <c r="C20" s="13"/>
      <c r="D20" s="13"/>
      <c r="E20" s="79"/>
      <c r="F20" s="79" t="str" cm="1">
        <f t="array" ref="F20">_xlfn.IFS(D25&lt;=O11,P11,D25&gt;=N12,P12)</f>
        <v>&lt;789</v>
      </c>
      <c r="G20" s="59"/>
      <c r="H20" s="59"/>
      <c r="I20" s="59"/>
      <c r="J20" s="59"/>
      <c r="K20" s="59"/>
      <c r="L20" s="120"/>
      <c r="N20" s="2">
        <f>O19+1</f>
        <v>181</v>
      </c>
      <c r="O20" s="2">
        <v>240</v>
      </c>
      <c r="P20" s="2" t="s">
        <v>46</v>
      </c>
    </row>
    <row r="21" spans="1:22" ht="18.75" customHeight="1" x14ac:dyDescent="0.35">
      <c r="A21" s="145"/>
      <c r="B21" s="512" t="s">
        <v>2542</v>
      </c>
      <c r="C21" s="513"/>
      <c r="D21" s="514"/>
      <c r="E21" s="79"/>
      <c r="F21" s="538" t="str">
        <f>IF(I18="","","La tasa aquí informada corresponde a las condiciones actuales de aprobación, la tasa que le aplicará al cliente será la que este vigente al momento del desembolso.")</f>
        <v/>
      </c>
      <c r="G21" s="538"/>
      <c r="H21" s="538"/>
      <c r="I21" s="538"/>
      <c r="J21" s="538"/>
      <c r="K21" s="11"/>
      <c r="L21" s="79"/>
      <c r="M21" s="59"/>
      <c r="N21" s="2">
        <f>O20+1</f>
        <v>241</v>
      </c>
      <c r="O21" s="2">
        <v>360</v>
      </c>
      <c r="P21" s="2" t="s">
        <v>47</v>
      </c>
    </row>
    <row r="22" spans="1:22" ht="6" customHeight="1" x14ac:dyDescent="0.35">
      <c r="A22" s="145"/>
      <c r="B22" s="72"/>
      <c r="C22" s="72"/>
      <c r="D22" s="156" t="str">
        <f>IF(D23="Otros","Otros","Asalariado y Pensionado")</f>
        <v>Asalariado y Pensionado</v>
      </c>
      <c r="E22" s="79"/>
      <c r="F22" s="538"/>
      <c r="G22" s="538"/>
      <c r="H22" s="538"/>
      <c r="I22" s="538"/>
      <c r="J22" s="538"/>
      <c r="L22" s="120"/>
      <c r="M22" s="59"/>
    </row>
    <row r="23" spans="1:22" ht="15.5" x14ac:dyDescent="0.35">
      <c r="A23" s="145"/>
      <c r="B23" s="532" t="s">
        <v>41</v>
      </c>
      <c r="C23" s="533" t="str" cm="1">
        <f t="array" ref="C23">IFERROR(_xlfn.IFS(AND(C13="NO VIS",D23="MI CASA YA"),"ERROR",AND(C13="VIS",D23="FRECH NO VIS"),"ERROR",AND(C13="VIS",D23="ECOBERTURA"),"ERROR"),"")</f>
        <v/>
      </c>
      <c r="D23" s="100"/>
      <c r="E23" s="79"/>
      <c r="F23" s="538"/>
      <c r="G23" s="538"/>
      <c r="H23" s="538"/>
      <c r="I23" s="538"/>
      <c r="J23" s="538"/>
      <c r="K23" s="59"/>
      <c r="L23" s="123">
        <f>D23</f>
        <v>0</v>
      </c>
      <c r="M23" s="59"/>
    </row>
    <row r="24" spans="1:22" ht="16.5" x14ac:dyDescent="0.35">
      <c r="A24" s="145"/>
      <c r="B24" s="532" t="s">
        <v>2543</v>
      </c>
      <c r="C24" s="533"/>
      <c r="D24" s="101"/>
      <c r="E24" s="79"/>
      <c r="F24" s="538"/>
      <c r="G24" s="538"/>
      <c r="H24" s="538"/>
      <c r="I24" s="538"/>
      <c r="J24" s="538"/>
      <c r="K24" s="59"/>
      <c r="L24" s="120">
        <f t="shared" ref="L24" si="2">D24</f>
        <v>0</v>
      </c>
      <c r="M24" s="59"/>
    </row>
    <row r="25" spans="1:22" ht="16.5" x14ac:dyDescent="0.35">
      <c r="A25" s="145"/>
      <c r="B25" s="532" t="s">
        <v>2544</v>
      </c>
      <c r="C25" s="533"/>
      <c r="D25" s="102"/>
      <c r="E25" s="110"/>
      <c r="K25" s="59"/>
      <c r="L25" s="124">
        <f>D25</f>
        <v>0</v>
      </c>
      <c r="M25" s="59"/>
      <c r="N25" s="33"/>
      <c r="O25" s="33"/>
      <c r="P25" s="33"/>
      <c r="Q25" s="33"/>
      <c r="R25" s="33"/>
      <c r="V25" s="52">
        <v>0.3</v>
      </c>
    </row>
    <row r="26" spans="1:22" ht="15.75" customHeight="1" x14ac:dyDescent="0.35">
      <c r="A26" s="145"/>
      <c r="C26" s="145"/>
      <c r="D26" s="109"/>
      <c r="E26" s="79"/>
      <c r="K26" s="59"/>
      <c r="L26" s="59"/>
      <c r="M26" s="33"/>
    </row>
    <row r="27" spans="1:22" ht="15.75" customHeight="1" x14ac:dyDescent="0.35">
      <c r="A27" s="145"/>
      <c r="C27" s="145"/>
      <c r="D27" s="109"/>
      <c r="E27" s="79"/>
      <c r="K27" s="58"/>
    </row>
    <row r="28" spans="1:22" ht="18" customHeight="1" x14ac:dyDescent="0.35">
      <c r="A28" s="145"/>
      <c r="C28" s="145"/>
      <c r="D28" s="109"/>
      <c r="E28" s="109"/>
      <c r="K28" s="58"/>
    </row>
    <row r="29" spans="1:22" x14ac:dyDescent="0.35">
      <c r="C29" s="145"/>
      <c r="D29" s="109"/>
      <c r="E29" s="154"/>
    </row>
    <row r="30" spans="1:22" x14ac:dyDescent="0.35">
      <c r="C30" s="145"/>
      <c r="D30" s="145"/>
      <c r="E30" s="109"/>
    </row>
    <row r="31" spans="1:22" x14ac:dyDescent="0.35">
      <c r="C31" s="145"/>
      <c r="D31" s="145"/>
      <c r="E31" s="145"/>
    </row>
    <row r="32" spans="1:22" x14ac:dyDescent="0.35">
      <c r="C32" s="145"/>
      <c r="D32" s="145"/>
      <c r="E32" s="145"/>
    </row>
  </sheetData>
  <sheetProtection algorithmName="SHA-512" hashValue="pCP5bV2YbyHPFdoVIZwJ0jpkE0XqJIIRZNCvepF0RoqP+0wGOJF7rqWyUEge9I5pW+2dMis9D/khFfIPRy0oag==" saltValue="ZnOqUYrMuHPMJKg4/cJnEg==" spinCount="100000" sheet="1" objects="1" scenarios="1"/>
  <mergeCells count="20">
    <mergeCell ref="B25:C25"/>
    <mergeCell ref="B18:C18"/>
    <mergeCell ref="F18:G18"/>
    <mergeCell ref="B19:C19"/>
    <mergeCell ref="B21:D21"/>
    <mergeCell ref="F21:J24"/>
    <mergeCell ref="B23:C23"/>
    <mergeCell ref="B24:C24"/>
    <mergeCell ref="B16:D16"/>
    <mergeCell ref="H1:I3"/>
    <mergeCell ref="B5:D5"/>
    <mergeCell ref="B6:D6"/>
    <mergeCell ref="B7:D7"/>
    <mergeCell ref="B9:D9"/>
    <mergeCell ref="F9:H9"/>
    <mergeCell ref="B11:C11"/>
    <mergeCell ref="C12:D12"/>
    <mergeCell ref="F12:G12"/>
    <mergeCell ref="B13:C13"/>
    <mergeCell ref="B14:C14"/>
  </mergeCells>
  <conditionalFormatting sqref="D18">
    <cfRule type="cellIs" dxfId="103" priority="8" operator="greaterThan">
      <formula>$E$18</formula>
    </cfRule>
  </conditionalFormatting>
  <conditionalFormatting sqref="D19">
    <cfRule type="cellIs" dxfId="102" priority="7" operator="greaterThan">
      <formula>360</formula>
    </cfRule>
  </conditionalFormatting>
  <conditionalFormatting sqref="F21 K27:K28">
    <cfRule type="containsText" dxfId="100" priority="3" operator="containsText" text="&quot;La tasa aquí informada corresponde a las condiciones actuales de aprobación, la tasa que le aplicará al cliente será la que este vigente al momento del desembolso&quot;">
      <formula>NOT(ISERROR(SEARCH("""La tasa aquí informada corresponde a las condiciones actuales de aprobación, la tasa que le aplicará al cliente será la que este vigente al momento del desembolso""",F21)))</formula>
    </cfRule>
    <cfRule type="containsText" dxfId="99" priority="4" operator="containsText" text="&quot;La tasa aquí informada corresponde a las condiciones actuales de aprobación, la tasa que le aplicará al cliente sera la que este vigente al momento del desembolso&quot;">
      <formula>NOT(ISERROR(SEARCH("""La tasa aquí informada corresponde a las condiciones actuales de aprobación, la tasa que le aplicará al cliente sera la que este vigente al momento del desembolso""",F21)))</formula>
    </cfRule>
  </conditionalFormatting>
  <conditionalFormatting sqref="F16:J16">
    <cfRule type="containsText" dxfId="98" priority="5" operator="containsText" text="Escoje la opción que aplique">
      <formula>NOT(ISERROR(SEARCH("Escoje la opción que aplique",F16)))</formula>
    </cfRule>
  </conditionalFormatting>
  <conditionalFormatting sqref="H18:I18 H19">
    <cfRule type="containsBlanks" dxfId="97" priority="6">
      <formula>LEN(TRIM(H18))=0</formula>
    </cfRule>
  </conditionalFormatting>
  <dataValidations count="7">
    <dataValidation type="decimal" allowBlank="1" showInputMessage="1" showErrorMessage="1" sqref="H12" xr:uid="{7B38E2EA-4A9E-4459-989F-00BCA2CF189D}">
      <formula1>0.04</formula1>
      <formula2>0.2</formula2>
    </dataValidation>
    <dataValidation type="list" allowBlank="1" showInputMessage="1" showErrorMessage="1" sqref="D11" xr:uid="{5319D600-2408-4748-A28A-A0320A182016}">
      <formula1>$T$3:$T$4</formula1>
    </dataValidation>
    <dataValidation type="list" allowBlank="1" showInputMessage="1" showErrorMessage="1" sqref="D24" xr:uid="{7C54158C-29D2-4A4F-ABF4-92E3CF0903FB}">
      <formula1>$N$3:$N$5</formula1>
    </dataValidation>
    <dataValidation type="list" allowBlank="1" showInputMessage="1" showErrorMessage="1" errorTitle="Programa no aplica" error="El programa de Gobierno NO aplica según el tipo de vivienda. Por favor corregir" sqref="D23" xr:uid="{ADCEAFE4-260D-418A-9D57-1C0C913AB97D}">
      <formula1>$W$3:$W$5</formula1>
    </dataValidation>
    <dataValidation type="list" allowBlank="1" showInputMessage="1" showErrorMessage="1" errorTitle="Programa no aplica" error="El programa de Gobierno NO aplica según el tipo de vivienda. Por favor corregir" sqref="D24" xr:uid="{853AB534-3A84-4E02-8DD8-14EE20E156BB}">
      <formula1>$N$3:$N$5</formula1>
    </dataValidation>
    <dataValidation type="whole" allowBlank="1" showInputMessage="1" showErrorMessage="1" errorTitle="Valor NO corresponde" error="El valor ingresado supera el porcentaje máximo de financiación" sqref="D18" xr:uid="{D9D9C866-F09B-4DF7-8DE5-1C6AE80CDAA3}">
      <formula1>0</formula1>
      <formula2>E18</formula2>
    </dataValidation>
    <dataValidation type="whole" allowBlank="1" showInputMessage="1" showErrorMessage="1" errorTitle="Plazo NO corresponde" error="El plazo ingresado no corresponde a los permitidos" sqref="D19" xr:uid="{C85FC56E-53F7-4A91-B16B-3E1F83A21DE9}">
      <formula1>60</formula1>
      <formula2>360</formula2>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2" operator="containsText" id="{13E1A2C1-C42C-453A-9605-A2263F7FAC76}">
            <xm:f>NOT(ISERROR(SEARCH($F$21,F21)))</xm:f>
            <xm:f>$F$21</xm:f>
            <x14:dxf>
              <font>
                <color rgb="FF006100"/>
              </font>
              <fill>
                <patternFill>
                  <bgColor rgb="FFC6EFCE"/>
                </patternFill>
              </fill>
            </x14:dxf>
          </x14:cfRule>
          <xm:sqref>F21 K27:K28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76DC777A-78B8-4D0C-B184-6BB1A9E95CCA}">
          <x14:formula1>
            <xm:f>'Ciudades y SMMLV'!$A$2:$A$1119</xm:f>
          </x14:formula1>
          <xm:sqref>C12:D12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5380F-00B1-4A0D-AD4A-5D04394ECC1D}">
  <sheetPr codeName="Hoja26"/>
  <dimension ref="A1:M42"/>
  <sheetViews>
    <sheetView showGridLines="0" zoomScale="85" zoomScaleNormal="85" workbookViewId="0">
      <pane ySplit="6" topLeftCell="A7" activePane="bottomLeft" state="frozen"/>
      <selection activeCell="B24" sqref="B24"/>
      <selection pane="bottomLeft" activeCell="A24" sqref="A24:B24"/>
    </sheetView>
  </sheetViews>
  <sheetFormatPr baseColWidth="10" defaultColWidth="11.453125" defaultRowHeight="15" customHeight="1" x14ac:dyDescent="0.35"/>
  <cols>
    <col min="1" max="1" width="43.26953125" style="2" customWidth="1"/>
    <col min="2" max="2" width="7.54296875" style="2" customWidth="1"/>
    <col min="3" max="3" width="20.26953125" style="2" customWidth="1"/>
    <col min="4" max="4" width="13.1796875" style="2" customWidth="1"/>
    <col min="5" max="5" width="17.26953125" style="2" customWidth="1"/>
    <col min="6" max="9" width="15.1796875" style="2" customWidth="1"/>
    <col min="10" max="13" width="11.453125" style="2" hidden="1" customWidth="1"/>
    <col min="14" max="15" width="0" style="2" hidden="1" customWidth="1"/>
    <col min="16" max="16384" width="11.453125" style="2"/>
  </cols>
  <sheetData>
    <row r="1" spans="1:10" ht="26.25" customHeight="1" x14ac:dyDescent="0.35">
      <c r="A1" s="60"/>
      <c r="B1" s="61"/>
      <c r="C1" s="61"/>
      <c r="G1" s="430" t="str">
        <f>CV!H1</f>
        <v>Código: PCV_FOR_006
Versión: V02
Fecha de actualización: 04/05/2026</v>
      </c>
      <c r="H1" s="431"/>
    </row>
    <row r="2" spans="1:10" ht="23.25" customHeight="1" x14ac:dyDescent="0.55000000000000004">
      <c r="A2" s="63"/>
      <c r="D2" s="545" t="s">
        <v>2545</v>
      </c>
      <c r="E2" s="545"/>
      <c r="F2" s="545"/>
      <c r="G2" s="432"/>
      <c r="H2" s="433"/>
    </row>
    <row r="3" spans="1:10" ht="24" customHeight="1" x14ac:dyDescent="0.35">
      <c r="A3" s="68"/>
      <c r="B3" s="69"/>
      <c r="C3" s="69"/>
      <c r="D3" s="69"/>
      <c r="E3" s="69"/>
      <c r="F3" s="69"/>
      <c r="G3" s="434"/>
      <c r="H3" s="435"/>
      <c r="I3" s="96" t="s">
        <v>2546</v>
      </c>
      <c r="J3" s="11"/>
    </row>
    <row r="4" spans="1:10" ht="23.25" customHeight="1" thickBot="1" x14ac:dyDescent="0.4">
      <c r="A4" s="516" t="s">
        <v>2547</v>
      </c>
      <c r="B4" s="516"/>
      <c r="C4" s="516"/>
      <c r="D4" s="59"/>
      <c r="E4" s="59"/>
      <c r="F4" s="57"/>
      <c r="G4" s="11"/>
      <c r="H4" s="11"/>
      <c r="I4" s="11"/>
      <c r="J4" s="11"/>
    </row>
    <row r="5" spans="1:10" ht="6" customHeight="1" x14ac:dyDescent="0.35">
      <c r="A5" s="539" t="s">
        <v>2548</v>
      </c>
      <c r="B5" s="540"/>
      <c r="C5" s="541"/>
      <c r="D5" s="59"/>
      <c r="E5" s="59"/>
      <c r="F5" s="57"/>
      <c r="G5" s="11"/>
      <c r="H5" s="11"/>
      <c r="I5" s="11"/>
      <c r="J5" s="12"/>
    </row>
    <row r="6" spans="1:10" ht="10.5" customHeight="1" x14ac:dyDescent="0.35">
      <c r="A6" s="546"/>
      <c r="B6" s="547"/>
      <c r="C6" s="548"/>
      <c r="D6" s="13">
        <v>24556798.854714327</v>
      </c>
      <c r="E6" s="57"/>
      <c r="F6" s="57"/>
      <c r="G6" s="14"/>
      <c r="H6" s="14"/>
      <c r="I6" s="14"/>
      <c r="J6" s="14"/>
    </row>
    <row r="7" spans="1:10" ht="7" customHeight="1" thickBot="1" x14ac:dyDescent="0.4">
      <c r="A7" s="54"/>
      <c r="B7" s="54"/>
      <c r="C7" s="54"/>
      <c r="D7" s="13"/>
      <c r="E7" s="57"/>
      <c r="F7" s="57"/>
      <c r="G7" s="14"/>
      <c r="H7" s="14"/>
      <c r="I7" s="14"/>
      <c r="J7" s="14"/>
    </row>
    <row r="8" spans="1:10" ht="15" customHeight="1" thickBot="1" x14ac:dyDescent="0.4">
      <c r="A8" s="74" t="s">
        <v>2533</v>
      </c>
      <c r="B8" s="75"/>
      <c r="C8" s="81">
        <f>_xlfn.IFNA('CV UVR'!D11,0)</f>
        <v>0</v>
      </c>
      <c r="D8" s="158"/>
      <c r="E8" s="57"/>
      <c r="F8" s="57"/>
      <c r="G8" s="14"/>
      <c r="H8" s="14"/>
      <c r="I8" s="14"/>
      <c r="J8" s="14"/>
    </row>
    <row r="9" spans="1:10" ht="18" customHeight="1" thickBot="1" x14ac:dyDescent="0.4">
      <c r="A9" s="532" t="s">
        <v>2363</v>
      </c>
      <c r="B9" s="542"/>
      <c r="C9" s="146">
        <f>_xlfn.IFNA('CV UVR'!C12,0)</f>
        <v>0</v>
      </c>
      <c r="D9" s="158"/>
      <c r="E9" s="57"/>
      <c r="F9" s="57"/>
      <c r="G9" s="14"/>
      <c r="H9" s="14"/>
      <c r="I9" s="14"/>
      <c r="J9" s="14"/>
    </row>
    <row r="10" spans="1:10" ht="8.25" hidden="1" customHeight="1" thickBot="1" x14ac:dyDescent="0.4">
      <c r="A10" s="54"/>
      <c r="B10" s="76"/>
      <c r="C10" s="76" t="str">
        <f>IF(B12="Vis","TARIFA 1","TARIFA 2")</f>
        <v>TARIFA 2</v>
      </c>
      <c r="D10" s="50"/>
      <c r="E10" s="12"/>
      <c r="F10" s="14"/>
      <c r="G10" s="14"/>
      <c r="H10" s="14"/>
      <c r="I10" s="14"/>
      <c r="J10" s="14"/>
    </row>
    <row r="11" spans="1:10" ht="18.5" thickBot="1" x14ac:dyDescent="0.4">
      <c r="A11" s="532" t="s">
        <v>2543</v>
      </c>
      <c r="B11" s="542"/>
      <c r="C11" s="82">
        <f>_xlfn.IFNA('CV UVR'!D24,0)</f>
        <v>0</v>
      </c>
      <c r="D11" s="50"/>
      <c r="G11" s="14"/>
      <c r="H11" s="14"/>
      <c r="I11" s="14"/>
      <c r="J11" s="14"/>
    </row>
    <row r="12" spans="1:10" ht="16" thickBot="1" x14ac:dyDescent="0.4">
      <c r="A12" s="74" t="s">
        <v>2365</v>
      </c>
      <c r="B12" s="78" t="str">
        <f>'CV UVR'!D14</f>
        <v/>
      </c>
      <c r="C12" s="81">
        <f>_xlfn.IFNA('CV UVR'!D13,0)</f>
        <v>0</v>
      </c>
      <c r="D12" s="160"/>
      <c r="G12" s="27"/>
      <c r="H12" s="27"/>
      <c r="J12" s="14"/>
    </row>
    <row r="13" spans="1:10" ht="17.25" customHeight="1" thickBot="1" x14ac:dyDescent="0.4">
      <c r="A13" s="532" t="s">
        <v>2535</v>
      </c>
      <c r="B13" s="542"/>
      <c r="C13" s="81" t="str">
        <f>_xlfn.IFNA('CV UVR'!D14,0)</f>
        <v/>
      </c>
      <c r="D13" s="158"/>
      <c r="G13" s="27"/>
      <c r="H13" s="27"/>
      <c r="I13" s="27"/>
      <c r="J13" s="14"/>
    </row>
    <row r="14" spans="1:10" ht="16" thickBot="1" x14ac:dyDescent="0.4">
      <c r="A14" s="534" t="s">
        <v>2549</v>
      </c>
      <c r="B14" s="543"/>
      <c r="C14" s="86">
        <f>_xlfn.IFNA('CV UVR'!D23,0)</f>
        <v>0</v>
      </c>
      <c r="D14" s="183" t="str">
        <f>IF(C14="Asalariado","Asalariados","Independiente-Pensionado")</f>
        <v>Independiente-Pensionado</v>
      </c>
      <c r="E14" s="90" t="s">
        <v>2550</v>
      </c>
      <c r="F14" s="91"/>
      <c r="G14" s="27"/>
      <c r="H14" s="27"/>
      <c r="I14" s="27"/>
      <c r="J14" s="14" t="str">
        <f>IF(C13="NO VIS"," ","Mi Casa Ya")</f>
        <v>Mi Casa Ya</v>
      </c>
    </row>
    <row r="15" spans="1:10" ht="16.5" customHeight="1" thickBot="1" x14ac:dyDescent="0.4">
      <c r="A15" s="529" t="s">
        <v>2551</v>
      </c>
      <c r="B15" s="544"/>
      <c r="C15" s="76">
        <f>IF(D15&gt;='CV UVR'!D18,'CV UVR'!D18,'Crédito de Vivienda UVR'!D15)</f>
        <v>0</v>
      </c>
      <c r="D15" s="183">
        <f>IF(C13="NO VIS",C12*70%,C12*80%)</f>
        <v>0</v>
      </c>
      <c r="E15" s="92" t="s">
        <v>2552</v>
      </c>
      <c r="F15" s="93" t="e" cm="1">
        <f t="array" ref="F15">_xlfn.IFS(AND($B$12="NO VIS",$C$8="NO",$C$12&gt;700000000),1112597,AND($B$12="NO VIS",$C$8="NO",$C$12&lt;700000000),((($C$12*0.75)/1000)+(($C$12*0.75)/1000)*0.19),AND($B$12="NO VIS",$C$8="SI",$C$12&gt;700000000),838994,AND($B$12="NO VIS",$C$8="SI",$C$12&lt;700000000),((($C$12*0.75)/1000)+(($C$12*0.75)/1000)*0.19),AND($B$12="VIS",$C$8="SI"),127882,AND($B$12="VIS",$C$8="NO"),143624)</f>
        <v>#N/A</v>
      </c>
      <c r="G15" s="27"/>
      <c r="H15" s="27"/>
      <c r="I15" s="27"/>
      <c r="J15" s="14" t="str">
        <f>IF(C13="VIS"," "," ")</f>
        <v xml:space="preserve"> </v>
      </c>
    </row>
    <row r="16" spans="1:10" ht="16.5" customHeight="1" thickBot="1" x14ac:dyDescent="0.4">
      <c r="A16" s="105" t="s">
        <v>2553</v>
      </c>
      <c r="B16" s="80" t="str">
        <f>IFERROR(C16/C12,"")</f>
        <v/>
      </c>
      <c r="C16" s="76">
        <f>C12-C15</f>
        <v>0</v>
      </c>
      <c r="D16" s="84"/>
      <c r="E16" s="94" t="s">
        <v>2554</v>
      </c>
      <c r="F16" s="95" t="e" cm="1">
        <f t="array" ref="F16">_xlfn.IFS(AND($B$12="NO VIS",$C$8="NO"),330000,AND($B$12="VIS",$C$8="NO"),170000,AND($B$12="NO VIS",$C$8="SI"),127000,AND($B$12="VIS",$C$8="SI"),127000)</f>
        <v>#N/A</v>
      </c>
      <c r="G16" s="28"/>
      <c r="H16" s="28"/>
      <c r="I16" s="28"/>
      <c r="J16" s="2" t="str">
        <f>IF(C13="VIS"," "," ")</f>
        <v xml:space="preserve"> </v>
      </c>
    </row>
    <row r="17" spans="1:12" ht="16.5" customHeight="1" thickBot="1" x14ac:dyDescent="0.4">
      <c r="A17" s="352" t="str">
        <f>IF(CV!H11="No","Tasa Inteligente","Tasa Especial")</f>
        <v>Tasa Inteligente</v>
      </c>
      <c r="B17" s="353" t="s">
        <v>2555</v>
      </c>
      <c r="C17" s="85" t="str">
        <f>IF('CV UVR'!H11="No",_xlfn.IFNA('CV UVR'!I18,0),'CV UVR'!$H$12)</f>
        <v/>
      </c>
      <c r="D17" s="84"/>
      <c r="E17" s="184" t="e">
        <f>NOMINAL(C17,12)/12</f>
        <v>#VALUE!</v>
      </c>
      <c r="F17" s="84"/>
      <c r="G17" s="28"/>
      <c r="H17" s="28"/>
      <c r="I17" s="28"/>
    </row>
    <row r="18" spans="1:12" ht="16.5" customHeight="1" thickBot="1" x14ac:dyDescent="0.4">
      <c r="A18" s="534" t="s">
        <v>2536</v>
      </c>
      <c r="B18" s="535"/>
      <c r="C18" s="89">
        <f>_xlfn.IFNA('CV UVR'!D19,0)</f>
        <v>0</v>
      </c>
      <c r="D18" s="84"/>
      <c r="E18" s="184"/>
      <c r="F18" s="84"/>
      <c r="G18" s="28"/>
      <c r="H18" s="28"/>
      <c r="I18" s="28"/>
    </row>
    <row r="19" spans="1:12" ht="16.5" customHeight="1" thickBot="1" x14ac:dyDescent="0.4">
      <c r="A19" s="532" t="s">
        <v>2556</v>
      </c>
      <c r="B19" s="533"/>
      <c r="C19" s="354">
        <f ca="1">VLOOKUP(TODAY(),ValoresUVR!A:C,2,FALSE)</f>
        <v>409.4984</v>
      </c>
      <c r="D19" s="84"/>
      <c r="E19" s="184"/>
      <c r="F19" s="84"/>
      <c r="G19" s="28"/>
      <c r="H19" s="28"/>
      <c r="I19" s="28"/>
    </row>
    <row r="20" spans="1:12" ht="16" thickBot="1" x14ac:dyDescent="0.4">
      <c r="A20" s="534" t="s">
        <v>2557</v>
      </c>
      <c r="B20" s="535"/>
      <c r="C20" s="355">
        <f ca="1">$C$15/$C$19</f>
        <v>0</v>
      </c>
      <c r="D20" s="161"/>
      <c r="E20" s="84"/>
      <c r="F20" s="84"/>
      <c r="G20" s="11"/>
      <c r="H20" s="11"/>
      <c r="I20" s="11"/>
    </row>
    <row r="21" spans="1:12" ht="16.5" customHeight="1" thickBot="1" x14ac:dyDescent="0.4">
      <c r="A21" s="83"/>
      <c r="B21" s="83"/>
      <c r="C21" s="83"/>
      <c r="D21" s="77"/>
      <c r="E21" s="77"/>
      <c r="F21" s="77"/>
      <c r="H21" s="11"/>
      <c r="I21" s="11"/>
    </row>
    <row r="22" spans="1:12" ht="16.5" customHeight="1" x14ac:dyDescent="0.35">
      <c r="A22" s="539" t="s">
        <v>2558</v>
      </c>
      <c r="B22" s="540"/>
      <c r="C22" s="541"/>
      <c r="D22" s="162"/>
      <c r="E22" s="77"/>
      <c r="F22" s="77"/>
      <c r="G22" s="551"/>
      <c r="H22" s="551"/>
      <c r="I22" s="551"/>
      <c r="J22" s="2" t="s">
        <v>2559</v>
      </c>
    </row>
    <row r="23" spans="1:12" s="83" customFormat="1" ht="6" customHeight="1" x14ac:dyDescent="0.35">
      <c r="C23" s="88"/>
      <c r="D23" s="162"/>
      <c r="G23" s="551"/>
      <c r="H23" s="551"/>
      <c r="I23" s="551"/>
    </row>
    <row r="24" spans="1:12" s="83" customFormat="1" ht="15.5" x14ac:dyDescent="0.35">
      <c r="A24" s="552" t="s">
        <v>2560</v>
      </c>
      <c r="B24" s="553"/>
      <c r="C24" s="44"/>
      <c r="D24" s="163"/>
      <c r="E24" s="554" t="s">
        <v>2561</v>
      </c>
      <c r="F24" s="118"/>
      <c r="G24" s="551"/>
      <c r="H24" s="551"/>
      <c r="I24" s="551"/>
    </row>
    <row r="25" spans="1:12" ht="16" thickBot="1" x14ac:dyDescent="0.4">
      <c r="A25" s="556" t="s">
        <v>2562</v>
      </c>
      <c r="B25" s="557"/>
      <c r="C25" s="44"/>
      <c r="D25" s="230"/>
      <c r="E25" s="555"/>
      <c r="F25" s="73"/>
      <c r="G25" s="551"/>
      <c r="H25" s="551"/>
      <c r="I25" s="551"/>
      <c r="J25" s="12"/>
      <c r="K25" s="2" t="s">
        <v>2563</v>
      </c>
      <c r="L25" s="2" t="s">
        <v>2563</v>
      </c>
    </row>
    <row r="26" spans="1:12" ht="16.5" customHeight="1" x14ac:dyDescent="0.35">
      <c r="A26" s="556" t="s">
        <v>2564</v>
      </c>
      <c r="B26" s="557"/>
      <c r="C26" s="44"/>
      <c r="D26" s="49"/>
      <c r="E26" s="558">
        <f>COUNT(C24,C25,C26,C27)</f>
        <v>0</v>
      </c>
      <c r="G26" s="551"/>
      <c r="H26" s="551"/>
      <c r="I26" s="551"/>
      <c r="J26" s="11"/>
      <c r="K26" s="2" t="s">
        <v>2565</v>
      </c>
      <c r="L26" s="2" t="s">
        <v>2566</v>
      </c>
    </row>
    <row r="27" spans="1:12" ht="16" thickBot="1" x14ac:dyDescent="0.4">
      <c r="A27" s="556" t="s">
        <v>2567</v>
      </c>
      <c r="B27" s="557"/>
      <c r="C27" s="44"/>
      <c r="D27" s="165"/>
      <c r="E27" s="559"/>
      <c r="G27" s="551"/>
      <c r="H27" s="551"/>
      <c r="I27" s="551"/>
      <c r="J27" s="11"/>
      <c r="K27" s="2" t="s">
        <v>2568</v>
      </c>
      <c r="L27" s="2" t="s">
        <v>2569</v>
      </c>
    </row>
    <row r="28" spans="1:12" ht="16" thickBot="1" x14ac:dyDescent="0.4">
      <c r="A28" s="23"/>
      <c r="B28" s="23"/>
      <c r="C28" s="23"/>
      <c r="D28" s="159"/>
      <c r="E28" s="244"/>
      <c r="G28" s="551"/>
      <c r="H28" s="551"/>
      <c r="I28" s="551"/>
      <c r="J28" s="11"/>
      <c r="K28" s="2" t="s">
        <v>2570</v>
      </c>
      <c r="L28" s="2" t="s">
        <v>2571</v>
      </c>
    </row>
    <row r="29" spans="1:12" ht="16" thickBot="1" x14ac:dyDescent="0.4">
      <c r="A29" s="539" t="s">
        <v>2572</v>
      </c>
      <c r="B29" s="540"/>
      <c r="C29" s="541"/>
      <c r="D29" s="159"/>
      <c r="G29" s="551"/>
      <c r="H29" s="551"/>
      <c r="I29" s="551"/>
      <c r="J29" s="11"/>
      <c r="K29" s="2" t="s">
        <v>2573</v>
      </c>
      <c r="L29" s="2" t="s">
        <v>2574</v>
      </c>
    </row>
    <row r="30" spans="1:12" ht="18.5" thickBot="1" x14ac:dyDescent="0.4">
      <c r="A30" s="560" t="s">
        <v>2575</v>
      </c>
      <c r="B30" s="560"/>
      <c r="C30" s="351">
        <f ca="1">IFERROR('Plan de pagos CV UVR'!F19,0)</f>
        <v>0</v>
      </c>
      <c r="D30" s="159"/>
      <c r="G30" s="551"/>
      <c r="H30" s="551"/>
      <c r="I30" s="551"/>
      <c r="J30" s="11"/>
    </row>
    <row r="31" spans="1:12" ht="16" thickBot="1" x14ac:dyDescent="0.4">
      <c r="A31" s="539" t="s">
        <v>2576</v>
      </c>
      <c r="B31" s="540"/>
      <c r="C31" s="541"/>
      <c r="D31" s="16"/>
      <c r="G31" s="551"/>
      <c r="H31" s="551"/>
      <c r="I31" s="551"/>
      <c r="J31" s="11"/>
      <c r="K31" s="2" t="s">
        <v>2577</v>
      </c>
      <c r="L31" s="2" t="s">
        <v>2578</v>
      </c>
    </row>
    <row r="32" spans="1:12" ht="17.25" customHeight="1" x14ac:dyDescent="0.35">
      <c r="A32" s="560" t="s">
        <v>2579</v>
      </c>
      <c r="B32" s="560"/>
      <c r="C32" s="24">
        <f ca="1">'Plan de pagos CV UVR'!$K$19</f>
        <v>0</v>
      </c>
      <c r="D32" s="50"/>
      <c r="E32" s="561" t="s">
        <v>2580</v>
      </c>
      <c r="F32" s="563">
        <f ca="1">IF(CV!D25&gt;=799,((C35-C32-C33)/40%),IF(CV!D25&lt;=739,((C35-C32-C33)/30%),((C35-C32-C33)/35%)))</f>
        <v>0</v>
      </c>
      <c r="G32" s="551"/>
      <c r="H32" s="551"/>
      <c r="I32" s="551"/>
      <c r="J32" s="11"/>
      <c r="K32" s="2" t="s">
        <v>2581</v>
      </c>
      <c r="L32" s="2" t="s">
        <v>2582</v>
      </c>
    </row>
    <row r="33" spans="1:12" ht="16.5" customHeight="1" thickBot="1" x14ac:dyDescent="0.4">
      <c r="A33" s="560" t="s">
        <v>2583</v>
      </c>
      <c r="B33" s="560"/>
      <c r="C33" s="24">
        <f>'Plan de pagos CV UVR'!$L$19</f>
        <v>0</v>
      </c>
      <c r="D33" s="51"/>
      <c r="E33" s="562"/>
      <c r="F33" s="564"/>
      <c r="G33" s="551"/>
      <c r="H33" s="551"/>
      <c r="I33" s="551"/>
      <c r="J33" s="11"/>
      <c r="K33" s="2" t="s">
        <v>2584</v>
      </c>
      <c r="L33" s="2" t="s">
        <v>2584</v>
      </c>
    </row>
    <row r="34" spans="1:12" ht="16" thickBot="1" x14ac:dyDescent="0.4">
      <c r="A34" s="560" t="s">
        <v>2585</v>
      </c>
      <c r="B34" s="560"/>
      <c r="C34" s="25">
        <f ca="1">C30*C19</f>
        <v>0</v>
      </c>
      <c r="D34" s="51"/>
      <c r="G34" s="23"/>
      <c r="H34" s="23"/>
      <c r="I34" s="23"/>
      <c r="J34" s="11"/>
      <c r="K34" s="2" t="s">
        <v>2586</v>
      </c>
      <c r="L34" s="2" t="s">
        <v>2586</v>
      </c>
    </row>
    <row r="35" spans="1:12" ht="18" customHeight="1" thickBot="1" x14ac:dyDescent="0.4">
      <c r="A35" s="549" t="str">
        <f>IF(C23="si","Vr. Cuota + Seguros Obligatorios - Beneficio Gobierno","Vr. Cuota + Seguros Obligatorios")</f>
        <v>Vr. Cuota + Seguros Obligatorios</v>
      </c>
      <c r="B35" s="550"/>
      <c r="C35" s="53">
        <f ca="1">IFERROR(SUM(C32:C34),0)</f>
        <v>0</v>
      </c>
      <c r="D35" s="159"/>
      <c r="G35" s="11"/>
      <c r="H35" s="11"/>
      <c r="I35" s="11"/>
      <c r="J35" s="11"/>
      <c r="K35" s="2" t="s">
        <v>2587</v>
      </c>
      <c r="L35" s="2" t="s">
        <v>2587</v>
      </c>
    </row>
    <row r="36" spans="1:12" ht="15" customHeight="1" x14ac:dyDescent="0.35">
      <c r="G36" s="31"/>
      <c r="H36" s="31"/>
      <c r="I36" s="31"/>
      <c r="J36" s="11">
        <v>3</v>
      </c>
    </row>
    <row r="37" spans="1:12" ht="15" customHeight="1" x14ac:dyDescent="0.35">
      <c r="G37" s="33"/>
      <c r="H37" s="33"/>
      <c r="I37" s="33"/>
      <c r="J37" s="2">
        <v>4</v>
      </c>
    </row>
    <row r="38" spans="1:12" ht="15" customHeight="1" x14ac:dyDescent="0.35">
      <c r="G38" s="33"/>
      <c r="H38" s="33"/>
      <c r="I38" s="33"/>
    </row>
    <row r="39" spans="1:12" ht="15" customHeight="1" x14ac:dyDescent="0.35">
      <c r="E39" s="58"/>
      <c r="G39" s="33"/>
      <c r="H39" s="33"/>
      <c r="I39" s="33"/>
    </row>
    <row r="40" spans="1:12" ht="15" customHeight="1" x14ac:dyDescent="0.35">
      <c r="G40" s="33"/>
      <c r="H40" s="33"/>
      <c r="I40" s="33"/>
    </row>
    <row r="41" spans="1:12" ht="15" customHeight="1" x14ac:dyDescent="0.35">
      <c r="D41" s="58"/>
      <c r="F41" s="57"/>
      <c r="G41" s="33"/>
      <c r="H41" s="33"/>
      <c r="I41" s="33"/>
    </row>
    <row r="42" spans="1:12" ht="15" customHeight="1" x14ac:dyDescent="0.35">
      <c r="G42" s="33"/>
      <c r="H42" s="33"/>
      <c r="I42" s="33"/>
    </row>
  </sheetData>
  <sheetProtection algorithmName="SHA-512" hashValue="QOfVVDuNs+WpVdgADbSrRKLvw2qUe46pshImgo2lWZF0lp9bAZYxyl5fOyGUevTUmhS/4BVF2xS+5T8hwfHBPQ==" saltValue="pv2HyeZtBJP76j93Sd/IAQ==" spinCount="100000" sheet="1" objects="1" scenarios="1"/>
  <mergeCells count="29">
    <mergeCell ref="A35:B35"/>
    <mergeCell ref="G22:I33"/>
    <mergeCell ref="A24:B24"/>
    <mergeCell ref="E24:E25"/>
    <mergeCell ref="A25:B25"/>
    <mergeCell ref="A26:B26"/>
    <mergeCell ref="E26:E27"/>
    <mergeCell ref="A27:B27"/>
    <mergeCell ref="A29:C29"/>
    <mergeCell ref="A22:C22"/>
    <mergeCell ref="A32:B32"/>
    <mergeCell ref="E32:E33"/>
    <mergeCell ref="F32:F33"/>
    <mergeCell ref="A33:B33"/>
    <mergeCell ref="A34:B34"/>
    <mergeCell ref="A30:B30"/>
    <mergeCell ref="G1:H3"/>
    <mergeCell ref="D2:F2"/>
    <mergeCell ref="A4:C4"/>
    <mergeCell ref="A5:C6"/>
    <mergeCell ref="A9:B9"/>
    <mergeCell ref="A19:B19"/>
    <mergeCell ref="A18:B18"/>
    <mergeCell ref="A31:C31"/>
    <mergeCell ref="A11:B11"/>
    <mergeCell ref="A13:B13"/>
    <mergeCell ref="A14:B14"/>
    <mergeCell ref="A15:B15"/>
    <mergeCell ref="A20:B20"/>
  </mergeCells>
  <conditionalFormatting sqref="G22:I33">
    <cfRule type="containsText" dxfId="96" priority="1" operator="containsText" text="Los subsidios otorgados por el Gobierno Nacional aplican unicamente al momento del desembolso, conforme el cliente cumpla con los requisitos para acceder al programa seleccionado y haya existencia de cupos. El valor descontado por este beneficio en este s">
      <formula>NOT(ISERROR(SEARCH("Los subsidios otorgados por el Gobierno Nacional aplican unicamente al momento del desembolso, conforme el cliente cumpla con los requisitos para acceder al programa seleccionado y haya existencia de cupos. El valor descontado por este beneficio en este s",G22)))</formula>
    </cfRule>
  </conditionalFormatting>
  <dataValidations count="2">
    <dataValidation type="whole" allowBlank="1" showInputMessage="1" showErrorMessage="1" errorTitle="Edad NO correponde" error="La edad ingresada no aplica por política de crédito" sqref="C25" xr:uid="{3CF79337-1FEB-49BC-BA0A-4CA86F7C5D77}">
      <formula1>18</formula1>
      <formula2>70</formula2>
    </dataValidation>
    <dataValidation type="whole" allowBlank="1" showInputMessage="1" showErrorMessage="1" errorTitle="Edad NO corresponde" error="La edad ingresada no aplica por política de crédito" sqref="C24 C26:C27" xr:uid="{765292F6-E384-45A3-AB57-FFA6C435F502}">
      <formula1>18</formula1>
      <formula2>70</formula2>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6D9B6879A021A41AA170B2CA9143406" ma:contentTypeVersion="" ma:contentTypeDescription="Crear nuevo documento." ma:contentTypeScope="" ma:versionID="02c016ce5838ee15046a22636694ba54">
  <xsd:schema xmlns:xsd="http://www.w3.org/2001/XMLSchema" xmlns:xs="http://www.w3.org/2001/XMLSchema" xmlns:p="http://schemas.microsoft.com/office/2006/metadata/properties" xmlns:ns1="http://schemas.microsoft.com/sharepoint/v3" xmlns:ns2="e62d6ab8-dac5-4f87-b296-224f69cc4ee7" xmlns:ns3="488047c9-b93b-4ebe-a2af-7fccb1eab6c8" targetNamespace="http://schemas.microsoft.com/office/2006/metadata/properties" ma:root="true" ma:fieldsID="143ed1b7e42fd3c1f62b33916c2a4a43" ns1:_="" ns2:_="" ns3:_="">
    <xsd:import namespace="http://schemas.microsoft.com/sharepoint/v3"/>
    <xsd:import namespace="e62d6ab8-dac5-4f87-b296-224f69cc4ee7"/>
    <xsd:import namespace="488047c9-b93b-4ebe-a2af-7fccb1eab6c8"/>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62d6ab8-dac5-4f87-b296-224f69cc4ee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0e865dbb-6eb2-4fa5-999c-6f24f26e3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8047c9-b93b-4ebe-a2af-7fccb1eab6c8"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318cff6a-4dd8-4b7f-91f7-19e08f84ba76}" ma:internalName="TaxCatchAll" ma:showField="CatchAllData" ma:web="488047c9-b93b-4ebe-a2af-7fccb1eab6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lcf76f155ced4ddcb4097134ff3c332f xmlns="e62d6ab8-dac5-4f87-b296-224f69cc4ee7">
      <Terms xmlns="http://schemas.microsoft.com/office/infopath/2007/PartnerControls"/>
    </lcf76f155ced4ddcb4097134ff3c332f>
    <TaxCatchAll xmlns="488047c9-b93b-4ebe-a2af-7fccb1eab6c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4E323D-8DAA-40AB-A5D2-4170166FD5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2d6ab8-dac5-4f87-b296-224f69cc4ee7"/>
    <ds:schemaRef ds:uri="488047c9-b93b-4ebe-a2af-7fccb1eab6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154F5A-15C1-439B-AD4A-55F8805D7B73}">
  <ds:schemaRefs>
    <ds:schemaRef ds:uri="http://schemas.microsoft.com/office/2006/metadata/properties"/>
    <ds:schemaRef ds:uri="http://schemas.microsoft.com/office/infopath/2007/PartnerControls"/>
    <ds:schemaRef ds:uri="http://schemas.microsoft.com/sharepoint/v3"/>
    <ds:schemaRef ds:uri="e62d6ab8-dac5-4f87-b296-224f69cc4ee7"/>
    <ds:schemaRef ds:uri="488047c9-b93b-4ebe-a2af-7fccb1eab6c8"/>
  </ds:schemaRefs>
</ds:datastoreItem>
</file>

<file path=customXml/itemProps3.xml><?xml version="1.0" encoding="utf-8"?>
<ds:datastoreItem xmlns:ds="http://schemas.openxmlformats.org/officeDocument/2006/customXml" ds:itemID="{8A9B5A4C-8229-4717-A07B-CDA93AD4E5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35</vt:i4>
      </vt:variant>
      <vt:variant>
        <vt:lpstr>Rangos con nombre</vt:lpstr>
      </vt:variant>
      <vt:variant>
        <vt:i4>7</vt:i4>
      </vt:variant>
    </vt:vector>
  </HeadingPairs>
  <TitlesOfParts>
    <vt:vector size="42" baseType="lpstr">
      <vt:lpstr>Tasas inteligentes</vt:lpstr>
      <vt:lpstr>TI CV-LHF</vt:lpstr>
      <vt:lpstr>Pantalla_Inicio</vt:lpstr>
      <vt:lpstr>Ciudades y SMMLV</vt:lpstr>
      <vt:lpstr>Simulador Avalúo y ET</vt:lpstr>
      <vt:lpstr>Tarifas avalúos y ET 2026</vt:lpstr>
      <vt:lpstr>Tarifas Av y ET 2026 (sin neg.)</vt:lpstr>
      <vt:lpstr>CV UVR</vt:lpstr>
      <vt:lpstr>Crédito de Vivienda UVR</vt:lpstr>
      <vt:lpstr>Plan de pagos CV UVR</vt:lpstr>
      <vt:lpstr>TI CV UVR</vt:lpstr>
      <vt:lpstr>ValoresUVR</vt:lpstr>
      <vt:lpstr>LHNF</vt:lpstr>
      <vt:lpstr>LeasingNOFam</vt:lpstr>
      <vt:lpstr>TI LHNF</vt:lpstr>
      <vt:lpstr>Plan de pagos LHNF</vt:lpstr>
      <vt:lpstr>CV</vt:lpstr>
      <vt:lpstr>Crédito de Vivienda</vt:lpstr>
      <vt:lpstr>Plan de pagos CV</vt:lpstr>
      <vt:lpstr>TI LHF</vt:lpstr>
      <vt:lpstr>Seguros_Oblig</vt:lpstr>
      <vt:lpstr>Comparativo</vt:lpstr>
      <vt:lpstr>LHF</vt:lpstr>
      <vt:lpstr>LeasingHab</vt:lpstr>
      <vt:lpstr>Plan de pagos LHF</vt:lpstr>
      <vt:lpstr>TI RM</vt:lpstr>
      <vt:lpstr>RM</vt:lpstr>
      <vt:lpstr>Remodelacion</vt:lpstr>
      <vt:lpstr>Plan de pagos RM</vt:lpstr>
      <vt:lpstr>Oferta_Seguros</vt:lpstr>
      <vt:lpstr>TI CC</vt:lpstr>
      <vt:lpstr>CC</vt:lpstr>
      <vt:lpstr>Compra cartera</vt:lpstr>
      <vt:lpstr>Plan de pagos CC</vt:lpstr>
      <vt:lpstr>Según sus ingresos</vt:lpstr>
      <vt:lpstr>'Plan de pagos CV'!Área_de_impresión</vt:lpstr>
      <vt:lpstr>'Plan de pagos LHF'!Área_de_impresión</vt:lpstr>
      <vt:lpstr>'Plan de pagos LHNF'!Área_de_impresión</vt:lpstr>
      <vt:lpstr>'Plan de pagos RM'!Área_de_impresión</vt:lpstr>
      <vt:lpstr>Portaf</vt:lpstr>
      <vt:lpstr>Tipo_proyecto</vt:lpstr>
      <vt:lpstr>Vivien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Posse Velasquez, Cristhiam Armando</dc:creator>
  <cp:keywords/>
  <dc:description/>
  <cp:lastModifiedBy>Bustos Lemus, Juan Felipe</cp:lastModifiedBy>
  <cp:revision/>
  <dcterms:created xsi:type="dcterms:W3CDTF">2022-01-13T23:12:08Z</dcterms:created>
  <dcterms:modified xsi:type="dcterms:W3CDTF">2026-05-05T13:58:15Z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0x010100D6D9B6879A021A41AA170B2CA9143406</vt:lpwstr>
  </property>
  <property fmtid="{D5CDD505-2E9C-101B-9397-08002B2CF9AE}" pid="3" name="MediaServiceImageTags">
    <vt:lpwstr/>
  </property>
</Properties>
</file>